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ietotajs\Desktop\Study\23.07.2023 Data science\Projects\"/>
    </mc:Choice>
  </mc:AlternateContent>
  <xr:revisionPtr revIDLastSave="0" documentId="8_{633292AA-A801-411E-AC7F-E88479E9D2F8}" xr6:coauthVersionLast="47" xr6:coauthVersionMax="47" xr10:uidLastSave="{00000000-0000-0000-0000-000000000000}"/>
  <bookViews>
    <workbookView xWindow="28680" yWindow="-120" windowWidth="29040" windowHeight="15720" activeTab="4" xr2:uid="{26D4546B-D2A1-4444-8EAF-A6228F96F0C1}"/>
  </bookViews>
  <sheets>
    <sheet name="India Staff" sheetId="2" r:id="rId1"/>
    <sheet name="NZ Staff" sheetId="1" r:id="rId2"/>
    <sheet name="all_staff" sheetId="3" r:id="rId3"/>
    <sheet name="Quick analysis of data" sheetId="4" state="hidden" r:id="rId4"/>
    <sheet name="Build_Info_Finder" sheetId="5" r:id="rId5"/>
    <sheet name="Country Comparison " sheetId="7" r:id="rId6"/>
    <sheet name="Sheet2" sheetId="8" r:id="rId7"/>
    <sheet name="Sheet1" sheetId="6" state="hidden" r:id="rId8"/>
  </sheets>
  <definedNames>
    <definedName name="_xlnm._FilterDatabase" localSheetId="0" hidden="1">'India Staff'!$B$2:$H$114</definedName>
    <definedName name="_xlnm._FilterDatabase" localSheetId="1" hidden="1">'NZ Staff'!$C$5:$I$105</definedName>
    <definedName name="_xlchart.v1.0" hidden="1">all_staff!$I$1</definedName>
    <definedName name="_xlchart.v1.1" hidden="1">all_staff!$I$2:$I$194</definedName>
    <definedName name="_xlchart.v1.2" hidden="1">all_staff!$I$1</definedName>
    <definedName name="_xlchart.v1.3" hidden="1">all_staff!$I$2:$I$194</definedName>
    <definedName name="all_staff">all_staff!$A$2:$K$176</definedName>
    <definedName name="ExternalData_1" localSheetId="2" hidden="1">all_staff!$A$1:$J$176</definedName>
    <definedName name="Grand_Total">Build_Info_Finder!$I$9:$I$192</definedName>
    <definedName name="india_stuff">'India Staff'!$L$12</definedName>
    <definedName name="nz_staff">'NZ Staff'!$E$13</definedName>
    <definedName name="nz_stuff">'NZ Staff'!$L$8:$M$8</definedName>
  </definedNames>
  <calcPr calcId="191028"/>
  <pivotCaches>
    <pivotCache cacheId="3" r:id="rId9"/>
    <pivotCache cacheId="4" r:id="rId10"/>
    <pivotCache cacheId="5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7" l="1"/>
  <c r="J3" i="7"/>
  <c r="G3" i="7"/>
  <c r="C3" i="7"/>
  <c r="L3" i="7" s="1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6" i="5"/>
  <c r="AO6" i="5" a="1"/>
  <c r="AO6" i="5"/>
  <c r="AP6" i="5" s="1" a="1"/>
  <c r="AP6" i="5" s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J1" i="5" s="1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D14" i="5"/>
  <c r="D15" i="5"/>
  <c r="D9" i="5"/>
  <c r="D11" i="5"/>
  <c r="D8" i="5"/>
  <c r="D7" i="5"/>
  <c r="P1" i="5"/>
  <c r="G1" i="5"/>
  <c r="H1" i="5"/>
  <c r="L1" i="5"/>
  <c r="N1" i="5"/>
  <c r="L6" i="5"/>
  <c r="M6" i="5"/>
  <c r="N6" i="5"/>
  <c r="K20" i="3"/>
  <c r="K85" i="3"/>
  <c r="L85" i="3" s="1"/>
  <c r="K37" i="3"/>
  <c r="L37" i="3" s="1"/>
  <c r="K39" i="3"/>
  <c r="L39" i="3" s="1"/>
  <c r="K155" i="3"/>
  <c r="L155" i="3" s="1"/>
  <c r="K27" i="3"/>
  <c r="L27" i="3" s="1"/>
  <c r="K63" i="3"/>
  <c r="L63" i="3" s="1"/>
  <c r="K43" i="3"/>
  <c r="L43" i="3" s="1"/>
  <c r="K175" i="3"/>
  <c r="L175" i="3" s="1"/>
  <c r="K153" i="3"/>
  <c r="L153" i="3" s="1"/>
  <c r="K67" i="3"/>
  <c r="L67" i="3" s="1"/>
  <c r="K77" i="3"/>
  <c r="L77" i="3" s="1"/>
  <c r="K147" i="3"/>
  <c r="L147" i="3" s="1"/>
  <c r="K18" i="3"/>
  <c r="L18" i="3" s="1"/>
  <c r="K131" i="3"/>
  <c r="L131" i="3" s="1"/>
  <c r="K8" i="3"/>
  <c r="L8" i="3" s="1"/>
  <c r="K49" i="3"/>
  <c r="L49" i="3" s="1"/>
  <c r="K14" i="3"/>
  <c r="L14" i="3" s="1"/>
  <c r="K97" i="3"/>
  <c r="L97" i="3" s="1"/>
  <c r="K53" i="3"/>
  <c r="L53" i="3" s="1"/>
  <c r="K71" i="3"/>
  <c r="L71" i="3" s="1"/>
  <c r="K51" i="3"/>
  <c r="L51" i="3" s="1"/>
  <c r="K31" i="3"/>
  <c r="L31" i="3" s="1"/>
  <c r="K91" i="3"/>
  <c r="L91" i="3" s="1"/>
  <c r="K117" i="3"/>
  <c r="L117" i="3" s="1"/>
  <c r="K4" i="3"/>
  <c r="L4" i="3" s="1"/>
  <c r="K99" i="3"/>
  <c r="L99" i="3" s="1"/>
  <c r="K59" i="3"/>
  <c r="L59" i="3" s="1"/>
  <c r="K95" i="3"/>
  <c r="L95" i="3" s="1"/>
  <c r="K169" i="3"/>
  <c r="L169" i="3" s="1"/>
  <c r="K105" i="3"/>
  <c r="L105" i="3" s="1"/>
  <c r="K151" i="3"/>
  <c r="L151" i="3" s="1"/>
  <c r="K33" i="3"/>
  <c r="L33" i="3" s="1"/>
  <c r="K133" i="3"/>
  <c r="L133" i="3" s="1"/>
  <c r="K127" i="3"/>
  <c r="L127" i="3" s="1"/>
  <c r="K137" i="3"/>
  <c r="L137" i="3" s="1"/>
  <c r="K29" i="3"/>
  <c r="L29" i="3" s="1"/>
  <c r="K35" i="3"/>
  <c r="L35" i="3" s="1"/>
  <c r="K103" i="3"/>
  <c r="L103" i="3" s="1"/>
  <c r="K115" i="3"/>
  <c r="L115" i="3" s="1"/>
  <c r="K111" i="3"/>
  <c r="L111" i="3" s="1"/>
  <c r="K123" i="3"/>
  <c r="L123" i="3" s="1"/>
  <c r="K157" i="3"/>
  <c r="L157" i="3" s="1"/>
  <c r="K107" i="3"/>
  <c r="L107" i="3" s="1"/>
  <c r="K75" i="3"/>
  <c r="L75" i="3" s="1"/>
  <c r="K109" i="3"/>
  <c r="L109" i="3" s="1"/>
  <c r="K55" i="3"/>
  <c r="L55" i="3" s="1"/>
  <c r="K173" i="3"/>
  <c r="L173" i="3" s="1"/>
  <c r="K25" i="3"/>
  <c r="L25" i="3" s="1"/>
  <c r="K21" i="3"/>
  <c r="L21" i="3" s="1"/>
  <c r="K167" i="3"/>
  <c r="L167" i="3" s="1"/>
  <c r="K81" i="3"/>
  <c r="L81" i="3" s="1"/>
  <c r="K87" i="3"/>
  <c r="L87" i="3" s="1"/>
  <c r="K149" i="3"/>
  <c r="L149" i="3" s="1"/>
  <c r="K161" i="3"/>
  <c r="L161" i="3" s="1"/>
  <c r="K79" i="3"/>
  <c r="L79" i="3" s="1"/>
  <c r="K171" i="3"/>
  <c r="L171" i="3" s="1"/>
  <c r="K101" i="3"/>
  <c r="L101" i="3" s="1"/>
  <c r="K165" i="3"/>
  <c r="L165" i="3" s="1"/>
  <c r="K143" i="3"/>
  <c r="L143" i="3" s="1"/>
  <c r="K45" i="3"/>
  <c r="L45" i="3" s="1"/>
  <c r="K47" i="3"/>
  <c r="L47" i="3" s="1"/>
  <c r="K125" i="3"/>
  <c r="L125" i="3" s="1"/>
  <c r="K69" i="3"/>
  <c r="L69" i="3" s="1"/>
  <c r="K23" i="3"/>
  <c r="L23" i="3" s="1"/>
  <c r="K61" i="3"/>
  <c r="L61" i="3" s="1"/>
  <c r="K139" i="3"/>
  <c r="L139" i="3" s="1"/>
  <c r="K119" i="3"/>
  <c r="L119" i="3" s="1"/>
  <c r="K135" i="3"/>
  <c r="L135" i="3" s="1"/>
  <c r="K163" i="3"/>
  <c r="L163" i="3" s="1"/>
  <c r="K2" i="3"/>
  <c r="L2" i="3" s="1"/>
  <c r="K145" i="3"/>
  <c r="L145" i="3" s="1"/>
  <c r="K10" i="3"/>
  <c r="L10" i="3" s="1"/>
  <c r="K121" i="3"/>
  <c r="L121" i="3" s="1"/>
  <c r="K6" i="3"/>
  <c r="L6" i="3" s="1"/>
  <c r="K141" i="3"/>
  <c r="L141" i="3" s="1"/>
  <c r="K129" i="3"/>
  <c r="L129" i="3" s="1"/>
  <c r="K113" i="3"/>
  <c r="L113" i="3" s="1"/>
  <c r="K16" i="3"/>
  <c r="L16" i="3" s="1"/>
  <c r="K57" i="3"/>
  <c r="L57" i="3" s="1"/>
  <c r="K65" i="3"/>
  <c r="L65" i="3" s="1"/>
  <c r="K12" i="3"/>
  <c r="L12" i="3" s="1"/>
  <c r="K93" i="3"/>
  <c r="L93" i="3" s="1"/>
  <c r="K89" i="3"/>
  <c r="L89" i="3" s="1"/>
  <c r="K73" i="3"/>
  <c r="L73" i="3" s="1"/>
  <c r="K83" i="3"/>
  <c r="L83" i="3" s="1"/>
  <c r="K40" i="3"/>
  <c r="L40" i="3" s="1"/>
  <c r="K158" i="3"/>
  <c r="L158" i="3" s="1"/>
  <c r="K19" i="3"/>
  <c r="L19" i="3" s="1"/>
  <c r="K138" i="3"/>
  <c r="L138" i="3" s="1"/>
  <c r="K22" i="3"/>
  <c r="L22" i="3" s="1"/>
  <c r="K48" i="3"/>
  <c r="L48" i="3" s="1"/>
  <c r="K126" i="3"/>
  <c r="L126" i="3" s="1"/>
  <c r="K90" i="3"/>
  <c r="L90" i="3" s="1"/>
  <c r="K152" i="3"/>
  <c r="L152" i="3" s="1"/>
  <c r="K142" i="3"/>
  <c r="L142" i="3" s="1"/>
  <c r="K130" i="3"/>
  <c r="L130" i="3" s="1"/>
  <c r="K26" i="3"/>
  <c r="L26" i="3" s="1"/>
  <c r="K9" i="3"/>
  <c r="L9" i="3" s="1"/>
  <c r="K159" i="3"/>
  <c r="L159" i="3" s="1"/>
  <c r="K34" i="3"/>
  <c r="K174" i="3"/>
  <c r="L174" i="3" s="1"/>
  <c r="K82" i="3"/>
  <c r="L82" i="3" s="1"/>
  <c r="K108" i="3"/>
  <c r="L108" i="3" s="1"/>
  <c r="K102" i="3"/>
  <c r="L102" i="3" s="1"/>
  <c r="K46" i="3"/>
  <c r="L46" i="3" s="1"/>
  <c r="K120" i="3"/>
  <c r="L120" i="3" s="1"/>
  <c r="K7" i="3"/>
  <c r="L7" i="3" s="1"/>
  <c r="K92" i="3"/>
  <c r="L92" i="3" s="1"/>
  <c r="K11" i="3"/>
  <c r="L11" i="3" s="1"/>
  <c r="K136" i="3"/>
  <c r="L136" i="3" s="1"/>
  <c r="K52" i="3"/>
  <c r="L52" i="3" s="1"/>
  <c r="K166" i="3"/>
  <c r="L166" i="3" s="1"/>
  <c r="K13" i="3"/>
  <c r="L13" i="3" s="1"/>
  <c r="K156" i="3"/>
  <c r="L156" i="3" s="1"/>
  <c r="K24" i="3"/>
  <c r="L24" i="3" s="1"/>
  <c r="K70" i="3"/>
  <c r="L70" i="3" s="1"/>
  <c r="K134" i="3"/>
  <c r="L134" i="3" s="1"/>
  <c r="K110" i="3"/>
  <c r="L110" i="3" s="1"/>
  <c r="K36" i="3"/>
  <c r="L36" i="3" s="1"/>
  <c r="K154" i="3"/>
  <c r="L154" i="3" s="1"/>
  <c r="K176" i="3"/>
  <c r="L176" i="3" s="1"/>
  <c r="K160" i="3"/>
  <c r="L160" i="3" s="1"/>
  <c r="K168" i="3"/>
  <c r="L168" i="3" s="1"/>
  <c r="K32" i="3"/>
  <c r="L32" i="3" s="1"/>
  <c r="K98" i="3"/>
  <c r="L98" i="3" s="1"/>
  <c r="K38" i="3"/>
  <c r="L38" i="3" s="1"/>
  <c r="K114" i="3"/>
  <c r="L114" i="3" s="1"/>
  <c r="K3" i="3"/>
  <c r="L3" i="3" s="1"/>
  <c r="K94" i="3"/>
  <c r="L94" i="3" s="1"/>
  <c r="K54" i="3"/>
  <c r="L54" i="3" s="1"/>
  <c r="K144" i="3"/>
  <c r="L144" i="3" s="1"/>
  <c r="K50" i="3"/>
  <c r="L50" i="3" s="1"/>
  <c r="K122" i="3"/>
  <c r="L122" i="3" s="1"/>
  <c r="K84" i="3"/>
  <c r="L84" i="3" s="1"/>
  <c r="K100" i="3"/>
  <c r="L100" i="3" s="1"/>
  <c r="K62" i="3"/>
  <c r="L62" i="3" s="1"/>
  <c r="K170" i="3"/>
  <c r="L170" i="3" s="1"/>
  <c r="K66" i="3"/>
  <c r="L66" i="3" s="1"/>
  <c r="K124" i="3"/>
  <c r="L124" i="3" s="1"/>
  <c r="K30" i="3"/>
  <c r="L30" i="3" s="1"/>
  <c r="K112" i="3"/>
  <c r="L112" i="3" s="1"/>
  <c r="K118" i="3"/>
  <c r="L118" i="3" s="1"/>
  <c r="K76" i="3"/>
  <c r="L76" i="3" s="1"/>
  <c r="K41" i="3"/>
  <c r="L41" i="3" s="1"/>
  <c r="K17" i="3"/>
  <c r="L17" i="3" s="1"/>
  <c r="K150" i="3"/>
  <c r="L150" i="3" s="1"/>
  <c r="K132" i="3"/>
  <c r="L132" i="3" s="1"/>
  <c r="K15" i="3"/>
  <c r="L15" i="3" s="1"/>
  <c r="K88" i="3"/>
  <c r="L88" i="3" s="1"/>
  <c r="K162" i="3"/>
  <c r="L162" i="3" s="1"/>
  <c r="K116" i="3"/>
  <c r="L116" i="3" s="1"/>
  <c r="K42" i="3"/>
  <c r="L42" i="3" s="1"/>
  <c r="K78" i="3"/>
  <c r="L78" i="3" s="1"/>
  <c r="K72" i="3"/>
  <c r="L72" i="3" s="1"/>
  <c r="K80" i="3"/>
  <c r="L80" i="3" s="1"/>
  <c r="K60" i="3"/>
  <c r="L60" i="3" s="1"/>
  <c r="K146" i="3"/>
  <c r="L146" i="3" s="1"/>
  <c r="K172" i="3"/>
  <c r="L172" i="3" s="1"/>
  <c r="K104" i="3"/>
  <c r="L104" i="3" s="1"/>
  <c r="K164" i="3"/>
  <c r="L164" i="3" s="1"/>
  <c r="K140" i="3"/>
  <c r="L140" i="3" s="1"/>
  <c r="K74" i="3"/>
  <c r="L74" i="3" s="1"/>
  <c r="K5" i="3"/>
  <c r="L5" i="3" s="1"/>
  <c r="K64" i="3"/>
  <c r="L64" i="3" s="1"/>
  <c r="K148" i="3"/>
  <c r="L148" i="3" s="1"/>
  <c r="K68" i="3"/>
  <c r="L68" i="3" s="1"/>
  <c r="K96" i="3"/>
  <c r="L96" i="3" s="1"/>
  <c r="K44" i="3"/>
  <c r="L44" i="3" s="1"/>
  <c r="K106" i="3"/>
  <c r="L106" i="3" s="1"/>
  <c r="K56" i="3"/>
  <c r="L56" i="3" s="1"/>
  <c r="K86" i="3"/>
  <c r="L86" i="3" s="1"/>
  <c r="K58" i="3"/>
  <c r="L58" i="3" s="1"/>
  <c r="K28" i="3"/>
  <c r="L28" i="3" s="1"/>
  <c r="K128" i="3"/>
  <c r="L128" i="3" s="1"/>
  <c r="I1" i="5"/>
  <c r="G4" i="4"/>
  <c r="D11" i="4"/>
  <c r="D10" i="4"/>
  <c r="D7" i="4"/>
  <c r="G5" i="4"/>
  <c r="D5" i="4"/>
  <c r="D4" i="4"/>
  <c r="D3" i="4"/>
  <c r="H115" i="2"/>
  <c r="F106" i="1"/>
  <c r="H106" i="1"/>
  <c r="I106" i="1"/>
  <c r="E6" i="4"/>
  <c r="E5" i="4"/>
  <c r="E11" i="4"/>
  <c r="E12" i="4"/>
  <c r="E8" i="4"/>
  <c r="E7" i="4"/>
  <c r="E10" i="4"/>
  <c r="E4" i="4"/>
  <c r="E3" i="4"/>
  <c r="E3" i="7" l="1"/>
  <c r="L20" i="3"/>
  <c r="D10" i="5"/>
  <c r="D12" i="5"/>
  <c r="D16" i="5"/>
  <c r="L34" i="3"/>
  <c r="L7" i="5" a="1"/>
  <c r="L7" i="5" s="1"/>
  <c r="G6" i="5" a="1"/>
  <c r="G7" i="5" s="1"/>
  <c r="D12" i="4"/>
  <c r="D8" i="4"/>
  <c r="D6" i="4"/>
  <c r="G13" i="5" l="1"/>
  <c r="G12" i="5"/>
  <c r="G11" i="5"/>
  <c r="G9" i="5"/>
  <c r="G8" i="5"/>
  <c r="G6" i="5"/>
  <c r="G10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N36" i="5"/>
  <c r="M36" i="5"/>
  <c r="L36" i="5"/>
  <c r="N35" i="5"/>
  <c r="M35" i="5"/>
  <c r="L35" i="5"/>
  <c r="N34" i="5"/>
  <c r="M34" i="5"/>
  <c r="L34" i="5"/>
  <c r="N33" i="5"/>
  <c r="M33" i="5"/>
  <c r="L33" i="5"/>
  <c r="N32" i="5"/>
  <c r="M32" i="5"/>
  <c r="L32" i="5"/>
  <c r="N31" i="5"/>
  <c r="M31" i="5"/>
  <c r="L31" i="5"/>
  <c r="N30" i="5"/>
  <c r="M30" i="5"/>
  <c r="L30" i="5"/>
  <c r="N29" i="5"/>
  <c r="M29" i="5"/>
  <c r="L29" i="5"/>
  <c r="N28" i="5"/>
  <c r="M28" i="5"/>
  <c r="L28" i="5"/>
  <c r="N27" i="5"/>
  <c r="M27" i="5"/>
  <c r="L27" i="5"/>
  <c r="N26" i="5"/>
  <c r="M26" i="5"/>
  <c r="L26" i="5"/>
  <c r="N25" i="5"/>
  <c r="M25" i="5"/>
  <c r="L25" i="5"/>
  <c r="N24" i="5"/>
  <c r="M24" i="5"/>
  <c r="L24" i="5"/>
  <c r="N23" i="5"/>
  <c r="M23" i="5"/>
  <c r="L23" i="5"/>
  <c r="N22" i="5"/>
  <c r="M22" i="5"/>
  <c r="L22" i="5"/>
  <c r="N21" i="5"/>
  <c r="M21" i="5"/>
  <c r="L21" i="5"/>
  <c r="N20" i="5"/>
  <c r="M20" i="5"/>
  <c r="L20" i="5"/>
  <c r="N19" i="5"/>
  <c r="M19" i="5"/>
  <c r="L19" i="5"/>
  <c r="N18" i="5"/>
  <c r="M18" i="5"/>
  <c r="L18" i="5"/>
  <c r="N17" i="5"/>
  <c r="M17" i="5"/>
  <c r="L17" i="5"/>
  <c r="N16" i="5"/>
  <c r="M16" i="5"/>
  <c r="L16" i="5"/>
  <c r="N15" i="5"/>
  <c r="M15" i="5"/>
  <c r="L15" i="5"/>
  <c r="N14" i="5"/>
  <c r="M14" i="5"/>
  <c r="L14" i="5"/>
  <c r="N13" i="5"/>
  <c r="M13" i="5"/>
  <c r="L13" i="5"/>
  <c r="N12" i="5"/>
  <c r="M12" i="5"/>
  <c r="L12" i="5"/>
  <c r="N11" i="5"/>
  <c r="M11" i="5"/>
  <c r="L11" i="5"/>
  <c r="N10" i="5"/>
  <c r="M10" i="5"/>
  <c r="L10" i="5"/>
  <c r="N9" i="5"/>
  <c r="M9" i="5"/>
  <c r="L9" i="5"/>
  <c r="N8" i="5"/>
  <c r="M8" i="5"/>
  <c r="L8" i="5"/>
  <c r="N7" i="5"/>
  <c r="M7" i="5"/>
  <c r="AP41" i="5"/>
  <c r="AP40" i="5"/>
  <c r="AP39" i="5"/>
  <c r="AP38" i="5"/>
  <c r="AP37" i="5"/>
  <c r="AP36" i="5"/>
  <c r="AP35" i="5"/>
  <c r="AP34" i="5"/>
  <c r="AP33" i="5"/>
  <c r="AP32" i="5"/>
  <c r="AP31" i="5"/>
  <c r="AP30" i="5"/>
  <c r="AP29" i="5"/>
  <c r="AP28" i="5"/>
  <c r="AP27" i="5"/>
  <c r="AP26" i="5"/>
  <c r="AP25" i="5"/>
  <c r="AP24" i="5"/>
  <c r="AP23" i="5"/>
  <c r="AP22" i="5"/>
  <c r="AP21" i="5"/>
  <c r="AP20" i="5"/>
  <c r="AP19" i="5"/>
  <c r="AP18" i="5"/>
  <c r="AP17" i="5"/>
  <c r="AP16" i="5"/>
  <c r="AP15" i="5"/>
  <c r="AP14" i="5"/>
  <c r="AP13" i="5"/>
  <c r="AP12" i="5"/>
  <c r="AP11" i="5"/>
  <c r="AP10" i="5"/>
  <c r="AP9" i="5"/>
  <c r="AP8" i="5"/>
  <c r="AP7" i="5"/>
  <c r="AO41" i="5"/>
  <c r="AO40" i="5"/>
  <c r="AO39" i="5"/>
  <c r="AO38" i="5"/>
  <c r="AO37" i="5"/>
  <c r="AO36" i="5"/>
  <c r="AO35" i="5"/>
  <c r="AO34" i="5"/>
  <c r="AO33" i="5"/>
  <c r="AO32" i="5"/>
  <c r="AO31" i="5"/>
  <c r="AO30" i="5"/>
  <c r="AO29" i="5"/>
  <c r="AO28" i="5"/>
  <c r="AO27" i="5"/>
  <c r="AO26" i="5"/>
  <c r="AO25" i="5"/>
  <c r="AO24" i="5"/>
  <c r="AO23" i="5"/>
  <c r="AO22" i="5"/>
  <c r="AO21" i="5"/>
  <c r="AO20" i="5"/>
  <c r="AO19" i="5"/>
  <c r="AO18" i="5"/>
  <c r="AO17" i="5"/>
  <c r="AO16" i="5"/>
  <c r="AO15" i="5"/>
  <c r="AO14" i="5"/>
  <c r="AO13" i="5"/>
  <c r="AO12" i="5"/>
  <c r="AO11" i="5"/>
  <c r="AO10" i="5"/>
  <c r="AO9" i="5"/>
  <c r="AO8" i="5"/>
  <c r="AO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54ECB8-5630-4659-B69A-375174D19E52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9591105E-4DB8-4317-8899-EC78DBC5E4F0}" keepAlive="1" name="Query - indian_stuff" description="Connection to the 'indian_stuff' query in the workbook." type="5" refreshedVersion="0" background="1">
    <dbPr connection="Provider=Microsoft.Mashup.OleDb.1;Data Source=$Workbook$;Location=indian_stuff;Extended Properties=&quot;&quot;" command="SELECT * FROM [indian_stuff]"/>
  </connection>
  <connection id="3" xr16:uid="{B5810CF8-035F-4D61-B80E-4BD8FB154049}" keepAlive="1" name="Query - nzdian_stuff" description="Connection to the 'nzdian_stuff' query in the workbook." type="5" refreshedVersion="0" background="1">
    <dbPr connection="Provider=Microsoft.Mashup.OleDb.1;Data Source=$Workbook$;Location=nzdian_stuff;Extended Properties=&quot;&quot;" command="SELECT * FROM [nzdian_stuff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<sst xmlns="http://schemas.openxmlformats.org/spreadsheetml/2006/main" count="2049" uniqueCount="271">
  <si>
    <t>Name</t>
  </si>
  <si>
    <t>Gender</t>
  </si>
  <si>
    <t>Age</t>
  </si>
  <si>
    <t>Rating</t>
  </si>
  <si>
    <t>Date Joined</t>
  </si>
  <si>
    <t>Department</t>
  </si>
  <si>
    <t>Salary</t>
  </si>
  <si>
    <t>Deepali Charan</t>
  </si>
  <si>
    <t>Male</t>
  </si>
  <si>
    <t>Average</t>
  </si>
  <si>
    <t>Website</t>
  </si>
  <si>
    <t>Yagna Sujeev</t>
  </si>
  <si>
    <t>Female</t>
  </si>
  <si>
    <t>Above average</t>
  </si>
  <si>
    <t>Satyendra Venkatadri</t>
  </si>
  <si>
    <t>Procurement</t>
  </si>
  <si>
    <t>Madhavdas Buhpathi</t>
  </si>
  <si>
    <t>HR</t>
  </si>
  <si>
    <t>Sahila Chandrasekhar</t>
  </si>
  <si>
    <t>Poor</t>
  </si>
  <si>
    <t>Finance</t>
  </si>
  <si>
    <t>Mirium Seemantini Shivakumar</t>
  </si>
  <si>
    <t>Sales</t>
  </si>
  <si>
    <t>Purnendu Vijayarangan</t>
  </si>
  <si>
    <t>Rukma Vinita</t>
  </si>
  <si>
    <t>Yauvani Tarpa</t>
  </si>
  <si>
    <t>Damayanti Thangavadivelu</t>
  </si>
  <si>
    <t>Manjusri Ruchi</t>
  </si>
  <si>
    <t>Mithil Nadkarni</t>
  </si>
  <si>
    <t>Ardhendu Abhichandra Jayakar</t>
  </si>
  <si>
    <t>Akbar Sorabhjee</t>
  </si>
  <si>
    <t>Bandhula Sathyanna</t>
  </si>
  <si>
    <t>Daruka Ghazali</t>
  </si>
  <si>
    <t>Heer Pennathur</t>
  </si>
  <si>
    <t>Shekhar Eswara</t>
  </si>
  <si>
    <t>Udyan Lanka</t>
  </si>
  <si>
    <t>Shreela Ramasubraman</t>
  </si>
  <si>
    <t>Sanchali Shirish</t>
  </si>
  <si>
    <t>Gangadutt Ragha</t>
  </si>
  <si>
    <t>Waheeda Vasuman</t>
  </si>
  <si>
    <t>Nanak Sapna</t>
  </si>
  <si>
    <t>Exceptional</t>
  </si>
  <si>
    <t>Shobhana Samuel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</si>
  <si>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</si>
  <si>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</si>
  <si>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</si>
  <si>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</si>
  <si>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</si>
  <si>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</si>
  <si>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</si>
  <si>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</si>
  <si>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</si>
  <si>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</si>
  <si>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</si>
  <si>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</si>
  <si>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</si>
  <si>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</si>
  <si>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</si>
  <si>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</si>
  <si>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</si>
  <si>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</si>
  <si>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</si>
  <si>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</si>
  <si>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</si>
  <si>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</si>
  <si>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</si>
  <si>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</si>
  <si>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</si>
  <si>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</si>
  <si>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</si>
  <si>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</si>
  <si>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</si>
  <si>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</si>
  <si>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</si>
  <si>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</si>
  <si>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</si>
  <si>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</si>
  <si>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</si>
  <si>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</si>
  <si>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</si>
  <si>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</si>
  <si>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Very poor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</si>
  <si>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</si>
  <si>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</si>
  <si>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</si>
  <si>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</si>
  <si>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</si>
  <si>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</si>
  <si>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</si>
  <si>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</si>
  <si>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</si>
  <si>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</si>
  <si>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</si>
  <si>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</si>
  <si>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</si>
  <si>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</si>
  <si>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</si>
  <si>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</si>
  <si>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</si>
  <si>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</si>
  <si>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</si>
  <si>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</si>
  <si>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</si>
  <si>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</si>
  <si>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</si>
  <si>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</si>
  <si>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</si>
  <si>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</si>
  <si>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</si>
  <si>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</si>
  <si>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</si>
  <si>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Total</t>
  </si>
  <si>
    <t>Employee Data</t>
  </si>
  <si>
    <t>Lindy Guillet</t>
  </si>
  <si>
    <t>Ambros Murthwaite</t>
  </si>
  <si>
    <t>Tatum Hush</t>
  </si>
  <si>
    <t>Benny Karolovsky</t>
  </si>
  <si>
    <t>Hoyt D'Alesco</t>
  </si>
  <si>
    <t>Halimeda Kuscha</t>
  </si>
  <si>
    <t>Erin Androsik</t>
  </si>
  <si>
    <t>Vic Radolf</t>
  </si>
  <si>
    <t>William Reeveley</t>
  </si>
  <si>
    <t>Ewart Laphorn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</si>
  <si>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</si>
  <si>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</si>
  <si>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</si>
  <si>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</si>
  <si>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</si>
  <si>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</si>
  <si>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</si>
  <si>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</si>
  <si>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</si>
  <si>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</si>
  <si>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</si>
  <si>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</si>
  <si>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</si>
  <si>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</si>
  <si>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</si>
  <si>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</si>
  <si>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Merrilee Plenty</t>
  </si>
  <si>
    <t>Niall Selesnick</t>
  </si>
  <si>
    <t>Beverie Moffet</t>
  </si>
  <si>
    <t>Jehu Rudeforth</t>
  </si>
  <si>
    <t>Camilla Castle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</si>
  <si>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</si>
  <si>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</si>
  <si>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</si>
  <si>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</si>
  <si>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</si>
  <si>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</si>
  <si>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</si>
  <si>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</si>
  <si>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</si>
  <si>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</si>
  <si>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</si>
  <si>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</si>
  <si>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</si>
  <si>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</si>
  <si>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</si>
  <si>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</si>
  <si>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</si>
  <si>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</si>
  <si>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</si>
  <si>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</si>
  <si>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</si>
  <si>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</si>
  <si>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</si>
  <si>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</si>
  <si>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</si>
  <si>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</si>
  <si>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</si>
  <si>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</si>
  <si>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</si>
  <si>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</si>
  <si>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</si>
  <si>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</si>
  <si>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</si>
  <si>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</si>
  <si>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</si>
  <si>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</si>
  <si>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</si>
  <si>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</si>
  <si>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</si>
  <si>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</si>
  <si>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</si>
  <si>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</si>
  <si>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</si>
  <si>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</si>
  <si>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</si>
  <si>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</si>
  <si>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</si>
  <si>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</si>
  <si>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</si>
  <si>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</si>
  <si>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</si>
  <si>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</si>
  <si>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</si>
  <si>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</si>
  <si>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</si>
  <si>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</si>
  <si>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</si>
  <si>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</si>
  <si>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</si>
  <si>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</si>
  <si>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Digital Rating</t>
  </si>
  <si>
    <t>Column1</t>
  </si>
  <si>
    <t>Country</t>
  </si>
  <si>
    <t>Tenure</t>
  </si>
  <si>
    <t>Annual Bonus</t>
  </si>
  <si>
    <t>NZ</t>
  </si>
  <si>
    <t>Buisness Questions</t>
  </si>
  <si>
    <t>India</t>
  </si>
  <si>
    <t>1 Quick Analysis of the data</t>
  </si>
  <si>
    <t>2 Information finder</t>
  </si>
  <si>
    <t>5 Calculate Annual Bonus</t>
  </si>
  <si>
    <t>Column2</t>
  </si>
  <si>
    <t>Column3</t>
  </si>
  <si>
    <t>Column4</t>
  </si>
  <si>
    <t>Column5</t>
  </si>
  <si>
    <t>Column7</t>
  </si>
  <si>
    <t xml:space="preserve">Count of employees </t>
  </si>
  <si>
    <t>Avarage salary</t>
  </si>
  <si>
    <t xml:space="preserve">Average Age </t>
  </si>
  <si>
    <t>Average Tenure</t>
  </si>
  <si>
    <t>Feamale Ratio %</t>
  </si>
  <si>
    <t>Ratio %</t>
  </si>
  <si>
    <t>The ration of 90000$ &gt;</t>
  </si>
  <si>
    <t>Salary of &gt;</t>
  </si>
  <si>
    <t>Salary =&lt;</t>
  </si>
  <si>
    <t>Ratio % (&gt;90000)</t>
  </si>
  <si>
    <t>Information Finder</t>
  </si>
  <si>
    <t>Male vs. Female compare</t>
  </si>
  <si>
    <t>Salary analysis</t>
  </si>
  <si>
    <t xml:space="preserve">Salary VS Rating </t>
  </si>
  <si>
    <t>Choose Name</t>
  </si>
  <si>
    <t xml:space="preserve">Choose Department </t>
  </si>
  <si>
    <t xml:space="preserve">EXCEL 365 VERSION ONLY </t>
  </si>
  <si>
    <t>Count of Name</t>
  </si>
  <si>
    <t>Average of Salary</t>
  </si>
  <si>
    <t>Years (Date Joined)</t>
  </si>
  <si>
    <t>Months (Date Joined)</t>
  </si>
  <si>
    <t>Month</t>
  </si>
  <si>
    <t>HeadCount</t>
  </si>
  <si>
    <t>Running Total</t>
  </si>
  <si>
    <t>Data</t>
  </si>
  <si>
    <t>2020</t>
  </si>
  <si>
    <t>May</t>
  </si>
  <si>
    <t>Values</t>
  </si>
  <si>
    <t>Jun</t>
  </si>
  <si>
    <t>Jul</t>
  </si>
  <si>
    <t>Date of Join</t>
  </si>
  <si>
    <t>Average of Age</t>
  </si>
  <si>
    <t>Aug</t>
  </si>
  <si>
    <t>Sep</t>
  </si>
  <si>
    <t>Average of Tenure</t>
  </si>
  <si>
    <t>Grand Total</t>
  </si>
  <si>
    <t>Oct</t>
  </si>
  <si>
    <t xml:space="preserve">Country </t>
  </si>
  <si>
    <t>Nov</t>
  </si>
  <si>
    <t>Dec</t>
  </si>
  <si>
    <t>2020 Total</t>
  </si>
  <si>
    <t>2021</t>
  </si>
  <si>
    <t>2022</t>
  </si>
  <si>
    <t>Jan</t>
  </si>
  <si>
    <t>Feb</t>
  </si>
  <si>
    <t>Mar</t>
  </si>
  <si>
    <t>Apr</t>
  </si>
  <si>
    <t>2022 Total</t>
  </si>
  <si>
    <t>2023</t>
  </si>
  <si>
    <t>New Zealand</t>
  </si>
  <si>
    <t>Headcount by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</si>
</sst>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[$$-409]* #,##0.00_ ;_-[$$-409]* \-#,##0.00\ ;_-[$$-409]* &quot;-&quot;??_ ;_-@_ "/>
    <numFmt numFmtId="165" formatCode="0.0"/>
    <numFmt numFmtId="166" formatCode="_([$$-409]* #,##0.00_);_([$$-409]* \(#,##0.00\);_([$$-409]* &quot;-&quot;??_);_(@_)"/>
    <numFmt numFmtId="167" formatCode="[$-409]mmmm\-yy;@"/>
    <numFmt numFmtId="168" formatCode="yyyy\-mm\-dd;@"/>
    <numFmt numFmtId="169" formatCode="&quot;$&quot;#,##0"/>
    <numFmt numFmtId="170" formatCode="_([$$-409]* #,##0_);_([$$-409]* \(#,##0\);_([$$-409]* &quot;-&quot;??_);_(@_)"/>
  </numFmts>
  <fonts count="1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24"/>
      <color theme="1"/>
      <name val="Arial Black"/>
    </font>
    <font>
      <sz val="48"/>
      <color theme="0"/>
      <name val="Arial Black"/>
    </font>
    <font>
      <sz val="36"/>
      <color theme="0"/>
      <name val="Arial Black"/>
    </font>
    <font>
      <b/>
      <sz val="48"/>
      <color theme="1"/>
      <name val="Arial Black"/>
    </font>
    <font>
      <b/>
      <sz val="36"/>
      <color theme="1"/>
      <name val="Arial Black"/>
    </font>
    <font>
      <sz val="26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9" fontId="0" fillId="0" borderId="0" xfId="0" applyNumberFormat="1"/>
    <xf numFmtId="9" fontId="0" fillId="0" borderId="0" xfId="1" applyFont="1"/>
    <xf numFmtId="0" fontId="4" fillId="4" borderId="0" xfId="0" applyFont="1" applyFill="1" applyAlignment="1">
      <alignment horizontal="center" vertical="center"/>
    </xf>
    <xf numFmtId="0" fontId="0" fillId="0" borderId="0" xfId="0" pivotButton="1"/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5" fillId="0" borderId="0" xfId="0" applyFont="1"/>
    <xf numFmtId="166" fontId="0" fillId="0" borderId="0" xfId="0" applyNumberFormat="1"/>
    <xf numFmtId="0" fontId="0" fillId="6" borderId="0" xfId="0" applyFill="1"/>
    <xf numFmtId="0" fontId="6" fillId="0" borderId="0" xfId="0" applyFont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49" fontId="0" fillId="0" borderId="0" xfId="0" applyNumberFormat="1"/>
    <xf numFmtId="168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2" borderId="0" xfId="0" applyFont="1" applyFill="1" applyAlignment="1">
      <alignment horizontal="center" vertical="center"/>
    </xf>
    <xf numFmtId="9" fontId="10" fillId="2" borderId="0" xfId="0" applyNumberFormat="1" applyFont="1" applyFill="1" applyAlignment="1">
      <alignment horizontal="center" vertical="center"/>
    </xf>
    <xf numFmtId="169" fontId="10" fillId="2" borderId="0" xfId="0" applyNumberFormat="1" applyFont="1" applyFill="1" applyAlignment="1">
      <alignment horizontal="center" vertical="center"/>
    </xf>
    <xf numFmtId="170" fontId="12" fillId="4" borderId="0" xfId="0" applyNumberFormat="1" applyFont="1" applyFill="1" applyAlignment="1">
      <alignment horizontal="center" vertical="center"/>
    </xf>
    <xf numFmtId="9" fontId="12" fillId="4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2" formatCode="0.00"/>
    </dxf>
    <dxf>
      <fill>
        <patternFill patternType="solid">
          <fgColor indexed="64"/>
          <bgColor theme="9" tint="0.59999389629810485"/>
        </patternFill>
      </fill>
    </dxf>
    <dxf>
      <numFmt numFmtId="166" formatCode="_([$$-409]* #,##0.00_);_([$$-409]* \(#,##0.00\);_([$$-409]* &quot;-&quot;??_);_(@_)"/>
    </dxf>
    <dxf>
      <numFmt numFmtId="2" formatCode="0.00"/>
    </dxf>
    <dxf>
      <numFmt numFmtId="2" formatCode="0.00"/>
    </dxf>
    <dxf>
      <numFmt numFmtId="168" formatCode="yyyy\-mm\-dd;@"/>
    </dxf>
    <dxf>
      <numFmt numFmtId="171" formatCode="m/d/yyyy"/>
    </dxf>
    <dxf>
      <numFmt numFmtId="0" formatCode="General"/>
    </dxf>
    <dxf>
      <numFmt numFmtId="30" formatCode="@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9" formatCode="dd/mm/yyyy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vs.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 $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all_staff!$I$2:$I$194</c:f>
              <c:numCache>
                <c:formatCode>General</c:formatCode>
                <c:ptCount val="193"/>
                <c:pt idx="0">
                  <c:v>33920</c:v>
                </c:pt>
                <c:pt idx="1">
                  <c:v>33920</c:v>
                </c:pt>
                <c:pt idx="2">
                  <c:v>34980</c:v>
                </c:pt>
                <c:pt idx="3">
                  <c:v>34980</c:v>
                </c:pt>
                <c:pt idx="4">
                  <c:v>36040</c:v>
                </c:pt>
                <c:pt idx="5">
                  <c:v>36040</c:v>
                </c:pt>
                <c:pt idx="6">
                  <c:v>37920</c:v>
                </c:pt>
                <c:pt idx="7">
                  <c:v>37920</c:v>
                </c:pt>
                <c:pt idx="8">
                  <c:v>40400</c:v>
                </c:pt>
                <c:pt idx="9">
                  <c:v>40400</c:v>
                </c:pt>
                <c:pt idx="10">
                  <c:v>41570</c:v>
                </c:pt>
                <c:pt idx="11">
                  <c:v>41570</c:v>
                </c:pt>
                <c:pt idx="12">
                  <c:v>41980</c:v>
                </c:pt>
                <c:pt idx="13">
                  <c:v>41980</c:v>
                </c:pt>
                <c:pt idx="14">
                  <c:v>43510</c:v>
                </c:pt>
                <c:pt idx="15">
                  <c:v>43510</c:v>
                </c:pt>
                <c:pt idx="16">
                  <c:v>43840</c:v>
                </c:pt>
                <c:pt idx="17">
                  <c:v>43840</c:v>
                </c:pt>
                <c:pt idx="18">
                  <c:v>45327</c:v>
                </c:pt>
                <c:pt idx="19">
                  <c:v>45510</c:v>
                </c:pt>
                <c:pt idx="20">
                  <c:v>45510</c:v>
                </c:pt>
                <c:pt idx="21">
                  <c:v>47360</c:v>
                </c:pt>
                <c:pt idx="22">
                  <c:v>47360</c:v>
                </c:pt>
                <c:pt idx="23">
                  <c:v>48170</c:v>
                </c:pt>
                <c:pt idx="24">
                  <c:v>48170</c:v>
                </c:pt>
                <c:pt idx="25">
                  <c:v>48530</c:v>
                </c:pt>
                <c:pt idx="26">
                  <c:v>48530</c:v>
                </c:pt>
                <c:pt idx="27">
                  <c:v>48950</c:v>
                </c:pt>
                <c:pt idx="28">
                  <c:v>48950</c:v>
                </c:pt>
                <c:pt idx="29">
                  <c:v>48980</c:v>
                </c:pt>
                <c:pt idx="30">
                  <c:v>48980</c:v>
                </c:pt>
                <c:pt idx="31">
                  <c:v>49630</c:v>
                </c:pt>
                <c:pt idx="32">
                  <c:v>49630</c:v>
                </c:pt>
                <c:pt idx="33">
                  <c:v>52610</c:v>
                </c:pt>
                <c:pt idx="34">
                  <c:v>52610</c:v>
                </c:pt>
                <c:pt idx="35">
                  <c:v>53240</c:v>
                </c:pt>
                <c:pt idx="36">
                  <c:v>53240</c:v>
                </c:pt>
                <c:pt idx="37">
                  <c:v>53540</c:v>
                </c:pt>
                <c:pt idx="38">
                  <c:v>53540</c:v>
                </c:pt>
                <c:pt idx="39">
                  <c:v>53540</c:v>
                </c:pt>
                <c:pt idx="40">
                  <c:v>53540</c:v>
                </c:pt>
                <c:pt idx="41">
                  <c:v>53870</c:v>
                </c:pt>
                <c:pt idx="42">
                  <c:v>53870</c:v>
                </c:pt>
                <c:pt idx="43">
                  <c:v>54970</c:v>
                </c:pt>
                <c:pt idx="44">
                  <c:v>54970</c:v>
                </c:pt>
                <c:pt idx="45">
                  <c:v>56870</c:v>
                </c:pt>
                <c:pt idx="46">
                  <c:v>56870</c:v>
                </c:pt>
                <c:pt idx="47">
                  <c:v>57090</c:v>
                </c:pt>
                <c:pt idx="48">
                  <c:v>57090</c:v>
                </c:pt>
                <c:pt idx="49">
                  <c:v>58100</c:v>
                </c:pt>
                <c:pt idx="50">
                  <c:v>58100</c:v>
                </c:pt>
                <c:pt idx="51">
                  <c:v>58940</c:v>
                </c:pt>
                <c:pt idx="52">
                  <c:v>58940</c:v>
                </c:pt>
                <c:pt idx="53">
                  <c:v>58960</c:v>
                </c:pt>
                <c:pt idx="54">
                  <c:v>58960</c:v>
                </c:pt>
                <c:pt idx="55">
                  <c:v>59430</c:v>
                </c:pt>
                <c:pt idx="56">
                  <c:v>59430</c:v>
                </c:pt>
                <c:pt idx="57">
                  <c:v>60130</c:v>
                </c:pt>
                <c:pt idx="58">
                  <c:v>60130</c:v>
                </c:pt>
                <c:pt idx="59">
                  <c:v>60570</c:v>
                </c:pt>
                <c:pt idx="60">
                  <c:v>60570</c:v>
                </c:pt>
                <c:pt idx="61">
                  <c:v>62780</c:v>
                </c:pt>
                <c:pt idx="62">
                  <c:v>62780</c:v>
                </c:pt>
                <c:pt idx="63">
                  <c:v>65360</c:v>
                </c:pt>
                <c:pt idx="64">
                  <c:v>65360</c:v>
                </c:pt>
                <c:pt idx="65">
                  <c:v>65700</c:v>
                </c:pt>
                <c:pt idx="66">
                  <c:v>65700</c:v>
                </c:pt>
                <c:pt idx="67">
                  <c:v>65920</c:v>
                </c:pt>
                <c:pt idx="68">
                  <c:v>65920</c:v>
                </c:pt>
                <c:pt idx="69">
                  <c:v>67910</c:v>
                </c:pt>
                <c:pt idx="70">
                  <c:v>67910</c:v>
                </c:pt>
                <c:pt idx="71">
                  <c:v>67950</c:v>
                </c:pt>
                <c:pt idx="72">
                  <c:v>67950</c:v>
                </c:pt>
                <c:pt idx="73">
                  <c:v>68900</c:v>
                </c:pt>
                <c:pt idx="74">
                  <c:v>68900</c:v>
                </c:pt>
                <c:pt idx="75">
                  <c:v>69070</c:v>
                </c:pt>
                <c:pt idx="76">
                  <c:v>69070</c:v>
                </c:pt>
                <c:pt idx="77">
                  <c:v>69120</c:v>
                </c:pt>
                <c:pt idx="78">
                  <c:v>69120</c:v>
                </c:pt>
                <c:pt idx="79">
                  <c:v>69710</c:v>
                </c:pt>
                <c:pt idx="80">
                  <c:v>69710</c:v>
                </c:pt>
                <c:pt idx="81">
                  <c:v>70270</c:v>
                </c:pt>
                <c:pt idx="82">
                  <c:v>70270</c:v>
                </c:pt>
                <c:pt idx="83">
                  <c:v>70610</c:v>
                </c:pt>
                <c:pt idx="84">
                  <c:v>70610</c:v>
                </c:pt>
                <c:pt idx="85">
                  <c:v>71380</c:v>
                </c:pt>
                <c:pt idx="86">
                  <c:v>71380</c:v>
                </c:pt>
                <c:pt idx="87">
                  <c:v>74550</c:v>
                </c:pt>
                <c:pt idx="88">
                  <c:v>74550</c:v>
                </c:pt>
                <c:pt idx="89">
                  <c:v>75000</c:v>
                </c:pt>
                <c:pt idx="90">
                  <c:v>75000</c:v>
                </c:pt>
                <c:pt idx="91">
                  <c:v>75280</c:v>
                </c:pt>
                <c:pt idx="92">
                  <c:v>75280</c:v>
                </c:pt>
                <c:pt idx="93">
                  <c:v>75480</c:v>
                </c:pt>
                <c:pt idx="94">
                  <c:v>75480</c:v>
                </c:pt>
                <c:pt idx="95">
                  <c:v>75880</c:v>
                </c:pt>
                <c:pt idx="96">
                  <c:v>75880</c:v>
                </c:pt>
                <c:pt idx="97">
                  <c:v>75970</c:v>
                </c:pt>
                <c:pt idx="98">
                  <c:v>75970</c:v>
                </c:pt>
                <c:pt idx="99">
                  <c:v>76900</c:v>
                </c:pt>
                <c:pt idx="100">
                  <c:v>76900</c:v>
                </c:pt>
                <c:pt idx="101">
                  <c:v>78390</c:v>
                </c:pt>
                <c:pt idx="102">
                  <c:v>78390</c:v>
                </c:pt>
                <c:pt idx="103">
                  <c:v>78540</c:v>
                </c:pt>
                <c:pt idx="104">
                  <c:v>78540</c:v>
                </c:pt>
                <c:pt idx="105">
                  <c:v>79570</c:v>
                </c:pt>
                <c:pt idx="106">
                  <c:v>79570</c:v>
                </c:pt>
                <c:pt idx="107">
                  <c:v>80700</c:v>
                </c:pt>
                <c:pt idx="108">
                  <c:v>80700</c:v>
                </c:pt>
                <c:pt idx="109">
                  <c:v>83750</c:v>
                </c:pt>
                <c:pt idx="110">
                  <c:v>83750</c:v>
                </c:pt>
                <c:pt idx="111">
                  <c:v>85000</c:v>
                </c:pt>
                <c:pt idx="112">
                  <c:v>85000</c:v>
                </c:pt>
                <c:pt idx="113">
                  <c:v>86570</c:v>
                </c:pt>
                <c:pt idx="114">
                  <c:v>86570</c:v>
                </c:pt>
                <c:pt idx="115">
                  <c:v>87620</c:v>
                </c:pt>
                <c:pt idx="116">
                  <c:v>87620</c:v>
                </c:pt>
                <c:pt idx="117">
                  <c:v>88050</c:v>
                </c:pt>
                <c:pt idx="118">
                  <c:v>88050</c:v>
                </c:pt>
                <c:pt idx="119">
                  <c:v>91650</c:v>
                </c:pt>
                <c:pt idx="120">
                  <c:v>91650</c:v>
                </c:pt>
                <c:pt idx="121">
                  <c:v>92450</c:v>
                </c:pt>
                <c:pt idx="122">
                  <c:v>92450</c:v>
                </c:pt>
                <c:pt idx="123">
                  <c:v>92700</c:v>
                </c:pt>
                <c:pt idx="124">
                  <c:v>92700</c:v>
                </c:pt>
                <c:pt idx="125">
                  <c:v>96140</c:v>
                </c:pt>
                <c:pt idx="126">
                  <c:v>96140</c:v>
                </c:pt>
                <c:pt idx="127">
                  <c:v>96800</c:v>
                </c:pt>
                <c:pt idx="128">
                  <c:v>96800</c:v>
                </c:pt>
                <c:pt idx="129">
                  <c:v>99750</c:v>
                </c:pt>
                <c:pt idx="130">
                  <c:v>99750</c:v>
                </c:pt>
                <c:pt idx="131">
                  <c:v>99970</c:v>
                </c:pt>
                <c:pt idx="132">
                  <c:v>99970</c:v>
                </c:pt>
                <c:pt idx="133">
                  <c:v>100420</c:v>
                </c:pt>
                <c:pt idx="134">
                  <c:v>100420</c:v>
                </c:pt>
                <c:pt idx="135">
                  <c:v>103550</c:v>
                </c:pt>
                <c:pt idx="136">
                  <c:v>103550</c:v>
                </c:pt>
                <c:pt idx="137">
                  <c:v>104120</c:v>
                </c:pt>
                <c:pt idx="138">
                  <c:v>104120</c:v>
                </c:pt>
                <c:pt idx="139">
                  <c:v>104410</c:v>
                </c:pt>
                <c:pt idx="140">
                  <c:v>104410</c:v>
                </c:pt>
                <c:pt idx="141">
                  <c:v>104770</c:v>
                </c:pt>
                <c:pt idx="142">
                  <c:v>104770</c:v>
                </c:pt>
                <c:pt idx="143">
                  <c:v>106460</c:v>
                </c:pt>
                <c:pt idx="144">
                  <c:v>106460</c:v>
                </c:pt>
                <c:pt idx="145">
                  <c:v>107700</c:v>
                </c:pt>
                <c:pt idx="146">
                  <c:v>107700</c:v>
                </c:pt>
                <c:pt idx="147">
                  <c:v>109160</c:v>
                </c:pt>
                <c:pt idx="148">
                  <c:v>109160</c:v>
                </c:pt>
                <c:pt idx="149">
                  <c:v>109190</c:v>
                </c:pt>
                <c:pt idx="150">
                  <c:v>109190</c:v>
                </c:pt>
                <c:pt idx="151">
                  <c:v>112110</c:v>
                </c:pt>
                <c:pt idx="152">
                  <c:v>112110</c:v>
                </c:pt>
                <c:pt idx="153">
                  <c:v>112570</c:v>
                </c:pt>
                <c:pt idx="154">
                  <c:v>112570</c:v>
                </c:pt>
                <c:pt idx="155">
                  <c:v>112650</c:v>
                </c:pt>
                <c:pt idx="156">
                  <c:v>112650</c:v>
                </c:pt>
                <c:pt idx="157">
                  <c:v>112650</c:v>
                </c:pt>
                <c:pt idx="158">
                  <c:v>112780</c:v>
                </c:pt>
                <c:pt idx="159">
                  <c:v>113280</c:v>
                </c:pt>
                <c:pt idx="160">
                  <c:v>113280</c:v>
                </c:pt>
                <c:pt idx="161">
                  <c:v>114180</c:v>
                </c:pt>
                <c:pt idx="162">
                  <c:v>114180</c:v>
                </c:pt>
                <c:pt idx="163">
                  <c:v>114870</c:v>
                </c:pt>
                <c:pt idx="164">
                  <c:v>114870</c:v>
                </c:pt>
                <c:pt idx="165">
                  <c:v>114890</c:v>
                </c:pt>
                <c:pt idx="166">
                  <c:v>114890</c:v>
                </c:pt>
                <c:pt idx="167">
                  <c:v>115920</c:v>
                </c:pt>
                <c:pt idx="168">
                  <c:v>115920</c:v>
                </c:pt>
                <c:pt idx="169">
                  <c:v>118100</c:v>
                </c:pt>
                <c:pt idx="170">
                  <c:v>118100</c:v>
                </c:pt>
                <c:pt idx="171">
                  <c:v>118840</c:v>
                </c:pt>
                <c:pt idx="172">
                  <c:v>118840</c:v>
                </c:pt>
                <c:pt idx="173">
                  <c:v>119110</c:v>
                </c:pt>
                <c:pt idx="174">
                  <c:v>119110</c:v>
                </c:pt>
              </c:numCache>
            </c:numRef>
          </c:xVal>
          <c:yVal>
            <c:numRef>
              <c:f>all_staff!$E$2:$E$194</c:f>
              <c:numCache>
                <c:formatCode>General</c:formatCode>
                <c:ptCount val="19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4</c:v>
                </c:pt>
                <c:pt idx="46">
                  <c:v>4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5</c:v>
                </c:pt>
                <c:pt idx="90">
                  <c:v>5</c:v>
                </c:pt>
                <c:pt idx="91">
                  <c:v>3</c:v>
                </c:pt>
                <c:pt idx="92">
                  <c:v>3</c:v>
                </c:pt>
                <c:pt idx="93">
                  <c:v>1</c:v>
                </c:pt>
                <c:pt idx="94">
                  <c:v>1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4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4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2</c:v>
                </c:pt>
                <c:pt idx="118">
                  <c:v>2</c:v>
                </c:pt>
                <c:pt idx="119">
                  <c:v>4</c:v>
                </c:pt>
                <c:pt idx="120">
                  <c:v>4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5</c:v>
                </c:pt>
                <c:pt idx="148">
                  <c:v>5</c:v>
                </c:pt>
                <c:pt idx="149">
                  <c:v>4</c:v>
                </c:pt>
                <c:pt idx="150">
                  <c:v>4</c:v>
                </c:pt>
                <c:pt idx="151">
                  <c:v>2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4</c:v>
                </c:pt>
                <c:pt idx="159">
                  <c:v>1</c:v>
                </c:pt>
                <c:pt idx="160">
                  <c:v>1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AD-A270-40FE-9671-01F60147A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694727"/>
        <c:axId val="609723399"/>
      </c:scatterChart>
      <c:valAx>
        <c:axId val="609694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723399"/>
        <c:crosses val="autoZero"/>
        <c:crossBetween val="midCat"/>
      </c:valAx>
      <c:valAx>
        <c:axId val="609723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94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[CandyShop_full_data_analisys 1 1.xlsx]Build_Info_Finder!PivotTable8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Build_Info_Finder!$AK$5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Build_Info_Finder!$AI$6:$AJ$28</c:f>
              <c:multiLvlStrCache>
                <c:ptCount val="20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  <c:pt idx="18">
                    <c:v>Oct</c:v>
                  </c:pt>
                </c:lvl>
                <c:lvl>
                  <c:pt idx="0">
                    <c:v>2020</c:v>
                  </c:pt>
                  <c:pt idx="8">
                    <c:v>2021</c:v>
                  </c:pt>
                  <c:pt idx="9">
                    <c:v>2022</c:v>
                  </c:pt>
                  <c:pt idx="19">
                    <c:v>2023</c:v>
                  </c:pt>
                </c:lvl>
              </c:multiLvlStrCache>
            </c:multiLvlStrRef>
          </c:cat>
          <c:val>
            <c:numRef>
              <c:f>Build_Info_Finder!$AK$6:$AK$28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9</c:v>
                </c:pt>
                <c:pt idx="3">
                  <c:v>12</c:v>
                </c:pt>
                <c:pt idx="4">
                  <c:v>17</c:v>
                </c:pt>
                <c:pt idx="5">
                  <c:v>23</c:v>
                </c:pt>
                <c:pt idx="6">
                  <c:v>28</c:v>
                </c:pt>
                <c:pt idx="7">
                  <c:v>35</c:v>
                </c:pt>
                <c:pt idx="8">
                  <c:v>#N/A</c:v>
                </c:pt>
                <c:pt idx="9">
                  <c:v>3</c:v>
                </c:pt>
                <c:pt idx="10">
                  <c:v>12</c:v>
                </c:pt>
                <c:pt idx="11">
                  <c:v>21</c:v>
                </c:pt>
                <c:pt idx="12">
                  <c:v>30</c:v>
                </c:pt>
                <c:pt idx="13">
                  <c:v>39</c:v>
                </c:pt>
                <c:pt idx="14">
                  <c:v>45</c:v>
                </c:pt>
                <c:pt idx="15">
                  <c:v>50</c:v>
                </c:pt>
                <c:pt idx="16">
                  <c:v>54</c:v>
                </c:pt>
                <c:pt idx="17">
                  <c:v>56</c:v>
                </c:pt>
                <c:pt idx="18">
                  <c:v>59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7F-4BD8-85DC-91634F605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879040"/>
        <c:axId val="1979533200"/>
      </c:lineChart>
      <c:catAx>
        <c:axId val="187587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533200"/>
        <c:crosses val="autoZero"/>
        <c:auto val="1"/>
        <c:lblAlgn val="ctr"/>
        <c:lblOffset val="100"/>
        <c:noMultiLvlLbl val="0"/>
      </c:catAx>
      <c:valAx>
        <c:axId val="197953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87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[CandyShop_full_data_analisys 1 1.xlsx]Build_Info_Finder!PivotTable1</c:name>
    <c:fmtId val="4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Build_Info_Finder!$S$6:$S$7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Build_Info_Finder!$R$8:$R$11</c:f>
              <c:strCache>
                <c:ptCount val="4"/>
                <c:pt idx="0">
                  <c:v>Count of Name</c:v>
                </c:pt>
                <c:pt idx="1">
                  <c:v>Average of Age</c:v>
                </c:pt>
                <c:pt idx="2">
                  <c:v>Average of Salary</c:v>
                </c:pt>
                <c:pt idx="3">
                  <c:v>Average of Tenure</c:v>
                </c:pt>
              </c:strCache>
            </c:strRef>
          </c:cat>
          <c:val>
            <c:numRef>
              <c:f>Build_Info_Finder!$S$8:$S$11</c:f>
              <c:numCache>
                <c:formatCode>General</c:formatCode>
                <c:ptCount val="4"/>
                <c:pt idx="0">
                  <c:v>86</c:v>
                </c:pt>
                <c:pt idx="1">
                  <c:v>31.406976744186046</c:v>
                </c:pt>
                <c:pt idx="2">
                  <c:v>78284.186046511633</c:v>
                </c:pt>
                <c:pt idx="3">
                  <c:v>2.4983752787511948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A7-49D8-B5D1-A9C000D8AE26}"/>
            </c:ext>
          </c:extLst>
        </c:ser>
        <c:ser>
          <c:idx val="1"/>
          <c:order val="1"/>
          <c:tx>
            <c:strRef>
              <c:f>Build_Info_Finder!$T$6:$T$7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Build_Info_Finder!$R$8:$R$11</c:f>
              <c:strCache>
                <c:ptCount val="4"/>
                <c:pt idx="0">
                  <c:v>Count of Name</c:v>
                </c:pt>
                <c:pt idx="1">
                  <c:v>Average of Age</c:v>
                </c:pt>
                <c:pt idx="2">
                  <c:v>Average of Salary</c:v>
                </c:pt>
                <c:pt idx="3">
                  <c:v>Average of Tenure</c:v>
                </c:pt>
              </c:strCache>
            </c:strRef>
          </c:cat>
          <c:val>
            <c:numRef>
              <c:f>Build_Info_Finder!$T$8:$T$11</c:f>
              <c:numCache>
                <c:formatCode>General</c:formatCode>
                <c:ptCount val="4"/>
                <c:pt idx="0">
                  <c:v>89</c:v>
                </c:pt>
                <c:pt idx="1">
                  <c:v>29.393258426966291</c:v>
                </c:pt>
                <c:pt idx="2">
                  <c:v>74157.269662921346</c:v>
                </c:pt>
                <c:pt idx="3">
                  <c:v>2.4892719716792366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A7-49D8-B5D1-A9C000D8A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74468736"/>
        <c:axId val="1979529728"/>
        <c:axId val="0"/>
      </c:bar3DChart>
      <c:catAx>
        <c:axId val="1874468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529728"/>
        <c:crosses val="autoZero"/>
        <c:auto val="1"/>
        <c:lblAlgn val="ctr"/>
        <c:lblOffset val="100"/>
        <c:noMultiLvlLbl val="0"/>
      </c:catAx>
      <c:valAx>
        <c:axId val="197952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46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Build_Info_Finder!$AR$5</c:f>
              <c:strCache>
                <c:ptCount val="1"/>
                <c:pt idx="0">
                  <c:v>Running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Build_Info_Finder!$AP$6:$AP$41</c:f>
              <c:numCache>
                <c:formatCode>m/d/yyyy</c:formatCode>
                <c:ptCount val="36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  <c:pt idx="12">
                  <c:v>44317</c:v>
                </c:pt>
                <c:pt idx="13">
                  <c:v>44348</c:v>
                </c:pt>
                <c:pt idx="14">
                  <c:v>44378</c:v>
                </c:pt>
                <c:pt idx="15">
                  <c:v>44409</c:v>
                </c:pt>
                <c:pt idx="16">
                  <c:v>44440</c:v>
                </c:pt>
                <c:pt idx="17">
                  <c:v>44470</c:v>
                </c:pt>
                <c:pt idx="18">
                  <c:v>44501</c:v>
                </c:pt>
                <c:pt idx="19">
                  <c:v>44531</c:v>
                </c:pt>
                <c:pt idx="20">
                  <c:v>44562</c:v>
                </c:pt>
                <c:pt idx="21">
                  <c:v>44593</c:v>
                </c:pt>
                <c:pt idx="22">
                  <c:v>44621</c:v>
                </c:pt>
                <c:pt idx="23">
                  <c:v>44652</c:v>
                </c:pt>
                <c:pt idx="24">
                  <c:v>44682</c:v>
                </c:pt>
                <c:pt idx="25">
                  <c:v>44713</c:v>
                </c:pt>
                <c:pt idx="26">
                  <c:v>44743</c:v>
                </c:pt>
                <c:pt idx="27">
                  <c:v>44774</c:v>
                </c:pt>
                <c:pt idx="28">
                  <c:v>44805</c:v>
                </c:pt>
                <c:pt idx="29">
                  <c:v>44835</c:v>
                </c:pt>
                <c:pt idx="30">
                  <c:v>44866</c:v>
                </c:pt>
                <c:pt idx="31">
                  <c:v>44896</c:v>
                </c:pt>
                <c:pt idx="32">
                  <c:v>44927</c:v>
                </c:pt>
                <c:pt idx="33">
                  <c:v>44958</c:v>
                </c:pt>
                <c:pt idx="34">
                  <c:v>44986</c:v>
                </c:pt>
                <c:pt idx="35">
                  <c:v>45017</c:v>
                </c:pt>
              </c:numCache>
            </c:numRef>
          </c:cat>
          <c:val>
            <c:numRef>
              <c:f>Build_Info_Finder!$AR$6:$AR$41</c:f>
              <c:numCache>
                <c:formatCode>General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9</c:v>
                </c:pt>
                <c:pt idx="3">
                  <c:v>12</c:v>
                </c:pt>
                <c:pt idx="4">
                  <c:v>17</c:v>
                </c:pt>
                <c:pt idx="5">
                  <c:v>23</c:v>
                </c:pt>
                <c:pt idx="6">
                  <c:v>28</c:v>
                </c:pt>
                <c:pt idx="7">
                  <c:v>35</c:v>
                </c:pt>
                <c:pt idx="8">
                  <c:v>40</c:v>
                </c:pt>
                <c:pt idx="9">
                  <c:v>44</c:v>
                </c:pt>
                <c:pt idx="10">
                  <c:v>52</c:v>
                </c:pt>
                <c:pt idx="11">
                  <c:v>57</c:v>
                </c:pt>
                <c:pt idx="12">
                  <c:v>67</c:v>
                </c:pt>
                <c:pt idx="13">
                  <c:v>73</c:v>
                </c:pt>
                <c:pt idx="14">
                  <c:v>86</c:v>
                </c:pt>
                <c:pt idx="15">
                  <c:v>90</c:v>
                </c:pt>
                <c:pt idx="16">
                  <c:v>101</c:v>
                </c:pt>
                <c:pt idx="17">
                  <c:v>104</c:v>
                </c:pt>
                <c:pt idx="18">
                  <c:v>108</c:v>
                </c:pt>
                <c:pt idx="19">
                  <c:v>114</c:v>
                </c:pt>
                <c:pt idx="20">
                  <c:v>117</c:v>
                </c:pt>
                <c:pt idx="21">
                  <c:v>126</c:v>
                </c:pt>
                <c:pt idx="22">
                  <c:v>135</c:v>
                </c:pt>
                <c:pt idx="23">
                  <c:v>144</c:v>
                </c:pt>
                <c:pt idx="24">
                  <c:v>153</c:v>
                </c:pt>
                <c:pt idx="25">
                  <c:v>159</c:v>
                </c:pt>
                <c:pt idx="26">
                  <c:v>164</c:v>
                </c:pt>
                <c:pt idx="27">
                  <c:v>168</c:v>
                </c:pt>
                <c:pt idx="28">
                  <c:v>170</c:v>
                </c:pt>
                <c:pt idx="29">
                  <c:v>173</c:v>
                </c:pt>
                <c:pt idx="30">
                  <c:v>173</c:v>
                </c:pt>
                <c:pt idx="31">
                  <c:v>173</c:v>
                </c:pt>
                <c:pt idx="32">
                  <c:v>173</c:v>
                </c:pt>
                <c:pt idx="33">
                  <c:v>174</c:v>
                </c:pt>
                <c:pt idx="34">
                  <c:v>174</c:v>
                </c:pt>
                <c:pt idx="35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1F-442A-82A0-81756BFDB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00455"/>
        <c:axId val="143633927"/>
      </c:lineChart>
      <c:dateAx>
        <c:axId val="922004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33927"/>
        <c:crosses val="autoZero"/>
        <c:auto val="1"/>
        <c:lblOffset val="100"/>
        <c:baseTimeUnit val="months"/>
      </c:dateAx>
      <c:valAx>
        <c:axId val="143633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00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[CandyShop_full_data_analisys 1 1.xlsx]Sheet2!PivotTable2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D7D3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Sheet2!$E$4:$E$9</c:f>
              <c:strCache>
                <c:ptCount val="5"/>
                <c:pt idx="0">
                  <c:v>Procurement</c:v>
                </c:pt>
                <c:pt idx="1">
                  <c:v>Website</c:v>
                </c:pt>
                <c:pt idx="2">
                  <c:v>Finance</c:v>
                </c:pt>
                <c:pt idx="3">
                  <c:v>Sales</c:v>
                </c:pt>
                <c:pt idx="4">
                  <c:v>HR</c:v>
                </c:pt>
              </c:strCache>
            </c:strRef>
          </c:cat>
          <c:val>
            <c:numRef>
              <c:f>Sheet2!$F$4:$F$9</c:f>
              <c:numCache>
                <c:formatCode>General</c:formatCode>
                <c:ptCount val="5"/>
                <c:pt idx="0">
                  <c:v>28</c:v>
                </c:pt>
                <c:pt idx="1">
                  <c:v>25</c:v>
                </c:pt>
                <c:pt idx="2">
                  <c:v>17</c:v>
                </c:pt>
                <c:pt idx="3">
                  <c:v>14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27-4DAF-8706-C537BED93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167111"/>
        <c:axId val="37169159"/>
      </c:barChart>
      <c:catAx>
        <c:axId val="37167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69159"/>
        <c:crosses val="autoZero"/>
        <c:auto val="1"/>
        <c:lblAlgn val="ctr"/>
        <c:lblOffset val="100"/>
        <c:noMultiLvlLbl val="0"/>
      </c:catAx>
      <c:valAx>
        <c:axId val="37169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67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[CandyShop_full_data_analisys 1 1.xlsx]Sheet2!PivotTable1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4472C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strRef>
              <c:f>Sheet2!$B$4:$B$9</c:f>
              <c:strCache>
                <c:ptCount val="5"/>
                <c:pt idx="0">
                  <c:v>Procurement</c:v>
                </c:pt>
                <c:pt idx="1">
                  <c:v>Website</c:v>
                </c:pt>
                <c:pt idx="2">
                  <c:v>Finance</c:v>
                </c:pt>
                <c:pt idx="3">
                  <c:v>Sales</c:v>
                </c:pt>
                <c:pt idx="4">
                  <c:v>HR</c:v>
                </c:pt>
              </c:strCache>
            </c:strRef>
          </c:cat>
          <c:val>
            <c:numRef>
              <c:f>Sheet2!$C$4:$C$9</c:f>
              <c:numCache>
                <c:formatCode>General</c:formatCode>
                <c:ptCount val="5"/>
                <c:pt idx="0">
                  <c:v>27</c:v>
                </c:pt>
                <c:pt idx="1">
                  <c:v>25</c:v>
                </c:pt>
                <c:pt idx="2">
                  <c:v>17</c:v>
                </c:pt>
                <c:pt idx="3">
                  <c:v>14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3-45FC-BE01-6D5BC518E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8470023"/>
        <c:axId val="688480263"/>
      </c:barChart>
      <c:catAx>
        <c:axId val="688470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80263"/>
        <c:crosses val="autoZero"/>
        <c:auto val="1"/>
        <c:lblAlgn val="ctr"/>
        <c:lblOffset val="100"/>
        <c:noMultiLvlLbl val="0"/>
      </c:catAx>
      <c:valAx>
        <c:axId val="688480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70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[CandyShop_full_data_analisys 1 1.xlsx]Sheet2!PivotTable1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strRef>
              <c:f>Sheet2!$B$4:$B$9</c:f>
              <c:strCache>
                <c:ptCount val="5"/>
                <c:pt idx="0">
                  <c:v>Procurement</c:v>
                </c:pt>
                <c:pt idx="1">
                  <c:v>Website</c:v>
                </c:pt>
                <c:pt idx="2">
                  <c:v>Finance</c:v>
                </c:pt>
                <c:pt idx="3">
                  <c:v>Sales</c:v>
                </c:pt>
                <c:pt idx="4">
                  <c:v>HR</c:v>
                </c:pt>
              </c:strCache>
            </c:strRef>
          </c:cat>
          <c:val>
            <c:numRef>
              <c:f>Sheet2!$C$4:$C$9</c:f>
              <c:numCache>
                <c:formatCode>General</c:formatCode>
                <c:ptCount val="5"/>
                <c:pt idx="0">
                  <c:v>27</c:v>
                </c:pt>
                <c:pt idx="1">
                  <c:v>25</c:v>
                </c:pt>
                <c:pt idx="2">
                  <c:v>17</c:v>
                </c:pt>
                <c:pt idx="3">
                  <c:v>14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F-412D-81E9-F612B3B0E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8470023"/>
        <c:axId val="688480263"/>
      </c:barChart>
      <c:catAx>
        <c:axId val="688470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80263"/>
        <c:crosses val="autoZero"/>
        <c:auto val="1"/>
        <c:lblAlgn val="ctr"/>
        <c:lblOffset val="100"/>
        <c:noMultiLvlLbl val="0"/>
      </c:catAx>
      <c:valAx>
        <c:axId val="688480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70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[CandyShop_full_data_analisys 1 1.xlsx]Sheet2!PivotTable2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Sheet2!$E$4:$E$9</c:f>
              <c:strCache>
                <c:ptCount val="5"/>
                <c:pt idx="0">
                  <c:v>Procurement</c:v>
                </c:pt>
                <c:pt idx="1">
                  <c:v>Website</c:v>
                </c:pt>
                <c:pt idx="2">
                  <c:v>Finance</c:v>
                </c:pt>
                <c:pt idx="3">
                  <c:v>Sales</c:v>
                </c:pt>
                <c:pt idx="4">
                  <c:v>HR</c:v>
                </c:pt>
              </c:strCache>
            </c:strRef>
          </c:cat>
          <c:val>
            <c:numRef>
              <c:f>Sheet2!$F$4:$F$9</c:f>
              <c:numCache>
                <c:formatCode>General</c:formatCode>
                <c:ptCount val="5"/>
                <c:pt idx="0">
                  <c:v>28</c:v>
                </c:pt>
                <c:pt idx="1">
                  <c:v>25</c:v>
                </c:pt>
                <c:pt idx="2">
                  <c:v>17</c:v>
                </c:pt>
                <c:pt idx="3">
                  <c:v>14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7A-476A-852A-35F1A9BD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167111"/>
        <c:axId val="37169159"/>
      </c:barChart>
      <c:catAx>
        <c:axId val="37167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69159"/>
        <c:crosses val="autoZero"/>
        <c:auto val="1"/>
        <c:lblAlgn val="ctr"/>
        <c:lblOffset val="100"/>
        <c:noMultiLvlLbl val="0"/>
      </c:catAx>
      <c:valAx>
        <c:axId val="37169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67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Salary Spread - by $10k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>
              <a:solidFill>
                <a:srgbClr val="000000"/>
              </a:solidFill>
            </a:rPr>
            <a:t>Salary Spread - by $10k</a:t>
          </a:r>
        </a:p>
      </cx:txPr>
    </cx:title>
    <cx:plotArea>
      <cx:plotAreaRegion>
        <cx:series layoutId="clusteredColumn" uniqueId="{6CD91FE2-32A1-46CA-85EA-31AA806A3DB5}">
          <cx:tx>
            <cx:txData>
              <cx:f>_xlchart.v1.2</cx:f>
              <cx:v>Salary</cx:v>
            </cx:txData>
          </cx:tx>
          <cx:dataId val="0"/>
          <cx:layoutPr>
            <cx:binning intervalClosed="r" underflow="40000" overflow="120000">
              <cx:binSize val="10000"/>
            </cx:binning>
          </cx:layoutPr>
        </cx:series>
      </cx:plotAreaRegion>
      <cx:axis id="0">
        <cx:catScaling gapWidth="0"/>
        <cx:tickLabels/>
        <cx:numFmt formatCode="0.0" sourceLinked="0"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sz="80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Salary Spread -Box Plot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Salary Spread -Box Plot</a:t>
          </a:r>
        </a:p>
      </cx:txPr>
    </cx:title>
    <cx:plotArea>
      <cx:plotAreaRegion>
        <cx:series layoutId="boxWhisker" uniqueId="{94E558CD-10B1-4F14-AA0B-3CC8166E89D0}">
          <cx:tx>
            <cx:txData>
              <cx:f>_xlchart.v1.0</cx:f>
              <cx:v>Salary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4</xdr:row>
      <xdr:rowOff>0</xdr:rowOff>
    </xdr:from>
    <xdr:to>
      <xdr:col>27</xdr:col>
      <xdr:colOff>1600200</xdr:colOff>
      <xdr:row>21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D23D5331-21AE-D97E-19C4-7764B48C3720}"/>
                </a:ext>
                <a:ext uri="{147F2762-F138-4A5C-976F-8EAC2B608ADB}">
                  <a16:predDERef xmlns:a16="http://schemas.microsoft.com/office/drawing/2014/main" pred="{4E6D1D9B-1698-AE0B-AF7D-78FBF59A5B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059900" y="781050"/>
              <a:ext cx="4657725" cy="3188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371475</xdr:colOff>
      <xdr:row>22</xdr:row>
      <xdr:rowOff>180975</xdr:rowOff>
    </xdr:from>
    <xdr:to>
      <xdr:col>27</xdr:col>
      <xdr:colOff>1562100</xdr:colOff>
      <xdr:row>55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30A745C8-C928-5D04-450D-A809D4796BB7}"/>
                </a:ext>
                <a:ext uri="{147F2762-F138-4A5C-976F-8EAC2B608ADB}">
                  <a16:predDERef xmlns:a16="http://schemas.microsoft.com/office/drawing/2014/main" pred="{D23D5331-21AE-D97E-19C4-7764B48C37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038945" y="4227195"/>
              <a:ext cx="4640580" cy="59226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28</xdr:col>
      <xdr:colOff>38100</xdr:colOff>
      <xdr:row>12</xdr:row>
      <xdr:rowOff>47625</xdr:rowOff>
    </xdr:from>
    <xdr:to>
      <xdr:col>31</xdr:col>
      <xdr:colOff>1562100</xdr:colOff>
      <xdr:row>26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5EB471-2DA6-339D-B4A6-0BE60FE98551}"/>
            </a:ext>
            <a:ext uri="{147F2762-F138-4A5C-976F-8EAC2B608ADB}">
              <a16:predDERef xmlns:a16="http://schemas.microsoft.com/office/drawing/2014/main" pred="{30A745C8-C928-5D04-450D-A809D4796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300341</xdr:colOff>
      <xdr:row>3</xdr:row>
      <xdr:rowOff>89066</xdr:rowOff>
    </xdr:from>
    <xdr:to>
      <xdr:col>39</xdr:col>
      <xdr:colOff>2038598</xdr:colOff>
      <xdr:row>18</xdr:row>
      <xdr:rowOff>124454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C33E2A-4970-C0C7-C995-4AB5CAE84804}"/>
            </a:ext>
            <a:ext uri="{147F2762-F138-4A5C-976F-8EAC2B608ADB}">
              <a16:predDERef xmlns:a16="http://schemas.microsoft.com/office/drawing/2014/main" pred="{E55EB471-2DA6-339D-B4A6-0BE60FE98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500350</xdr:colOff>
      <xdr:row>11</xdr:row>
      <xdr:rowOff>97317</xdr:rowOff>
    </xdr:from>
    <xdr:to>
      <xdr:col>21</xdr:col>
      <xdr:colOff>1152181</xdr:colOff>
      <xdr:row>26</xdr:row>
      <xdr:rowOff>86300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2AA1EA-B123-F15B-B028-2818212D4CBA}"/>
            </a:ext>
            <a:ext uri="{147F2762-F138-4A5C-976F-8EAC2B608ADB}">
              <a16:predDERef xmlns:a16="http://schemas.microsoft.com/office/drawing/2014/main" pred="{BAC33E2A-4970-C0C7-C995-4AB5CAE84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285750</xdr:colOff>
      <xdr:row>19</xdr:row>
      <xdr:rowOff>57150</xdr:rowOff>
    </xdr:from>
    <xdr:to>
      <xdr:col>40</xdr:col>
      <xdr:colOff>19050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D89C9-22FC-F3CD-DB72-5E405A2CCFF2}"/>
            </a:ext>
            <a:ext uri="{147F2762-F138-4A5C-976F-8EAC2B608ADB}">
              <a16:predDERef xmlns:a16="http://schemas.microsoft.com/office/drawing/2014/main" pred="{1B2AA1EA-B123-F15B-B028-2818212D4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7</xdr:row>
      <xdr:rowOff>38100</xdr:rowOff>
    </xdr:from>
    <xdr:to>
      <xdr:col>13</xdr:col>
      <xdr:colOff>2352675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9EF7D0-31D8-4862-9992-D7F38E3BAB4E}"/>
            </a:ext>
            <a:ext uri="{147F2762-F138-4A5C-976F-8EAC2B608ADB}">
              <a16:predDERef xmlns:a16="http://schemas.microsoft.com/office/drawing/2014/main" pred="{410CEC69-7AE5-B8A9-D0DF-05C60115F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7</xdr:row>
      <xdr:rowOff>19050</xdr:rowOff>
    </xdr:from>
    <xdr:to>
      <xdr:col>6</xdr:col>
      <xdr:colOff>2009775</xdr:colOff>
      <xdr:row>22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84C867-28FA-456E-8818-094C02018675}"/>
            </a:ext>
            <a:ext uri="{147F2762-F138-4A5C-976F-8EAC2B608ADB}">
              <a16:predDERef xmlns:a16="http://schemas.microsoft.com/office/drawing/2014/main" pred="{1E9EF7D0-31D8-4862-9992-D7F38E3BA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10</xdr:row>
      <xdr:rowOff>0</xdr:rowOff>
    </xdr:from>
    <xdr:to>
      <xdr:col>6</xdr:col>
      <xdr:colOff>352425</xdr:colOff>
      <xdr:row>24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0CEC69-7AE5-B8A9-D0DF-05C60115F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2</xdr:row>
      <xdr:rowOff>57150</xdr:rowOff>
    </xdr:from>
    <xdr:to>
      <xdr:col>15</xdr:col>
      <xdr:colOff>533400</xdr:colOff>
      <xdr:row>16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82C3C2-39C2-79D5-EF34-2A890FD6E3B3}"/>
            </a:ext>
            <a:ext uri="{147F2762-F138-4A5C-976F-8EAC2B608ADB}">
              <a16:predDERef xmlns:a16="http://schemas.microsoft.com/office/drawing/2014/main" pred="{410CEC69-7AE5-B8A9-D0DF-05C60115F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41.720325231479" createdVersion="8" refreshedVersion="8" minRefreshableVersion="3" recordCount="182" xr:uid="{0605F527-5E0A-4764-A1BC-9373E0F3F6C7}">
  <cacheSource type="worksheet">
    <worksheetSource ref="I9:I190" sheet="Build_Info_Finder"/>
  </cacheSource>
  <cacheFields count="1">
    <cacheField name="Abhaya Priyavardhan" numFmtId="0">
      <sharedItems containsBlank="1" count="183">
        <m/>
        <s v="Akbar Sorabhjee"/>
        <s v="Allene Gobbet"/>
        <s v="Alta Kaszper"/>
        <s v="Amal Nimesh"/>
        <s v="Ambros Murthwaite"/>
        <s v="Amlankusum Rajabhushan"/>
        <s v="Andria Kimpton"/>
        <s v="Anjushri Chandiramani"/>
        <s v="Anumati Shyamari Meherhomji"/>
        <s v="Archibald Filliskirk"/>
        <s v="Ardhendu Abhichandra Jayakar"/>
        <s v="Asija Pothireddy"/>
        <s v="Ayog Chakrabarti"/>
        <s v="Bandhula Sathyanna"/>
        <s v="Barr Faughny"/>
        <s v="Baruna Ogale"/>
        <s v="Bennie Pepis"/>
        <s v="Benny Karolovsky"/>
        <s v="Bernie Gorges"/>
        <s v="Bev Lashley"/>
        <s v="Beverie Moffet"/>
        <s v="Bhuvan Pals"/>
        <s v="Bili Sizey"/>
        <s v="Brien Boise"/>
        <s v="Camilla Castle"/>
        <s v="Caro Chappel"/>
        <s v="Chandana Sannidhi Surnilla"/>
        <s v="Cherlyn Barter"/>
        <s v="Ches Bonnell"/>
        <s v="Chitrasen Laul"/>
        <s v="Collin Jagson"/>
        <s v="Constantino Espley"/>
        <s v="Crissie Cordel"/>
        <s v="Curtice Advani"/>
        <s v="Damayanti Thangavadivelu"/>
        <s v="Daruka Ghazali"/>
        <s v="Deepali Charan"/>
        <s v="Deepit Ranjana"/>
        <s v="Dell Molloy"/>
        <s v="Dennison Crosswaite"/>
        <s v="Devasree Fullara Saurin"/>
        <s v="Dhruv Manjunath"/>
        <s v="Dotty Strutley"/>
        <s v="Drusy MacCombe"/>
        <s v="Dyna Doucette"/>
        <s v="Ebonee Roxburgh"/>
        <s v="Elia Cockton"/>
        <s v="Enoch Dowrey"/>
        <s v="Erin Androsik"/>
        <s v="Esmaria Denecamp"/>
        <s v="Ewart Laphorn"/>
        <s v="Florinda Crace"/>
        <s v="Fullara Sushanti Mokate"/>
        <s v="Gangadutt Ragha"/>
        <s v="Geena Raghavanpillai"/>
        <s v="Gigi Bohling"/>
        <s v="Godavari Veena"/>
        <s v="Gray Seamon"/>
        <s v="Gretchen Callow"/>
        <s v="Gumwant Veera"/>
        <s v="Gunar Cockshoot"/>
        <s v="Halimeda Kuscha"/>
        <s v="Heer Pennathur"/>
        <s v="Hemavati Muthiah"/>
        <s v="Hinda Label"/>
        <s v="Hogan Iles"/>
        <s v="Hoyt D'Alesco"/>
        <s v="Hridaynath Tendulkar"/>
        <s v="Husein Augar"/>
        <s v="Hyacinthie Braybrooke"/>
        <s v="Ilesh Dasgupta"/>
        <s v="Indu Varada Sumedh"/>
        <s v="Jagajeet Viraj"/>
        <s v="Jaishree Atasi Yavatkar"/>
        <s v="Jan Morforth"/>
        <s v="Janene Hairsine"/>
        <s v="Jehu Rudeforth"/>
        <s v="Kaine Padly"/>
        <s v="Kaishori Harathi Kateel"/>
        <s v="Kamalakshi Mukundan"/>
        <s v="Kantimoy Pritish"/>
        <s v="Karlen McCaffrey"/>
        <s v="Karuna Pashupathy"/>
        <s v="Kassi Jonson"/>
        <s v="Kath Bletsoe"/>
        <s v="Kaye Crocroft"/>
        <s v="Kelci Walkden"/>
        <s v="Kellsie Waby"/>
        <s v="Kevalkumar Solanki"/>
        <s v="Kissiah Maydway"/>
        <s v="Krishnakanta Vellanki"/>
        <s v="Krittika Gaekwad"/>
        <s v="Kulbhushan Moorthy"/>
        <s v="Kunja Prashanta Vibha"/>
        <s v="Lalit Kothari"/>
        <s v="Leilah Yesinin"/>
        <s v="Lilyan Klimpt"/>
        <s v="Lindy Guillet"/>
        <s v="Madelene Upcott"/>
        <s v="Madge McCloughen"/>
        <s v="Madhavdas Buhpathi"/>
        <s v="Madhumati Gazala Soumitra"/>
        <s v="Mahalia Larcher"/>
        <s v="Mahindra Sreedharan"/>
        <s v="Makshi Vinutha"/>
        <s v="Mallorie Waber"/>
        <s v="Manjusri Ruchi"/>
        <s v="Mardav Ramaswami"/>
        <s v="Marney O'Breen"/>
        <s v="Merrilee Plenty"/>
        <s v="Mirium Seemantini Shivakumar"/>
        <s v="Mithil Nadkarni"/>
        <s v="Mollie Hanway"/>
        <s v="Murry Dryburgh"/>
        <s v="My Hanscome"/>
        <s v="Myer McCory"/>
        <s v="Nanak Sapna"/>
        <s v="Narois Motiwala"/>
        <s v="Niall Selesnick"/>
        <s v="Oby Sorrel"/>
        <s v="Oran Buxcy"/>
        <s v="Orton Livick"/>
        <s v="Piyali Mahanthapa"/>
        <s v="Pragya Nilufar"/>
        <s v="Pratigya Rema"/>
        <s v="Prerana Nishita"/>
        <s v="Purnendu Vijayarangan"/>
        <s v="Rafaelita Blaksland"/>
        <s v="Rameshwari Chikodi"/>
        <s v="Ramnath Ravuri"/>
        <s v="Ranajay Kailashnath Richa"/>
        <s v="Roddy Speechley"/>
        <s v="Rukma Vinita"/>
        <s v="Rupak Mehra"/>
        <s v="Rushil Kripa"/>
        <s v="Sahas Sanabhi Shrikant"/>
        <s v="Sahila Chandrasekhar"/>
        <s v="Sameer Shashank Sapra"/>
        <s v="Sanchali Shirish"/>
        <s v="Sarayu Ragunathan"/>
        <s v="Sarojini Naueshwara"/>
        <s v="Sartaj Probal"/>
        <s v="Satyendra Venkatadri"/>
        <s v="Sawini Chandan"/>
        <s v="Shari McNee"/>
        <s v="Shattesh Utpat"/>
        <s v="Shayne Stegel"/>
        <s v="Shekhar Eswara"/>
        <s v="Shevantilal Muppala"/>
        <s v="Shiuli Sapna"/>
        <s v="Shobhana Samuel"/>
        <s v="Shreela Ramasubraman"/>
        <s v="Shubhra Potla"/>
        <s v="Shulabh Qutub Sundaramoorthy"/>
        <s v="Sibyl Dunkirk"/>
        <s v="Simon Kembery"/>
        <s v="Suchira Bhanupriya Tapti"/>
        <s v="Sukhdev Nageshwar"/>
        <s v="Tarala Vishaal"/>
        <s v="Tatum Hush"/>
        <s v="Tawnya Tickel"/>
        <s v="Teressa Udden"/>
        <s v="Torrance Collier"/>
        <s v="Tracy Renad"/>
        <s v="Udyan Lanka"/>
        <s v="Upendra Swati"/>
        <s v="Valentia Etteridge"/>
        <s v="Van Tuxwell"/>
        <s v="Vanmala Shriharsha"/>
        <s v="Vasu Nandin"/>
        <s v="Vic Radolf"/>
        <s v="Vinanti Choudhari"/>
        <s v="Violante Courtonne"/>
        <s v="Virginia McConville"/>
        <s v="Waheeda Vasuman"/>
        <s v="William Reeveley"/>
        <s v="Wilone O'Kielt"/>
        <s v="Yagna Sujeev"/>
        <s v="Yauvani Tarpa"/>
        <s v="Zach Polon"/>
        <s v="Agnes Collicott" u="1"/>
        <s v="Agrata Rajaram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44.740634259259" createdVersion="8" refreshedVersion="8" minRefreshableVersion="3" recordCount="192" xr:uid="{A19178A3-08A5-4B7D-91A3-D15F2C9E1196}">
  <cacheSource type="worksheet">
    <worksheetSource ref="D1:J1048576" sheet="all_staff"/>
  </cacheSource>
  <cacheFields count="5">
    <cacheField name="Rating" numFmtId="0">
      <sharedItems containsBlank="1"/>
    </cacheField>
    <cacheField name="Date Joined" numFmtId="14">
      <sharedItems containsNonDate="0" containsDate="1" containsString="0" containsBlank="1" minDate="2020-05-07T00:00:00" maxDate="2023-04-30T00:00:00"/>
    </cacheField>
    <cacheField name="Department" numFmtId="0">
      <sharedItems containsBlank="1" count="6">
        <s v="Sales"/>
        <s v="Procurement"/>
        <s v="Finance"/>
        <s v="Website"/>
        <s v="HR"/>
        <m/>
      </sharedItems>
    </cacheField>
    <cacheField name="Salary" numFmtId="0">
      <sharedItems containsString="0" containsBlank="1" containsNumber="1" containsInteger="1" minValue="33920" maxValue="119110"/>
    </cacheField>
    <cacheField name="Country" numFmtId="0">
      <sharedItems containsBlank="1"/>
    </cacheField>
  </cacheFields>
  <extLst>
    <ext xmlns:x14="http://schemas.microsoft.com/office/spreadsheetml/2009/9/main" uri="{725AE2AE-9491-48be-B2B4-4EB974FC3084}">
      <x14:pivotCacheDefinition pivotCacheId="1166348374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etotajs" refreshedDate="45344.873738078706" createdVersion="8" refreshedVersion="8" minRefreshableVersion="3" recordCount="175" xr:uid="{2F40013B-7F26-4752-A8E9-A701611955D3}">
  <cacheSource type="worksheet">
    <worksheetSource name="allstaff"/>
  </cacheSource>
  <cacheFields count="15">
    <cacheField name="Name" numFmtId="0">
      <sharedItems/>
    </cacheField>
    <cacheField name="Gender" numFmtId="0">
      <sharedItems count="3">
        <s v="Female"/>
        <s v="Male"/>
        <s v="other" u="1"/>
      </sharedItems>
    </cacheField>
    <cacheField name="Age" numFmtId="0">
      <sharedItems containsSemiMixedTypes="0" containsString="0" containsNumber="1" containsInteger="1" minValue="19" maxValue="46"/>
    </cacheField>
    <cacheField name="Rating" numFmtId="49">
      <sharedItems count="5">
        <s v="Average"/>
        <s v="Very poor"/>
        <s v="Above average"/>
        <s v="Poor"/>
        <s v="Exceptional"/>
      </sharedItems>
    </cacheField>
    <cacheField name="Digital Rating" numFmtId="0">
      <sharedItems/>
    </cacheField>
    <cacheField name="Date Joined" numFmtId="14">
      <sharedItems containsSemiMixedTypes="0" containsNonDate="0" containsDate="1" containsString="0" minDate="2020-05-07T00:00:00" maxDate="2023-04-30T00:00:00" count="160">
        <d v="2022-04-27T00:00:00"/>
        <d v="2022-02-27T00:00:00"/>
        <d v="2020-07-11T00:00:00"/>
        <d v="2020-05-11T00:00:00"/>
        <d v="2022-02-28T00:00:00"/>
        <d v="2021-12-28T00:00:00"/>
        <d v="2020-09-30T00:00:00"/>
        <d v="2020-07-30T00:00:00"/>
        <d v="2022-06-15T00:00:00"/>
        <d v="2022-04-15T00:00:00"/>
        <d v="2022-02-19T00:00:00"/>
        <d v="2021-12-19T00:00:00"/>
        <d v="2020-11-10T00:00:00"/>
        <d v="2020-09-10T00:00:00"/>
        <d v="2022-09-16T00:00:00"/>
        <d v="2022-07-16T00:00:00"/>
        <d v="2021-06-07T00:00:00"/>
        <d v="2021-04-07T00:00:00"/>
        <d v="2021-09-07T00:00:00"/>
        <d v="2021-07-23T00:00:00"/>
        <d v="2021-05-23T00:00:00"/>
        <d v="2021-01-29T00:00:00"/>
        <d v="2020-11-29T00:00:00"/>
        <d v="2020-07-29T00:00:00"/>
        <d v="2020-05-29T00:00:00"/>
        <d v="2022-05-20T00:00:00"/>
        <d v="2022-03-20T00:00:00"/>
        <d v="2021-11-11T00:00:00"/>
        <d v="2021-09-11T00:00:00"/>
        <d v="2022-01-06T00:00:00"/>
        <d v="2021-11-06T00:00:00"/>
        <d v="2022-06-09T00:00:00"/>
        <d v="2022-04-09T00:00:00"/>
        <d v="2021-08-28T00:00:00"/>
        <d v="2021-06-28T00:00:00"/>
        <d v="2021-06-10T00:00:00"/>
        <d v="2021-04-10T00:00:00"/>
        <d v="2021-09-26T00:00:00"/>
        <d v="2021-08-03T00:00:00"/>
        <d v="2021-07-26T00:00:00"/>
        <d v="2021-06-03T00:00:00"/>
        <d v="2021-11-09T00:00:00"/>
        <d v="2021-09-09T00:00:00"/>
        <d v="2020-10-30T00:00:00"/>
        <d v="2020-08-30T00:00:00"/>
        <d v="2021-05-13T00:00:00"/>
        <d v="2021-03-13T00:00:00"/>
        <d v="2022-07-20T00:00:00"/>
        <d v="2022-04-12T00:00:00"/>
        <d v="2022-02-12T00:00:00"/>
        <d v="2022-04-02T00:00:00"/>
        <d v="2022-02-02T00:00:00"/>
        <d v="2021-03-22T00:00:00"/>
        <d v="2021-01-22T00:00:00"/>
        <d v="2021-02-16T00:00:00"/>
        <d v="2020-12-16T00:00:00"/>
        <d v="2022-02-20T00:00:00"/>
        <d v="2021-12-20T00:00:00"/>
        <d v="2022-02-15T00:00:00"/>
        <d v="2020-11-13T00:00:00"/>
        <d v="2020-09-13T00:00:00"/>
        <d v="2020-08-24T00:00:00"/>
        <d v="2020-06-24T00:00:00"/>
        <d v="2021-07-06T00:00:00"/>
        <d v="2021-05-06T00:00:00"/>
        <d v="2021-05-01T00:00:00"/>
        <d v="2021-03-01T00:00:00"/>
        <d v="2021-07-12T00:00:00"/>
        <d v="2021-05-12T00:00:00"/>
        <d v="2021-12-07T00:00:00"/>
        <d v="2021-10-07T00:00:00"/>
        <d v="2021-03-18T00:00:00"/>
        <d v="2021-01-18T00:00:00"/>
        <d v="2022-10-16T00:00:00"/>
        <d v="2022-08-16T00:00:00"/>
        <d v="2022-06-19T00:00:00"/>
        <d v="2022-04-19T00:00:00"/>
        <d v="2022-05-16T00:00:00"/>
        <d v="2021-05-17T00:00:00"/>
        <d v="2021-03-17T00:00:00"/>
        <d v="2021-07-08T00:00:00"/>
        <d v="2021-05-08T00:00:00"/>
        <d v="2022-08-06T00:00:00"/>
        <d v="2022-06-06T00:00:00"/>
        <d v="2021-04-26T00:00:00"/>
        <d v="2021-02-26T00:00:00"/>
        <d v="2021-06-27T00:00:00"/>
        <d v="2021-04-27T00:00:00"/>
        <d v="2021-02-15T00:00:00"/>
        <d v="2020-12-15T00:00:00"/>
        <d v="2020-12-20T00:00:00"/>
        <d v="2020-10-20T00:00:00"/>
        <d v="2021-07-11T00:00:00"/>
        <d v="2021-11-29T00:00:00"/>
        <d v="2021-09-29T00:00:00"/>
        <d v="2021-10-25T00:00:00"/>
        <d v="2021-08-25T00:00:00"/>
        <d v="2022-07-02T00:00:00"/>
        <d v="2022-05-02T00:00:00"/>
        <d v="2022-05-13T00:00:00"/>
        <d v="2022-03-13T00:00:00"/>
        <d v="2022-05-05T00:00:00"/>
        <d v="2022-03-05T00:00:00"/>
        <d v="2021-09-20T00:00:00"/>
        <d v="2021-07-20T00:00:00"/>
        <d v="2022-09-05T00:00:00"/>
        <d v="2022-07-05T00:00:00"/>
        <d v="2021-05-21T00:00:00"/>
        <d v="2021-03-21T00:00:00"/>
        <d v="2021-05-22T00:00:00"/>
        <d v="2021-02-09T00:00:00"/>
        <d v="2020-12-09T00:00:00"/>
        <d v="2021-09-06T00:00:00"/>
        <d v="2021-01-09T00:00:00"/>
        <d v="2020-11-09T00:00:00"/>
        <d v="2020-12-25T00:00:00"/>
        <d v="2020-10-25T00:00:00"/>
        <d v="2022-02-14T00:00:00"/>
        <d v="2021-12-14T00:00:00"/>
        <d v="2021-03-08T00:00:00"/>
        <d v="2021-01-08T00:00:00"/>
        <d v="2022-03-10T00:00:00"/>
        <d v="2022-01-10T00:00:00"/>
        <d v="2022-06-12T00:00:00"/>
        <d v="2022-03-29T00:00:00"/>
        <d v="2022-01-29T00:00:00"/>
        <d v="2021-07-04T00:00:00"/>
        <d v="2021-05-04T00:00:00"/>
        <d v="2021-10-17T00:00:00"/>
        <d v="2021-08-17T00:00:00"/>
        <d v="2021-09-01T00:00:00"/>
        <d v="2021-07-01T00:00:00"/>
        <d v="2021-06-30T00:00:00"/>
        <d v="2021-04-30T00:00:00"/>
        <d v="2022-06-14T00:00:00"/>
        <d v="2022-04-14T00:00:00"/>
        <d v="2020-10-15T00:00:00"/>
        <d v="2022-10-27T00:00:00"/>
        <d v="2022-08-27T00:00:00"/>
        <d v="2020-12-18T00:00:00"/>
        <d v="2020-10-18T00:00:00"/>
        <d v="2022-03-22T00:00:00"/>
        <d v="2021-07-07T00:00:00"/>
        <d v="2022-02-17T00:00:00"/>
        <d v="2021-12-17T00:00:00"/>
        <d v="2023-04-29T00:00:00"/>
        <d v="2023-02-28T00:00:00"/>
        <d v="2020-09-11T00:00:00"/>
        <d v="2020-09-29T00:00:00"/>
        <d v="2021-09-12T00:00:00"/>
        <d v="2020-07-07T00:00:00"/>
        <d v="2020-05-07T00:00:00"/>
        <d v="2020-08-18T00:00:00"/>
        <d v="2022-02-05T00:00:00" u="1"/>
        <d v="2021-12-05T00:00:00" u="1"/>
        <d v="2021-03-16T00:00:00" u="1"/>
        <d v="2021-01-16T00:00:00" u="1"/>
        <d v="2022-08-01T00:00:00" u="1"/>
        <d v="2022-06-01T00:00:00" u="1"/>
        <d v="2020-11-11T00:00:00" u="1"/>
      </sharedItems>
      <fieldGroup par="14"/>
    </cacheField>
    <cacheField name="Column1" numFmtId="168">
      <sharedItems containsSemiMixedTypes="0" containsNonDate="0" containsDate="1" containsString="0" minDate="2020-05-07T00:00:00" maxDate="2023-04-30T00:00:00"/>
    </cacheField>
    <cacheField name="Department" numFmtId="0">
      <sharedItems count="5">
        <s v="Website"/>
        <s v="Sales"/>
        <s v="Procurement"/>
        <s v="HR"/>
        <s v="Finance"/>
      </sharedItems>
    </cacheField>
    <cacheField name="Salary" numFmtId="0">
      <sharedItems containsSemiMixedTypes="0" containsString="0" containsNumber="1" containsInteger="1" minValue="33920" maxValue="119110"/>
    </cacheField>
    <cacheField name="Country" numFmtId="0">
      <sharedItems count="2">
        <s v="NZ"/>
        <s v="India"/>
      </sharedItems>
    </cacheField>
    <cacheField name="Tenure" numFmtId="2">
      <sharedItems containsSemiMixedTypes="0" containsString="0" containsNumber="1" minValue="0.81917808219178079" maxValue="3.7972602739726029"/>
    </cacheField>
    <cacheField name="Annual Bonus" numFmtId="2">
      <sharedItems containsSemiMixedTypes="0" containsString="0" containsNumber="1" minValue="678.4" maxValue="3573.2999999999997"/>
    </cacheField>
    <cacheField name="Months (Date Joined)" numFmtId="0" databaseField="0">
      <fieldGroup base="5">
        <rangePr groupBy="months" startDate="2020-05-07T00:00:00" endDate="2023-04-30T00:00:00"/>
        <groupItems count="14">
          <s v="&lt;07/05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/04/2023"/>
        </groupItems>
      </fieldGroup>
    </cacheField>
    <cacheField name="Quarters (Date Joined)" numFmtId="0" databaseField="0">
      <fieldGroup base="5">
        <rangePr groupBy="quarters" startDate="2020-05-07T00:00:00" endDate="2023-04-30T00:00:00"/>
        <groupItems count="6">
          <s v="&lt;07/05/2020"/>
          <s v="Qtr1"/>
          <s v="Qtr2"/>
          <s v="Qtr3"/>
          <s v="Qtr4"/>
          <s v="&gt;30/04/2023"/>
        </groupItems>
      </fieldGroup>
    </cacheField>
    <cacheField name="Years (Date Joined)" numFmtId="0" databaseField="0">
      <fieldGroup base="5">
        <rangePr groupBy="years" startDate="2020-05-07T00:00:00" endDate="2023-04-30T00:00:00"/>
        <groupItems count="6">
          <s v="&lt;07/05/2020"/>
          <s v="2020"/>
          <s v="2021"/>
          <s v="2022"/>
          <s v="2023"/>
          <s v="&gt;30/04/2023"/>
        </groupItems>
      </fieldGroup>
    </cacheField>
  </cacheFields>
  <extLst>
    <ext xmlns:x14="http://schemas.microsoft.com/office/spreadsheetml/2009/9/main" uri="{725AE2AE-9491-48be-B2B4-4EB974FC3084}">
      <x14:pivotCacheDefinition pivotCacheId="196871089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">
  <r>
    <x v="0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s v="Above average"/>
    <d v="2021-09-07T00:00:00"/>
    <x v="0"/>
    <n v="45327"/>
    <s v="NZ"/>
  </r>
  <r>
    <s v="Average"/>
    <d v="2022-07-16T00:00:00"/>
    <x v="1"/>
    <n v="70610"/>
    <s v="NZ"/>
  </r>
  <r>
    <s v="Average"/>
    <d v="2021-06-10T00:00:00"/>
    <x v="0"/>
    <n v="53240"/>
    <s v="NZ"/>
  </r>
  <r>
    <s v="Poor"/>
    <d v="2020-11-11T00:00:00"/>
    <x v="2"/>
    <n v="115440"/>
    <s v="NZ"/>
  </r>
  <r>
    <s v="Average"/>
    <d v="2021-09-26T00:00:00"/>
    <x v="0"/>
    <n v="53540"/>
    <s v="NZ"/>
  </r>
  <r>
    <s v="Average"/>
    <d v="2022-10-27T00:00:00"/>
    <x v="1"/>
    <n v="112570"/>
    <s v="NZ"/>
  </r>
  <r>
    <s v="Above average"/>
    <d v="2022-05-20T00:00:00"/>
    <x v="1"/>
    <n v="48530"/>
    <s v="NZ"/>
  </r>
  <r>
    <s v="Average"/>
    <d v="2020-11-13T00:00:00"/>
    <x v="3"/>
    <n v="62780"/>
    <s v="NZ"/>
  </r>
  <r>
    <s v="Average"/>
    <d v="2021-11-09T00:00:00"/>
    <x v="3"/>
    <n v="53870"/>
    <s v="NZ"/>
  </r>
  <r>
    <s v="Average"/>
    <d v="2020-10-18T00:00:00"/>
    <x v="4"/>
    <n v="119110"/>
    <s v="NZ"/>
  </r>
  <r>
    <s v="Poor"/>
    <d v="2020-12-15T00:00:00"/>
    <x v="3"/>
    <n v="112110"/>
    <s v="NZ"/>
  </r>
  <r>
    <s v="Average"/>
    <d v="2021-07-06T00:00:00"/>
    <x v="0"/>
    <n v="65700"/>
    <s v="NZ"/>
  </r>
  <r>
    <s v="Average"/>
    <d v="2022-05-20T00:00:00"/>
    <x v="3"/>
    <n v="69070"/>
    <s v="NZ"/>
  </r>
  <r>
    <s v="Average"/>
    <d v="2021-09-20T00:00:00"/>
    <x v="3"/>
    <n v="107700"/>
    <s v="NZ"/>
  </r>
  <r>
    <s v="Above average"/>
    <d v="2021-06-07T00:00:00"/>
    <x v="3"/>
    <n v="43840"/>
    <s v="NZ"/>
  </r>
  <r>
    <s v="Average"/>
    <d v="2021-03-08T00:00:00"/>
    <x v="1"/>
    <n v="99750"/>
    <s v="NZ"/>
  </r>
  <r>
    <s v="Average"/>
    <d v="2020-09-30T00:00:00"/>
    <x v="1"/>
    <n v="37920"/>
    <s v="NZ"/>
  </r>
  <r>
    <s v="Average"/>
    <d v="2022-07-20T00:00:00"/>
    <x v="1"/>
    <n v="57090"/>
    <s v="NZ"/>
  </r>
  <r>
    <s v="Average"/>
    <d v="2020-11-10T00:00:00"/>
    <x v="3"/>
    <n v="41980"/>
    <s v="NZ"/>
  </r>
  <r>
    <s v="Average"/>
    <d v="2021-02-15T00:00:00"/>
    <x v="4"/>
    <n v="75880"/>
    <s v="NZ"/>
  </r>
  <r>
    <s v="Average"/>
    <d v="2022-04-02T00:00:00"/>
    <x v="2"/>
    <n v="58940"/>
    <s v="NZ"/>
  </r>
  <r>
    <s v="Poor"/>
    <d v="2021-07-12T00:00:00"/>
    <x v="2"/>
    <n v="67910"/>
    <s v="NZ"/>
  </r>
  <r>
    <s v="Average"/>
    <d v="2022-04-12T00:00:00"/>
    <x v="3"/>
    <n v="58100"/>
    <s v="NZ"/>
  </r>
  <r>
    <s v="Average"/>
    <d v="2022-01-06T00:00:00"/>
    <x v="2"/>
    <n v="48980"/>
    <s v="NZ"/>
  </r>
  <r>
    <s v="Average"/>
    <d v="2022-02-05T00:00:00"/>
    <x v="2"/>
    <n v="64000"/>
    <s v="NZ"/>
  </r>
  <r>
    <s v="Exceptional"/>
    <d v="2022-08-06T00:00:00"/>
    <x v="1"/>
    <n v="75000"/>
    <s v="NZ"/>
  </r>
  <r>
    <s v="Average"/>
    <d v="2021-05-21T00:00:00"/>
    <x v="3"/>
    <n v="87620"/>
    <s v="NZ"/>
  </r>
  <r>
    <s v="Average"/>
    <d v="2020-07-11T00:00:00"/>
    <x v="3"/>
    <n v="34980"/>
    <s v="NZ"/>
  </r>
  <r>
    <s v="Average"/>
    <d v="2020-12-20T00:00:00"/>
    <x v="2"/>
    <n v="75970"/>
    <s v="NZ"/>
  </r>
  <r>
    <s v="Average"/>
    <d v="2022-02-20T00:00:00"/>
    <x v="2"/>
    <n v="60130"/>
    <s v="NZ"/>
  </r>
  <r>
    <s v="Very poor"/>
    <d v="2021-06-27T00:00:00"/>
    <x v="3"/>
    <n v="75480"/>
    <s v="NZ"/>
  </r>
  <r>
    <s v="Average"/>
    <d v="2020-11-29T00:00:00"/>
    <x v="1"/>
    <n v="115920"/>
    <s v="NZ"/>
  </r>
  <r>
    <s v="Average"/>
    <d v="2021-10-25T00:00:00"/>
    <x v="0"/>
    <n v="78540"/>
    <s v="NZ"/>
  </r>
  <r>
    <s v="Above average"/>
    <d v="2022-06-14T00:00:00"/>
    <x v="1"/>
    <n v="109190"/>
    <s v="NZ"/>
  </r>
  <r>
    <s v="Poor"/>
    <d v="2022-06-09T00:00:00"/>
    <x v="0"/>
    <n v="49630"/>
    <s v="NZ"/>
  </r>
  <r>
    <s v="Average"/>
    <d v="2022-03-10T00:00:00"/>
    <x v="1"/>
    <n v="99970"/>
    <s v="NZ"/>
  </r>
  <r>
    <s v="Average"/>
    <d v="2020-12-25T00:00:00"/>
    <x v="3"/>
    <n v="96140"/>
    <s v="NZ"/>
  </r>
  <r>
    <s v="Average"/>
    <d v="2022-06-12T00:00:00"/>
    <x v="1"/>
    <n v="103550"/>
    <s v="NZ"/>
  </r>
  <r>
    <s v="Average"/>
    <d v="2021-11-11T00:00:00"/>
    <x v="3"/>
    <n v="48950"/>
    <s v="NZ"/>
  </r>
  <r>
    <s v="Poor"/>
    <d v="2021-08-28T00:00:00"/>
    <x v="2"/>
    <n v="52610"/>
    <s v="NZ"/>
  </r>
  <r>
    <s v="Average"/>
    <d v="2021-11-29T00:00:00"/>
    <x v="1"/>
    <n v="78390"/>
    <s v="NZ"/>
  </r>
  <r>
    <s v="Average"/>
    <d v="2022-09-05T00:00:00"/>
    <x v="2"/>
    <n v="86570"/>
    <s v="NZ"/>
  </r>
  <r>
    <s v="Average"/>
    <d v="2022-05-05T00:00:00"/>
    <x v="3"/>
    <n v="83750"/>
    <s v="NZ"/>
  </r>
  <r>
    <s v="Average"/>
    <d v="2021-09-06T00:00:00"/>
    <x v="2"/>
    <n v="92450"/>
    <s v="NZ"/>
  </r>
  <r>
    <s v="Average"/>
    <d v="2020-12-18T00:00:00"/>
    <x v="3"/>
    <n v="112650"/>
    <s v="NZ"/>
  </r>
  <r>
    <s v="Average"/>
    <d v="2022-07-02T00:00:00"/>
    <x v="1"/>
    <n v="79570"/>
    <s v="NZ"/>
  </r>
  <r>
    <s v="Poor"/>
    <d v="2021-12-07T00:00:00"/>
    <x v="0"/>
    <n v="68900"/>
    <s v="NZ"/>
  </r>
  <r>
    <s v="Above average"/>
    <d v="2022-05-13T00:00:00"/>
    <x v="3"/>
    <n v="80700"/>
    <s v="NZ"/>
  </r>
  <r>
    <s v="Average"/>
    <d v="2021-03-22T00:00:00"/>
    <x v="1"/>
    <n v="58960"/>
    <s v="NZ"/>
  </r>
  <r>
    <s v="Average"/>
    <d v="2020-07-07T00:00:00"/>
    <x v="3"/>
    <n v="118840"/>
    <s v="NZ"/>
  </r>
  <r>
    <s v="Above average"/>
    <d v="2020-07-29T00:00:00"/>
    <x v="2"/>
    <n v="48170"/>
    <s v="NZ"/>
  </r>
  <r>
    <s v="Average"/>
    <d v="2021-07-23T00:00:00"/>
    <x v="4"/>
    <n v="45510"/>
    <s v="NZ"/>
  </r>
  <r>
    <s v="Average"/>
    <d v="2020-09-11T00:00:00"/>
    <x v="1"/>
    <n v="114890"/>
    <s v="NZ"/>
  </r>
  <r>
    <s v="Average"/>
    <d v="2022-10-16T00:00:00"/>
    <x v="3"/>
    <n v="69710"/>
    <s v="NZ"/>
  </r>
  <r>
    <s v="Average"/>
    <d v="2021-05-17T00:00:00"/>
    <x v="2"/>
    <n v="71380"/>
    <s v="NZ"/>
  </r>
  <r>
    <s v="Exceptional"/>
    <d v="2021-06-30T00:00:00"/>
    <x v="0"/>
    <n v="109160"/>
    <s v="NZ"/>
  </r>
  <r>
    <s v="Very poor"/>
    <d v="2022-02-17T00:00:00"/>
    <x v="1"/>
    <n v="113280"/>
    <s v="NZ"/>
  </r>
  <r>
    <s v="Average"/>
    <d v="2021-03-18T00:00:00"/>
    <x v="3"/>
    <n v="69120"/>
    <s v="NZ"/>
  </r>
  <r>
    <s v="Average"/>
    <d v="2021-09-12T00:00:00"/>
    <x v="4"/>
    <n v="118100"/>
    <s v="NZ"/>
  </r>
  <r>
    <s v="Above average"/>
    <d v="2021-09-11T00:00:00"/>
    <x v="1"/>
    <n v="76900"/>
    <s v="NZ"/>
  </r>
  <r>
    <s v="Average"/>
    <d v="2023-04-29T00:00:00"/>
    <x v="3"/>
    <n v="114870"/>
    <s v="NZ"/>
  </r>
  <r>
    <s v="Average"/>
    <d v="2022-08-01T00:00:00"/>
    <x v="3"/>
    <n v="91310"/>
    <s v="NZ"/>
  </r>
  <r>
    <s v="Average"/>
    <d v="2021-10-17T00:00:00"/>
    <x v="1"/>
    <n v="104770"/>
    <s v="NZ"/>
  </r>
  <r>
    <s v="Average"/>
    <d v="2020-10-30T00:00:00"/>
    <x v="0"/>
    <n v="54970"/>
    <s v="NZ"/>
  </r>
  <r>
    <s v="Above average"/>
    <d v="2021-03-16T00:00:00"/>
    <x v="3"/>
    <n v="90700"/>
    <s v="NZ"/>
  </r>
  <r>
    <s v="Above average"/>
    <d v="2021-05-13T00:00:00"/>
    <x v="0"/>
    <n v="56870"/>
    <s v="NZ"/>
  </r>
  <r>
    <s v="Average"/>
    <d v="2021-01-09T00:00:00"/>
    <x v="0"/>
    <n v="92700"/>
    <s v="NZ"/>
  </r>
  <r>
    <s v="Average"/>
    <d v="2021-05-01T00:00:00"/>
    <x v="2"/>
    <n v="65920"/>
    <s v="NZ"/>
  </r>
  <r>
    <s v="Average"/>
    <d v="2021-01-29T00:00:00"/>
    <x v="1"/>
    <n v="47360"/>
    <s v="NZ"/>
  </r>
  <r>
    <s v="Average"/>
    <d v="2022-04-15T00:00:00"/>
    <x v="1"/>
    <n v="60570"/>
    <s v="NZ"/>
  </r>
  <r>
    <s v="Average"/>
    <d v="2022-03-29T00:00:00"/>
    <x v="1"/>
    <n v="104120"/>
    <s v="NZ"/>
  </r>
  <r>
    <s v="Poor"/>
    <d v="2021-05-22T00:00:00"/>
    <x v="3"/>
    <n v="88050"/>
    <s v="NZ"/>
  </r>
  <r>
    <s v="Average"/>
    <d v="2022-05-05T00:00:00"/>
    <x v="3"/>
    <n v="100420"/>
    <s v="NZ"/>
  </r>
  <r>
    <s v="Average"/>
    <d v="2022-10-16T00:00:00"/>
    <x v="1"/>
    <n v="114180"/>
    <s v="NZ"/>
  </r>
  <r>
    <s v="Average"/>
    <d v="2022-04-27T00:00:00"/>
    <x v="3"/>
    <n v="33920"/>
    <s v="NZ"/>
  </r>
  <r>
    <s v="Average"/>
    <d v="2021-09-01T00:00:00"/>
    <x v="1"/>
    <n v="106460"/>
    <s v="NZ"/>
  </r>
  <r>
    <s v="Average"/>
    <d v="2022-06-15T00:00:00"/>
    <x v="1"/>
    <n v="40400"/>
    <s v="NZ"/>
  </r>
  <r>
    <s v="Above average"/>
    <d v="2021-02-09T00:00:00"/>
    <x v="2"/>
    <n v="91650"/>
    <s v="NZ"/>
  </r>
  <r>
    <s v="Average"/>
    <d v="2022-02-28T00:00:00"/>
    <x v="0"/>
    <n v="36040"/>
    <s v="NZ"/>
  </r>
  <r>
    <s v="Average"/>
    <d v="2021-07-04T00:00:00"/>
    <x v="3"/>
    <n v="104410"/>
    <s v="NZ"/>
  </r>
  <r>
    <s v="Average"/>
    <d v="2022-02-14T00:00:00"/>
    <x v="2"/>
    <n v="96800"/>
    <s v="NZ"/>
  </r>
  <r>
    <s v="Average"/>
    <d v="2021-09-20T00:00:00"/>
    <x v="2"/>
    <n v="85000"/>
    <s v="NZ"/>
  </r>
  <r>
    <s v="Very poor"/>
    <d v="2022-09-16T00:00:00"/>
    <x v="0"/>
    <n v="43510"/>
    <s v="NZ"/>
  </r>
  <r>
    <s v="Average"/>
    <d v="2021-02-16T00:00:00"/>
    <x v="2"/>
    <n v="59430"/>
    <s v="NZ"/>
  </r>
  <r>
    <s v="Average"/>
    <d v="2020-08-24T00:00:00"/>
    <x v="2"/>
    <n v="65360"/>
    <s v="NZ"/>
  </r>
  <r>
    <s v="Average"/>
    <d v="2022-02-19T00:00:00"/>
    <x v="1"/>
    <n v="41570"/>
    <s v="NZ"/>
  </r>
  <r>
    <s v="Average"/>
    <d v="2021-04-26T00:00:00"/>
    <x v="3"/>
    <n v="75280"/>
    <s v="NZ"/>
  </r>
  <r>
    <s v="Average"/>
    <d v="2021-07-08T00:00:00"/>
    <x v="0"/>
    <n v="74550"/>
    <s v="NZ"/>
  </r>
  <r>
    <s v="Average"/>
    <d v="2022-05-20T00:00:00"/>
    <x v="1"/>
    <n v="67950"/>
    <s v="NZ"/>
  </r>
  <r>
    <s v="Poor"/>
    <d v="2022-06-19T00:00:00"/>
    <x v="2"/>
    <n v="70270"/>
    <s v="NZ"/>
  </r>
  <r>
    <s v="Average"/>
    <d v="2021-08-03T00:00:00"/>
    <x v="1"/>
    <n v="53540"/>
    <s v="NZ"/>
  </r>
  <r>
    <s v="Average"/>
    <d v="2020-10-18T00:00:00"/>
    <x v="3"/>
    <n v="112650"/>
    <s v="India"/>
  </r>
  <r>
    <s v="Above average"/>
    <d v="2021-04-07T00:00:00"/>
    <x v="3"/>
    <n v="43840"/>
    <s v="India"/>
  </r>
  <r>
    <s v="Average"/>
    <d v="2022-04-12T00:00:00"/>
    <x v="1"/>
    <n v="103550"/>
    <s v="India"/>
  </r>
  <r>
    <s v="Average"/>
    <d v="2021-05-23T00:00:00"/>
    <x v="4"/>
    <n v="45510"/>
    <s v="India"/>
  </r>
  <r>
    <s v="Poor"/>
    <d v="2020-09-11T00:00:00"/>
    <x v="2"/>
    <n v="115440"/>
    <s v="India"/>
  </r>
  <r>
    <s v="Above average"/>
    <d v="2021-03-13T00:00:00"/>
    <x v="0"/>
    <n v="56870"/>
    <s v="India"/>
  </r>
  <r>
    <s v="Average"/>
    <d v="2020-11-09T00:00:00"/>
    <x v="0"/>
    <n v="92700"/>
    <s v="India"/>
  </r>
  <r>
    <s v="Average"/>
    <d v="2022-06-01T00:00:00"/>
    <x v="3"/>
    <n v="91310"/>
    <s v="India"/>
  </r>
  <r>
    <s v="Average"/>
    <d v="2021-05-08T00:00:00"/>
    <x v="0"/>
    <n v="74550"/>
    <s v="India"/>
  </r>
  <r>
    <s v="Above average"/>
    <d v="2022-04-14T00:00:00"/>
    <x v="1"/>
    <n v="109190"/>
    <s v="India"/>
  </r>
  <r>
    <s v="Average"/>
    <d v="2021-05-04T00:00:00"/>
    <x v="3"/>
    <n v="104410"/>
    <s v="India"/>
  </r>
  <r>
    <s v="Average"/>
    <d v="2021-12-14T00:00:00"/>
    <x v="2"/>
    <n v="96800"/>
    <s v="India"/>
  </r>
  <r>
    <s v="Above average"/>
    <d v="2020-05-29T00:00:00"/>
    <x v="2"/>
    <n v="48170"/>
    <s v="India"/>
  </r>
  <r>
    <s v="Average"/>
    <d v="2020-07-30T00:00:00"/>
    <x v="1"/>
    <n v="37920"/>
    <s v="India"/>
  </r>
  <r>
    <s v="Average"/>
    <d v="2022-03-22T00:00:00"/>
    <x v="1"/>
    <n v="112650"/>
    <s v="India"/>
  </r>
  <r>
    <s v="Poor"/>
    <d v="2022-04-09T00:00:00"/>
    <x v="0"/>
    <n v="49630"/>
    <s v="India"/>
  </r>
  <r>
    <s v="Average"/>
    <d v="2020-05-07T00:00:00"/>
    <x v="3"/>
    <n v="118840"/>
    <s v="India"/>
  </r>
  <r>
    <s v="Average"/>
    <d v="2022-08-16T00:00:00"/>
    <x v="3"/>
    <n v="69710"/>
    <s v="India"/>
  </r>
  <r>
    <s v="Average"/>
    <d v="2022-05-02T00:00:00"/>
    <x v="1"/>
    <n v="79570"/>
    <s v="India"/>
  </r>
  <r>
    <s v="Above average"/>
    <d v="2021-07-11T00:00:00"/>
    <x v="1"/>
    <n v="76900"/>
    <s v="India"/>
  </r>
  <r>
    <s v="Average"/>
    <d v="2020-08-30T00:00:00"/>
    <x v="0"/>
    <n v="54970"/>
    <s v="India"/>
  </r>
  <r>
    <s v="Poor"/>
    <d v="2021-03-22T00:00:00"/>
    <x v="3"/>
    <n v="88050"/>
    <s v="India"/>
  </r>
  <r>
    <s v="Average"/>
    <d v="2021-12-28T00:00:00"/>
    <x v="0"/>
    <n v="36040"/>
    <s v="India"/>
  </r>
  <r>
    <s v="Exceptional"/>
    <d v="2022-06-06T00:00:00"/>
    <x v="1"/>
    <n v="75000"/>
    <s v="India"/>
  </r>
  <r>
    <s v="Average"/>
    <d v="2022-04-15T00:00:00"/>
    <x v="1"/>
    <n v="40400"/>
    <s v="India"/>
  </r>
  <r>
    <s v="Average"/>
    <d v="2022-03-05T00:00:00"/>
    <x v="3"/>
    <n v="100420"/>
    <s v="India"/>
  </r>
  <r>
    <s v="Average"/>
    <d v="2022-02-12T00:00:00"/>
    <x v="3"/>
    <n v="58100"/>
    <s v="India"/>
  </r>
  <r>
    <s v="Average"/>
    <d v="2023-02-28T00:00:00"/>
    <x v="3"/>
    <n v="114870"/>
    <s v="India"/>
  </r>
  <r>
    <s v="Average"/>
    <d v="2021-12-19T00:00:00"/>
    <x v="1"/>
    <n v="41570"/>
    <s v="India"/>
  </r>
  <r>
    <s v="Average"/>
    <d v="2022-08-27T00:00:00"/>
    <x v="1"/>
    <n v="112570"/>
    <s v="India"/>
  </r>
  <r>
    <s v="Average"/>
    <d v="2020-11-29T00:00:00"/>
    <x v="1"/>
    <n v="47360"/>
    <s v="India"/>
  </r>
  <r>
    <s v="Average"/>
    <d v="2021-03-01T00:00:00"/>
    <x v="2"/>
    <n v="65920"/>
    <s v="India"/>
  </r>
  <r>
    <s v="Average"/>
    <d v="2022-01-10T00:00:00"/>
    <x v="1"/>
    <n v="99970"/>
    <s v="India"/>
  </r>
  <r>
    <s v="Above average"/>
    <d v="2022-03-13T00:00:00"/>
    <x v="3"/>
    <n v="80700"/>
    <s v="India"/>
  </r>
  <r>
    <s v="Poor"/>
    <d v="2021-06-28T00:00:00"/>
    <x v="2"/>
    <n v="52610"/>
    <s v="India"/>
  </r>
  <r>
    <s v="Poor"/>
    <d v="2020-10-15T00:00:00"/>
    <x v="3"/>
    <n v="112110"/>
    <s v="India"/>
  </r>
  <r>
    <s v="Average"/>
    <d v="2020-08-18T00:00:00"/>
    <x v="4"/>
    <n v="119110"/>
    <s v="India"/>
  </r>
  <r>
    <s v="Above average"/>
    <d v="2021-07-07T00:00:00"/>
    <x v="0"/>
    <n v="112780"/>
    <s v="India"/>
  </r>
  <r>
    <s v="Average"/>
    <d v="2020-07-11T00:00:00"/>
    <x v="1"/>
    <n v="114890"/>
    <s v="India"/>
  </r>
  <r>
    <s v="Average"/>
    <d v="2021-11-06T00:00:00"/>
    <x v="2"/>
    <n v="48980"/>
    <s v="India"/>
  </r>
  <r>
    <s v="Average"/>
    <d v="2020-12-15T00:00:00"/>
    <x v="4"/>
    <n v="75880"/>
    <s v="India"/>
  </r>
  <r>
    <s v="Average"/>
    <d v="2021-04-10T00:00:00"/>
    <x v="0"/>
    <n v="53240"/>
    <s v="India"/>
  </r>
  <r>
    <s v="Average"/>
    <d v="2021-07-20T00:00:00"/>
    <x v="2"/>
    <n v="85000"/>
    <s v="India"/>
  </r>
  <r>
    <s v="Average"/>
    <d v="2022-02-27T00:00:00"/>
    <x v="3"/>
    <n v="33920"/>
    <s v="India"/>
  </r>
  <r>
    <s v="Average"/>
    <d v="2021-02-26T00:00:00"/>
    <x v="3"/>
    <n v="75280"/>
    <s v="India"/>
  </r>
  <r>
    <s v="Average"/>
    <d v="2022-02-02T00:00:00"/>
    <x v="2"/>
    <n v="58940"/>
    <s v="India"/>
  </r>
  <r>
    <s v="Average"/>
    <d v="2021-08-17T00:00:00"/>
    <x v="1"/>
    <n v="104770"/>
    <s v="India"/>
  </r>
  <r>
    <s v="Average"/>
    <d v="2022-05-20T00:00:00"/>
    <x v="1"/>
    <n v="57090"/>
    <s v="India"/>
  </r>
  <r>
    <s v="Above average"/>
    <d v="2020-12-09T00:00:00"/>
    <x v="2"/>
    <n v="91650"/>
    <s v="India"/>
  </r>
  <r>
    <s v="Poor"/>
    <d v="2022-04-19T00:00:00"/>
    <x v="2"/>
    <n v="70270"/>
    <s v="India"/>
  </r>
  <r>
    <s v="Average"/>
    <d v="2020-10-20T00:00:00"/>
    <x v="2"/>
    <n v="75970"/>
    <s v="India"/>
  </r>
  <r>
    <s v="Above average"/>
    <d v="2021-01-16T00:00:00"/>
    <x v="3"/>
    <n v="90700"/>
    <s v="India"/>
  </r>
  <r>
    <s v="Average"/>
    <d v="2022-02-15T00:00:00"/>
    <x v="1"/>
    <n v="60570"/>
    <s v="India"/>
  </r>
  <r>
    <s v="Average"/>
    <d v="2020-09-29T00:00:00"/>
    <x v="1"/>
    <n v="115920"/>
    <s v="India"/>
  </r>
  <r>
    <s v="Average"/>
    <d v="2020-06-24T00:00:00"/>
    <x v="2"/>
    <n v="65360"/>
    <s v="India"/>
  </r>
  <r>
    <s v="Average"/>
    <d v="2021-12-05T00:00:00"/>
    <x v="2"/>
    <n v="64000"/>
    <s v="India"/>
  </r>
  <r>
    <s v="Average"/>
    <d v="2021-07-06T00:00:00"/>
    <x v="2"/>
    <n v="92450"/>
    <s v="India"/>
  </r>
  <r>
    <s v="Average"/>
    <d v="2021-09-11T00:00:00"/>
    <x v="3"/>
    <n v="48950"/>
    <s v="India"/>
  </r>
  <r>
    <s v="Average"/>
    <d v="2022-03-05T00:00:00"/>
    <x v="3"/>
    <n v="83750"/>
    <s v="India"/>
  </r>
  <r>
    <s v="Average"/>
    <d v="2021-03-21T00:00:00"/>
    <x v="3"/>
    <n v="87620"/>
    <s v="India"/>
  </r>
  <r>
    <s v="Poor"/>
    <d v="2021-10-07T00:00:00"/>
    <x v="0"/>
    <n v="68900"/>
    <s v="India"/>
  </r>
  <r>
    <s v="Average"/>
    <d v="2021-07-26T00:00:00"/>
    <x v="0"/>
    <n v="53540"/>
    <s v="India"/>
  </r>
  <r>
    <s v="Very poor"/>
    <d v="2022-07-16T00:00:00"/>
    <x v="0"/>
    <n v="43510"/>
    <s v="India"/>
  </r>
  <r>
    <s v="Exceptional"/>
    <d v="2021-04-30T00:00:00"/>
    <x v="0"/>
    <n v="109160"/>
    <s v="India"/>
  </r>
  <r>
    <s v="Average"/>
    <d v="2021-01-08T00:00:00"/>
    <x v="1"/>
    <n v="99750"/>
    <s v="India"/>
  </r>
  <r>
    <s v="Average"/>
    <d v="2020-09-10T00:00:00"/>
    <x v="3"/>
    <n v="41980"/>
    <s v="India"/>
  </r>
  <r>
    <s v="Average"/>
    <d v="2021-03-17T00:00:00"/>
    <x v="2"/>
    <n v="71380"/>
    <s v="India"/>
  </r>
  <r>
    <s v="Very poor"/>
    <d v="2021-12-17T00:00:00"/>
    <x v="1"/>
    <n v="113280"/>
    <s v="India"/>
  </r>
  <r>
    <s v="Average"/>
    <d v="2022-07-05T00:00:00"/>
    <x v="2"/>
    <n v="86570"/>
    <s v="India"/>
  </r>
  <r>
    <s v="Average"/>
    <d v="2021-06-03T00:00:00"/>
    <x v="1"/>
    <n v="53540"/>
    <s v="India"/>
  </r>
  <r>
    <s v="Average"/>
    <d v="2022-03-20T00:00:00"/>
    <x v="3"/>
    <n v="69070"/>
    <s v="India"/>
  </r>
  <r>
    <s v="Poor"/>
    <d v="2021-05-12T00:00:00"/>
    <x v="2"/>
    <n v="67910"/>
    <s v="India"/>
  </r>
  <r>
    <s v="Average"/>
    <d v="2021-01-18T00:00:00"/>
    <x v="3"/>
    <n v="69120"/>
    <s v="India"/>
  </r>
  <r>
    <s v="Average"/>
    <d v="2021-12-20T00:00:00"/>
    <x v="2"/>
    <n v="60130"/>
    <s v="India"/>
  </r>
  <r>
    <s v="Average"/>
    <d v="2021-07-01T00:00:00"/>
    <x v="1"/>
    <n v="106460"/>
    <s v="India"/>
  </r>
  <r>
    <s v="Average"/>
    <d v="2021-07-12T00:00:00"/>
    <x v="4"/>
    <n v="118100"/>
    <s v="India"/>
  </r>
  <r>
    <s v="Average"/>
    <d v="2021-09-29T00:00:00"/>
    <x v="1"/>
    <n v="78390"/>
    <s v="India"/>
  </r>
  <r>
    <s v="Average"/>
    <d v="2022-08-16T00:00:00"/>
    <x v="1"/>
    <n v="114180"/>
    <s v="India"/>
  </r>
  <r>
    <s v="Average"/>
    <d v="2022-01-29T00:00:00"/>
    <x v="1"/>
    <n v="104120"/>
    <s v="India"/>
  </r>
  <r>
    <s v="Average"/>
    <d v="2022-03-20T00:00:00"/>
    <x v="1"/>
    <n v="67950"/>
    <s v="India"/>
  </r>
  <r>
    <s v="Average"/>
    <d v="2020-05-11T00:00:00"/>
    <x v="3"/>
    <n v="34980"/>
    <s v="India"/>
  </r>
  <r>
    <s v="Average"/>
    <d v="2020-09-13T00:00:00"/>
    <x v="3"/>
    <n v="62780"/>
    <s v="India"/>
  </r>
  <r>
    <s v="Average"/>
    <d v="2021-07-20T00:00:00"/>
    <x v="3"/>
    <n v="107700"/>
    <s v="India"/>
  </r>
  <r>
    <s v="Average"/>
    <d v="2021-05-06T00:00:00"/>
    <x v="0"/>
    <n v="65700"/>
    <s v="India"/>
  </r>
  <r>
    <s v="Very poor"/>
    <d v="2021-04-27T00:00:00"/>
    <x v="3"/>
    <n v="75480"/>
    <s v="India"/>
  </r>
  <r>
    <s v="Average"/>
    <d v="2021-09-09T00:00:00"/>
    <x v="3"/>
    <n v="53870"/>
    <s v="India"/>
  </r>
  <r>
    <s v="Average"/>
    <d v="2021-08-25T00:00:00"/>
    <x v="0"/>
    <n v="78540"/>
    <s v="India"/>
  </r>
  <r>
    <s v="Average"/>
    <d v="2021-01-22T00:00:00"/>
    <x v="1"/>
    <n v="58960"/>
    <s v="India"/>
  </r>
  <r>
    <s v="Average"/>
    <d v="2022-05-16T00:00:00"/>
    <x v="1"/>
    <n v="70610"/>
    <s v="India"/>
  </r>
  <r>
    <s v="Average"/>
    <d v="2020-12-16T00:00:00"/>
    <x v="2"/>
    <n v="59430"/>
    <s v="India"/>
  </r>
  <r>
    <s v="Above average"/>
    <d v="2022-03-20T00:00:00"/>
    <x v="1"/>
    <n v="48530"/>
    <s v="India"/>
  </r>
  <r>
    <s v="Average"/>
    <d v="2020-10-25T00:00:00"/>
    <x v="3"/>
    <n v="96140"/>
    <s v="India"/>
  </r>
  <r>
    <m/>
    <m/>
    <x v="5"/>
    <m/>
    <m/>
  </r>
  <r>
    <m/>
    <m/>
    <x v="5"/>
    <m/>
    <m/>
  </r>
  <r>
    <m/>
    <m/>
    <x v="5"/>
    <m/>
    <m/>
  </r>
  <r>
    <m/>
    <m/>
    <x v="5"/>
    <m/>
    <m/>
  </r>
  <r>
    <m/>
    <m/>
    <x v="5"/>
    <m/>
    <m/>
  </r>
  <r>
    <m/>
    <m/>
    <x v="5"/>
    <m/>
    <m/>
  </r>
  <r>
    <m/>
    <m/>
    <x v="5"/>
    <m/>
    <m/>
  </r>
  <r>
    <m/>
    <m/>
    <x v="5"/>
    <m/>
    <m/>
  </r>
  <r>
    <m/>
    <m/>
    <x v="5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">
  <r>
    <s v="Gretchen Callow"/>
    <x v="0"/>
    <n v="21"/>
    <x v="0"/>
    <e v="#NAME?"/>
    <x v="0"/>
    <d v="2022-04-27T00:00:00"/>
    <x v="0"/>
    <n v="33920"/>
    <x v="0"/>
    <n v="1.8246575342465754"/>
    <n v="678.4"/>
  </r>
  <r>
    <s v="Shubhra Potla"/>
    <x v="0"/>
    <n v="21"/>
    <x v="0"/>
    <e v="#NAME?"/>
    <x v="1"/>
    <d v="2022-02-27T00:00:00"/>
    <x v="0"/>
    <n v="33920"/>
    <x v="1"/>
    <n v="1.9863013698630136"/>
    <n v="678.4"/>
  </r>
  <r>
    <s v="Niall Selesnick"/>
    <x v="0"/>
    <n v="29"/>
    <x v="0"/>
    <e v="#NAME?"/>
    <x v="2"/>
    <d v="2020-07-11T00:00:00"/>
    <x v="0"/>
    <n v="34980"/>
    <x v="0"/>
    <n v="3.6191780821917807"/>
    <n v="1049.3999999999999"/>
  </r>
  <r>
    <s v="Suchira Bhanupriya Tapti"/>
    <x v="0"/>
    <n v="29"/>
    <x v="0"/>
    <e v="#NAME?"/>
    <x v="3"/>
    <d v="2020-05-11T00:00:00"/>
    <x v="0"/>
    <n v="34980"/>
    <x v="1"/>
    <n v="3.7863013698630139"/>
    <n v="1049.3999999999999"/>
  </r>
  <r>
    <s v="Bili Sizey"/>
    <x v="1"/>
    <n v="43"/>
    <x v="0"/>
    <e v="#NAME?"/>
    <x v="4"/>
    <d v="2022-02-28T00:00:00"/>
    <x v="1"/>
    <n v="36040"/>
    <x v="0"/>
    <n v="1.9835616438356165"/>
    <n v="720.80000000000007"/>
  </r>
  <r>
    <s v="Waheeda Vasuman"/>
    <x v="1"/>
    <n v="43"/>
    <x v="0"/>
    <e v="#NAME?"/>
    <x v="5"/>
    <d v="2021-12-28T00:00:00"/>
    <x v="1"/>
    <n v="36040"/>
    <x v="1"/>
    <n v="2.1534246575342464"/>
    <n v="1081.2"/>
  </r>
  <r>
    <s v="Orton Livick"/>
    <x v="1"/>
    <n v="21"/>
    <x v="0"/>
    <e v="#NAME?"/>
    <x v="6"/>
    <d v="2020-09-30T00:00:00"/>
    <x v="2"/>
    <n v="37920"/>
    <x v="0"/>
    <n v="3.3972602739726026"/>
    <n v="1137.5999999999999"/>
  </r>
  <r>
    <s v="Akbar Sorabhjee"/>
    <x v="1"/>
    <n v="21"/>
    <x v="0"/>
    <e v="#NAME?"/>
    <x v="7"/>
    <d v="2020-07-30T00:00:00"/>
    <x v="2"/>
    <n v="37920"/>
    <x v="1"/>
    <n v="3.5671232876712327"/>
    <n v="1137.5999999999999"/>
  </r>
  <r>
    <s v="Archibald Filliskirk"/>
    <x v="1"/>
    <n v="35"/>
    <x v="0"/>
    <e v="#NAME?"/>
    <x v="8"/>
    <d v="2022-06-15T00:00:00"/>
    <x v="2"/>
    <n v="40400"/>
    <x v="0"/>
    <n v="1.6904109589041096"/>
    <n v="808"/>
  </r>
  <r>
    <s v="Shobhana Samuel"/>
    <x v="1"/>
    <n v="35"/>
    <x v="0"/>
    <e v="#NAME?"/>
    <x v="9"/>
    <d v="2022-04-15T00:00:00"/>
    <x v="2"/>
    <n v="40400"/>
    <x v="1"/>
    <n v="1.8575342465753424"/>
    <n v="808"/>
  </r>
  <r>
    <s v="Crissie Cordel"/>
    <x v="0"/>
    <n v="32"/>
    <x v="0"/>
    <e v="#NAME?"/>
    <x v="10"/>
    <d v="2022-02-19T00:00:00"/>
    <x v="2"/>
    <n v="41570"/>
    <x v="0"/>
    <n v="2.0082191780821916"/>
    <n v="1247.0999999999999"/>
  </r>
  <r>
    <s v="Prerana Nishita"/>
    <x v="0"/>
    <n v="32"/>
    <x v="0"/>
    <e v="#NAME?"/>
    <x v="11"/>
    <d v="2021-12-19T00:00:00"/>
    <x v="2"/>
    <n v="41570"/>
    <x v="1"/>
    <n v="2.1780821917808217"/>
    <n v="1247.0999999999999"/>
  </r>
  <r>
    <s v="Dotty Strutley"/>
    <x v="0"/>
    <n v="31"/>
    <x v="0"/>
    <e v="#NAME?"/>
    <x v="12"/>
    <d v="2020-11-10T00:00:00"/>
    <x v="0"/>
    <n v="41980"/>
    <x v="0"/>
    <n v="3.2849315068493152"/>
    <n v="1259.3999999999999"/>
  </r>
  <r>
    <s v="Jagajeet Viraj"/>
    <x v="0"/>
    <n v="31"/>
    <x v="0"/>
    <e v="#NAME?"/>
    <x v="13"/>
    <d v="2020-09-10T00:00:00"/>
    <x v="0"/>
    <n v="41980"/>
    <x v="1"/>
    <n v="3.452054794520548"/>
    <n v="1259.3999999999999"/>
  </r>
  <r>
    <s v="Drusy MacCombe"/>
    <x v="1"/>
    <n v="28"/>
    <x v="1"/>
    <e v="#NAME?"/>
    <x v="14"/>
    <d v="2022-09-16T00:00:00"/>
    <x v="1"/>
    <n v="43510"/>
    <x v="0"/>
    <n v="1.4356164383561645"/>
    <n v="870.2"/>
  </r>
  <r>
    <s v="Rupak Mehra"/>
    <x v="1"/>
    <n v="28"/>
    <x v="1"/>
    <e v="#NAME?"/>
    <x v="15"/>
    <d v="2022-07-16T00:00:00"/>
    <x v="1"/>
    <n v="43510"/>
    <x v="1"/>
    <n v="1.6054794520547946"/>
    <n v="870.2"/>
  </r>
  <r>
    <s v="Kassi Jonson"/>
    <x v="0"/>
    <n v="32"/>
    <x v="2"/>
    <e v="#NAME?"/>
    <x v="16"/>
    <d v="2021-06-07T00:00:00"/>
    <x v="0"/>
    <n v="43840"/>
    <x v="0"/>
    <n v="2.7123287671232879"/>
    <n v="1315.2"/>
  </r>
  <r>
    <s v="Yagna Sujeev"/>
    <x v="0"/>
    <n v="32"/>
    <x v="2"/>
    <e v="#NAME?"/>
    <x v="17"/>
    <d v="2021-04-07T00:00:00"/>
    <x v="0"/>
    <n v="43840"/>
    <x v="1"/>
    <n v="2.8794520547945206"/>
    <n v="1315.2"/>
  </r>
  <r>
    <s v="Lindy Guillet"/>
    <x v="1"/>
    <n v="22"/>
    <x v="2"/>
    <e v="#NAME?"/>
    <x v="18"/>
    <d v="2021-09-07T00:00:00"/>
    <x v="1"/>
    <n v="45327"/>
    <x v="0"/>
    <n v="2.4602739726027396"/>
    <n v="1359.81"/>
  </r>
  <r>
    <s v="Florinda Crace"/>
    <x v="0"/>
    <n v="32"/>
    <x v="0"/>
    <e v="#NAME?"/>
    <x v="19"/>
    <d v="2021-07-23T00:00:00"/>
    <x v="3"/>
    <n v="45510"/>
    <x v="0"/>
    <n v="2.5863013698630137"/>
    <n v="1365.3"/>
  </r>
  <r>
    <s v="Madhavdas Buhpathi"/>
    <x v="0"/>
    <n v="32"/>
    <x v="0"/>
    <e v="#NAME?"/>
    <x v="20"/>
    <d v="2021-05-23T00:00:00"/>
    <x v="3"/>
    <n v="45510"/>
    <x v="1"/>
    <n v="2.7534246575342465"/>
    <n v="1365.3"/>
  </r>
  <r>
    <s v="Dell Molloy"/>
    <x v="1"/>
    <n v="26"/>
    <x v="0"/>
    <e v="#NAME?"/>
    <x v="21"/>
    <d v="2021-01-29T00:00:00"/>
    <x v="2"/>
    <n v="47360"/>
    <x v="0"/>
    <n v="3.0657534246575344"/>
    <n v="1420.8"/>
  </r>
  <r>
    <s v="Shiuli Sapna"/>
    <x v="1"/>
    <n v="26"/>
    <x v="0"/>
    <e v="#NAME?"/>
    <x v="22"/>
    <d v="2020-11-29T00:00:00"/>
    <x v="2"/>
    <n v="47360"/>
    <x v="1"/>
    <n v="3.2328767123287672"/>
    <n v="1420.8"/>
  </r>
  <r>
    <s v="Jan Morforth"/>
    <x v="1"/>
    <n v="28"/>
    <x v="2"/>
    <e v="#NAME?"/>
    <x v="23"/>
    <d v="2020-07-29T00:00:00"/>
    <x v="4"/>
    <n v="48170"/>
    <x v="0"/>
    <n v="3.56986301369863"/>
    <n v="1445.1"/>
  </r>
  <r>
    <s v="Ardhendu Abhichandra Jayakar"/>
    <x v="1"/>
    <n v="28"/>
    <x v="2"/>
    <e v="#NAME?"/>
    <x v="24"/>
    <d v="2020-05-29T00:00:00"/>
    <x v="4"/>
    <n v="48170"/>
    <x v="1"/>
    <n v="3.7369863013698632"/>
    <n v="1445.1"/>
  </r>
  <r>
    <s v="Erin Androsik"/>
    <x v="1"/>
    <n v="33"/>
    <x v="2"/>
    <e v="#NAME?"/>
    <x v="25"/>
    <d v="2022-05-20T00:00:00"/>
    <x v="2"/>
    <n v="48530"/>
    <x v="0"/>
    <n v="1.7616438356164383"/>
    <n v="970.6"/>
  </r>
  <r>
    <s v="Piyali Mahanthapa"/>
    <x v="1"/>
    <n v="33"/>
    <x v="2"/>
    <e v="#NAME?"/>
    <x v="26"/>
    <d v="2022-03-20T00:00:00"/>
    <x v="2"/>
    <n v="48530"/>
    <x v="1"/>
    <n v="1.9287671232876713"/>
    <n v="970.6"/>
  </r>
  <r>
    <s v="Gunar Cockshoot"/>
    <x v="1"/>
    <n v="31"/>
    <x v="0"/>
    <e v="#NAME?"/>
    <x v="27"/>
    <d v="2021-11-11T00:00:00"/>
    <x v="0"/>
    <n v="48950"/>
    <x v="0"/>
    <n v="2.2821917808219179"/>
    <n v="1468.5"/>
  </r>
  <r>
    <s v="Amal Nimesh"/>
    <x v="1"/>
    <n v="31"/>
    <x v="0"/>
    <e v="#NAME?"/>
    <x v="28"/>
    <d v="2021-09-11T00:00:00"/>
    <x v="0"/>
    <n v="48950"/>
    <x v="1"/>
    <n v="2.4493150684931506"/>
    <n v="1468.5"/>
  </r>
  <r>
    <s v="Esmaria Denecamp"/>
    <x v="1"/>
    <n v="27"/>
    <x v="0"/>
    <e v="#NAME?"/>
    <x v="29"/>
    <d v="2022-01-06T00:00:00"/>
    <x v="4"/>
    <n v="48980"/>
    <x v="0"/>
    <n v="2.128767123287671"/>
    <n v="1469.3999999999999"/>
  </r>
  <r>
    <s v="Vanmala Shriharsha"/>
    <x v="1"/>
    <n v="27"/>
    <x v="0"/>
    <e v="#NAME?"/>
    <x v="30"/>
    <d v="2021-11-06T00:00:00"/>
    <x v="4"/>
    <n v="48980"/>
    <x v="1"/>
    <n v="2.2958904109589042"/>
    <n v="1469.3999999999999"/>
  </r>
  <r>
    <s v="Violante Courtonne"/>
    <x v="0"/>
    <n v="34"/>
    <x v="3"/>
    <e v="#NAME?"/>
    <x v="31"/>
    <d v="2022-06-09T00:00:00"/>
    <x v="1"/>
    <n v="49630"/>
    <x v="0"/>
    <n v="1.7068493150684931"/>
    <n v="992.6"/>
  </r>
  <r>
    <s v="Daruka Ghazali"/>
    <x v="0"/>
    <n v="34"/>
    <x v="3"/>
    <e v="#NAME?"/>
    <x v="32"/>
    <d v="2022-04-09T00:00:00"/>
    <x v="1"/>
    <n v="49630"/>
    <x v="1"/>
    <n v="1.8739726027397261"/>
    <n v="992.6"/>
  </r>
  <r>
    <s v="Kaye Crocroft"/>
    <x v="1"/>
    <n v="24"/>
    <x v="3"/>
    <e v="#NAME?"/>
    <x v="33"/>
    <d v="2021-08-28T00:00:00"/>
    <x v="4"/>
    <n v="52610"/>
    <x v="0"/>
    <n v="2.4876712328767123"/>
    <n v="1578.3"/>
  </r>
  <r>
    <s v="Gumwant Veera"/>
    <x v="1"/>
    <n v="24"/>
    <x v="3"/>
    <e v="#NAME?"/>
    <x v="34"/>
    <d v="2021-06-28T00:00:00"/>
    <x v="4"/>
    <n v="52610"/>
    <x v="1"/>
    <n v="2.6547945205479451"/>
    <n v="1578.3"/>
  </r>
  <r>
    <s v="Tatum Hush"/>
    <x v="0"/>
    <n v="28"/>
    <x v="0"/>
    <e v="#NAME?"/>
    <x v="35"/>
    <d v="2021-06-10T00:00:00"/>
    <x v="1"/>
    <n v="53240"/>
    <x v="0"/>
    <n v="2.7041095890410958"/>
    <n v="1597.2"/>
  </r>
  <r>
    <s v="Anumati Shyamari Meherhomji"/>
    <x v="0"/>
    <n v="28"/>
    <x v="0"/>
    <e v="#NAME?"/>
    <x v="36"/>
    <d v="2021-04-10T00:00:00"/>
    <x v="1"/>
    <n v="53240"/>
    <x v="1"/>
    <n v="2.871232876712329"/>
    <n v="1597.2"/>
  </r>
  <r>
    <s v="Hoyt D'Alesco"/>
    <x v="1"/>
    <n v="32"/>
    <x v="0"/>
    <e v="#NAME?"/>
    <x v="37"/>
    <d v="2021-09-26T00:00:00"/>
    <x v="1"/>
    <n v="53540"/>
    <x v="0"/>
    <n v="2.408219178082192"/>
    <n v="1606.2"/>
  </r>
  <r>
    <s v="Zach Polon"/>
    <x v="1"/>
    <n v="26"/>
    <x v="0"/>
    <e v="#NAME?"/>
    <x v="38"/>
    <d v="2021-08-03T00:00:00"/>
    <x v="2"/>
    <n v="53540"/>
    <x v="0"/>
    <n v="2.5561643835616437"/>
    <n v="1606.2"/>
  </r>
  <r>
    <s v="Geena Raghavanpillai"/>
    <x v="1"/>
    <n v="32"/>
    <x v="0"/>
    <e v="#NAME?"/>
    <x v="39"/>
    <d v="2021-07-26T00:00:00"/>
    <x v="1"/>
    <n v="53540"/>
    <x v="1"/>
    <n v="2.5780821917808221"/>
    <n v="1606.2"/>
  </r>
  <r>
    <s v="Chitrasen Laul"/>
    <x v="1"/>
    <n v="26"/>
    <x v="0"/>
    <e v="#NAME?"/>
    <x v="40"/>
    <d v="2021-06-03T00:00:00"/>
    <x v="2"/>
    <n v="53540"/>
    <x v="1"/>
    <n v="2.7232876712328768"/>
    <n v="1606.2"/>
  </r>
  <r>
    <s v="William Reeveley"/>
    <x v="1"/>
    <n v="33"/>
    <x v="0"/>
    <e v="#NAME?"/>
    <x v="41"/>
    <d v="2021-11-09T00:00:00"/>
    <x v="0"/>
    <n v="53870"/>
    <x v="0"/>
    <n v="2.2876712328767121"/>
    <n v="1616.1"/>
  </r>
  <r>
    <s v="Pragya Nilufar"/>
    <x v="1"/>
    <n v="33"/>
    <x v="0"/>
    <e v="#NAME?"/>
    <x v="42"/>
    <d v="2021-09-09T00:00:00"/>
    <x v="0"/>
    <n v="53870"/>
    <x v="1"/>
    <n v="2.4547945205479453"/>
    <n v="1616.1"/>
  </r>
  <r>
    <s v="Alta Kaszper"/>
    <x v="1"/>
    <n v="27"/>
    <x v="0"/>
    <e v="#NAME?"/>
    <x v="43"/>
    <d v="2020-10-30T00:00:00"/>
    <x v="1"/>
    <n v="54970"/>
    <x v="0"/>
    <n v="3.3150684931506849"/>
    <n v="1649.1"/>
  </r>
  <r>
    <s v="Sanchali Shirish"/>
    <x v="1"/>
    <n v="27"/>
    <x v="0"/>
    <e v="#NAME?"/>
    <x v="44"/>
    <d v="2020-08-30T00:00:00"/>
    <x v="1"/>
    <n v="54970"/>
    <x v="1"/>
    <n v="3.4821917808219176"/>
    <n v="1649.1"/>
  </r>
  <r>
    <s v="Oran Buxcy"/>
    <x v="0"/>
    <n v="38"/>
    <x v="2"/>
    <e v="#NAME?"/>
    <x v="45"/>
    <d v="2021-05-13T00:00:00"/>
    <x v="1"/>
    <n v="56870"/>
    <x v="0"/>
    <n v="2.7808219178082192"/>
    <n v="1706.1"/>
  </r>
  <r>
    <s v="Mirium Seemantini Shivakumar"/>
    <x v="0"/>
    <n v="38"/>
    <x v="2"/>
    <e v="#NAME?"/>
    <x v="46"/>
    <d v="2021-03-13T00:00:00"/>
    <x v="1"/>
    <n v="56870"/>
    <x v="1"/>
    <n v="2.9479452054794519"/>
    <n v="1706.1"/>
  </r>
  <r>
    <s v="Kelci Walkden"/>
    <x v="1"/>
    <n v="21"/>
    <x v="0"/>
    <e v="#NAME?"/>
    <x v="47"/>
    <d v="2022-07-20T00:00:00"/>
    <x v="2"/>
    <n v="57090"/>
    <x v="0"/>
    <n v="1.5945205479452054"/>
    <n v="1141.8"/>
  </r>
  <r>
    <s v="Shattesh Utpat"/>
    <x v="1"/>
    <n v="21"/>
    <x v="0"/>
    <e v="#NAME?"/>
    <x v="25"/>
    <d v="2022-05-20T00:00:00"/>
    <x v="2"/>
    <n v="57090"/>
    <x v="1"/>
    <n v="1.7616438356164383"/>
    <n v="1141.8"/>
  </r>
  <r>
    <s v="Brien Boise"/>
    <x v="0"/>
    <n v="31"/>
    <x v="0"/>
    <e v="#NAME?"/>
    <x v="48"/>
    <d v="2022-04-12T00:00:00"/>
    <x v="0"/>
    <n v="58100"/>
    <x v="0"/>
    <n v="1.8657534246575342"/>
    <n v="1162"/>
  </r>
  <r>
    <s v="Pratigya Rema"/>
    <x v="0"/>
    <n v="31"/>
    <x v="0"/>
    <e v="#NAME?"/>
    <x v="49"/>
    <d v="2022-02-12T00:00:00"/>
    <x v="0"/>
    <n v="58100"/>
    <x v="1"/>
    <n v="2.0273972602739727"/>
    <n v="1743"/>
  </r>
  <r>
    <s v="Oby Sorrel"/>
    <x v="0"/>
    <n v="34"/>
    <x v="0"/>
    <e v="#NAME?"/>
    <x v="50"/>
    <d v="2022-04-02T00:00:00"/>
    <x v="4"/>
    <n v="58940"/>
    <x v="0"/>
    <n v="1.893150684931507"/>
    <n v="1178.8"/>
  </r>
  <r>
    <s v="Krittika Gaekwad"/>
    <x v="0"/>
    <n v="34"/>
    <x v="0"/>
    <e v="#NAME?"/>
    <x v="51"/>
    <d v="2022-02-02T00:00:00"/>
    <x v="4"/>
    <n v="58940"/>
    <x v="1"/>
    <n v="2.0547945205479454"/>
    <n v="1768.2"/>
  </r>
  <r>
    <s v="Lilyan Klimpt"/>
    <x v="1"/>
    <n v="19"/>
    <x v="0"/>
    <e v="#NAME?"/>
    <x v="52"/>
    <d v="2021-03-22T00:00:00"/>
    <x v="2"/>
    <n v="58960"/>
    <x v="0"/>
    <n v="2.9232876712328766"/>
    <n v="1768.8"/>
  </r>
  <r>
    <s v="Vinanti Choudhari"/>
    <x v="1"/>
    <n v="19"/>
    <x v="0"/>
    <e v="#NAME?"/>
    <x v="53"/>
    <d v="2021-01-22T00:00:00"/>
    <x v="2"/>
    <n v="58960"/>
    <x v="1"/>
    <n v="3.0849315068493151"/>
    <n v="1768.8"/>
  </r>
  <r>
    <s v="My Hanscome"/>
    <x v="1"/>
    <n v="33"/>
    <x v="0"/>
    <e v="#NAME?"/>
    <x v="54"/>
    <d v="2021-02-16T00:00:00"/>
    <x v="4"/>
    <n v="59430"/>
    <x v="0"/>
    <n v="3.0164383561643837"/>
    <n v="1782.8999999999999"/>
  </r>
  <r>
    <s v="Asija Pothireddy"/>
    <x v="1"/>
    <n v="33"/>
    <x v="0"/>
    <e v="#NAME?"/>
    <x v="55"/>
    <d v="2020-12-16T00:00:00"/>
    <x v="4"/>
    <n v="59430"/>
    <x v="1"/>
    <n v="3.1863013698630138"/>
    <n v="1782.8999999999999"/>
  </r>
  <r>
    <s v="Jehu Rudeforth"/>
    <x v="0"/>
    <n v="34"/>
    <x v="0"/>
    <e v="#NAME?"/>
    <x v="56"/>
    <d v="2022-02-20T00:00:00"/>
    <x v="4"/>
    <n v="60130"/>
    <x v="0"/>
    <n v="2.0054794520547947"/>
    <n v="1803.8999999999999"/>
  </r>
  <r>
    <s v="Lalit Kothari"/>
    <x v="0"/>
    <n v="34"/>
    <x v="0"/>
    <e v="#NAME?"/>
    <x v="57"/>
    <d v="2021-12-20T00:00:00"/>
    <x v="4"/>
    <n v="60130"/>
    <x v="1"/>
    <n v="2.1753424657534248"/>
    <n v="1803.8999999999999"/>
  </r>
  <r>
    <s v="Mallorie Waber"/>
    <x v="1"/>
    <n v="30"/>
    <x v="0"/>
    <e v="#NAME?"/>
    <x v="9"/>
    <d v="2022-04-15T00:00:00"/>
    <x v="2"/>
    <n v="60570"/>
    <x v="0"/>
    <n v="1.8575342465753424"/>
    <n v="1211.4000000000001"/>
  </r>
  <r>
    <s v="Mardav Ramaswami"/>
    <x v="1"/>
    <n v="30"/>
    <x v="0"/>
    <e v="#NAME?"/>
    <x v="58"/>
    <d v="2022-02-15T00:00:00"/>
    <x v="2"/>
    <n v="60570"/>
    <x v="1"/>
    <n v="2.0191780821917806"/>
    <n v="1817.1"/>
  </r>
  <r>
    <s v="Vic Radolf"/>
    <x v="0"/>
    <n v="24"/>
    <x v="0"/>
    <e v="#NAME?"/>
    <x v="59"/>
    <d v="2020-11-13T00:00:00"/>
    <x v="0"/>
    <n v="62780"/>
    <x v="0"/>
    <n v="3.2767123287671232"/>
    <n v="1883.3999999999999"/>
  </r>
  <r>
    <s v="Fullara Sushanti Mokate"/>
    <x v="0"/>
    <n v="24"/>
    <x v="0"/>
    <e v="#NAME?"/>
    <x v="60"/>
    <d v="2020-09-13T00:00:00"/>
    <x v="0"/>
    <n v="62780"/>
    <x v="1"/>
    <n v="3.4438356164383563"/>
    <n v="1883.3999999999999"/>
  </r>
  <r>
    <s v="Teressa Udden"/>
    <x v="0"/>
    <n v="33"/>
    <x v="0"/>
    <e v="#NAME?"/>
    <x v="61"/>
    <d v="2020-08-24T00:00:00"/>
    <x v="4"/>
    <n v="65360"/>
    <x v="0"/>
    <n v="3.4986301369863013"/>
    <n v="1960.8"/>
  </r>
  <r>
    <s v="Kevalkumar Solanki"/>
    <x v="0"/>
    <n v="33"/>
    <x v="0"/>
    <e v="#NAME?"/>
    <x v="62"/>
    <d v="2020-06-24T00:00:00"/>
    <x v="4"/>
    <n v="65360"/>
    <x v="1"/>
    <n v="3.6657534246575341"/>
    <n v="1960.8"/>
  </r>
  <r>
    <s v="Kath Bletsoe"/>
    <x v="1"/>
    <n v="25"/>
    <x v="0"/>
    <e v="#NAME?"/>
    <x v="63"/>
    <d v="2021-07-06T00:00:00"/>
    <x v="1"/>
    <n v="65700"/>
    <x v="0"/>
    <n v="2.6328767123287671"/>
    <n v="1971"/>
  </r>
  <r>
    <s v="Abhaya Priyavardhan"/>
    <x v="1"/>
    <n v="25"/>
    <x v="0"/>
    <e v="#NAME?"/>
    <x v="64"/>
    <d v="2021-05-06T00:00:00"/>
    <x v="1"/>
    <n v="65700"/>
    <x v="1"/>
    <n v="2.8"/>
    <n v="1971"/>
  </r>
  <r>
    <s v="Marney O'Breen"/>
    <x v="0"/>
    <n v="21"/>
    <x v="0"/>
    <e v="#NAME?"/>
    <x v="65"/>
    <d v="2021-05-01T00:00:00"/>
    <x v="4"/>
    <n v="65920"/>
    <x v="0"/>
    <n v="2.8136986301369862"/>
    <n v="1977.6"/>
  </r>
  <r>
    <s v="Agrata Rajarama"/>
    <x v="0"/>
    <n v="21"/>
    <x v="0"/>
    <e v="#NAME?"/>
    <x v="66"/>
    <d v="2021-03-01T00:00:00"/>
    <x v="4"/>
    <n v="65920"/>
    <x v="1"/>
    <n v="2.9808219178082194"/>
    <n v="1977.6"/>
  </r>
  <r>
    <s v="Husein Augar"/>
    <x v="0"/>
    <n v="30"/>
    <x v="3"/>
    <e v="#NAME?"/>
    <x v="67"/>
    <d v="2021-07-12T00:00:00"/>
    <x v="4"/>
    <n v="67910"/>
    <x v="0"/>
    <n v="2.6164383561643834"/>
    <n v="2037.3"/>
  </r>
  <r>
    <s v="Kantimoy Pritish"/>
    <x v="0"/>
    <n v="30"/>
    <x v="3"/>
    <e v="#NAME?"/>
    <x v="68"/>
    <d v="2021-05-12T00:00:00"/>
    <x v="4"/>
    <n v="67910"/>
    <x v="1"/>
    <n v="2.7835616438356166"/>
    <n v="2037.3"/>
  </r>
  <r>
    <s v="Ebonee Roxburgh"/>
    <x v="1"/>
    <n v="30"/>
    <x v="0"/>
    <e v="#NAME?"/>
    <x v="25"/>
    <d v="2022-05-20T00:00:00"/>
    <x v="2"/>
    <n v="67950"/>
    <x v="0"/>
    <n v="1.7616438356164383"/>
    <n v="1359"/>
  </r>
  <r>
    <s v="Mahindra Sreedharan"/>
    <x v="1"/>
    <n v="30"/>
    <x v="0"/>
    <e v="#NAME?"/>
    <x v="26"/>
    <d v="2022-03-20T00:00:00"/>
    <x v="2"/>
    <n v="67950"/>
    <x v="1"/>
    <n v="1.9287671232876713"/>
    <n v="1359"/>
  </r>
  <r>
    <s v="Hyacinthie Braybrooke"/>
    <x v="0"/>
    <n v="20"/>
    <x v="3"/>
    <e v="#NAME?"/>
    <x v="69"/>
    <d v="2021-12-07T00:00:00"/>
    <x v="1"/>
    <n v="68900"/>
    <x v="0"/>
    <n v="2.2109589041095892"/>
    <n v="2067"/>
  </r>
  <r>
    <s v="Devasree Fullara Saurin"/>
    <x v="0"/>
    <n v="20"/>
    <x v="3"/>
    <e v="#NAME?"/>
    <x v="70"/>
    <d v="2021-10-07T00:00:00"/>
    <x v="1"/>
    <n v="68900"/>
    <x v="1"/>
    <n v="2.3780821917808219"/>
    <n v="2067"/>
  </r>
  <r>
    <s v="Murry Dryburgh"/>
    <x v="1"/>
    <n v="37"/>
    <x v="0"/>
    <e v="#NAME?"/>
    <x v="25"/>
    <d v="2022-05-20T00:00:00"/>
    <x v="0"/>
    <n v="69070"/>
    <x v="0"/>
    <n v="1.7616438356164383"/>
    <n v="1381.4"/>
  </r>
  <r>
    <s v="Jaishree Atasi Yavatkar"/>
    <x v="1"/>
    <n v="37"/>
    <x v="0"/>
    <e v="#NAME?"/>
    <x v="26"/>
    <d v="2022-03-20T00:00:00"/>
    <x v="0"/>
    <n v="69070"/>
    <x v="1"/>
    <n v="1.9287671232876713"/>
    <n v="1381.4"/>
  </r>
  <r>
    <s v="Andria Kimpton"/>
    <x v="1"/>
    <n v="30"/>
    <x v="0"/>
    <e v="#NAME?"/>
    <x v="71"/>
    <d v="2021-03-18T00:00:00"/>
    <x v="0"/>
    <n v="69120"/>
    <x v="0"/>
    <n v="2.9342465753424656"/>
    <n v="2073.6"/>
  </r>
  <r>
    <s v="Rameshwari Chikodi"/>
    <x v="1"/>
    <n v="30"/>
    <x v="0"/>
    <e v="#NAME?"/>
    <x v="72"/>
    <d v="2021-01-18T00:00:00"/>
    <x v="0"/>
    <n v="69120"/>
    <x v="1"/>
    <n v="3.095890410958904"/>
    <n v="2073.6"/>
  </r>
  <r>
    <s v="Myer McCory"/>
    <x v="1"/>
    <n v="30"/>
    <x v="0"/>
    <e v="#NAME?"/>
    <x v="73"/>
    <d v="2022-10-16T00:00:00"/>
    <x v="0"/>
    <n v="69710"/>
    <x v="0"/>
    <n v="1.3534246575342466"/>
    <n v="1394.2"/>
  </r>
  <r>
    <s v="Shekhar Eswara"/>
    <x v="1"/>
    <n v="30"/>
    <x v="0"/>
    <e v="#NAME?"/>
    <x v="74"/>
    <d v="2022-08-16T00:00:00"/>
    <x v="0"/>
    <n v="69710"/>
    <x v="1"/>
    <n v="1.5205479452054795"/>
    <n v="1394.2"/>
  </r>
  <r>
    <s v="Shayne Stegel"/>
    <x v="1"/>
    <n v="42"/>
    <x v="3"/>
    <e v="#NAME?"/>
    <x v="75"/>
    <d v="2022-06-19T00:00:00"/>
    <x v="4"/>
    <n v="70270"/>
    <x v="0"/>
    <n v="1.6794520547945206"/>
    <n v="1405.4"/>
  </r>
  <r>
    <s v="Chandana Sannidhi Surnilla"/>
    <x v="1"/>
    <n v="42"/>
    <x v="3"/>
    <e v="#NAME?"/>
    <x v="76"/>
    <d v="2022-04-19T00:00:00"/>
    <x v="4"/>
    <n v="70270"/>
    <x v="1"/>
    <n v="1.8465753424657534"/>
    <n v="1405.4"/>
  </r>
  <r>
    <s v="Ambros Murthwaite"/>
    <x v="1"/>
    <n v="46"/>
    <x v="0"/>
    <e v="#NAME?"/>
    <x v="15"/>
    <d v="2022-07-16T00:00:00"/>
    <x v="2"/>
    <n v="70610"/>
    <x v="0"/>
    <n v="1.6054794520547946"/>
    <n v="1412.2"/>
  </r>
  <r>
    <s v="Ranajay Kailashnath Richa"/>
    <x v="1"/>
    <n v="46"/>
    <x v="0"/>
    <e v="#NAME?"/>
    <x v="77"/>
    <d v="2022-05-16T00:00:00"/>
    <x v="2"/>
    <n v="70610"/>
    <x v="1"/>
    <n v="1.7726027397260273"/>
    <n v="1412.2"/>
  </r>
  <r>
    <s v="Bennie Pepis"/>
    <x v="1"/>
    <n v="36"/>
    <x v="0"/>
    <e v="#NAME?"/>
    <x v="78"/>
    <d v="2021-05-17T00:00:00"/>
    <x v="4"/>
    <n v="71380"/>
    <x v="0"/>
    <n v="2.7698630136986302"/>
    <n v="2141.4"/>
  </r>
  <r>
    <s v="Kulbhushan Moorthy"/>
    <x v="1"/>
    <n v="36"/>
    <x v="0"/>
    <e v="#NAME?"/>
    <x v="79"/>
    <d v="2021-03-17T00:00:00"/>
    <x v="4"/>
    <n v="71380"/>
    <x v="1"/>
    <n v="2.9369863013698629"/>
    <n v="2141.4"/>
  </r>
  <r>
    <s v="Gigi Bohling"/>
    <x v="1"/>
    <n v="33"/>
    <x v="0"/>
    <e v="#NAME?"/>
    <x v="80"/>
    <d v="2021-07-08T00:00:00"/>
    <x v="1"/>
    <n v="74550"/>
    <x v="0"/>
    <n v="2.6273972602739728"/>
    <n v="2236.5"/>
  </r>
  <r>
    <s v="Yauvani Tarpa"/>
    <x v="1"/>
    <n v="33"/>
    <x v="0"/>
    <e v="#NAME?"/>
    <x v="81"/>
    <d v="2021-05-08T00:00:00"/>
    <x v="1"/>
    <n v="74550"/>
    <x v="1"/>
    <n v="2.7945205479452055"/>
    <n v="2236.5"/>
  </r>
  <r>
    <s v="Barr Faughny"/>
    <x v="0"/>
    <n v="42"/>
    <x v="4"/>
    <e v="#NAME?"/>
    <x v="82"/>
    <d v="2022-08-06T00:00:00"/>
    <x v="2"/>
    <n v="75000"/>
    <x v="0"/>
    <n v="1.547945205479452"/>
    <n v="1500"/>
  </r>
  <r>
    <s v="Nanak Sapna"/>
    <x v="0"/>
    <n v="42"/>
    <x v="4"/>
    <e v="#NAME?"/>
    <x v="83"/>
    <d v="2022-06-06T00:00:00"/>
    <x v="2"/>
    <n v="75000"/>
    <x v="1"/>
    <n v="1.715068493150685"/>
    <n v="1500"/>
  </r>
  <r>
    <s v="Elia Cockton"/>
    <x v="0"/>
    <n v="33"/>
    <x v="0"/>
    <e v="#NAME?"/>
    <x v="84"/>
    <d v="2021-04-26T00:00:00"/>
    <x v="0"/>
    <n v="75280"/>
    <x v="0"/>
    <n v="2.8273972602739725"/>
    <n v="2258.4"/>
  </r>
  <r>
    <s v="Hemavati Muthiah"/>
    <x v="0"/>
    <n v="33"/>
    <x v="0"/>
    <e v="#NAME?"/>
    <x v="85"/>
    <d v="2021-02-26T00:00:00"/>
    <x v="0"/>
    <n v="75280"/>
    <x v="1"/>
    <n v="2.989041095890411"/>
    <n v="2258.4"/>
  </r>
  <r>
    <s v="Camilla Castle"/>
    <x v="0"/>
    <n v="33"/>
    <x v="1"/>
    <e v="#NAME?"/>
    <x v="86"/>
    <d v="2021-06-27T00:00:00"/>
    <x v="0"/>
    <n v="75480"/>
    <x v="0"/>
    <n v="2.6575342465753424"/>
    <n v="2264.4"/>
  </r>
  <r>
    <s v="Ayog Chakrabarti"/>
    <x v="0"/>
    <n v="33"/>
    <x v="1"/>
    <e v="#NAME?"/>
    <x v="87"/>
    <d v="2021-04-27T00:00:00"/>
    <x v="0"/>
    <n v="75480"/>
    <x v="1"/>
    <n v="2.8246575342465752"/>
    <n v="2264.4"/>
  </r>
  <r>
    <s v="Shari McNee"/>
    <x v="1"/>
    <n v="21"/>
    <x v="0"/>
    <e v="#NAME?"/>
    <x v="88"/>
    <d v="2021-02-15T00:00:00"/>
    <x v="3"/>
    <n v="75880"/>
    <x v="0"/>
    <n v="3.0191780821917806"/>
    <n v="2276.4"/>
  </r>
  <r>
    <s v="Sameer Shashank Sapra"/>
    <x v="1"/>
    <n v="21"/>
    <x v="0"/>
    <e v="#NAME?"/>
    <x v="89"/>
    <d v="2020-12-15T00:00:00"/>
    <x v="3"/>
    <n v="75880"/>
    <x v="1"/>
    <n v="3.1890410958904107"/>
    <n v="2276.4"/>
  </r>
  <r>
    <s v="Beverie Moffet"/>
    <x v="0"/>
    <n v="28"/>
    <x v="0"/>
    <e v="#NAME?"/>
    <x v="90"/>
    <d v="2020-12-20T00:00:00"/>
    <x v="4"/>
    <n v="75970"/>
    <x v="0"/>
    <n v="3.1753424657534248"/>
    <n v="2279.1"/>
  </r>
  <r>
    <s v="Indu Varada Sumedh"/>
    <x v="0"/>
    <n v="28"/>
    <x v="0"/>
    <e v="#NAME?"/>
    <x v="91"/>
    <d v="2020-10-20T00:00:00"/>
    <x v="4"/>
    <n v="75970"/>
    <x v="1"/>
    <n v="3.3424657534246576"/>
    <n v="2279.1"/>
  </r>
  <r>
    <s v="Virginia McConville"/>
    <x v="0"/>
    <n v="22"/>
    <x v="2"/>
    <e v="#NAME?"/>
    <x v="28"/>
    <d v="2021-09-11T00:00:00"/>
    <x v="2"/>
    <n v="76900"/>
    <x v="0"/>
    <n v="2.4493150684931506"/>
    <n v="2307"/>
  </r>
  <r>
    <s v="Shreela Ramasubraman"/>
    <x v="0"/>
    <n v="22"/>
    <x v="2"/>
    <e v="#NAME?"/>
    <x v="92"/>
    <d v="2021-07-11T00:00:00"/>
    <x v="2"/>
    <n v="76900"/>
    <x v="1"/>
    <n v="2.6191780821917807"/>
    <n v="2307"/>
  </r>
  <r>
    <s v="Allene Gobbet"/>
    <x v="0"/>
    <n v="36"/>
    <x v="0"/>
    <e v="#NAME?"/>
    <x v="93"/>
    <d v="2021-11-29T00:00:00"/>
    <x v="2"/>
    <n v="78390"/>
    <x v="0"/>
    <n v="2.2328767123287672"/>
    <n v="2351.6999999999998"/>
  </r>
  <r>
    <s v="Rushil Kripa"/>
    <x v="0"/>
    <n v="36"/>
    <x v="0"/>
    <e v="#NAME?"/>
    <x v="94"/>
    <d v="2021-09-29T00:00:00"/>
    <x v="2"/>
    <n v="78390"/>
    <x v="1"/>
    <n v="2.4"/>
    <n v="2351.6999999999998"/>
  </r>
  <r>
    <s v="Gray Seamon"/>
    <x v="0"/>
    <n v="36"/>
    <x v="0"/>
    <e v="#NAME?"/>
    <x v="95"/>
    <d v="2021-10-25T00:00:00"/>
    <x v="1"/>
    <n v="78540"/>
    <x v="0"/>
    <n v="2.3287671232876712"/>
    <n v="2356.1999999999998"/>
  </r>
  <r>
    <s v="Shulabh Qutub Sundaramoorthy"/>
    <x v="0"/>
    <n v="36"/>
    <x v="0"/>
    <e v="#NAME?"/>
    <x v="96"/>
    <d v="2021-08-25T00:00:00"/>
    <x v="1"/>
    <n v="78540"/>
    <x v="1"/>
    <n v="2.495890410958904"/>
    <n v="2356.1999999999998"/>
  </r>
  <r>
    <s v="Kellsie Waby"/>
    <x v="1"/>
    <n v="20"/>
    <x v="0"/>
    <e v="#NAME?"/>
    <x v="97"/>
    <d v="2022-07-02T00:00:00"/>
    <x v="2"/>
    <n v="79570"/>
    <x v="0"/>
    <n v="1.6438356164383561"/>
    <n v="1591.4"/>
  </r>
  <r>
    <s v="Udyan Lanka"/>
    <x v="1"/>
    <n v="20"/>
    <x v="0"/>
    <e v="#NAME?"/>
    <x v="98"/>
    <d v="2022-05-02T00:00:00"/>
    <x v="2"/>
    <n v="79570"/>
    <x v="1"/>
    <n v="1.810958904109589"/>
    <n v="1591.4"/>
  </r>
  <r>
    <s v="Van Tuxwell"/>
    <x v="0"/>
    <n v="25"/>
    <x v="2"/>
    <e v="#NAME?"/>
    <x v="99"/>
    <d v="2022-05-13T00:00:00"/>
    <x v="0"/>
    <n v="80700"/>
    <x v="0"/>
    <n v="1.7808219178082192"/>
    <n v="1614"/>
  </r>
  <r>
    <s v="Bhuvan Pals"/>
    <x v="0"/>
    <n v="25"/>
    <x v="2"/>
    <e v="#NAME?"/>
    <x v="100"/>
    <d v="2022-03-13T00:00:00"/>
    <x v="0"/>
    <n v="80700"/>
    <x v="1"/>
    <n v="1.9479452054794522"/>
    <n v="1614"/>
  </r>
  <r>
    <s v="Agnes Collicott"/>
    <x v="0"/>
    <n v="27"/>
    <x v="0"/>
    <e v="#NAME?"/>
    <x v="101"/>
    <d v="2022-05-05T00:00:00"/>
    <x v="0"/>
    <n v="83750"/>
    <x v="0"/>
    <n v="1.8027397260273972"/>
    <n v="1675"/>
  </r>
  <r>
    <s v="Kunja Prashanta Vibha"/>
    <x v="0"/>
    <n v="27"/>
    <x v="0"/>
    <e v="#NAME?"/>
    <x v="102"/>
    <d v="2022-03-05T00:00:00"/>
    <x v="0"/>
    <n v="83750"/>
    <x v="1"/>
    <n v="1.9698630136986301"/>
    <n v="1675"/>
  </r>
  <r>
    <s v="Karlen McCaffrey"/>
    <x v="0"/>
    <n v="34"/>
    <x v="0"/>
    <e v="#NAME?"/>
    <x v="103"/>
    <d v="2021-09-20T00:00:00"/>
    <x v="4"/>
    <n v="85000"/>
    <x v="0"/>
    <n v="2.4246575342465753"/>
    <n v="2550"/>
  </r>
  <r>
    <s v="Tarala Vishaal"/>
    <x v="0"/>
    <n v="34"/>
    <x v="0"/>
    <e v="#NAME?"/>
    <x v="104"/>
    <d v="2021-07-20T00:00:00"/>
    <x v="4"/>
    <n v="85000"/>
    <x v="1"/>
    <n v="2.5945205479452054"/>
    <n v="2550"/>
  </r>
  <r>
    <s v="Sibyl Dunkirk"/>
    <x v="0"/>
    <n v="33"/>
    <x v="0"/>
    <e v="#NAME?"/>
    <x v="105"/>
    <d v="2022-09-05T00:00:00"/>
    <x v="4"/>
    <n v="86570"/>
    <x v="0"/>
    <n v="1.4657534246575343"/>
    <n v="1731.4"/>
  </r>
  <r>
    <s v="Madhumati Gazala Soumitra"/>
    <x v="0"/>
    <n v="33"/>
    <x v="0"/>
    <e v="#NAME?"/>
    <x v="106"/>
    <d v="2022-07-05T00:00:00"/>
    <x v="4"/>
    <n v="86570"/>
    <x v="1"/>
    <n v="1.6356164383561644"/>
    <n v="1731.4"/>
  </r>
  <r>
    <s v="Merrilee Plenty"/>
    <x v="0"/>
    <n v="40"/>
    <x v="0"/>
    <e v="#NAME?"/>
    <x v="107"/>
    <d v="2021-05-21T00:00:00"/>
    <x v="0"/>
    <n v="87620"/>
    <x v="0"/>
    <n v="2.7589041095890412"/>
    <n v="2628.6"/>
  </r>
  <r>
    <s v="Godavari Veena"/>
    <x v="0"/>
    <n v="40"/>
    <x v="0"/>
    <e v="#NAME?"/>
    <x v="108"/>
    <d v="2021-03-21T00:00:00"/>
    <x v="0"/>
    <n v="87620"/>
    <x v="1"/>
    <n v="2.9260273972602739"/>
    <n v="2628.6"/>
  </r>
  <r>
    <s v="Ches Bonnell"/>
    <x v="1"/>
    <n v="37"/>
    <x v="3"/>
    <e v="#NAME?"/>
    <x v="109"/>
    <d v="2021-05-22T00:00:00"/>
    <x v="0"/>
    <n v="88050"/>
    <x v="0"/>
    <n v="2.7561643835616438"/>
    <n v="2641.5"/>
  </r>
  <r>
    <s v="Gangadutt Ragha"/>
    <x v="1"/>
    <n v="37"/>
    <x v="3"/>
    <e v="#NAME?"/>
    <x v="52"/>
    <d v="2021-03-22T00:00:00"/>
    <x v="0"/>
    <n v="88050"/>
    <x v="1"/>
    <n v="2.9232876712328766"/>
    <n v="2641.5"/>
  </r>
  <r>
    <s v="Enoch Dowrey"/>
    <x v="1"/>
    <n v="27"/>
    <x v="2"/>
    <e v="#NAME?"/>
    <x v="110"/>
    <d v="2021-02-09T00:00:00"/>
    <x v="4"/>
    <n v="91650"/>
    <x v="0"/>
    <n v="3.0356164383561643"/>
    <n v="2749.5"/>
  </r>
  <r>
    <s v="Kamalakshi Mukundan"/>
    <x v="1"/>
    <n v="27"/>
    <x v="2"/>
    <e v="#NAME?"/>
    <x v="111"/>
    <d v="2020-12-09T00:00:00"/>
    <x v="4"/>
    <n v="91650"/>
    <x v="1"/>
    <n v="3.2054794520547945"/>
    <n v="2749.5"/>
  </r>
  <r>
    <s v="Leilah Yesinin"/>
    <x v="0"/>
    <n v="34"/>
    <x v="0"/>
    <e v="#NAME?"/>
    <x v="112"/>
    <d v="2021-09-06T00:00:00"/>
    <x v="4"/>
    <n v="92450"/>
    <x v="0"/>
    <n v="2.463013698630137"/>
    <n v="2773.5"/>
  </r>
  <r>
    <s v="Deepit Ranjana"/>
    <x v="0"/>
    <n v="34"/>
    <x v="0"/>
    <e v="#NAME?"/>
    <x v="63"/>
    <d v="2021-07-06T00:00:00"/>
    <x v="4"/>
    <n v="92450"/>
    <x v="1"/>
    <n v="2.6328767123287671"/>
    <n v="2773.5"/>
  </r>
  <r>
    <s v="Hinda Label"/>
    <x v="0"/>
    <n v="25"/>
    <x v="0"/>
    <e v="#NAME?"/>
    <x v="113"/>
    <d v="2021-01-09T00:00:00"/>
    <x v="1"/>
    <n v="92700"/>
    <x v="0"/>
    <n v="3.1205479452054794"/>
    <n v="2781"/>
  </r>
  <r>
    <s v="Purnendu Vijayarangan"/>
    <x v="0"/>
    <n v="25"/>
    <x v="0"/>
    <e v="#NAME?"/>
    <x v="114"/>
    <d v="2020-11-09T00:00:00"/>
    <x v="1"/>
    <n v="92700"/>
    <x v="1"/>
    <n v="3.2876712328767121"/>
    <n v="2781"/>
  </r>
  <r>
    <s v="Torrance Collier"/>
    <x v="0"/>
    <n v="33"/>
    <x v="0"/>
    <e v="#NAME?"/>
    <x v="115"/>
    <d v="2020-12-25T00:00:00"/>
    <x v="0"/>
    <n v="96140"/>
    <x v="0"/>
    <n v="3.1616438356164385"/>
    <n v="2884.2"/>
  </r>
  <r>
    <s v="Sukhdev Nageshwar"/>
    <x v="0"/>
    <n v="33"/>
    <x v="0"/>
    <e v="#NAME?"/>
    <x v="116"/>
    <d v="2020-10-25T00:00:00"/>
    <x v="0"/>
    <n v="96140"/>
    <x v="1"/>
    <n v="3.3287671232876712"/>
    <n v="2884.2"/>
  </r>
  <r>
    <s v="Constantino Espley"/>
    <x v="1"/>
    <n v="30"/>
    <x v="0"/>
    <e v="#NAME?"/>
    <x v="117"/>
    <d v="2022-02-14T00:00:00"/>
    <x v="4"/>
    <n v="96800"/>
    <x v="0"/>
    <n v="2.021917808219178"/>
    <n v="2904"/>
  </r>
  <r>
    <s v="Mithil Nadkarni"/>
    <x v="1"/>
    <n v="30"/>
    <x v="0"/>
    <e v="#NAME?"/>
    <x v="118"/>
    <d v="2021-12-14T00:00:00"/>
    <x v="4"/>
    <n v="96800"/>
    <x v="1"/>
    <n v="2.1917808219178081"/>
    <n v="2904"/>
  </r>
  <r>
    <s v="Simon Kembery"/>
    <x v="1"/>
    <n v="40"/>
    <x v="0"/>
    <e v="#NAME?"/>
    <x v="119"/>
    <d v="2021-03-08T00:00:00"/>
    <x v="2"/>
    <n v="99750"/>
    <x v="0"/>
    <n v="2.9616438356164383"/>
    <n v="2992.5"/>
  </r>
  <r>
    <s v="Baruna Ogale"/>
    <x v="1"/>
    <n v="40"/>
    <x v="0"/>
    <e v="#NAME?"/>
    <x v="120"/>
    <d v="2021-01-08T00:00:00"/>
    <x v="2"/>
    <n v="99750"/>
    <x v="1"/>
    <n v="3.1232876712328768"/>
    <n v="2992.5"/>
  </r>
  <r>
    <s v="Bernie Gorges"/>
    <x v="0"/>
    <n v="28"/>
    <x v="0"/>
    <e v="#NAME?"/>
    <x v="121"/>
    <d v="2022-03-10T00:00:00"/>
    <x v="2"/>
    <n v="99970"/>
    <x v="0"/>
    <n v="1.9561643835616438"/>
    <n v="1999.4"/>
  </r>
  <r>
    <s v="Vasu Nandin"/>
    <x v="0"/>
    <n v="28"/>
    <x v="0"/>
    <e v="#NAME?"/>
    <x v="122"/>
    <d v="2022-01-10T00:00:00"/>
    <x v="2"/>
    <n v="99970"/>
    <x v="1"/>
    <n v="2.117808219178082"/>
    <n v="2999.1"/>
  </r>
  <r>
    <s v="Collin Jagson"/>
    <x v="1"/>
    <n v="24"/>
    <x v="0"/>
    <e v="#NAME?"/>
    <x v="101"/>
    <d v="2022-05-05T00:00:00"/>
    <x v="0"/>
    <n v="100420"/>
    <x v="0"/>
    <n v="1.8027397260273972"/>
    <n v="2008.4"/>
  </r>
  <r>
    <s v="Amlankusum Rajabhushan"/>
    <x v="1"/>
    <n v="24"/>
    <x v="0"/>
    <e v="#NAME?"/>
    <x v="102"/>
    <d v="2022-03-05T00:00:00"/>
    <x v="0"/>
    <n v="100420"/>
    <x v="1"/>
    <n v="1.9698630136986301"/>
    <n v="2008.4"/>
  </r>
  <r>
    <s v="Dyna Doucette"/>
    <x v="1"/>
    <n v="31"/>
    <x v="0"/>
    <e v="#NAME?"/>
    <x v="123"/>
    <d v="2022-06-12T00:00:00"/>
    <x v="2"/>
    <n v="103550"/>
    <x v="0"/>
    <n v="1.6986301369863013"/>
    <n v="2071"/>
  </r>
  <r>
    <s v="Satyendra Venkatadri"/>
    <x v="1"/>
    <n v="31"/>
    <x v="0"/>
    <e v="#NAME?"/>
    <x v="48"/>
    <d v="2022-04-12T00:00:00"/>
    <x v="2"/>
    <n v="103550"/>
    <x v="1"/>
    <n v="1.8657534246575342"/>
    <n v="2071"/>
  </r>
  <r>
    <s v="Cherlyn Barter"/>
    <x v="0"/>
    <n v="28"/>
    <x v="0"/>
    <e v="#NAME?"/>
    <x v="124"/>
    <d v="2022-03-29T00:00:00"/>
    <x v="2"/>
    <n v="104120"/>
    <x v="0"/>
    <n v="1.904109589041096"/>
    <n v="2082.4"/>
  </r>
  <r>
    <s v="Sartaj Probal"/>
    <x v="0"/>
    <n v="28"/>
    <x v="0"/>
    <e v="#NAME?"/>
    <x v="125"/>
    <d v="2022-01-29T00:00:00"/>
    <x v="2"/>
    <n v="104120"/>
    <x v="1"/>
    <n v="2.0657534246575344"/>
    <n v="3123.6"/>
  </r>
  <r>
    <s v="Caro Chappel"/>
    <x v="0"/>
    <n v="40"/>
    <x v="0"/>
    <e v="#NAME?"/>
    <x v="126"/>
    <d v="2021-07-04T00:00:00"/>
    <x v="0"/>
    <n v="104410"/>
    <x v="0"/>
    <n v="2.6383561643835618"/>
    <n v="3132.2999999999997"/>
  </r>
  <r>
    <s v="Manjusri Ruchi"/>
    <x v="0"/>
    <n v="40"/>
    <x v="0"/>
    <e v="#NAME?"/>
    <x v="127"/>
    <d v="2021-05-04T00:00:00"/>
    <x v="0"/>
    <n v="104410"/>
    <x v="1"/>
    <n v="2.8054794520547945"/>
    <n v="3132.2999999999997"/>
  </r>
  <r>
    <s v="Janene Hairsine"/>
    <x v="0"/>
    <n v="28"/>
    <x v="0"/>
    <e v="#NAME?"/>
    <x v="128"/>
    <d v="2021-10-17T00:00:00"/>
    <x v="2"/>
    <n v="104770"/>
    <x v="0"/>
    <n v="2.3506849315068492"/>
    <n v="3143.1"/>
  </r>
  <r>
    <s v="Shevantilal Muppala"/>
    <x v="0"/>
    <n v="28"/>
    <x v="0"/>
    <e v="#NAME?"/>
    <x v="129"/>
    <d v="2021-08-17T00:00:00"/>
    <x v="2"/>
    <n v="104770"/>
    <x v="1"/>
    <n v="2.5178082191780824"/>
    <n v="3143.1"/>
  </r>
  <r>
    <s v="Kissiah Maydway"/>
    <x v="1"/>
    <n v="23"/>
    <x v="0"/>
    <e v="#NAME?"/>
    <x v="130"/>
    <d v="2021-09-01T00:00:00"/>
    <x v="2"/>
    <n v="106460"/>
    <x v="0"/>
    <n v="2.4767123287671233"/>
    <n v="3193.7999999999997"/>
  </r>
  <r>
    <s v="Sahas Sanabhi Shrikant"/>
    <x v="1"/>
    <n v="23"/>
    <x v="0"/>
    <e v="#NAME?"/>
    <x v="131"/>
    <d v="2021-07-01T00:00:00"/>
    <x v="2"/>
    <n v="106460"/>
    <x v="1"/>
    <n v="2.6465753424657534"/>
    <n v="3193.7999999999997"/>
  </r>
  <r>
    <s v="Kaine Padly"/>
    <x v="1"/>
    <n v="20"/>
    <x v="0"/>
    <e v="#NAME?"/>
    <x v="103"/>
    <d v="2021-09-20T00:00:00"/>
    <x v="0"/>
    <n v="107700"/>
    <x v="0"/>
    <n v="2.4246575342465753"/>
    <n v="3231"/>
  </r>
  <r>
    <s v="Hridaynath Tendulkar"/>
    <x v="1"/>
    <n v="20"/>
    <x v="0"/>
    <e v="#NAME?"/>
    <x v="104"/>
    <d v="2021-07-20T00:00:00"/>
    <x v="0"/>
    <n v="107700"/>
    <x v="1"/>
    <n v="2.5945205479452054"/>
    <n v="3231"/>
  </r>
  <r>
    <s v="Rafaelita Blaksland"/>
    <x v="0"/>
    <n v="38"/>
    <x v="4"/>
    <e v="#NAME?"/>
    <x v="132"/>
    <d v="2021-06-30T00:00:00"/>
    <x v="1"/>
    <n v="109160"/>
    <x v="0"/>
    <n v="2.6493150684931508"/>
    <n v="3274.7999999999997"/>
  </r>
  <r>
    <s v="Sawini Chandan"/>
    <x v="0"/>
    <n v="38"/>
    <x v="4"/>
    <e v="#NAME?"/>
    <x v="133"/>
    <d v="2021-04-30T00:00:00"/>
    <x v="1"/>
    <n v="109160"/>
    <x v="1"/>
    <n v="2.8164383561643835"/>
    <n v="3274.7999999999997"/>
  </r>
  <r>
    <s v="Madelene Upcott"/>
    <x v="1"/>
    <n v="25"/>
    <x v="2"/>
    <e v="#NAME?"/>
    <x v="134"/>
    <d v="2022-06-14T00:00:00"/>
    <x v="2"/>
    <n v="109190"/>
    <x v="0"/>
    <n v="1.6931506849315068"/>
    <n v="2183.8000000000002"/>
  </r>
  <r>
    <s v="Damayanti Thangavadivelu"/>
    <x v="1"/>
    <n v="25"/>
    <x v="2"/>
    <e v="#NAME?"/>
    <x v="135"/>
    <d v="2022-04-14T00:00:00"/>
    <x v="2"/>
    <n v="109190"/>
    <x v="1"/>
    <n v="1.8602739726027397"/>
    <n v="2183.8000000000002"/>
  </r>
  <r>
    <s v="Bev Lashley"/>
    <x v="1"/>
    <n v="29"/>
    <x v="3"/>
    <e v="#NAME?"/>
    <x v="89"/>
    <d v="2020-12-15T00:00:00"/>
    <x v="0"/>
    <n v="112110"/>
    <x v="0"/>
    <n v="3.1890410958904107"/>
    <n v="3363.2999999999997"/>
  </r>
  <r>
    <s v="Narois Motiwala"/>
    <x v="1"/>
    <n v="29"/>
    <x v="3"/>
    <e v="#NAME?"/>
    <x v="136"/>
    <d v="2020-10-15T00:00:00"/>
    <x v="0"/>
    <n v="112110"/>
    <x v="1"/>
    <n v="3.3561643835616439"/>
    <n v="3363.2999999999997"/>
  </r>
  <r>
    <s v="Halimeda Kuscha"/>
    <x v="0"/>
    <n v="30"/>
    <x v="0"/>
    <e v="#NAME?"/>
    <x v="137"/>
    <d v="2022-10-27T00:00:00"/>
    <x v="2"/>
    <n v="112570"/>
    <x v="0"/>
    <n v="1.3232876712328767"/>
    <n v="2251.4"/>
  </r>
  <r>
    <s v="Makshi Vinutha"/>
    <x v="0"/>
    <n v="30"/>
    <x v="0"/>
    <e v="#NAME?"/>
    <x v="138"/>
    <d v="2022-08-27T00:00:00"/>
    <x v="2"/>
    <n v="112570"/>
    <x v="1"/>
    <n v="1.4904109589041097"/>
    <n v="2251.4"/>
  </r>
  <r>
    <s v="Mollie Hanway"/>
    <x v="1"/>
    <n v="20"/>
    <x v="0"/>
    <e v="#NAME?"/>
    <x v="139"/>
    <d v="2020-12-18T00:00:00"/>
    <x v="0"/>
    <n v="112650"/>
    <x v="0"/>
    <n v="3.1808219178082191"/>
    <n v="3379.5"/>
  </r>
  <r>
    <s v="Deepali Charan"/>
    <x v="1"/>
    <n v="20"/>
    <x v="0"/>
    <e v="#NAME?"/>
    <x v="140"/>
    <d v="2020-10-18T00:00:00"/>
    <x v="0"/>
    <n v="112650"/>
    <x v="1"/>
    <n v="3.3479452054794518"/>
    <n v="3379.5"/>
  </r>
  <r>
    <s v="Bandhula Sathyanna"/>
    <x v="1"/>
    <n v="34"/>
    <x v="0"/>
    <e v="#NAME?"/>
    <x v="141"/>
    <d v="2022-03-22T00:00:00"/>
    <x v="2"/>
    <n v="112650"/>
    <x v="1"/>
    <n v="1.9232876712328768"/>
    <n v="2253"/>
  </r>
  <r>
    <s v="Krishnakanta Vellanki"/>
    <x v="1"/>
    <n v="22"/>
    <x v="2"/>
    <e v="#NAME?"/>
    <x v="142"/>
    <d v="2021-07-07T00:00:00"/>
    <x v="1"/>
    <n v="112780"/>
    <x v="1"/>
    <n v="2.6301369863013697"/>
    <n v="3383.4"/>
  </r>
  <r>
    <s v="Mahalia Larcher"/>
    <x v="1"/>
    <n v="27"/>
    <x v="1"/>
    <e v="#NAME?"/>
    <x v="143"/>
    <d v="2022-02-17T00:00:00"/>
    <x v="2"/>
    <n v="113280"/>
    <x v="0"/>
    <n v="2.0136986301369864"/>
    <n v="3398.4"/>
  </r>
  <r>
    <s v="Ilesh Dasgupta"/>
    <x v="1"/>
    <n v="27"/>
    <x v="1"/>
    <e v="#NAME?"/>
    <x v="144"/>
    <d v="2021-12-17T00:00:00"/>
    <x v="2"/>
    <n v="113280"/>
    <x v="1"/>
    <n v="2.1835616438356165"/>
    <n v="3398.4"/>
  </r>
  <r>
    <s v="Hogan Iles"/>
    <x v="0"/>
    <n v="30"/>
    <x v="0"/>
    <e v="#NAME?"/>
    <x v="73"/>
    <d v="2022-10-16T00:00:00"/>
    <x v="2"/>
    <n v="114180"/>
    <x v="0"/>
    <n v="1.3534246575342466"/>
    <n v="2283.6"/>
  </r>
  <r>
    <s v="Sarojini Naueshwara"/>
    <x v="0"/>
    <n v="30"/>
    <x v="0"/>
    <e v="#NAME?"/>
    <x v="74"/>
    <d v="2022-08-16T00:00:00"/>
    <x v="2"/>
    <n v="114180"/>
    <x v="1"/>
    <n v="1.5205479452054795"/>
    <n v="2283.6"/>
  </r>
  <r>
    <s v="Wilone O'Kielt"/>
    <x v="0"/>
    <n v="43"/>
    <x v="0"/>
    <e v="#NAME?"/>
    <x v="145"/>
    <d v="2023-04-29T00:00:00"/>
    <x v="0"/>
    <n v="114870"/>
    <x v="0"/>
    <n v="0.81917808219178079"/>
    <n v="2297.4"/>
  </r>
  <r>
    <s v="Ramnath Ravuri"/>
    <x v="0"/>
    <n v="44"/>
    <x v="0"/>
    <e v="#NAME?"/>
    <x v="146"/>
    <d v="2023-02-28T00:00:00"/>
    <x v="0"/>
    <n v="114870"/>
    <x v="1"/>
    <n v="0.98356164383561639"/>
    <n v="2297.4"/>
  </r>
  <r>
    <s v="Tracy Renad"/>
    <x v="0"/>
    <n v="36"/>
    <x v="0"/>
    <e v="#NAME?"/>
    <x v="147"/>
    <d v="2020-09-11T00:00:00"/>
    <x v="2"/>
    <n v="114890"/>
    <x v="0"/>
    <n v="3.4493150684931506"/>
    <n v="3446.7"/>
  </r>
  <r>
    <s v="Dhruv Manjunath"/>
    <x v="0"/>
    <n v="36"/>
    <x v="0"/>
    <e v="#NAME?"/>
    <x v="2"/>
    <d v="2020-07-11T00:00:00"/>
    <x v="2"/>
    <n v="114890"/>
    <x v="1"/>
    <n v="3.6191780821917807"/>
    <n v="3446.7"/>
  </r>
  <r>
    <s v="Roddy Speechley"/>
    <x v="1"/>
    <n v="33"/>
    <x v="0"/>
    <e v="#NAME?"/>
    <x v="22"/>
    <d v="2020-11-29T00:00:00"/>
    <x v="2"/>
    <n v="115920"/>
    <x v="0"/>
    <n v="3.2328767123287672"/>
    <n v="3477.6"/>
  </r>
  <r>
    <s v="Sarayu Ragunathan"/>
    <x v="1"/>
    <n v="33"/>
    <x v="0"/>
    <e v="#NAME?"/>
    <x v="148"/>
    <d v="2020-09-29T00:00:00"/>
    <x v="2"/>
    <n v="115920"/>
    <x v="1"/>
    <n v="3.4"/>
    <n v="3477.6"/>
  </r>
  <r>
    <s v="Valentia Etteridge"/>
    <x v="0"/>
    <n v="37"/>
    <x v="0"/>
    <e v="#NAME?"/>
    <x v="149"/>
    <d v="2021-09-12T00:00:00"/>
    <x v="3"/>
    <n v="118100"/>
    <x v="0"/>
    <n v="2.4465753424657533"/>
    <n v="3543"/>
  </r>
  <r>
    <s v="Kaishori Harathi Kateel"/>
    <x v="0"/>
    <n v="37"/>
    <x v="0"/>
    <e v="#NAME?"/>
    <x v="67"/>
    <d v="2021-07-12T00:00:00"/>
    <x v="3"/>
    <n v="118100"/>
    <x v="1"/>
    <n v="2.6164383561643834"/>
    <n v="3543"/>
  </r>
  <r>
    <s v="Tawnya Tickel"/>
    <x v="1"/>
    <n v="36"/>
    <x v="0"/>
    <e v="#NAME?"/>
    <x v="150"/>
    <d v="2020-07-07T00:00:00"/>
    <x v="0"/>
    <n v="118840"/>
    <x v="0"/>
    <n v="3.6301369863013697"/>
    <n v="3565.2"/>
  </r>
  <r>
    <s v="Heer Pennathur"/>
    <x v="1"/>
    <n v="36"/>
    <x v="0"/>
    <e v="#NAME?"/>
    <x v="151"/>
    <d v="2020-05-07T00:00:00"/>
    <x v="0"/>
    <n v="118840"/>
    <x v="1"/>
    <n v="3.7972602739726029"/>
    <n v="3565.2"/>
  </r>
  <r>
    <s v="Ewart Laphorn"/>
    <x v="0"/>
    <n v="27"/>
    <x v="0"/>
    <e v="#NAME?"/>
    <x v="140"/>
    <d v="2020-10-18T00:00:00"/>
    <x v="3"/>
    <n v="119110"/>
    <x v="0"/>
    <n v="3.3479452054794518"/>
    <n v="3573.2999999999997"/>
  </r>
  <r>
    <s v="Anjushri Chandiramani"/>
    <x v="0"/>
    <n v="27"/>
    <x v="0"/>
    <e v="#NAME?"/>
    <x v="152"/>
    <d v="2020-08-18T00:00:00"/>
    <x v="3"/>
    <n v="119110"/>
    <x v="1"/>
    <n v="3.515068493150685"/>
    <n v="3573.29999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38B5F-3AC8-48CB-BCCC-FB80EA66D3F1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5" firstHeaderRow="0" firstDataRow="0" firstDataCol="0" rowPageCount="1" colPageCount="1"/>
  <pivotFields count="1">
    <pivotField name="Choose Name" axis="axisPage" multipleItemSelectionAllowed="1" showAll="0">
      <items count="184">
        <item m="1" x="181"/>
        <item m="1" x="182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0"/>
        <item t="default"/>
      </items>
    </pivotField>
  </pivotFields>
  <pageFields count="1">
    <pageField fld="0" hier="-1"/>
  </pageFields>
  <formats count="1">
    <format dxfId="3">
      <pivotArea dataOnly="0" labelOnly="1" outline="0" fieldPosition="0">
        <references count="1">
          <reference field="0" count="1">
            <x v="3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CFDF43-A840-488D-A2BF-F586DB6BF8E7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C5:AE11" firstHeaderRow="0" firstDataRow="1" firstDataCol="1"/>
  <pivotFields count="15">
    <pivotField dataField="1" compact="0" outline="0" showAll="0"/>
    <pivotField compact="0" outline="0" showAll="0"/>
    <pivotField compact="0" outline="0" showAll="0"/>
    <pivotField axis="axisRow" compact="0" outline="0" showAll="0">
      <items count="6">
        <item x="4"/>
        <item x="2"/>
        <item x="0"/>
        <item x="3"/>
        <item x="1"/>
        <item t="default"/>
      </items>
    </pivotField>
    <pivotField compact="0" outline="0" showAll="0"/>
    <pivotField compact="0" numFmtId="14" outline="0" showAll="0">
      <items count="161">
        <item x="151"/>
        <item x="3"/>
        <item x="24"/>
        <item x="62"/>
        <item x="150"/>
        <item x="2"/>
        <item x="23"/>
        <item x="7"/>
        <item x="152"/>
        <item x="61"/>
        <item x="44"/>
        <item x="13"/>
        <item x="147"/>
        <item x="60"/>
        <item x="148"/>
        <item x="6"/>
        <item x="136"/>
        <item x="140"/>
        <item x="91"/>
        <item x="116"/>
        <item x="43"/>
        <item x="114"/>
        <item x="12"/>
        <item m="1" x="159"/>
        <item x="59"/>
        <item x="22"/>
        <item x="111"/>
        <item x="89"/>
        <item x="55"/>
        <item x="139"/>
        <item x="90"/>
        <item x="115"/>
        <item x="120"/>
        <item x="113"/>
        <item m="1" x="156"/>
        <item x="72"/>
        <item x="53"/>
        <item x="21"/>
        <item x="110"/>
        <item x="88"/>
        <item x="54"/>
        <item x="85"/>
        <item x="66"/>
        <item x="119"/>
        <item x="46"/>
        <item m="1" x="155"/>
        <item x="79"/>
        <item x="71"/>
        <item x="108"/>
        <item x="52"/>
        <item x="17"/>
        <item x="36"/>
        <item x="84"/>
        <item x="87"/>
        <item x="133"/>
        <item x="65"/>
        <item x="127"/>
        <item x="64"/>
        <item x="81"/>
        <item x="68"/>
        <item x="45"/>
        <item x="78"/>
        <item x="107"/>
        <item x="109"/>
        <item x="20"/>
        <item x="40"/>
        <item x="16"/>
        <item x="35"/>
        <item x="86"/>
        <item x="34"/>
        <item x="132"/>
        <item x="131"/>
        <item x="126"/>
        <item x="63"/>
        <item x="142"/>
        <item x="80"/>
        <item x="92"/>
        <item x="67"/>
        <item x="104"/>
        <item x="19"/>
        <item x="39"/>
        <item x="38"/>
        <item x="129"/>
        <item x="96"/>
        <item x="33"/>
        <item x="130"/>
        <item x="112"/>
        <item x="18"/>
        <item x="42"/>
        <item x="28"/>
        <item x="149"/>
        <item x="103"/>
        <item x="37"/>
        <item x="94"/>
        <item x="70"/>
        <item x="128"/>
        <item x="95"/>
        <item x="30"/>
        <item x="41"/>
        <item x="27"/>
        <item x="93"/>
        <item m="1" x="154"/>
        <item x="69"/>
        <item x="118"/>
        <item x="144"/>
        <item x="11"/>
        <item x="57"/>
        <item x="5"/>
        <item x="29"/>
        <item x="122"/>
        <item x="125"/>
        <item x="51"/>
        <item m="1" x="153"/>
        <item x="49"/>
        <item x="117"/>
        <item x="58"/>
        <item x="143"/>
        <item x="10"/>
        <item x="56"/>
        <item x="1"/>
        <item x="4"/>
        <item x="102"/>
        <item x="121"/>
        <item x="100"/>
        <item x="26"/>
        <item x="141"/>
        <item x="124"/>
        <item x="50"/>
        <item x="32"/>
        <item x="48"/>
        <item x="135"/>
        <item x="9"/>
        <item x="76"/>
        <item x="0"/>
        <item x="98"/>
        <item x="101"/>
        <item x="99"/>
        <item x="77"/>
        <item x="25"/>
        <item m="1" x="158"/>
        <item x="83"/>
        <item x="31"/>
        <item x="123"/>
        <item x="134"/>
        <item x="8"/>
        <item x="75"/>
        <item x="97"/>
        <item x="106"/>
        <item x="15"/>
        <item x="47"/>
        <item m="1" x="157"/>
        <item x="82"/>
        <item x="74"/>
        <item x="138"/>
        <item x="105"/>
        <item x="14"/>
        <item x="73"/>
        <item x="137"/>
        <item x="146"/>
        <item x="145"/>
        <item t="default"/>
      </items>
    </pivotField>
    <pivotField compact="0" numFmtId="167" outline="0" showAll="0"/>
    <pivotField compact="0" outline="0" showAll="0"/>
    <pivotField dataField="1" compact="0" outline="0" showAll="0"/>
    <pivotField compact="0" outline="0" showAll="0"/>
    <pivotField compact="0" numFmtId="2" outline="0" showAll="0"/>
    <pivotField compact="0" numFmtId="2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0" subtotal="count" baseField="0" baseItem="0"/>
    <dataField name="Average of Salary" fld="8" subtotal="average" baseField="0" baseItem="0" numFmtId="2"/>
  </dataFields>
  <formats count="1">
    <format dxfId="4">
      <pivotArea outline="0" fieldPosition="0">
        <references count="1">
          <reference field="4294967294" count="1" selected="0">
            <x v="1"/>
          </reference>
        </references>
      </pivotArea>
    </format>
  </formats>
  <conditionalFormats count="2"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B6FB04-B1AC-4372-993B-2EB08B15EEE1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fieldListSortAscending="1">
  <location ref="L5" firstHeaderRow="0" firstDataRow="0" firstDataCol="0" rowPageCount="1" colPageCount="1"/>
  <pivotFields count="5">
    <pivotField compact="0" outline="0" showAll="0"/>
    <pivotField compact="0" outline="0" showAll="0"/>
    <pivotField name="Choose Department " axis="axisPage" compact="0" outline="0" multipleItemSelectionAllowed="1" showAll="0" insertBlankRow="1" defaultSubtotal="0">
      <items count="6">
        <item h="1" x="2"/>
        <item h="1" x="4"/>
        <item h="1" x="1"/>
        <item h="1" x="0"/>
        <item x="3"/>
        <item h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</pivotFields>
  <pageFields count="1">
    <pageField fld="2" hier="-1"/>
  </pageFields>
  <formats count="1">
    <format dxfId="5">
      <pivotArea dataOnly="0" labelOnly="1" outline="0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1BC1BF-5D7E-47FD-A504-4F8555CF4569}" name="PivotTable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I5:AK28" firstHeaderRow="1" firstDataRow="1" firstDataCol="2"/>
  <pivotFields count="15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 sortType="ascending">
      <items count="161">
        <item x="151"/>
        <item x="3"/>
        <item x="24"/>
        <item x="62"/>
        <item x="150"/>
        <item x="2"/>
        <item x="23"/>
        <item x="7"/>
        <item x="152"/>
        <item x="61"/>
        <item x="44"/>
        <item x="13"/>
        <item x="147"/>
        <item x="60"/>
        <item x="148"/>
        <item x="6"/>
        <item x="136"/>
        <item x="140"/>
        <item x="91"/>
        <item x="116"/>
        <item x="43"/>
        <item x="114"/>
        <item x="12"/>
        <item m="1" x="159"/>
        <item x="59"/>
        <item x="22"/>
        <item x="111"/>
        <item x="89"/>
        <item x="55"/>
        <item x="139"/>
        <item x="90"/>
        <item x="115"/>
        <item x="120"/>
        <item x="113"/>
        <item m="1" x="156"/>
        <item x="72"/>
        <item x="53"/>
        <item x="21"/>
        <item x="110"/>
        <item x="88"/>
        <item x="54"/>
        <item x="85"/>
        <item x="66"/>
        <item x="119"/>
        <item x="46"/>
        <item m="1" x="155"/>
        <item x="79"/>
        <item x="71"/>
        <item x="108"/>
        <item x="52"/>
        <item x="17"/>
        <item x="36"/>
        <item x="84"/>
        <item x="87"/>
        <item x="133"/>
        <item x="65"/>
        <item x="127"/>
        <item x="64"/>
        <item x="81"/>
        <item x="68"/>
        <item x="45"/>
        <item x="78"/>
        <item x="107"/>
        <item x="109"/>
        <item x="20"/>
        <item x="40"/>
        <item x="16"/>
        <item x="35"/>
        <item x="86"/>
        <item x="34"/>
        <item x="132"/>
        <item x="131"/>
        <item x="126"/>
        <item x="63"/>
        <item x="142"/>
        <item x="80"/>
        <item x="92"/>
        <item x="67"/>
        <item x="104"/>
        <item x="19"/>
        <item x="39"/>
        <item x="38"/>
        <item x="129"/>
        <item x="96"/>
        <item x="33"/>
        <item x="130"/>
        <item x="112"/>
        <item x="18"/>
        <item x="42"/>
        <item x="28"/>
        <item x="149"/>
        <item x="103"/>
        <item x="37"/>
        <item x="94"/>
        <item x="70"/>
        <item x="128"/>
        <item x="95"/>
        <item x="30"/>
        <item x="41"/>
        <item x="27"/>
        <item x="93"/>
        <item m="1" x="154"/>
        <item x="69"/>
        <item x="118"/>
        <item x="144"/>
        <item x="11"/>
        <item x="57"/>
        <item x="5"/>
        <item x="29"/>
        <item x="122"/>
        <item x="125"/>
        <item x="51"/>
        <item m="1" x="153"/>
        <item x="49"/>
        <item x="117"/>
        <item x="58"/>
        <item x="143"/>
        <item x="10"/>
        <item x="56"/>
        <item x="1"/>
        <item x="4"/>
        <item x="102"/>
        <item x="121"/>
        <item x="100"/>
        <item x="26"/>
        <item x="141"/>
        <item x="124"/>
        <item x="50"/>
        <item x="32"/>
        <item x="48"/>
        <item x="135"/>
        <item x="9"/>
        <item x="76"/>
        <item x="0"/>
        <item x="98"/>
        <item x="101"/>
        <item x="99"/>
        <item x="77"/>
        <item x="25"/>
        <item m="1" x="158"/>
        <item x="83"/>
        <item x="31"/>
        <item x="123"/>
        <item x="134"/>
        <item x="8"/>
        <item x="75"/>
        <item x="97"/>
        <item x="106"/>
        <item x="15"/>
        <item x="47"/>
        <item m="1" x="157"/>
        <item x="82"/>
        <item x="74"/>
        <item x="138"/>
        <item x="105"/>
        <item x="14"/>
        <item x="73"/>
        <item x="137"/>
        <item x="146"/>
        <item x="145"/>
        <item t="default"/>
      </items>
    </pivotField>
    <pivotField compact="0" numFmtId="167" outline="0" showAll="0"/>
    <pivotField compact="0" outline="0" showAll="0"/>
    <pivotField compact="0" outline="0" showAll="0"/>
    <pivotField compact="0" outline="0" showAll="0"/>
    <pivotField compact="0" numFmtId="2" outline="0" showAll="0"/>
    <pivotField compact="0" numFmtId="2" outline="0" showAll="0"/>
    <pivotField axis="axisRow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compact="0" outline="0" showAll="0">
      <items count="7">
        <item sd="0" x="0"/>
        <item x="1"/>
        <item sd="0" x="2"/>
        <item x="3"/>
        <item sd="0" x="4"/>
        <item sd="0" x="5"/>
        <item t="default"/>
      </items>
    </pivotField>
  </pivotFields>
  <rowFields count="2">
    <field x="14"/>
    <field x="12"/>
  </rowFields>
  <rowItems count="23">
    <i>
      <x v="1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3"/>
    </i>
    <i>
      <x v="4"/>
    </i>
    <i t="grand">
      <x/>
    </i>
  </rowItems>
  <colItems count="1">
    <i/>
  </colItems>
  <dataFields count="1">
    <dataField name="Count of Name" fld="0" subtotal="count" showDataAs="runTotal" baseField="12" baseItem="1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18509B-8AAC-4BE9-BE71-4D6F12119DE3}" name="PivotTable1" cacheId="5" dataOnRows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 chartFormat="47">
  <location ref="R6:T11" firstHeaderRow="1" firstDataRow="2" firstDataCol="1"/>
  <pivotFields count="15">
    <pivotField dataField="1" compact="0" outline="0" showAll="0"/>
    <pivotField axis="axisCol" compact="0" outline="0" showAll="0">
      <items count="4">
        <item x="0"/>
        <item x="1"/>
        <item m="1" x="2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>
      <items count="161">
        <item x="151"/>
        <item x="3"/>
        <item x="24"/>
        <item x="62"/>
        <item x="150"/>
        <item x="2"/>
        <item x="23"/>
        <item x="7"/>
        <item x="152"/>
        <item x="61"/>
        <item x="44"/>
        <item x="13"/>
        <item x="147"/>
        <item x="60"/>
        <item x="148"/>
        <item x="6"/>
        <item x="136"/>
        <item x="140"/>
        <item x="91"/>
        <item x="116"/>
        <item x="43"/>
        <item x="114"/>
        <item x="12"/>
        <item m="1" x="159"/>
        <item x="59"/>
        <item x="22"/>
        <item x="111"/>
        <item x="89"/>
        <item x="55"/>
        <item x="139"/>
        <item x="90"/>
        <item x="115"/>
        <item x="120"/>
        <item x="113"/>
        <item m="1" x="156"/>
        <item x="72"/>
        <item x="53"/>
        <item x="21"/>
        <item x="110"/>
        <item x="88"/>
        <item x="54"/>
        <item x="85"/>
        <item x="66"/>
        <item x="119"/>
        <item x="46"/>
        <item m="1" x="155"/>
        <item x="79"/>
        <item x="71"/>
        <item x="108"/>
        <item x="52"/>
        <item x="17"/>
        <item x="36"/>
        <item x="84"/>
        <item x="87"/>
        <item x="133"/>
        <item x="65"/>
        <item x="127"/>
        <item x="64"/>
        <item x="81"/>
        <item x="68"/>
        <item x="45"/>
        <item x="78"/>
        <item x="107"/>
        <item x="109"/>
        <item x="20"/>
        <item x="40"/>
        <item x="16"/>
        <item x="35"/>
        <item x="86"/>
        <item x="34"/>
        <item x="132"/>
        <item x="131"/>
        <item x="126"/>
        <item x="63"/>
        <item x="142"/>
        <item x="80"/>
        <item x="92"/>
        <item x="67"/>
        <item x="104"/>
        <item x="19"/>
        <item x="39"/>
        <item x="38"/>
        <item x="129"/>
        <item x="96"/>
        <item x="33"/>
        <item x="130"/>
        <item x="112"/>
        <item x="18"/>
        <item x="42"/>
        <item x="28"/>
        <item x="149"/>
        <item x="103"/>
        <item x="37"/>
        <item x="94"/>
        <item x="70"/>
        <item x="128"/>
        <item x="95"/>
        <item x="30"/>
        <item x="41"/>
        <item x="27"/>
        <item x="93"/>
        <item m="1" x="154"/>
        <item x="69"/>
        <item x="118"/>
        <item x="144"/>
        <item x="11"/>
        <item x="57"/>
        <item x="5"/>
        <item x="29"/>
        <item x="122"/>
        <item x="125"/>
        <item x="51"/>
        <item m="1" x="153"/>
        <item x="49"/>
        <item x="117"/>
        <item x="58"/>
        <item x="143"/>
        <item x="10"/>
        <item x="56"/>
        <item x="1"/>
        <item x="4"/>
        <item x="102"/>
        <item x="121"/>
        <item x="100"/>
        <item x="26"/>
        <item x="141"/>
        <item x="124"/>
        <item x="50"/>
        <item x="32"/>
        <item x="48"/>
        <item x="135"/>
        <item x="9"/>
        <item x="76"/>
        <item x="0"/>
        <item x="98"/>
        <item x="101"/>
        <item x="99"/>
        <item x="77"/>
        <item x="25"/>
        <item m="1" x="158"/>
        <item x="83"/>
        <item x="31"/>
        <item x="123"/>
        <item x="134"/>
        <item x="8"/>
        <item x="75"/>
        <item x="97"/>
        <item x="106"/>
        <item x="15"/>
        <item x="47"/>
        <item m="1" x="157"/>
        <item x="82"/>
        <item x="74"/>
        <item x="138"/>
        <item x="105"/>
        <item x="14"/>
        <item x="73"/>
        <item x="137"/>
        <item x="146"/>
        <item x="145"/>
        <item t="default"/>
      </items>
    </pivotField>
    <pivotField compact="0" numFmtId="167" outline="0" showAll="0"/>
    <pivotField compact="0" outline="0" showAll="0"/>
    <pivotField dataField="1" compact="0" outline="0" showAll="0"/>
    <pivotField compact="0" outline="0" showAll="0"/>
    <pivotField dataField="1" compact="0" numFmtId="2" outline="0" showAll="0"/>
    <pivotField compact="0" numFmtId="2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1"/>
  </colFields>
  <colItems count="2">
    <i>
      <x/>
    </i>
    <i>
      <x v="1"/>
    </i>
  </colItems>
  <dataFields count="4">
    <dataField name="Count of Name" fld="0" subtotal="count" baseField="0" baseItem="0"/>
    <dataField name="Average of Age" fld="2" subtotal="average" baseField="0" baseItem="0" numFmtId="165"/>
    <dataField name="Average of Salary" fld="8" subtotal="average" baseField="0" baseItem="0" numFmtId="166"/>
    <dataField name="Average of Tenure" fld="10" subtotal="average" baseField="0" baseItem="0" numFmtId="165"/>
  </dataFields>
  <formats count="1">
    <format dxfId="6">
      <pivotArea outline="0" fieldPosition="0">
        <references count="1">
          <reference field="4294967294" count="1" selected="0">
            <x v="2"/>
          </reference>
        </references>
      </pivotArea>
    </format>
  </formats>
  <chartFormats count="10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6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6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DD36AF-3583-4FCE-8A73-1547CB687A91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B3:C9" firstHeaderRow="1" firstDataRow="1" firstDataCol="1" rowPageCount="1" colPageCount="1"/>
  <pivotFields count="15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>
      <items count="161">
        <item x="151"/>
        <item x="3"/>
        <item x="24"/>
        <item x="62"/>
        <item x="150"/>
        <item x="2"/>
        <item x="23"/>
        <item x="7"/>
        <item x="152"/>
        <item x="61"/>
        <item x="44"/>
        <item x="13"/>
        <item x="147"/>
        <item x="60"/>
        <item x="148"/>
        <item x="6"/>
        <item x="136"/>
        <item x="140"/>
        <item x="91"/>
        <item x="116"/>
        <item x="43"/>
        <item x="114"/>
        <item x="12"/>
        <item m="1" x="159"/>
        <item x="59"/>
        <item x="22"/>
        <item x="111"/>
        <item x="89"/>
        <item x="55"/>
        <item x="139"/>
        <item x="90"/>
        <item x="115"/>
        <item x="120"/>
        <item x="113"/>
        <item m="1" x="156"/>
        <item x="72"/>
        <item x="53"/>
        <item x="21"/>
        <item x="110"/>
        <item x="88"/>
        <item x="54"/>
        <item x="85"/>
        <item x="66"/>
        <item x="119"/>
        <item x="46"/>
        <item m="1" x="155"/>
        <item x="79"/>
        <item x="71"/>
        <item x="108"/>
        <item x="52"/>
        <item x="17"/>
        <item x="36"/>
        <item x="84"/>
        <item x="87"/>
        <item x="133"/>
        <item x="65"/>
        <item x="127"/>
        <item x="64"/>
        <item x="81"/>
        <item x="68"/>
        <item x="45"/>
        <item x="78"/>
        <item x="107"/>
        <item x="109"/>
        <item x="20"/>
        <item x="40"/>
        <item x="16"/>
        <item x="35"/>
        <item x="86"/>
        <item x="34"/>
        <item x="132"/>
        <item x="131"/>
        <item x="126"/>
        <item x="63"/>
        <item x="142"/>
        <item x="80"/>
        <item x="92"/>
        <item x="67"/>
        <item x="104"/>
        <item x="19"/>
        <item x="39"/>
        <item x="38"/>
        <item x="129"/>
        <item x="96"/>
        <item x="33"/>
        <item x="130"/>
        <item x="112"/>
        <item x="18"/>
        <item x="42"/>
        <item x="28"/>
        <item x="149"/>
        <item x="103"/>
        <item x="37"/>
        <item x="94"/>
        <item x="70"/>
        <item x="128"/>
        <item x="95"/>
        <item x="30"/>
        <item x="41"/>
        <item x="27"/>
        <item x="93"/>
        <item m="1" x="154"/>
        <item x="69"/>
        <item x="118"/>
        <item x="144"/>
        <item x="11"/>
        <item x="57"/>
        <item x="5"/>
        <item x="29"/>
        <item x="122"/>
        <item x="125"/>
        <item x="51"/>
        <item m="1" x="153"/>
        <item x="49"/>
        <item x="117"/>
        <item x="58"/>
        <item x="143"/>
        <item x="10"/>
        <item x="56"/>
        <item x="1"/>
        <item x="4"/>
        <item x="102"/>
        <item x="121"/>
        <item x="100"/>
        <item x="26"/>
        <item x="141"/>
        <item x="124"/>
        <item x="50"/>
        <item x="32"/>
        <item x="48"/>
        <item x="135"/>
        <item x="9"/>
        <item x="76"/>
        <item x="0"/>
        <item x="98"/>
        <item x="101"/>
        <item x="99"/>
        <item x="77"/>
        <item x="25"/>
        <item m="1" x="158"/>
        <item x="83"/>
        <item x="31"/>
        <item x="123"/>
        <item x="134"/>
        <item x="8"/>
        <item x="75"/>
        <item x="97"/>
        <item x="106"/>
        <item x="15"/>
        <item x="47"/>
        <item m="1" x="157"/>
        <item x="82"/>
        <item x="74"/>
        <item x="138"/>
        <item x="105"/>
        <item x="14"/>
        <item x="73"/>
        <item x="137"/>
        <item x="146"/>
        <item x="145"/>
        <item t="default"/>
      </items>
    </pivotField>
    <pivotField compact="0" numFmtId="168" outline="0" showAll="0"/>
    <pivotField axis="axisRow" compact="0" outline="0" showAll="0" sortType="descending">
      <items count="6"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Page" compact="0" outline="0" showAll="0">
      <items count="3">
        <item h="1" x="1"/>
        <item x="0"/>
        <item t="default"/>
      </items>
    </pivotField>
    <pivotField compact="0" numFmtId="2" outline="0" showAll="0"/>
    <pivotField compact="0" numFmtId="2" outline="0" showAll="0"/>
    <pivotField compact="0" outline="0" showAll="0" defaultSubtotal="0"/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6">
    <i>
      <x v="2"/>
    </i>
    <i>
      <x v="4"/>
    </i>
    <i>
      <x/>
    </i>
    <i>
      <x v="3"/>
    </i>
    <i>
      <x v="1"/>
    </i>
    <i t="grand">
      <x/>
    </i>
  </rowItems>
  <colItems count="1">
    <i/>
  </colItems>
  <pageFields count="1">
    <pageField fld="9" item="1" hier="-1"/>
  </pageFields>
  <dataFields count="1">
    <dataField name="Count of Name" fld="0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66E98F-A1DD-4CE1-A927-C4ED8EA7BED9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E3:F9" firstHeaderRow="1" firstDataRow="1" firstDataCol="1" rowPageCount="1" colPageCount="1"/>
  <pivotFields count="15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>
      <items count="161">
        <item x="151"/>
        <item x="3"/>
        <item x="24"/>
        <item x="62"/>
        <item x="150"/>
        <item x="2"/>
        <item x="23"/>
        <item x="7"/>
        <item x="152"/>
        <item x="61"/>
        <item x="44"/>
        <item x="13"/>
        <item x="147"/>
        <item x="60"/>
        <item x="148"/>
        <item x="6"/>
        <item x="136"/>
        <item x="140"/>
        <item x="91"/>
        <item x="116"/>
        <item x="43"/>
        <item x="114"/>
        <item x="12"/>
        <item m="1" x="159"/>
        <item x="59"/>
        <item x="22"/>
        <item x="111"/>
        <item x="89"/>
        <item x="55"/>
        <item x="139"/>
        <item x="90"/>
        <item x="115"/>
        <item x="120"/>
        <item x="113"/>
        <item m="1" x="156"/>
        <item x="72"/>
        <item x="53"/>
        <item x="21"/>
        <item x="110"/>
        <item x="88"/>
        <item x="54"/>
        <item x="85"/>
        <item x="66"/>
        <item x="119"/>
        <item x="46"/>
        <item m="1" x="155"/>
        <item x="79"/>
        <item x="71"/>
        <item x="108"/>
        <item x="52"/>
        <item x="17"/>
        <item x="36"/>
        <item x="84"/>
        <item x="87"/>
        <item x="133"/>
        <item x="65"/>
        <item x="127"/>
        <item x="64"/>
        <item x="81"/>
        <item x="68"/>
        <item x="45"/>
        <item x="78"/>
        <item x="107"/>
        <item x="109"/>
        <item x="20"/>
        <item x="40"/>
        <item x="16"/>
        <item x="35"/>
        <item x="86"/>
        <item x="34"/>
        <item x="132"/>
        <item x="131"/>
        <item x="126"/>
        <item x="63"/>
        <item x="142"/>
        <item x="80"/>
        <item x="92"/>
        <item x="67"/>
        <item x="104"/>
        <item x="19"/>
        <item x="39"/>
        <item x="38"/>
        <item x="129"/>
        <item x="96"/>
        <item x="33"/>
        <item x="130"/>
        <item x="112"/>
        <item x="18"/>
        <item x="42"/>
        <item x="28"/>
        <item x="149"/>
        <item x="103"/>
        <item x="37"/>
        <item x="94"/>
        <item x="70"/>
        <item x="128"/>
        <item x="95"/>
        <item x="30"/>
        <item x="41"/>
        <item x="27"/>
        <item x="93"/>
        <item m="1" x="154"/>
        <item x="69"/>
        <item x="118"/>
        <item x="144"/>
        <item x="11"/>
        <item x="57"/>
        <item x="5"/>
        <item x="29"/>
        <item x="122"/>
        <item x="125"/>
        <item x="51"/>
        <item m="1" x="153"/>
        <item x="49"/>
        <item x="117"/>
        <item x="58"/>
        <item x="143"/>
        <item x="10"/>
        <item x="56"/>
        <item x="1"/>
        <item x="4"/>
        <item x="102"/>
        <item x="121"/>
        <item x="100"/>
        <item x="26"/>
        <item x="141"/>
        <item x="124"/>
        <item x="50"/>
        <item x="32"/>
        <item x="48"/>
        <item x="135"/>
        <item x="9"/>
        <item x="76"/>
        <item x="0"/>
        <item x="98"/>
        <item x="101"/>
        <item x="99"/>
        <item x="77"/>
        <item x="25"/>
        <item m="1" x="158"/>
        <item x="83"/>
        <item x="31"/>
        <item x="123"/>
        <item x="134"/>
        <item x="8"/>
        <item x="75"/>
        <item x="97"/>
        <item x="106"/>
        <item x="15"/>
        <item x="47"/>
        <item m="1" x="157"/>
        <item x="82"/>
        <item x="74"/>
        <item x="138"/>
        <item x="105"/>
        <item x="14"/>
        <item x="73"/>
        <item x="137"/>
        <item x="146"/>
        <item x="145"/>
        <item t="default"/>
      </items>
    </pivotField>
    <pivotField compact="0" numFmtId="168" outline="0" showAll="0"/>
    <pivotField axis="axisRow" compact="0" outline="0" showAll="0" sortType="descending">
      <items count="6"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Page" compact="0" outline="0" showAll="0">
      <items count="3">
        <item x="1"/>
        <item h="1" x="0"/>
        <item t="default"/>
      </items>
    </pivotField>
    <pivotField compact="0" numFmtId="2" outline="0" showAll="0"/>
    <pivotField compact="0" numFmtId="2" outline="0" showAll="0"/>
    <pivotField compact="0" outline="0" showAll="0" defaultSubtotal="0"/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6">
    <i>
      <x v="2"/>
    </i>
    <i>
      <x v="4"/>
    </i>
    <i>
      <x/>
    </i>
    <i>
      <x v="3"/>
    </i>
    <i>
      <x v="1"/>
    </i>
    <i t="grand">
      <x/>
    </i>
  </rowItems>
  <colItems count="1">
    <i/>
  </colItems>
  <pageFields count="1">
    <pageField fld="9" item="0" hier="-1"/>
  </pageFields>
  <dataFields count="1">
    <dataField name="Count of Name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9344E8-0B55-41E5-8822-12C574E75296}" autoFormatId="16" applyNumberFormats="0" applyBorderFormats="0" applyFontFormats="0" applyPatternFormats="0" applyAlignmentFormats="0" applyWidthHeightFormats="0">
  <queryTableRefresh nextId="14" unboundColumnsRight="2">
    <queryTableFields count="12">
      <queryTableField id="1" name="Name" tableColumnId="1"/>
      <queryTableField id="2" name="Gender" tableColumnId="2"/>
      <queryTableField id="3" name="Age" tableColumnId="3"/>
      <queryTableField id="4" name="Rating" tableColumnId="4"/>
      <queryTableField id="11" dataBound="0" tableColumnId="11"/>
      <queryTableField id="5" name="Date Joined" tableColumnId="5"/>
      <queryTableField id="13" dataBound="0" tableColumnId="13"/>
      <queryTableField id="6" name="Department" tableColumnId="6"/>
      <queryTableField id="7" name="Salary" tableColumnId="7"/>
      <queryTableField id="8" name="Country" tableColumnId="8"/>
      <queryTableField id="9" dataBound="0" tableColumnId="9"/>
      <queryTableField id="10" dataBound="0" tableColumnId="1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4AE5CA-3FF4-48EC-AE30-62730F4EA7EE}" name="indian_stuff" displayName="indian_stuff" ref="B2:H115" totalsRowCount="1">
  <autoFilter ref="B2:H114" xr:uid="{5B4AE5CA-3FF4-48EC-AE30-62730F4EA7EE}"/>
  <tableColumns count="7">
    <tableColumn id="1" xr3:uid="{69CD26BD-5C89-47E7-AA78-EF6AB99044EB}" name="Name" totalsRowLabel="Total"/>
    <tableColumn id="2" xr3:uid="{C3249388-8AD3-4940-AFE5-64D432BCD0C4}" name="Gender"/>
    <tableColumn id="3" xr3:uid="{8930B9D8-2868-4D7E-B3E4-3F9D655D259F}" name="Age"/>
    <tableColumn id="4" xr3:uid="{0739BD2C-858A-4A38-9A98-C7485120B4B7}" name="Rating"/>
    <tableColumn id="5" xr3:uid="{6BC24953-45C7-454A-B3E4-1DC6D056883F}" name="Date Joined" dataDxfId="18"/>
    <tableColumn id="6" xr3:uid="{804371E6-D22A-447A-A5B0-3C35B1617D94}" name="Department"/>
    <tableColumn id="7" xr3:uid="{B8C9919A-5670-47E6-A3EA-F44A750C563F}" name="Salary" totalsRowFunction="average" dataDxfId="17" totalsRowDxfId="1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40733-3094-4E9E-B3A9-92A1FCB1CC63}" name="nzdian_stuff" displayName="nzdian_stuff" ref="C5:I106" totalsRowCount="1">
  <autoFilter ref="C5:I105" xr:uid="{78E40733-3094-4E9E-B3A9-92A1FCB1CC63}"/>
  <tableColumns count="7">
    <tableColumn id="1" xr3:uid="{EA47EF8D-1E87-41B8-91B3-CC607E42F3B5}" name="Name" totalsRowLabel="Total"/>
    <tableColumn id="2" xr3:uid="{C97C9FB7-776D-441E-BEAA-B85D953CEAF5}" name="Gender"/>
    <tableColumn id="3" xr3:uid="{30A08BA3-72C0-473F-A190-EA922C56E11E}" name="Department"/>
    <tableColumn id="4" xr3:uid="{E700BD0D-DEC2-4B8C-A37A-F7A819BF0B19}" name="Age" totalsRowFunction="average"/>
    <tableColumn id="5" xr3:uid="{4F4F989B-E3E2-48C4-B103-384BC994AFC0}" name="Date Joined" dataDxfId="15"/>
    <tableColumn id="6" xr3:uid="{7E8B8744-A623-4C56-8478-223C318A9D3B}" name="Salary" totalsRowFunction="average" dataDxfId="14" totalsRowDxfId="13"/>
    <tableColumn id="7" xr3:uid="{AEDE42A0-0011-4F4D-A3D5-784DC289C7CA}" name="Rating" totalsRowFunction="count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84A826-A2E1-4F85-B03F-B6D8DF6A7EA8}" name="allstaff" displayName="allstaff" ref="A1:L176" tableType="queryTable" totalsRowShown="0">
  <autoFilter ref="A1:L176" xr:uid="{1A84A826-A2E1-4F85-B03F-B6D8DF6A7EA8}"/>
  <sortState xmlns:xlrd2="http://schemas.microsoft.com/office/spreadsheetml/2017/richdata2" ref="A2:L176">
    <sortCondition ref="I1:I176"/>
  </sortState>
  <tableColumns count="12">
    <tableColumn id="1" xr3:uid="{602B7EBF-B6C6-42EE-972F-71C50C2242EB}" uniqueName="1" name="Name" queryTableFieldId="1"/>
    <tableColumn id="2" xr3:uid="{B6F20FA3-C0E3-474F-A600-59AD984766E3}" uniqueName="2" name="Gender" queryTableFieldId="2"/>
    <tableColumn id="3" xr3:uid="{1C35A9C4-0661-4000-A428-4D0E77E59FC4}" uniqueName="3" name="Age" queryTableFieldId="3"/>
    <tableColumn id="4" xr3:uid="{7AAC21B8-46AB-42CD-AF9D-CE80F259DAF8}" uniqueName="4" name="Rating" queryTableFieldId="4" dataDxfId="12"/>
    <tableColumn id="11" xr3:uid="{D5AC7E6E-A94E-4075-8DA0-C90853F39938}" uniqueName="11" name="Digital Rating" queryTableFieldId="11" dataDxfId="11">
      <calculatedColumnFormula>_xlfn.XLOOKUP(D2,Sheet1!$B$2:$B$6,Sheet1!$C$2:$C$6)</calculatedColumnFormula>
    </tableColumn>
    <tableColumn id="5" xr3:uid="{8C64F3C9-D335-4E9A-8637-D1B417C6F6CF}" uniqueName="5" name="Date Joined" queryTableFieldId="5" dataDxfId="10"/>
    <tableColumn id="13" xr3:uid="{C9561BC9-A581-4A47-A700-3055D41A8131}" uniqueName="13" name="Column1" queryTableFieldId="13" dataDxfId="9"/>
    <tableColumn id="6" xr3:uid="{F6E4F7DD-F4C8-4BDE-AC30-7F7358C13827}" uniqueName="6" name="Department" queryTableFieldId="6"/>
    <tableColumn id="7" xr3:uid="{9F096EDC-2AC6-402C-BEF7-9592514B197E}" uniqueName="7" name="Salary" queryTableFieldId="7"/>
    <tableColumn id="8" xr3:uid="{2FBADEE0-7E47-43B2-AFA1-EF44630C162B}" uniqueName="8" name="Country" queryTableFieldId="8"/>
    <tableColumn id="9" xr3:uid="{54F5A377-A3F9-4B12-A8FA-DB5600B7F63D}" uniqueName="9" name="Tenure" queryTableFieldId="9" dataDxfId="8">
      <calculatedColumnFormula>(TODAY()-allstaff[[#This Row],[Date Joined]])/365</calculatedColumnFormula>
    </tableColumn>
    <tableColumn id="10" xr3:uid="{B370AF12-851A-40D1-83B8-C7FC823B6789}" uniqueName="10" name="Annual Bonus" queryTableFieldId="10" dataDxfId="7">
      <calculatedColumnFormula>IF(allstaff[[#This Row],[Tenure]]&gt;2,3%,2%)*allstaff[[#This Row],[Salary]]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9FBE0B-2ABE-4FAC-A292-76B5A622211E}" name="Table5" displayName="Table5" ref="B2:G12" totalsRowShown="0">
  <autoFilter ref="B2:G12" xr:uid="{D89FBE0B-2ABE-4FAC-A292-76B5A622211E}"/>
  <tableColumns count="6">
    <tableColumn id="1" xr3:uid="{2753FD1A-08E1-4C9C-8829-BF701EAB727A}" name="Column1"/>
    <tableColumn id="2" xr3:uid="{1F99F7D0-5A6F-4610-BF66-3DFC24CFED83}" name="Column2"/>
    <tableColumn id="3" xr3:uid="{A884CEFB-EA87-4788-AAF4-85BC57594EE2}" name="Column3"/>
    <tableColumn id="4" xr3:uid="{C2EAF320-B97B-4A17-B7E1-CD5C08D342AD}" name="Column4"/>
    <tableColumn id="5" xr3:uid="{CE0DF53A-1DF5-4EE0-8F13-BD83FEA1296D}" name="Column5"/>
    <tableColumn id="7" xr3:uid="{F3EC0C89-82E7-4936-A95A-492E8D28899A}" name="Column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195B39-2EE4-406A-886B-8BCDF64731D6}" name="Table4" displayName="Table4" ref="B6:D16" totalsRowShown="0">
  <autoFilter ref="B6:D16" xr:uid="{73195B39-2EE4-406A-886B-8BCDF64731D6}"/>
  <tableColumns count="3">
    <tableColumn id="1" xr3:uid="{0F93D006-16F7-435B-90F9-4CCCB63B8F40}" name="Name"/>
    <tableColumn id="2" xr3:uid="{816A0496-57F2-41D2-A549-7B16D2C93D0A}" name="Column1"/>
    <tableColumn id="3" xr3:uid="{211E634F-0801-4B94-A169-FF54AF03A0D2}" name="Dat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5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5"/>
  <sheetViews>
    <sheetView workbookViewId="0">
      <selection activeCell="B5" sqref="B5"/>
    </sheetView>
  </sheetViews>
  <sheetFormatPr defaultRowHeight="14.4" x14ac:dyDescent="0.3"/>
  <cols>
    <col min="2" max="2" width="29.109375" customWidth="1"/>
    <col min="3" max="3" width="9.6640625" bestFit="1" customWidth="1"/>
    <col min="4" max="4" width="6.5546875" bestFit="1" customWidth="1"/>
    <col min="5" max="5" width="13.88671875" bestFit="1" customWidth="1"/>
    <col min="6" max="6" width="13.33203125" bestFit="1" customWidth="1"/>
    <col min="7" max="7" width="13.5546875" bestFit="1" customWidth="1"/>
    <col min="8" max="8" width="13.88671875" bestFit="1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6" t="s">
        <v>6</v>
      </c>
    </row>
    <row r="3" spans="2:8" x14ac:dyDescent="0.3">
      <c r="B3" t="s">
        <v>7</v>
      </c>
      <c r="C3" t="s">
        <v>8</v>
      </c>
      <c r="D3">
        <v>20</v>
      </c>
      <c r="E3" t="s">
        <v>9</v>
      </c>
      <c r="F3" s="5">
        <v>44122</v>
      </c>
      <c r="G3" t="s">
        <v>10</v>
      </c>
      <c r="H3" s="6">
        <v>112650</v>
      </c>
    </row>
    <row r="4" spans="2:8" x14ac:dyDescent="0.3">
      <c r="B4" t="s">
        <v>11</v>
      </c>
      <c r="C4" t="s">
        <v>12</v>
      </c>
      <c r="D4">
        <v>32</v>
      </c>
      <c r="E4" t="s">
        <v>13</v>
      </c>
      <c r="F4" s="5">
        <v>44293</v>
      </c>
      <c r="G4" t="s">
        <v>10</v>
      </c>
      <c r="H4" s="6">
        <v>43840</v>
      </c>
    </row>
    <row r="5" spans="2:8" x14ac:dyDescent="0.3">
      <c r="B5" t="s">
        <v>14</v>
      </c>
      <c r="C5" t="s">
        <v>8</v>
      </c>
      <c r="D5">
        <v>31</v>
      </c>
      <c r="E5" t="s">
        <v>9</v>
      </c>
      <c r="F5" s="5">
        <v>44663</v>
      </c>
      <c r="G5" t="s">
        <v>15</v>
      </c>
      <c r="H5" s="6">
        <v>103550</v>
      </c>
    </row>
    <row r="6" spans="2:8" x14ac:dyDescent="0.3">
      <c r="B6" t="s">
        <v>16</v>
      </c>
      <c r="C6" t="s">
        <v>12</v>
      </c>
      <c r="D6">
        <v>32</v>
      </c>
      <c r="E6" t="s">
        <v>9</v>
      </c>
      <c r="F6" s="5">
        <v>44339</v>
      </c>
      <c r="G6" t="s">
        <v>17</v>
      </c>
      <c r="H6" s="6">
        <v>45510</v>
      </c>
    </row>
    <row r="7" spans="2:8" x14ac:dyDescent="0.3">
      <c r="B7" t="s">
        <v>18</v>
      </c>
      <c r="D7">
        <v>37</v>
      </c>
      <c r="E7" t="s">
        <v>19</v>
      </c>
      <c r="F7" s="5">
        <v>44085</v>
      </c>
      <c r="G7" t="s">
        <v>20</v>
      </c>
      <c r="H7" s="6">
        <v>115440</v>
      </c>
    </row>
    <row r="8" spans="2:8" x14ac:dyDescent="0.3">
      <c r="B8" t="s">
        <v>21</v>
      </c>
      <c r="C8" t="s">
        <v>12</v>
      </c>
      <c r="D8">
        <v>38</v>
      </c>
      <c r="E8" t="s">
        <v>13</v>
      </c>
      <c r="F8" s="5">
        <v>44268</v>
      </c>
      <c r="G8" t="s">
        <v>22</v>
      </c>
      <c r="H8" s="6">
        <v>56870</v>
      </c>
    </row>
    <row r="9" spans="2:8" x14ac:dyDescent="0.3">
      <c r="B9" t="s">
        <v>23</v>
      </c>
      <c r="C9" t="s">
        <v>12</v>
      </c>
      <c r="D9">
        <v>25</v>
      </c>
      <c r="E9" t="s">
        <v>9</v>
      </c>
      <c r="F9" s="5">
        <v>44144</v>
      </c>
      <c r="G9" t="s">
        <v>22</v>
      </c>
      <c r="H9" s="6">
        <v>92700</v>
      </c>
    </row>
    <row r="10" spans="2:8" x14ac:dyDescent="0.3">
      <c r="B10" t="s">
        <v>24</v>
      </c>
      <c r="D10">
        <v>32</v>
      </c>
      <c r="E10" t="s">
        <v>9</v>
      </c>
      <c r="F10" s="5">
        <v>44713</v>
      </c>
      <c r="G10" t="s">
        <v>10</v>
      </c>
      <c r="H10" s="6">
        <v>91310</v>
      </c>
    </row>
    <row r="11" spans="2:8" x14ac:dyDescent="0.3">
      <c r="B11" t="s">
        <v>25</v>
      </c>
      <c r="C11" t="s">
        <v>8</v>
      </c>
      <c r="D11">
        <v>33</v>
      </c>
      <c r="E11" t="s">
        <v>9</v>
      </c>
      <c r="F11" s="5">
        <v>44324</v>
      </c>
      <c r="G11" t="s">
        <v>22</v>
      </c>
      <c r="H11" s="6">
        <v>74550</v>
      </c>
    </row>
    <row r="12" spans="2:8" x14ac:dyDescent="0.3">
      <c r="B12" t="s">
        <v>26</v>
      </c>
      <c r="C12" t="s">
        <v>8</v>
      </c>
      <c r="D12">
        <v>25</v>
      </c>
      <c r="E12" t="s">
        <v>13</v>
      </c>
      <c r="F12" s="5">
        <v>44665</v>
      </c>
      <c r="G12" t="s">
        <v>15</v>
      </c>
      <c r="H12" s="6">
        <v>109190</v>
      </c>
    </row>
    <row r="13" spans="2:8" x14ac:dyDescent="0.3">
      <c r="B13" t="s">
        <v>27</v>
      </c>
      <c r="C13" t="s">
        <v>12</v>
      </c>
      <c r="D13">
        <v>40</v>
      </c>
      <c r="E13" t="s">
        <v>9</v>
      </c>
      <c r="F13" s="5">
        <v>44320</v>
      </c>
      <c r="G13" t="s">
        <v>10</v>
      </c>
      <c r="H13" s="6">
        <v>104410</v>
      </c>
    </row>
    <row r="14" spans="2:8" x14ac:dyDescent="0.3">
      <c r="B14" t="s">
        <v>28</v>
      </c>
      <c r="C14" t="s">
        <v>8</v>
      </c>
      <c r="D14">
        <v>30</v>
      </c>
      <c r="E14" t="s">
        <v>9</v>
      </c>
      <c r="F14" s="5">
        <v>44544</v>
      </c>
      <c r="G14" t="s">
        <v>20</v>
      </c>
      <c r="H14" s="6">
        <v>96800</v>
      </c>
    </row>
    <row r="15" spans="2:8" x14ac:dyDescent="0.3">
      <c r="B15" t="s">
        <v>29</v>
      </c>
      <c r="C15" t="s">
        <v>8</v>
      </c>
      <c r="D15">
        <v>28</v>
      </c>
      <c r="E15" t="s">
        <v>13</v>
      </c>
      <c r="F15" s="5">
        <v>43980</v>
      </c>
      <c r="G15" t="s">
        <v>20</v>
      </c>
      <c r="H15" s="6">
        <v>48170</v>
      </c>
    </row>
    <row r="16" spans="2:8" x14ac:dyDescent="0.3">
      <c r="B16" t="s">
        <v>30</v>
      </c>
      <c r="C16" t="s">
        <v>8</v>
      </c>
      <c r="D16">
        <v>21</v>
      </c>
      <c r="E16" t="s">
        <v>9</v>
      </c>
      <c r="F16" s="5">
        <v>44042</v>
      </c>
      <c r="G16" t="s">
        <v>15</v>
      </c>
      <c r="H16" s="6">
        <v>37920</v>
      </c>
    </row>
    <row r="17" spans="2:8" x14ac:dyDescent="0.3">
      <c r="B17" t="s">
        <v>31</v>
      </c>
      <c r="C17" t="s">
        <v>8</v>
      </c>
      <c r="D17">
        <v>34</v>
      </c>
      <c r="E17" t="s">
        <v>9</v>
      </c>
      <c r="F17" s="5">
        <v>44642</v>
      </c>
      <c r="G17" t="s">
        <v>15</v>
      </c>
      <c r="H17" s="6">
        <v>112650</v>
      </c>
    </row>
    <row r="18" spans="2:8" x14ac:dyDescent="0.3">
      <c r="B18" t="s">
        <v>32</v>
      </c>
      <c r="C18" t="s">
        <v>12</v>
      </c>
      <c r="D18">
        <v>34</v>
      </c>
      <c r="E18" t="s">
        <v>19</v>
      </c>
      <c r="F18" s="5">
        <v>44660</v>
      </c>
      <c r="G18" t="s">
        <v>22</v>
      </c>
      <c r="H18" s="6">
        <v>49630</v>
      </c>
    </row>
    <row r="19" spans="2:8" x14ac:dyDescent="0.3">
      <c r="B19" t="s">
        <v>33</v>
      </c>
      <c r="C19" t="s">
        <v>8</v>
      </c>
      <c r="D19">
        <v>36</v>
      </c>
      <c r="E19" t="s">
        <v>9</v>
      </c>
      <c r="F19" s="5">
        <v>43958</v>
      </c>
      <c r="G19" t="s">
        <v>10</v>
      </c>
      <c r="H19" s="6">
        <v>118840</v>
      </c>
    </row>
    <row r="20" spans="2:8" x14ac:dyDescent="0.3">
      <c r="B20" t="s">
        <v>34</v>
      </c>
      <c r="C20" t="s">
        <v>8</v>
      </c>
      <c r="D20">
        <v>30</v>
      </c>
      <c r="E20" t="s">
        <v>9</v>
      </c>
      <c r="F20" s="5">
        <v>44789</v>
      </c>
      <c r="G20" t="s">
        <v>10</v>
      </c>
      <c r="H20" s="6">
        <v>69710</v>
      </c>
    </row>
    <row r="21" spans="2:8" x14ac:dyDescent="0.3">
      <c r="B21" t="s">
        <v>35</v>
      </c>
      <c r="C21" t="s">
        <v>8</v>
      </c>
      <c r="D21">
        <v>20</v>
      </c>
      <c r="E21" t="s">
        <v>9</v>
      </c>
      <c r="F21" s="5">
        <v>44683</v>
      </c>
      <c r="G21" t="s">
        <v>15</v>
      </c>
      <c r="H21" s="6">
        <v>79570</v>
      </c>
    </row>
    <row r="22" spans="2:8" x14ac:dyDescent="0.3">
      <c r="B22" t="s">
        <v>36</v>
      </c>
      <c r="C22" t="s">
        <v>12</v>
      </c>
      <c r="D22">
        <v>22</v>
      </c>
      <c r="E22" t="s">
        <v>13</v>
      </c>
      <c r="F22" s="5">
        <v>44388</v>
      </c>
      <c r="G22" t="s">
        <v>15</v>
      </c>
      <c r="H22" s="6">
        <v>76900</v>
      </c>
    </row>
    <row r="23" spans="2:8" x14ac:dyDescent="0.3">
      <c r="B23" t="s">
        <v>37</v>
      </c>
      <c r="C23" t="s">
        <v>8</v>
      </c>
      <c r="D23">
        <v>27</v>
      </c>
      <c r="E23" t="s">
        <v>9</v>
      </c>
      <c r="F23" s="5">
        <v>44073</v>
      </c>
      <c r="G23" t="s">
        <v>22</v>
      </c>
      <c r="H23" s="6">
        <v>54970</v>
      </c>
    </row>
    <row r="24" spans="2:8" x14ac:dyDescent="0.3">
      <c r="B24" t="s">
        <v>38</v>
      </c>
      <c r="C24" t="s">
        <v>8</v>
      </c>
      <c r="D24">
        <v>37</v>
      </c>
      <c r="E24" t="s">
        <v>19</v>
      </c>
      <c r="F24" s="5">
        <v>44277</v>
      </c>
      <c r="G24" t="s">
        <v>10</v>
      </c>
      <c r="H24" s="6">
        <v>88050</v>
      </c>
    </row>
    <row r="25" spans="2:8" x14ac:dyDescent="0.3">
      <c r="B25" t="s">
        <v>39</v>
      </c>
      <c r="C25" t="s">
        <v>8</v>
      </c>
      <c r="D25">
        <v>43</v>
      </c>
      <c r="E25" t="s">
        <v>9</v>
      </c>
      <c r="F25" s="5">
        <v>44558</v>
      </c>
      <c r="G25" t="s">
        <v>22</v>
      </c>
      <c r="H25" s="6">
        <v>36040</v>
      </c>
    </row>
    <row r="26" spans="2:8" x14ac:dyDescent="0.3">
      <c r="B26" t="s">
        <v>40</v>
      </c>
      <c r="C26" t="s">
        <v>12</v>
      </c>
      <c r="D26">
        <v>42</v>
      </c>
      <c r="E26" t="s">
        <v>41</v>
      </c>
      <c r="F26" s="5">
        <v>44718</v>
      </c>
      <c r="G26" t="s">
        <v>15</v>
      </c>
      <c r="H26" s="6">
        <v>75000</v>
      </c>
    </row>
    <row r="27" spans="2:8" x14ac:dyDescent="0.3">
      <c r="B27" t="s">
        <v>42</v>
      </c>
      <c r="C27" t="s">
        <v>8</v>
      </c>
      <c r="D27">
        <v>35</v>
      </c>
      <c r="E27" t="s">
        <v>9</v>
      </c>
      <c r="F27" s="5">
        <v>44666</v>
      </c>
      <c r="G27" t="s">
        <v>15</v>
      </c>
      <c r="H27" s="6">
        <v>40400</v>
      </c>
    </row>
    <row r="28" spans="2:8" x14ac:dyDescent="0.3">
      <c r="B28" t="s">
        <v>43</v>
      </c>
      <c r="C28" t="s">
        <v>8</v>
      </c>
      <c r="D28">
        <v>24</v>
      </c>
      <c r="E28" t="s">
        <v>9</v>
      </c>
      <c r="F28" s="5">
        <v>44625</v>
      </c>
      <c r="G28" t="s">
        <v>10</v>
      </c>
      <c r="H28" s="6">
        <v>100420</v>
      </c>
    </row>
    <row r="29" spans="2:8" x14ac:dyDescent="0.3">
      <c r="B29" t="s">
        <v>44</v>
      </c>
      <c r="C29" t="s">
        <v>12</v>
      </c>
      <c r="D29">
        <v>31</v>
      </c>
      <c r="E29" t="s">
        <v>9</v>
      </c>
      <c r="F29" s="5">
        <v>44604</v>
      </c>
      <c r="G29" t="s">
        <v>10</v>
      </c>
      <c r="H29" s="6">
        <v>58100</v>
      </c>
    </row>
    <row r="30" spans="2:8" x14ac:dyDescent="0.3">
      <c r="B30" t="s">
        <v>45</v>
      </c>
      <c r="C30" t="s">
        <v>12</v>
      </c>
      <c r="D30">
        <v>44</v>
      </c>
      <c r="E30" t="s">
        <v>9</v>
      </c>
      <c r="F30" s="5">
        <v>44985</v>
      </c>
      <c r="G30" t="s">
        <v>10</v>
      </c>
      <c r="H30" s="6">
        <v>114870</v>
      </c>
    </row>
    <row r="31" spans="2:8" x14ac:dyDescent="0.3">
      <c r="B31" t="s">
        <v>46</v>
      </c>
      <c r="C31" t="s">
        <v>12</v>
      </c>
      <c r="D31">
        <v>32</v>
      </c>
      <c r="E31" t="s">
        <v>9</v>
      </c>
      <c r="F31" s="5">
        <v>44549</v>
      </c>
      <c r="G31" t="s">
        <v>15</v>
      </c>
      <c r="H31" s="6">
        <v>41570</v>
      </c>
    </row>
    <row r="32" spans="2:8" x14ac:dyDescent="0.3">
      <c r="B32" t="s">
        <v>47</v>
      </c>
      <c r="C32" t="s">
        <v>12</v>
      </c>
      <c r="D32">
        <v>30</v>
      </c>
      <c r="E32" t="s">
        <v>9</v>
      </c>
      <c r="F32" s="5">
        <v>44800</v>
      </c>
      <c r="G32" t="s">
        <v>15</v>
      </c>
      <c r="H32" s="6">
        <v>112570</v>
      </c>
    </row>
    <row r="33" spans="2:8" x14ac:dyDescent="0.3">
      <c r="B33" t="s">
        <v>48</v>
      </c>
      <c r="C33" t="s">
        <v>8</v>
      </c>
      <c r="D33">
        <v>26</v>
      </c>
      <c r="E33" t="s">
        <v>9</v>
      </c>
      <c r="F33" s="5">
        <v>44164</v>
      </c>
      <c r="G33" t="s">
        <v>15</v>
      </c>
      <c r="H33" s="6">
        <v>47360</v>
      </c>
    </row>
    <row r="34" spans="2:8" x14ac:dyDescent="0.3">
      <c r="B34" t="s">
        <v>49</v>
      </c>
      <c r="C34" t="s">
        <v>12</v>
      </c>
      <c r="D34">
        <v>21</v>
      </c>
      <c r="E34" t="s">
        <v>9</v>
      </c>
      <c r="F34" s="5">
        <v>44256</v>
      </c>
      <c r="G34" t="s">
        <v>20</v>
      </c>
      <c r="H34" s="6">
        <v>65920</v>
      </c>
    </row>
    <row r="35" spans="2:8" x14ac:dyDescent="0.3">
      <c r="B35" t="s">
        <v>50</v>
      </c>
      <c r="C35" t="s">
        <v>12</v>
      </c>
      <c r="D35">
        <v>28</v>
      </c>
      <c r="E35" t="s">
        <v>9</v>
      </c>
      <c r="F35" s="5">
        <v>44571</v>
      </c>
      <c r="G35" t="s">
        <v>15</v>
      </c>
      <c r="H35" s="6">
        <v>99970</v>
      </c>
    </row>
    <row r="36" spans="2:8" x14ac:dyDescent="0.3">
      <c r="B36" t="s">
        <v>51</v>
      </c>
      <c r="C36" t="s">
        <v>12</v>
      </c>
      <c r="D36">
        <v>25</v>
      </c>
      <c r="E36" t="s">
        <v>13</v>
      </c>
      <c r="F36" s="5">
        <v>44633</v>
      </c>
      <c r="G36" t="s">
        <v>10</v>
      </c>
      <c r="H36" s="6">
        <v>80700</v>
      </c>
    </row>
    <row r="37" spans="2:8" x14ac:dyDescent="0.3">
      <c r="B37" t="s">
        <v>52</v>
      </c>
      <c r="C37" t="s">
        <v>8</v>
      </c>
      <c r="D37">
        <v>24</v>
      </c>
      <c r="E37" t="s">
        <v>19</v>
      </c>
      <c r="F37" s="5">
        <v>44375</v>
      </c>
      <c r="G37" t="s">
        <v>20</v>
      </c>
      <c r="H37" s="6">
        <v>52610</v>
      </c>
    </row>
    <row r="38" spans="2:8" x14ac:dyDescent="0.3">
      <c r="B38" t="s">
        <v>53</v>
      </c>
      <c r="C38" t="s">
        <v>8</v>
      </c>
      <c r="D38">
        <v>29</v>
      </c>
      <c r="E38" t="s">
        <v>19</v>
      </c>
      <c r="F38" s="5">
        <v>44119</v>
      </c>
      <c r="G38" t="s">
        <v>10</v>
      </c>
      <c r="H38" s="6">
        <v>112110</v>
      </c>
    </row>
    <row r="39" spans="2:8" x14ac:dyDescent="0.3">
      <c r="B39" t="s">
        <v>54</v>
      </c>
      <c r="C39" t="s">
        <v>12</v>
      </c>
      <c r="D39">
        <v>27</v>
      </c>
      <c r="E39" t="s">
        <v>9</v>
      </c>
      <c r="F39" s="5">
        <v>44061</v>
      </c>
      <c r="G39" t="s">
        <v>17</v>
      </c>
      <c r="H39" s="6">
        <v>119110</v>
      </c>
    </row>
    <row r="40" spans="2:8" x14ac:dyDescent="0.3">
      <c r="B40" t="s">
        <v>55</v>
      </c>
      <c r="C40" t="s">
        <v>8</v>
      </c>
      <c r="D40">
        <v>22</v>
      </c>
      <c r="E40" t="s">
        <v>13</v>
      </c>
      <c r="F40" s="5">
        <v>44384</v>
      </c>
      <c r="G40" t="s">
        <v>22</v>
      </c>
      <c r="H40" s="6">
        <v>112780</v>
      </c>
    </row>
    <row r="41" spans="2:8" x14ac:dyDescent="0.3">
      <c r="B41" t="s">
        <v>56</v>
      </c>
      <c r="C41" t="s">
        <v>12</v>
      </c>
      <c r="D41">
        <v>36</v>
      </c>
      <c r="E41" t="s">
        <v>9</v>
      </c>
      <c r="F41" s="5">
        <v>44023</v>
      </c>
      <c r="G41" t="s">
        <v>15</v>
      </c>
      <c r="H41" s="6">
        <v>114890</v>
      </c>
    </row>
    <row r="42" spans="2:8" x14ac:dyDescent="0.3">
      <c r="B42" t="s">
        <v>57</v>
      </c>
      <c r="C42" t="s">
        <v>8</v>
      </c>
      <c r="D42">
        <v>27</v>
      </c>
      <c r="E42" t="s">
        <v>9</v>
      </c>
      <c r="F42" s="5">
        <v>44506</v>
      </c>
      <c r="G42" t="s">
        <v>20</v>
      </c>
      <c r="H42" s="6">
        <v>48980</v>
      </c>
    </row>
    <row r="43" spans="2:8" x14ac:dyDescent="0.3">
      <c r="B43" t="s">
        <v>58</v>
      </c>
      <c r="C43" t="s">
        <v>8</v>
      </c>
      <c r="D43">
        <v>21</v>
      </c>
      <c r="E43" t="s">
        <v>9</v>
      </c>
      <c r="F43" s="5">
        <v>44180</v>
      </c>
      <c r="G43" t="s">
        <v>17</v>
      </c>
      <c r="H43" s="6">
        <v>75880</v>
      </c>
    </row>
    <row r="44" spans="2:8" x14ac:dyDescent="0.3">
      <c r="B44" t="s">
        <v>59</v>
      </c>
      <c r="C44" t="s">
        <v>12</v>
      </c>
      <c r="D44">
        <v>28</v>
      </c>
      <c r="E44" t="s">
        <v>9</v>
      </c>
      <c r="F44" s="5">
        <v>44296</v>
      </c>
      <c r="G44" t="s">
        <v>22</v>
      </c>
      <c r="H44" s="6">
        <v>53240</v>
      </c>
    </row>
    <row r="45" spans="2:8" x14ac:dyDescent="0.3">
      <c r="B45" t="s">
        <v>60</v>
      </c>
      <c r="C45" t="s">
        <v>12</v>
      </c>
      <c r="D45">
        <v>34</v>
      </c>
      <c r="E45" t="s">
        <v>9</v>
      </c>
      <c r="F45" s="5">
        <v>44397</v>
      </c>
      <c r="G45" t="s">
        <v>20</v>
      </c>
      <c r="H45" s="6">
        <v>85000</v>
      </c>
    </row>
    <row r="46" spans="2:8" x14ac:dyDescent="0.3">
      <c r="B46" t="s">
        <v>61</v>
      </c>
      <c r="C46" t="s">
        <v>12</v>
      </c>
      <c r="D46">
        <v>21</v>
      </c>
      <c r="E46" t="s">
        <v>9</v>
      </c>
      <c r="F46" s="5">
        <v>44619</v>
      </c>
      <c r="G46" t="s">
        <v>10</v>
      </c>
      <c r="H46" s="6">
        <v>33920</v>
      </c>
    </row>
    <row r="47" spans="2:8" x14ac:dyDescent="0.3">
      <c r="B47" t="s">
        <v>62</v>
      </c>
      <c r="C47" t="s">
        <v>12</v>
      </c>
      <c r="D47">
        <v>33</v>
      </c>
      <c r="E47" t="s">
        <v>9</v>
      </c>
      <c r="F47" s="5">
        <v>44253</v>
      </c>
      <c r="G47" t="s">
        <v>10</v>
      </c>
      <c r="H47" s="6">
        <v>75280</v>
      </c>
    </row>
    <row r="48" spans="2:8" x14ac:dyDescent="0.3">
      <c r="B48" t="s">
        <v>63</v>
      </c>
      <c r="C48" t="s">
        <v>12</v>
      </c>
      <c r="D48">
        <v>34</v>
      </c>
      <c r="E48" t="s">
        <v>9</v>
      </c>
      <c r="F48" s="5">
        <v>44594</v>
      </c>
      <c r="G48" t="s">
        <v>20</v>
      </c>
      <c r="H48" s="6">
        <v>58940</v>
      </c>
    </row>
    <row r="49" spans="2:8" x14ac:dyDescent="0.3">
      <c r="B49" t="s">
        <v>64</v>
      </c>
      <c r="C49" t="s">
        <v>12</v>
      </c>
      <c r="D49">
        <v>28</v>
      </c>
      <c r="E49" t="s">
        <v>9</v>
      </c>
      <c r="F49" s="5">
        <v>44425</v>
      </c>
      <c r="G49" t="s">
        <v>15</v>
      </c>
      <c r="H49" s="6">
        <v>104770</v>
      </c>
    </row>
    <row r="50" spans="2:8" x14ac:dyDescent="0.3">
      <c r="B50" t="s">
        <v>65</v>
      </c>
      <c r="C50" t="s">
        <v>8</v>
      </c>
      <c r="D50">
        <v>21</v>
      </c>
      <c r="E50" t="s">
        <v>9</v>
      </c>
      <c r="F50" s="5">
        <v>44701</v>
      </c>
      <c r="G50" t="s">
        <v>15</v>
      </c>
      <c r="H50" s="6">
        <v>57090</v>
      </c>
    </row>
    <row r="51" spans="2:8" x14ac:dyDescent="0.3">
      <c r="B51" t="s">
        <v>66</v>
      </c>
      <c r="C51" t="s">
        <v>8</v>
      </c>
      <c r="D51">
        <v>27</v>
      </c>
      <c r="E51" t="s">
        <v>13</v>
      </c>
      <c r="F51" s="5">
        <v>44174</v>
      </c>
      <c r="G51" t="s">
        <v>20</v>
      </c>
      <c r="H51" s="6">
        <v>91650</v>
      </c>
    </row>
    <row r="52" spans="2:8" x14ac:dyDescent="0.3">
      <c r="B52" t="s">
        <v>67</v>
      </c>
      <c r="C52" t="s">
        <v>8</v>
      </c>
      <c r="D52">
        <v>42</v>
      </c>
      <c r="E52" t="s">
        <v>19</v>
      </c>
      <c r="F52" s="5">
        <v>44670</v>
      </c>
      <c r="G52" t="s">
        <v>20</v>
      </c>
      <c r="H52" s="6">
        <v>70270</v>
      </c>
    </row>
    <row r="53" spans="2:8" x14ac:dyDescent="0.3">
      <c r="B53" t="s">
        <v>68</v>
      </c>
      <c r="C53" t="s">
        <v>12</v>
      </c>
      <c r="D53">
        <v>28</v>
      </c>
      <c r="E53" t="s">
        <v>9</v>
      </c>
      <c r="F53" s="5">
        <v>44124</v>
      </c>
      <c r="G53" t="s">
        <v>20</v>
      </c>
      <c r="H53" s="6">
        <v>75970</v>
      </c>
    </row>
    <row r="54" spans="2:8" x14ac:dyDescent="0.3">
      <c r="B54" t="s">
        <v>69</v>
      </c>
      <c r="D54">
        <v>27</v>
      </c>
      <c r="E54" t="s">
        <v>13</v>
      </c>
      <c r="F54" s="5">
        <v>44212</v>
      </c>
      <c r="G54" t="s">
        <v>10</v>
      </c>
      <c r="H54" s="6">
        <v>90700</v>
      </c>
    </row>
    <row r="55" spans="2:8" x14ac:dyDescent="0.3">
      <c r="B55" t="s">
        <v>70</v>
      </c>
      <c r="C55" t="s">
        <v>8</v>
      </c>
      <c r="D55">
        <v>30</v>
      </c>
      <c r="E55" t="s">
        <v>9</v>
      </c>
      <c r="F55" s="5">
        <v>44607</v>
      </c>
      <c r="G55" t="s">
        <v>15</v>
      </c>
      <c r="H55" s="6">
        <v>60570</v>
      </c>
    </row>
    <row r="56" spans="2:8" x14ac:dyDescent="0.3">
      <c r="B56" t="s">
        <v>71</v>
      </c>
      <c r="C56" t="s">
        <v>8</v>
      </c>
      <c r="D56">
        <v>33</v>
      </c>
      <c r="E56" t="s">
        <v>9</v>
      </c>
      <c r="F56" s="5">
        <v>44103</v>
      </c>
      <c r="G56" t="s">
        <v>15</v>
      </c>
      <c r="H56" s="6">
        <v>115920</v>
      </c>
    </row>
    <row r="57" spans="2:8" x14ac:dyDescent="0.3">
      <c r="B57" t="s">
        <v>72</v>
      </c>
      <c r="C57" t="s">
        <v>12</v>
      </c>
      <c r="D57">
        <v>33</v>
      </c>
      <c r="E57" t="s">
        <v>9</v>
      </c>
      <c r="F57" s="5">
        <v>44006</v>
      </c>
      <c r="G57" t="s">
        <v>20</v>
      </c>
      <c r="H57" s="6">
        <v>65360</v>
      </c>
    </row>
    <row r="58" spans="2:8" x14ac:dyDescent="0.3">
      <c r="B58" t="s">
        <v>73</v>
      </c>
      <c r="D58">
        <v>30</v>
      </c>
      <c r="E58" t="s">
        <v>9</v>
      </c>
      <c r="F58" s="5">
        <v>44535</v>
      </c>
      <c r="G58" t="s">
        <v>20</v>
      </c>
      <c r="H58" s="6">
        <v>64000</v>
      </c>
    </row>
    <row r="59" spans="2:8" x14ac:dyDescent="0.3">
      <c r="B59" t="s">
        <v>74</v>
      </c>
      <c r="C59" t="s">
        <v>12</v>
      </c>
      <c r="D59">
        <v>34</v>
      </c>
      <c r="E59" t="s">
        <v>9</v>
      </c>
      <c r="F59" s="5">
        <v>44383</v>
      </c>
      <c r="G59" t="s">
        <v>20</v>
      </c>
      <c r="H59" s="6">
        <v>92450</v>
      </c>
    </row>
    <row r="60" spans="2:8" x14ac:dyDescent="0.3">
      <c r="B60" t="s">
        <v>75</v>
      </c>
      <c r="C60" t="s">
        <v>8</v>
      </c>
      <c r="D60">
        <v>31</v>
      </c>
      <c r="E60" t="s">
        <v>9</v>
      </c>
      <c r="F60" s="5">
        <v>44450</v>
      </c>
      <c r="G60" t="s">
        <v>10</v>
      </c>
      <c r="H60" s="6">
        <v>48950</v>
      </c>
    </row>
    <row r="61" spans="2:8" x14ac:dyDescent="0.3">
      <c r="B61" t="s">
        <v>76</v>
      </c>
      <c r="C61" t="s">
        <v>12</v>
      </c>
      <c r="D61">
        <v>27</v>
      </c>
      <c r="E61" t="s">
        <v>9</v>
      </c>
      <c r="F61" s="5">
        <v>44625</v>
      </c>
      <c r="G61" t="s">
        <v>10</v>
      </c>
      <c r="H61" s="6">
        <v>83750</v>
      </c>
    </row>
    <row r="62" spans="2:8" x14ac:dyDescent="0.3">
      <c r="B62" t="s">
        <v>77</v>
      </c>
      <c r="C62" t="s">
        <v>12</v>
      </c>
      <c r="D62">
        <v>40</v>
      </c>
      <c r="E62" t="s">
        <v>9</v>
      </c>
      <c r="F62" s="5">
        <v>44276</v>
      </c>
      <c r="G62" t="s">
        <v>10</v>
      </c>
      <c r="H62" s="6">
        <v>87620</v>
      </c>
    </row>
    <row r="63" spans="2:8" x14ac:dyDescent="0.3">
      <c r="B63" t="s">
        <v>78</v>
      </c>
      <c r="C63" t="s">
        <v>12</v>
      </c>
      <c r="D63">
        <v>20</v>
      </c>
      <c r="E63" t="s">
        <v>19</v>
      </c>
      <c r="F63" s="5">
        <v>44476</v>
      </c>
      <c r="G63" t="s">
        <v>22</v>
      </c>
      <c r="H63" s="6">
        <v>68900</v>
      </c>
    </row>
    <row r="64" spans="2:8" x14ac:dyDescent="0.3">
      <c r="B64" t="s">
        <v>79</v>
      </c>
      <c r="C64" t="s">
        <v>8</v>
      </c>
      <c r="D64">
        <v>32</v>
      </c>
      <c r="E64" t="s">
        <v>9</v>
      </c>
      <c r="F64" s="5">
        <v>44403</v>
      </c>
      <c r="G64" t="s">
        <v>22</v>
      </c>
      <c r="H64" s="6">
        <v>53540</v>
      </c>
    </row>
    <row r="65" spans="2:8" x14ac:dyDescent="0.3">
      <c r="B65" t="s">
        <v>80</v>
      </c>
      <c r="C65" t="s">
        <v>8</v>
      </c>
      <c r="D65">
        <v>28</v>
      </c>
      <c r="E65" t="s">
        <v>81</v>
      </c>
      <c r="F65" s="5">
        <v>44758</v>
      </c>
      <c r="G65" t="s">
        <v>22</v>
      </c>
      <c r="H65" s="6">
        <v>43510</v>
      </c>
    </row>
    <row r="66" spans="2:8" x14ac:dyDescent="0.3">
      <c r="B66" t="s">
        <v>82</v>
      </c>
      <c r="C66" t="s">
        <v>12</v>
      </c>
      <c r="D66">
        <v>38</v>
      </c>
      <c r="E66" t="s">
        <v>41</v>
      </c>
      <c r="F66" s="5">
        <v>44316</v>
      </c>
      <c r="G66" t="s">
        <v>22</v>
      </c>
      <c r="H66" s="6">
        <v>109160</v>
      </c>
    </row>
    <row r="67" spans="2:8" x14ac:dyDescent="0.3">
      <c r="B67" t="s">
        <v>83</v>
      </c>
      <c r="C67" t="s">
        <v>8</v>
      </c>
      <c r="D67">
        <v>40</v>
      </c>
      <c r="E67" t="s">
        <v>9</v>
      </c>
      <c r="F67" s="5">
        <v>44204</v>
      </c>
      <c r="G67" t="s">
        <v>15</v>
      </c>
      <c r="H67" s="6">
        <v>99750</v>
      </c>
    </row>
    <row r="68" spans="2:8" x14ac:dyDescent="0.3">
      <c r="B68" t="s">
        <v>84</v>
      </c>
      <c r="C68" t="s">
        <v>12</v>
      </c>
      <c r="D68">
        <v>31</v>
      </c>
      <c r="E68" t="s">
        <v>9</v>
      </c>
      <c r="F68" s="5">
        <v>44084</v>
      </c>
      <c r="G68" t="s">
        <v>10</v>
      </c>
      <c r="H68" s="6">
        <v>41980</v>
      </c>
    </row>
    <row r="69" spans="2:8" x14ac:dyDescent="0.3">
      <c r="B69" t="s">
        <v>85</v>
      </c>
      <c r="C69" t="s">
        <v>8</v>
      </c>
      <c r="D69">
        <v>36</v>
      </c>
      <c r="E69" t="s">
        <v>9</v>
      </c>
      <c r="F69" s="5">
        <v>44272</v>
      </c>
      <c r="G69" t="s">
        <v>20</v>
      </c>
      <c r="H69" s="6">
        <v>71380</v>
      </c>
    </row>
    <row r="70" spans="2:8" x14ac:dyDescent="0.3">
      <c r="B70" t="s">
        <v>86</v>
      </c>
      <c r="C70" t="s">
        <v>8</v>
      </c>
      <c r="D70">
        <v>27</v>
      </c>
      <c r="E70" t="s">
        <v>81</v>
      </c>
      <c r="F70" s="5">
        <v>44547</v>
      </c>
      <c r="G70" t="s">
        <v>15</v>
      </c>
      <c r="H70" s="6">
        <v>113280</v>
      </c>
    </row>
    <row r="71" spans="2:8" x14ac:dyDescent="0.3">
      <c r="B71" t="s">
        <v>87</v>
      </c>
      <c r="C71" t="s">
        <v>12</v>
      </c>
      <c r="D71">
        <v>33</v>
      </c>
      <c r="E71" t="s">
        <v>9</v>
      </c>
      <c r="F71" s="5">
        <v>44747</v>
      </c>
      <c r="G71" t="s">
        <v>20</v>
      </c>
      <c r="H71" s="6">
        <v>86570</v>
      </c>
    </row>
    <row r="72" spans="2:8" x14ac:dyDescent="0.3">
      <c r="B72" t="s">
        <v>88</v>
      </c>
      <c r="C72" t="s">
        <v>8</v>
      </c>
      <c r="D72">
        <v>26</v>
      </c>
      <c r="E72" t="s">
        <v>9</v>
      </c>
      <c r="F72" s="5">
        <v>44350</v>
      </c>
      <c r="G72" t="s">
        <v>15</v>
      </c>
      <c r="H72" s="6">
        <v>53540</v>
      </c>
    </row>
    <row r="73" spans="2:8" x14ac:dyDescent="0.3">
      <c r="B73" t="s">
        <v>89</v>
      </c>
      <c r="C73" t="s">
        <v>8</v>
      </c>
      <c r="D73">
        <v>37</v>
      </c>
      <c r="E73" t="s">
        <v>9</v>
      </c>
      <c r="F73" s="5">
        <v>44640</v>
      </c>
      <c r="G73" t="s">
        <v>10</v>
      </c>
      <c r="H73" s="6">
        <v>69070</v>
      </c>
    </row>
    <row r="74" spans="2:8" x14ac:dyDescent="0.3">
      <c r="B74" t="s">
        <v>90</v>
      </c>
      <c r="C74" t="s">
        <v>12</v>
      </c>
      <c r="D74">
        <v>30</v>
      </c>
      <c r="E74" t="s">
        <v>19</v>
      </c>
      <c r="F74" s="5">
        <v>44328</v>
      </c>
      <c r="G74" t="s">
        <v>20</v>
      </c>
      <c r="H74" s="6">
        <v>67910</v>
      </c>
    </row>
    <row r="75" spans="2:8" x14ac:dyDescent="0.3">
      <c r="B75" t="s">
        <v>91</v>
      </c>
      <c r="C75" t="s">
        <v>8</v>
      </c>
      <c r="D75">
        <v>30</v>
      </c>
      <c r="E75" t="s">
        <v>9</v>
      </c>
      <c r="F75" s="5">
        <v>44214</v>
      </c>
      <c r="G75" t="s">
        <v>10</v>
      </c>
      <c r="H75" s="6">
        <v>69120</v>
      </c>
    </row>
    <row r="76" spans="2:8" x14ac:dyDescent="0.3">
      <c r="B76" t="s">
        <v>92</v>
      </c>
      <c r="C76" t="s">
        <v>12</v>
      </c>
      <c r="D76">
        <v>34</v>
      </c>
      <c r="E76" t="s">
        <v>9</v>
      </c>
      <c r="F76" s="5">
        <v>44550</v>
      </c>
      <c r="G76" t="s">
        <v>20</v>
      </c>
      <c r="H76" s="6">
        <v>60130</v>
      </c>
    </row>
    <row r="77" spans="2:8" x14ac:dyDescent="0.3">
      <c r="B77" t="s">
        <v>93</v>
      </c>
      <c r="C77" t="s">
        <v>8</v>
      </c>
      <c r="D77">
        <v>23</v>
      </c>
      <c r="E77" t="s">
        <v>9</v>
      </c>
      <c r="F77" s="5">
        <v>44378</v>
      </c>
      <c r="G77" t="s">
        <v>15</v>
      </c>
      <c r="H77" s="6">
        <v>106460</v>
      </c>
    </row>
    <row r="78" spans="2:8" x14ac:dyDescent="0.3">
      <c r="B78" t="s">
        <v>94</v>
      </c>
      <c r="C78" t="s">
        <v>12</v>
      </c>
      <c r="D78">
        <v>37</v>
      </c>
      <c r="E78" t="s">
        <v>9</v>
      </c>
      <c r="F78" s="5">
        <v>44389</v>
      </c>
      <c r="G78" t="s">
        <v>17</v>
      </c>
      <c r="H78" s="6">
        <v>118100</v>
      </c>
    </row>
    <row r="79" spans="2:8" x14ac:dyDescent="0.3">
      <c r="B79" t="s">
        <v>95</v>
      </c>
      <c r="C79" t="s">
        <v>12</v>
      </c>
      <c r="D79">
        <v>36</v>
      </c>
      <c r="E79" t="s">
        <v>9</v>
      </c>
      <c r="F79" s="5">
        <v>44468</v>
      </c>
      <c r="G79" t="s">
        <v>15</v>
      </c>
      <c r="H79" s="6">
        <v>78390</v>
      </c>
    </row>
    <row r="80" spans="2:8" x14ac:dyDescent="0.3">
      <c r="B80" t="s">
        <v>96</v>
      </c>
      <c r="C80" t="s">
        <v>12</v>
      </c>
      <c r="D80">
        <v>30</v>
      </c>
      <c r="E80" t="s">
        <v>9</v>
      </c>
      <c r="F80" s="5">
        <v>44789</v>
      </c>
      <c r="G80" t="s">
        <v>15</v>
      </c>
      <c r="H80" s="6">
        <v>114180</v>
      </c>
    </row>
    <row r="81" spans="2:8" x14ac:dyDescent="0.3">
      <c r="B81" t="s">
        <v>97</v>
      </c>
      <c r="C81" t="s">
        <v>12</v>
      </c>
      <c r="D81">
        <v>28</v>
      </c>
      <c r="E81" t="s">
        <v>9</v>
      </c>
      <c r="F81" s="5">
        <v>44590</v>
      </c>
      <c r="G81" t="s">
        <v>15</v>
      </c>
      <c r="H81" s="6">
        <v>104120</v>
      </c>
    </row>
    <row r="82" spans="2:8" x14ac:dyDescent="0.3">
      <c r="B82" t="s">
        <v>98</v>
      </c>
      <c r="C82" t="s">
        <v>8</v>
      </c>
      <c r="D82">
        <v>30</v>
      </c>
      <c r="E82" t="s">
        <v>9</v>
      </c>
      <c r="F82" s="5">
        <v>44640</v>
      </c>
      <c r="G82" t="s">
        <v>15</v>
      </c>
      <c r="H82" s="6">
        <v>67950</v>
      </c>
    </row>
    <row r="83" spans="2:8" x14ac:dyDescent="0.3">
      <c r="B83" t="s">
        <v>99</v>
      </c>
      <c r="C83" t="s">
        <v>12</v>
      </c>
      <c r="D83">
        <v>29</v>
      </c>
      <c r="E83" t="s">
        <v>9</v>
      </c>
      <c r="F83" s="5">
        <v>43962</v>
      </c>
      <c r="G83" t="s">
        <v>10</v>
      </c>
      <c r="H83" s="6">
        <v>34980</v>
      </c>
    </row>
    <row r="84" spans="2:8" x14ac:dyDescent="0.3">
      <c r="B84" t="s">
        <v>100</v>
      </c>
      <c r="C84" t="s">
        <v>12</v>
      </c>
      <c r="D84">
        <v>24</v>
      </c>
      <c r="E84" t="s">
        <v>9</v>
      </c>
      <c r="F84" s="5">
        <v>44087</v>
      </c>
      <c r="G84" t="s">
        <v>10</v>
      </c>
      <c r="H84" s="6">
        <v>62780</v>
      </c>
    </row>
    <row r="85" spans="2:8" x14ac:dyDescent="0.3">
      <c r="B85" t="s">
        <v>101</v>
      </c>
      <c r="C85" t="s">
        <v>8</v>
      </c>
      <c r="D85">
        <v>20</v>
      </c>
      <c r="E85" t="s">
        <v>9</v>
      </c>
      <c r="F85" s="5">
        <v>44397</v>
      </c>
      <c r="G85" t="s">
        <v>10</v>
      </c>
      <c r="H85" s="6">
        <v>107700</v>
      </c>
    </row>
    <row r="86" spans="2:8" x14ac:dyDescent="0.3">
      <c r="B86" t="s">
        <v>102</v>
      </c>
      <c r="C86" t="s">
        <v>8</v>
      </c>
      <c r="D86">
        <v>25</v>
      </c>
      <c r="E86" t="s">
        <v>9</v>
      </c>
      <c r="F86" s="5">
        <v>44322</v>
      </c>
      <c r="G86" t="s">
        <v>22</v>
      </c>
      <c r="H86" s="6">
        <v>65700</v>
      </c>
    </row>
    <row r="87" spans="2:8" x14ac:dyDescent="0.3">
      <c r="B87" t="s">
        <v>103</v>
      </c>
      <c r="C87" t="s">
        <v>12</v>
      </c>
      <c r="D87">
        <v>33</v>
      </c>
      <c r="E87" t="s">
        <v>81</v>
      </c>
      <c r="F87" s="5">
        <v>44313</v>
      </c>
      <c r="G87" t="s">
        <v>10</v>
      </c>
      <c r="H87" s="6">
        <v>75480</v>
      </c>
    </row>
    <row r="88" spans="2:8" x14ac:dyDescent="0.3">
      <c r="B88" t="s">
        <v>104</v>
      </c>
      <c r="C88" t="s">
        <v>8</v>
      </c>
      <c r="D88">
        <v>33</v>
      </c>
      <c r="E88" t="s">
        <v>9</v>
      </c>
      <c r="F88" s="5">
        <v>44448</v>
      </c>
      <c r="G88" t="s">
        <v>10</v>
      </c>
      <c r="H88" s="6">
        <v>53870</v>
      </c>
    </row>
    <row r="89" spans="2:8" x14ac:dyDescent="0.3">
      <c r="B89" t="s">
        <v>105</v>
      </c>
      <c r="C89" t="s">
        <v>12</v>
      </c>
      <c r="D89">
        <v>36</v>
      </c>
      <c r="E89" t="s">
        <v>9</v>
      </c>
      <c r="F89" s="5">
        <v>44433</v>
      </c>
      <c r="G89" t="s">
        <v>22</v>
      </c>
      <c r="H89" s="6">
        <v>78540</v>
      </c>
    </row>
    <row r="90" spans="2:8" x14ac:dyDescent="0.3">
      <c r="B90" t="s">
        <v>106</v>
      </c>
      <c r="C90" t="s">
        <v>8</v>
      </c>
      <c r="D90">
        <v>19</v>
      </c>
      <c r="E90" t="s">
        <v>9</v>
      </c>
      <c r="F90" s="5">
        <v>44218</v>
      </c>
      <c r="G90" t="s">
        <v>15</v>
      </c>
      <c r="H90" s="6">
        <v>58960</v>
      </c>
    </row>
    <row r="91" spans="2:8" x14ac:dyDescent="0.3">
      <c r="B91" t="s">
        <v>107</v>
      </c>
      <c r="C91" t="s">
        <v>8</v>
      </c>
      <c r="D91">
        <v>46</v>
      </c>
      <c r="E91" t="s">
        <v>9</v>
      </c>
      <c r="F91" s="5">
        <v>44697</v>
      </c>
      <c r="G91" t="s">
        <v>15</v>
      </c>
      <c r="H91" s="6">
        <v>70610</v>
      </c>
    </row>
    <row r="92" spans="2:8" x14ac:dyDescent="0.3">
      <c r="B92" t="s">
        <v>108</v>
      </c>
      <c r="C92" t="s">
        <v>8</v>
      </c>
      <c r="D92">
        <v>33</v>
      </c>
      <c r="E92" t="s">
        <v>9</v>
      </c>
      <c r="F92" s="5">
        <v>44181</v>
      </c>
      <c r="G92" t="s">
        <v>20</v>
      </c>
      <c r="H92" s="6">
        <v>59430</v>
      </c>
    </row>
    <row r="93" spans="2:8" x14ac:dyDescent="0.3">
      <c r="B93" t="s">
        <v>109</v>
      </c>
      <c r="C93" t="s">
        <v>8</v>
      </c>
      <c r="D93">
        <v>33</v>
      </c>
      <c r="E93" t="s">
        <v>13</v>
      </c>
      <c r="F93" s="5">
        <v>44640</v>
      </c>
      <c r="G93" t="s">
        <v>15</v>
      </c>
      <c r="H93" s="6">
        <v>48530</v>
      </c>
    </row>
    <row r="94" spans="2:8" x14ac:dyDescent="0.3">
      <c r="B94" t="s">
        <v>110</v>
      </c>
      <c r="C94" t="s">
        <v>12</v>
      </c>
      <c r="D94">
        <v>33</v>
      </c>
      <c r="E94" t="s">
        <v>9</v>
      </c>
      <c r="F94" s="5">
        <v>44129</v>
      </c>
      <c r="G94" t="s">
        <v>10</v>
      </c>
      <c r="H94" s="6">
        <v>96140</v>
      </c>
    </row>
    <row r="95" spans="2:8" x14ac:dyDescent="0.3">
      <c r="B95" t="s">
        <v>7</v>
      </c>
      <c r="C95" t="s">
        <v>8</v>
      </c>
      <c r="D95">
        <v>20</v>
      </c>
      <c r="E95" t="s">
        <v>9</v>
      </c>
      <c r="F95" s="5">
        <v>44122</v>
      </c>
      <c r="G95" t="s">
        <v>10</v>
      </c>
      <c r="H95" s="6">
        <v>112650</v>
      </c>
    </row>
    <row r="96" spans="2:8" x14ac:dyDescent="0.3">
      <c r="B96" t="s">
        <v>11</v>
      </c>
      <c r="C96" t="s">
        <v>12</v>
      </c>
      <c r="D96">
        <v>32</v>
      </c>
      <c r="E96" t="s">
        <v>13</v>
      </c>
      <c r="F96" s="5">
        <v>44293</v>
      </c>
      <c r="G96" t="s">
        <v>10</v>
      </c>
      <c r="H96" s="6">
        <v>43840</v>
      </c>
    </row>
    <row r="97" spans="2:8" x14ac:dyDescent="0.3">
      <c r="B97" t="s">
        <v>14</v>
      </c>
      <c r="C97" t="s">
        <v>8</v>
      </c>
      <c r="D97">
        <v>31</v>
      </c>
      <c r="E97" t="s">
        <v>9</v>
      </c>
      <c r="F97" s="5">
        <v>44663</v>
      </c>
      <c r="G97" t="s">
        <v>15</v>
      </c>
      <c r="H97" s="6">
        <v>103550</v>
      </c>
    </row>
    <row r="98" spans="2:8" x14ac:dyDescent="0.3">
      <c r="B98" t="s">
        <v>16</v>
      </c>
      <c r="C98" t="s">
        <v>12</v>
      </c>
      <c r="D98">
        <v>32</v>
      </c>
      <c r="E98" t="s">
        <v>9</v>
      </c>
      <c r="F98" s="5">
        <v>44339</v>
      </c>
      <c r="G98" t="s">
        <v>17</v>
      </c>
      <c r="H98" s="6">
        <v>45510</v>
      </c>
    </row>
    <row r="99" spans="2:8" x14ac:dyDescent="0.3">
      <c r="B99" t="s">
        <v>18</v>
      </c>
      <c r="D99">
        <v>37</v>
      </c>
      <c r="E99" t="s">
        <v>19</v>
      </c>
      <c r="F99" s="5">
        <v>44085</v>
      </c>
      <c r="G99" t="s">
        <v>20</v>
      </c>
      <c r="H99" s="6">
        <v>115440</v>
      </c>
    </row>
    <row r="100" spans="2:8" x14ac:dyDescent="0.3">
      <c r="B100" t="s">
        <v>21</v>
      </c>
      <c r="C100" t="s">
        <v>12</v>
      </c>
      <c r="D100">
        <v>38</v>
      </c>
      <c r="E100" t="s">
        <v>13</v>
      </c>
      <c r="F100" s="5">
        <v>44268</v>
      </c>
      <c r="G100" t="s">
        <v>22</v>
      </c>
      <c r="H100" s="6">
        <v>56870</v>
      </c>
    </row>
    <row r="101" spans="2:8" x14ac:dyDescent="0.3">
      <c r="B101" t="s">
        <v>23</v>
      </c>
      <c r="C101" t="s">
        <v>12</v>
      </c>
      <c r="D101">
        <v>25</v>
      </c>
      <c r="E101" t="s">
        <v>9</v>
      </c>
      <c r="F101" s="5">
        <v>44144</v>
      </c>
      <c r="G101" t="s">
        <v>22</v>
      </c>
      <c r="H101" s="6">
        <v>92700</v>
      </c>
    </row>
    <row r="102" spans="2:8" x14ac:dyDescent="0.3">
      <c r="B102" t="s">
        <v>24</v>
      </c>
      <c r="D102">
        <v>32</v>
      </c>
      <c r="E102" t="s">
        <v>9</v>
      </c>
      <c r="F102" s="5">
        <v>44713</v>
      </c>
      <c r="G102" t="s">
        <v>10</v>
      </c>
      <c r="H102" s="6">
        <v>91310</v>
      </c>
    </row>
    <row r="103" spans="2:8" x14ac:dyDescent="0.3">
      <c r="B103" t="s">
        <v>25</v>
      </c>
      <c r="C103" t="s">
        <v>8</v>
      </c>
      <c r="D103">
        <v>33</v>
      </c>
      <c r="E103" t="s">
        <v>9</v>
      </c>
      <c r="F103" s="5">
        <v>44324</v>
      </c>
      <c r="G103" t="s">
        <v>22</v>
      </c>
      <c r="H103" s="6">
        <v>74550</v>
      </c>
    </row>
    <row r="104" spans="2:8" x14ac:dyDescent="0.3">
      <c r="B104" t="s">
        <v>26</v>
      </c>
      <c r="C104" t="s">
        <v>8</v>
      </c>
      <c r="D104">
        <v>25</v>
      </c>
      <c r="E104" t="s">
        <v>13</v>
      </c>
      <c r="F104" s="5">
        <v>44665</v>
      </c>
      <c r="G104" t="s">
        <v>15</v>
      </c>
      <c r="H104" s="6">
        <v>109190</v>
      </c>
    </row>
    <row r="105" spans="2:8" x14ac:dyDescent="0.3">
      <c r="B105" t="s">
        <v>27</v>
      </c>
      <c r="C105" t="s">
        <v>12</v>
      </c>
      <c r="D105">
        <v>40</v>
      </c>
      <c r="E105" t="s">
        <v>9</v>
      </c>
      <c r="F105" s="5">
        <v>44320</v>
      </c>
      <c r="G105" t="s">
        <v>10</v>
      </c>
      <c r="H105" s="6">
        <v>104410</v>
      </c>
    </row>
    <row r="106" spans="2:8" x14ac:dyDescent="0.3">
      <c r="B106" t="s">
        <v>28</v>
      </c>
      <c r="C106" t="s">
        <v>8</v>
      </c>
      <c r="D106">
        <v>30</v>
      </c>
      <c r="E106" t="s">
        <v>9</v>
      </c>
      <c r="F106" s="5">
        <v>44544</v>
      </c>
      <c r="G106" t="s">
        <v>20</v>
      </c>
      <c r="H106" s="6">
        <v>96800</v>
      </c>
    </row>
    <row r="107" spans="2:8" x14ac:dyDescent="0.3">
      <c r="B107" t="s">
        <v>29</v>
      </c>
      <c r="C107" t="s">
        <v>8</v>
      </c>
      <c r="D107">
        <v>28</v>
      </c>
      <c r="E107" t="s">
        <v>13</v>
      </c>
      <c r="F107" s="5">
        <v>43980</v>
      </c>
      <c r="G107" t="s">
        <v>20</v>
      </c>
      <c r="H107" s="6">
        <v>48170</v>
      </c>
    </row>
    <row r="108" spans="2:8" x14ac:dyDescent="0.3">
      <c r="B108" t="s">
        <v>30</v>
      </c>
      <c r="C108" t="s">
        <v>8</v>
      </c>
      <c r="D108">
        <v>21</v>
      </c>
      <c r="E108" t="s">
        <v>9</v>
      </c>
      <c r="F108" s="5">
        <v>44042</v>
      </c>
      <c r="G108" t="s">
        <v>15</v>
      </c>
      <c r="H108" s="6">
        <v>37920</v>
      </c>
    </row>
    <row r="109" spans="2:8" x14ac:dyDescent="0.3">
      <c r="B109" t="s">
        <v>31</v>
      </c>
      <c r="C109" t="s">
        <v>8</v>
      </c>
      <c r="D109">
        <v>34</v>
      </c>
      <c r="E109" t="s">
        <v>9</v>
      </c>
      <c r="F109" s="5">
        <v>44642</v>
      </c>
      <c r="G109" t="s">
        <v>15</v>
      </c>
      <c r="H109" s="6">
        <v>112650</v>
      </c>
    </row>
    <row r="110" spans="2:8" x14ac:dyDescent="0.3">
      <c r="B110" t="s">
        <v>32</v>
      </c>
      <c r="C110" t="s">
        <v>12</v>
      </c>
      <c r="D110">
        <v>34</v>
      </c>
      <c r="E110" t="s">
        <v>19</v>
      </c>
      <c r="F110" s="5">
        <v>44660</v>
      </c>
      <c r="G110" t="s">
        <v>22</v>
      </c>
      <c r="H110" s="6">
        <v>49630</v>
      </c>
    </row>
    <row r="111" spans="2:8" x14ac:dyDescent="0.3">
      <c r="B111" t="s">
        <v>33</v>
      </c>
      <c r="C111" t="s">
        <v>8</v>
      </c>
      <c r="D111">
        <v>36</v>
      </c>
      <c r="E111" t="s">
        <v>9</v>
      </c>
      <c r="F111" s="5">
        <v>43958</v>
      </c>
      <c r="G111" t="s">
        <v>10</v>
      </c>
      <c r="H111" s="6">
        <v>118840</v>
      </c>
    </row>
    <row r="112" spans="2:8" x14ac:dyDescent="0.3">
      <c r="B112" t="s">
        <v>34</v>
      </c>
      <c r="C112" t="s">
        <v>8</v>
      </c>
      <c r="D112">
        <v>30</v>
      </c>
      <c r="E112" t="s">
        <v>9</v>
      </c>
      <c r="F112" s="5">
        <v>44789</v>
      </c>
      <c r="G112" t="s">
        <v>10</v>
      </c>
      <c r="H112" s="6">
        <v>69710</v>
      </c>
    </row>
    <row r="113" spans="2:8" x14ac:dyDescent="0.3">
      <c r="B113" t="s">
        <v>35</v>
      </c>
      <c r="C113" t="s">
        <v>8</v>
      </c>
      <c r="D113">
        <v>20</v>
      </c>
      <c r="E113" t="s">
        <v>9</v>
      </c>
      <c r="F113" s="5">
        <v>44683</v>
      </c>
      <c r="G113" t="s">
        <v>15</v>
      </c>
      <c r="H113" s="6">
        <v>79570</v>
      </c>
    </row>
    <row r="114" spans="2:8" x14ac:dyDescent="0.3">
      <c r="B114" t="s">
        <v>36</v>
      </c>
      <c r="C114" t="s">
        <v>12</v>
      </c>
      <c r="D114">
        <v>22</v>
      </c>
      <c r="E114" t="s">
        <v>13</v>
      </c>
      <c r="F114" s="5">
        <v>44388</v>
      </c>
      <c r="G114" t="s">
        <v>15</v>
      </c>
      <c r="H114" s="6">
        <v>76900</v>
      </c>
    </row>
    <row r="115" spans="2:8" x14ac:dyDescent="0.3">
      <c r="B115" t="s">
        <v>111</v>
      </c>
      <c r="H115" s="6">
        <f>SUBTOTAL(101,indian_stuff[Salary])</f>
        <v>78195.803571428565</v>
      </c>
    </row>
  </sheetData>
  <conditionalFormatting sqref="B3:B114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106"/>
  <sheetViews>
    <sheetView showGridLines="0" workbookViewId="0">
      <selection activeCell="G13" sqref="G13"/>
    </sheetView>
  </sheetViews>
  <sheetFormatPr defaultRowHeight="14.4" x14ac:dyDescent="0.3"/>
  <cols>
    <col min="1" max="1" width="1.6640625" customWidth="1"/>
    <col min="2" max="2" width="3.6640625" customWidth="1"/>
    <col min="3" max="3" width="22.88671875" customWidth="1"/>
    <col min="4" max="4" width="9.6640625" bestFit="1" customWidth="1"/>
    <col min="5" max="5" width="13.5546875" bestFit="1" customWidth="1"/>
    <col min="6" max="6" width="7.5546875" customWidth="1"/>
    <col min="7" max="7" width="13.33203125" bestFit="1" customWidth="1"/>
    <col min="8" max="8" width="13.6640625" customWidth="1"/>
    <col min="9" max="9" width="13.88671875" bestFit="1" customWidth="1"/>
  </cols>
  <sheetData>
    <row r="1" spans="1:9" s="2" customFormat="1" ht="52.5" customHeight="1" x14ac:dyDescent="0.3">
      <c r="A1" s="1"/>
      <c r="C1" s="3" t="s">
        <v>112</v>
      </c>
    </row>
    <row r="5" spans="1:9" x14ac:dyDescent="0.3">
      <c r="C5" t="s">
        <v>0</v>
      </c>
      <c r="D5" t="s">
        <v>1</v>
      </c>
      <c r="E5" t="s">
        <v>5</v>
      </c>
      <c r="F5" t="s">
        <v>2</v>
      </c>
      <c r="G5" s="4" t="s">
        <v>4</v>
      </c>
      <c r="H5" s="6" t="s">
        <v>6</v>
      </c>
      <c r="I5" t="s">
        <v>3</v>
      </c>
    </row>
    <row r="6" spans="1:9" x14ac:dyDescent="0.3">
      <c r="C6" t="s">
        <v>113</v>
      </c>
      <c r="D6" t="s">
        <v>8</v>
      </c>
      <c r="E6" t="s">
        <v>22</v>
      </c>
      <c r="F6">
        <v>22</v>
      </c>
      <c r="G6" s="5">
        <v>44446</v>
      </c>
      <c r="H6" s="6">
        <v>45327</v>
      </c>
      <c r="I6" t="s">
        <v>13</v>
      </c>
    </row>
    <row r="7" spans="1:9" x14ac:dyDescent="0.3">
      <c r="C7" t="s">
        <v>114</v>
      </c>
      <c r="D7" t="s">
        <v>8</v>
      </c>
      <c r="E7" t="s">
        <v>15</v>
      </c>
      <c r="F7">
        <v>46</v>
      </c>
      <c r="G7" s="5">
        <v>44758</v>
      </c>
      <c r="H7" s="6">
        <v>70610</v>
      </c>
      <c r="I7" t="s">
        <v>9</v>
      </c>
    </row>
    <row r="8" spans="1:9" x14ac:dyDescent="0.3">
      <c r="C8" t="s">
        <v>115</v>
      </c>
      <c r="D8" t="s">
        <v>12</v>
      </c>
      <c r="E8" t="s">
        <v>22</v>
      </c>
      <c r="F8">
        <v>28</v>
      </c>
      <c r="G8" s="5">
        <v>44357</v>
      </c>
      <c r="H8" s="6">
        <v>53240</v>
      </c>
      <c r="I8" t="s">
        <v>9</v>
      </c>
    </row>
    <row r="9" spans="1:9" x14ac:dyDescent="0.3">
      <c r="C9" t="s">
        <v>116</v>
      </c>
      <c r="E9" t="s">
        <v>20</v>
      </c>
      <c r="F9">
        <v>37</v>
      </c>
      <c r="G9" s="5">
        <v>44146</v>
      </c>
      <c r="H9" s="6">
        <v>115440</v>
      </c>
      <c r="I9" t="s">
        <v>19</v>
      </c>
    </row>
    <row r="10" spans="1:9" x14ac:dyDescent="0.3">
      <c r="C10" t="s">
        <v>117</v>
      </c>
      <c r="D10" t="s">
        <v>8</v>
      </c>
      <c r="E10" t="s">
        <v>22</v>
      </c>
      <c r="F10">
        <v>32</v>
      </c>
      <c r="G10" s="5">
        <v>44465</v>
      </c>
      <c r="H10" s="6">
        <v>53540</v>
      </c>
      <c r="I10" t="s">
        <v>9</v>
      </c>
    </row>
    <row r="11" spans="1:9" x14ac:dyDescent="0.3">
      <c r="C11" t="s">
        <v>118</v>
      </c>
      <c r="D11" t="s">
        <v>12</v>
      </c>
      <c r="E11" t="s">
        <v>15</v>
      </c>
      <c r="F11">
        <v>30</v>
      </c>
      <c r="G11" s="5">
        <v>44861</v>
      </c>
      <c r="H11" s="6">
        <v>112570</v>
      </c>
      <c r="I11" t="s">
        <v>9</v>
      </c>
    </row>
    <row r="12" spans="1:9" x14ac:dyDescent="0.3">
      <c r="C12" t="s">
        <v>119</v>
      </c>
      <c r="D12" t="s">
        <v>8</v>
      </c>
      <c r="E12" t="s">
        <v>15</v>
      </c>
      <c r="F12">
        <v>33</v>
      </c>
      <c r="G12" s="5">
        <v>44701</v>
      </c>
      <c r="H12" s="6">
        <v>48530</v>
      </c>
      <c r="I12" t="s">
        <v>13</v>
      </c>
    </row>
    <row r="13" spans="1:9" x14ac:dyDescent="0.3">
      <c r="C13" t="s">
        <v>120</v>
      </c>
      <c r="D13" t="s">
        <v>12</v>
      </c>
      <c r="E13" t="s">
        <v>10</v>
      </c>
      <c r="F13">
        <v>24</v>
      </c>
      <c r="G13" s="5">
        <v>44148</v>
      </c>
      <c r="H13" s="6">
        <v>62780</v>
      </c>
      <c r="I13" t="s">
        <v>9</v>
      </c>
    </row>
    <row r="14" spans="1:9" x14ac:dyDescent="0.3">
      <c r="C14" t="s">
        <v>121</v>
      </c>
      <c r="D14" t="s">
        <v>8</v>
      </c>
      <c r="E14" t="s">
        <v>10</v>
      </c>
      <c r="F14">
        <v>33</v>
      </c>
      <c r="G14" s="5">
        <v>44509</v>
      </c>
      <c r="H14" s="6">
        <v>53870</v>
      </c>
      <c r="I14" t="s">
        <v>9</v>
      </c>
    </row>
    <row r="15" spans="1:9" x14ac:dyDescent="0.3">
      <c r="C15" t="s">
        <v>122</v>
      </c>
      <c r="D15" t="s">
        <v>12</v>
      </c>
      <c r="E15" t="s">
        <v>17</v>
      </c>
      <c r="F15">
        <v>27</v>
      </c>
      <c r="G15" s="5">
        <v>44122</v>
      </c>
      <c r="H15" s="6">
        <v>119110</v>
      </c>
      <c r="I15" t="s">
        <v>9</v>
      </c>
    </row>
    <row r="16" spans="1:9" x14ac:dyDescent="0.3">
      <c r="C16" t="s">
        <v>123</v>
      </c>
      <c r="D16" t="s">
        <v>8</v>
      </c>
      <c r="E16" t="s">
        <v>10</v>
      </c>
      <c r="F16">
        <v>29</v>
      </c>
      <c r="G16" s="5">
        <v>44180</v>
      </c>
      <c r="H16" s="6">
        <v>112110</v>
      </c>
      <c r="I16" t="s">
        <v>19</v>
      </c>
    </row>
    <row r="17" spans="3:9" x14ac:dyDescent="0.3">
      <c r="C17" t="s">
        <v>124</v>
      </c>
      <c r="D17" t="s">
        <v>8</v>
      </c>
      <c r="E17" t="s">
        <v>22</v>
      </c>
      <c r="F17">
        <v>25</v>
      </c>
      <c r="G17" s="5">
        <v>44383</v>
      </c>
      <c r="H17" s="6">
        <v>65700</v>
      </c>
      <c r="I17" t="s">
        <v>9</v>
      </c>
    </row>
    <row r="18" spans="3:9" x14ac:dyDescent="0.3">
      <c r="C18" t="s">
        <v>125</v>
      </c>
      <c r="D18" t="s">
        <v>8</v>
      </c>
      <c r="E18" t="s">
        <v>10</v>
      </c>
      <c r="F18">
        <v>37</v>
      </c>
      <c r="G18" s="5">
        <v>44701</v>
      </c>
      <c r="H18" s="6">
        <v>69070</v>
      </c>
      <c r="I18" t="s">
        <v>9</v>
      </c>
    </row>
    <row r="19" spans="3:9" x14ac:dyDescent="0.3">
      <c r="C19" t="s">
        <v>126</v>
      </c>
      <c r="D19" t="s">
        <v>8</v>
      </c>
      <c r="E19" t="s">
        <v>10</v>
      </c>
      <c r="F19">
        <v>20</v>
      </c>
      <c r="G19" s="5">
        <v>44459</v>
      </c>
      <c r="H19" s="6">
        <v>107700</v>
      </c>
      <c r="I19" t="s">
        <v>9</v>
      </c>
    </row>
    <row r="20" spans="3:9" x14ac:dyDescent="0.3">
      <c r="C20" t="s">
        <v>127</v>
      </c>
      <c r="D20" t="s">
        <v>12</v>
      </c>
      <c r="E20" t="s">
        <v>10</v>
      </c>
      <c r="F20">
        <v>32</v>
      </c>
      <c r="G20" s="5">
        <v>44354</v>
      </c>
      <c r="H20" s="6">
        <v>43840</v>
      </c>
      <c r="I20" t="s">
        <v>13</v>
      </c>
    </row>
    <row r="21" spans="3:9" x14ac:dyDescent="0.3">
      <c r="C21" t="s">
        <v>128</v>
      </c>
      <c r="D21" t="s">
        <v>8</v>
      </c>
      <c r="E21" t="s">
        <v>15</v>
      </c>
      <c r="F21">
        <v>40</v>
      </c>
      <c r="G21" s="5">
        <v>44263</v>
      </c>
      <c r="H21" s="6">
        <v>99750</v>
      </c>
      <c r="I21" t="s">
        <v>9</v>
      </c>
    </row>
    <row r="22" spans="3:9" x14ac:dyDescent="0.3">
      <c r="C22" t="s">
        <v>129</v>
      </c>
      <c r="D22" t="s">
        <v>8</v>
      </c>
      <c r="E22" t="s">
        <v>15</v>
      </c>
      <c r="F22">
        <v>21</v>
      </c>
      <c r="G22" s="5">
        <v>44104</v>
      </c>
      <c r="H22" s="6">
        <v>37920</v>
      </c>
      <c r="I22" t="s">
        <v>9</v>
      </c>
    </row>
    <row r="23" spans="3:9" x14ac:dyDescent="0.3">
      <c r="C23" t="s">
        <v>130</v>
      </c>
      <c r="D23" t="s">
        <v>8</v>
      </c>
      <c r="E23" t="s">
        <v>15</v>
      </c>
      <c r="F23">
        <v>21</v>
      </c>
      <c r="G23" s="5">
        <v>44762</v>
      </c>
      <c r="H23" s="6">
        <v>57090</v>
      </c>
      <c r="I23" t="s">
        <v>9</v>
      </c>
    </row>
    <row r="24" spans="3:9" x14ac:dyDescent="0.3">
      <c r="C24" t="s">
        <v>131</v>
      </c>
      <c r="D24" t="s">
        <v>12</v>
      </c>
      <c r="E24" t="s">
        <v>10</v>
      </c>
      <c r="F24">
        <v>31</v>
      </c>
      <c r="G24" s="5">
        <v>44145</v>
      </c>
      <c r="H24" s="6">
        <v>41980</v>
      </c>
      <c r="I24" t="s">
        <v>9</v>
      </c>
    </row>
    <row r="25" spans="3:9" x14ac:dyDescent="0.3">
      <c r="C25" t="s">
        <v>132</v>
      </c>
      <c r="D25" t="s">
        <v>8</v>
      </c>
      <c r="E25" t="s">
        <v>17</v>
      </c>
      <c r="F25">
        <v>21</v>
      </c>
      <c r="G25" s="5">
        <v>44242</v>
      </c>
      <c r="H25" s="6">
        <v>75880</v>
      </c>
      <c r="I25" t="s">
        <v>9</v>
      </c>
    </row>
    <row r="26" spans="3:9" x14ac:dyDescent="0.3">
      <c r="C26" t="s">
        <v>133</v>
      </c>
      <c r="D26" t="s">
        <v>12</v>
      </c>
      <c r="E26" t="s">
        <v>20</v>
      </c>
      <c r="F26">
        <v>34</v>
      </c>
      <c r="G26" s="5">
        <v>44653</v>
      </c>
      <c r="H26" s="6">
        <v>58940</v>
      </c>
      <c r="I26" t="s">
        <v>9</v>
      </c>
    </row>
    <row r="27" spans="3:9" x14ac:dyDescent="0.3">
      <c r="C27" t="s">
        <v>134</v>
      </c>
      <c r="D27" t="s">
        <v>12</v>
      </c>
      <c r="E27" t="s">
        <v>20</v>
      </c>
      <c r="F27">
        <v>30</v>
      </c>
      <c r="G27" s="5">
        <v>44389</v>
      </c>
      <c r="H27" s="6">
        <v>67910</v>
      </c>
      <c r="I27" t="s">
        <v>19</v>
      </c>
    </row>
    <row r="28" spans="3:9" x14ac:dyDescent="0.3">
      <c r="C28" t="s">
        <v>135</v>
      </c>
      <c r="D28" t="s">
        <v>12</v>
      </c>
      <c r="E28" t="s">
        <v>10</v>
      </c>
      <c r="F28">
        <v>31</v>
      </c>
      <c r="G28" s="5">
        <v>44663</v>
      </c>
      <c r="H28" s="6">
        <v>58100</v>
      </c>
      <c r="I28" t="s">
        <v>9</v>
      </c>
    </row>
    <row r="29" spans="3:9" x14ac:dyDescent="0.3">
      <c r="C29" t="s">
        <v>136</v>
      </c>
      <c r="D29" t="s">
        <v>8</v>
      </c>
      <c r="E29" t="s">
        <v>20</v>
      </c>
      <c r="F29">
        <v>27</v>
      </c>
      <c r="G29" s="5">
        <v>44567</v>
      </c>
      <c r="H29" s="6">
        <v>48980</v>
      </c>
      <c r="I29" t="s">
        <v>9</v>
      </c>
    </row>
    <row r="30" spans="3:9" x14ac:dyDescent="0.3">
      <c r="C30" t="s">
        <v>137</v>
      </c>
      <c r="E30" t="s">
        <v>20</v>
      </c>
      <c r="F30">
        <v>30</v>
      </c>
      <c r="G30" s="5">
        <v>44597</v>
      </c>
      <c r="H30" s="6">
        <v>64000</v>
      </c>
      <c r="I30" t="s">
        <v>9</v>
      </c>
    </row>
    <row r="31" spans="3:9" x14ac:dyDescent="0.3">
      <c r="C31" t="s">
        <v>138</v>
      </c>
      <c r="D31" t="s">
        <v>12</v>
      </c>
      <c r="E31" t="s">
        <v>15</v>
      </c>
      <c r="F31">
        <v>42</v>
      </c>
      <c r="G31" s="5">
        <v>44779</v>
      </c>
      <c r="H31" s="6">
        <v>75000</v>
      </c>
      <c r="I31" t="s">
        <v>41</v>
      </c>
    </row>
    <row r="32" spans="3:9" x14ac:dyDescent="0.3">
      <c r="C32" t="s">
        <v>139</v>
      </c>
      <c r="D32" t="s">
        <v>12</v>
      </c>
      <c r="E32" t="s">
        <v>10</v>
      </c>
      <c r="F32">
        <v>40</v>
      </c>
      <c r="G32" s="5">
        <v>44337</v>
      </c>
      <c r="H32" s="6">
        <v>87620</v>
      </c>
      <c r="I32" t="s">
        <v>9</v>
      </c>
    </row>
    <row r="33" spans="3:9" x14ac:dyDescent="0.3">
      <c r="C33" t="s">
        <v>140</v>
      </c>
      <c r="D33" t="s">
        <v>12</v>
      </c>
      <c r="E33" t="s">
        <v>10</v>
      </c>
      <c r="F33">
        <v>29</v>
      </c>
      <c r="G33" s="5">
        <v>44023</v>
      </c>
      <c r="H33" s="6">
        <v>34980</v>
      </c>
      <c r="I33" t="s">
        <v>9</v>
      </c>
    </row>
    <row r="34" spans="3:9" x14ac:dyDescent="0.3">
      <c r="C34" t="s">
        <v>141</v>
      </c>
      <c r="D34" t="s">
        <v>12</v>
      </c>
      <c r="E34" t="s">
        <v>20</v>
      </c>
      <c r="F34">
        <v>28</v>
      </c>
      <c r="G34" s="5">
        <v>44185</v>
      </c>
      <c r="H34" s="6">
        <v>75970</v>
      </c>
      <c r="I34" t="s">
        <v>9</v>
      </c>
    </row>
    <row r="35" spans="3:9" x14ac:dyDescent="0.3">
      <c r="C35" t="s">
        <v>142</v>
      </c>
      <c r="D35" t="s">
        <v>12</v>
      </c>
      <c r="E35" t="s">
        <v>20</v>
      </c>
      <c r="F35">
        <v>34</v>
      </c>
      <c r="G35" s="5">
        <v>44612</v>
      </c>
      <c r="H35" s="6">
        <v>60130</v>
      </c>
      <c r="I35" t="s">
        <v>9</v>
      </c>
    </row>
    <row r="36" spans="3:9" x14ac:dyDescent="0.3">
      <c r="C36" t="s">
        <v>143</v>
      </c>
      <c r="D36" t="s">
        <v>12</v>
      </c>
      <c r="E36" t="s">
        <v>10</v>
      </c>
      <c r="F36">
        <v>33</v>
      </c>
      <c r="G36" s="5">
        <v>44374</v>
      </c>
      <c r="H36" s="6">
        <v>75480</v>
      </c>
      <c r="I36" t="s">
        <v>81</v>
      </c>
    </row>
    <row r="37" spans="3:9" x14ac:dyDescent="0.3">
      <c r="C37" t="s">
        <v>144</v>
      </c>
      <c r="D37" t="s">
        <v>8</v>
      </c>
      <c r="E37" t="s">
        <v>15</v>
      </c>
      <c r="F37">
        <v>33</v>
      </c>
      <c r="G37" s="5">
        <v>44164</v>
      </c>
      <c r="H37" s="6">
        <v>115920</v>
      </c>
      <c r="I37" t="s">
        <v>9</v>
      </c>
    </row>
    <row r="38" spans="3:9" x14ac:dyDescent="0.3">
      <c r="C38" t="s">
        <v>145</v>
      </c>
      <c r="D38" t="s">
        <v>12</v>
      </c>
      <c r="E38" t="s">
        <v>22</v>
      </c>
      <c r="F38">
        <v>36</v>
      </c>
      <c r="G38" s="5">
        <v>44494</v>
      </c>
      <c r="H38" s="6">
        <v>78540</v>
      </c>
      <c r="I38" t="s">
        <v>9</v>
      </c>
    </row>
    <row r="39" spans="3:9" x14ac:dyDescent="0.3">
      <c r="C39" t="s">
        <v>146</v>
      </c>
      <c r="D39" t="s">
        <v>8</v>
      </c>
      <c r="E39" t="s">
        <v>15</v>
      </c>
      <c r="F39">
        <v>25</v>
      </c>
      <c r="G39" s="5">
        <v>44726</v>
      </c>
      <c r="H39" s="6">
        <v>109190</v>
      </c>
      <c r="I39" t="s">
        <v>13</v>
      </c>
    </row>
    <row r="40" spans="3:9" x14ac:dyDescent="0.3">
      <c r="C40" t="s">
        <v>147</v>
      </c>
      <c r="D40" t="s">
        <v>12</v>
      </c>
      <c r="E40" t="s">
        <v>22</v>
      </c>
      <c r="F40">
        <v>34</v>
      </c>
      <c r="G40" s="5">
        <v>44721</v>
      </c>
      <c r="H40" s="6">
        <v>49630</v>
      </c>
      <c r="I40" t="s">
        <v>19</v>
      </c>
    </row>
    <row r="41" spans="3:9" x14ac:dyDescent="0.3">
      <c r="C41" t="s">
        <v>148</v>
      </c>
      <c r="D41" t="s">
        <v>12</v>
      </c>
      <c r="E41" t="s">
        <v>15</v>
      </c>
      <c r="F41">
        <v>28</v>
      </c>
      <c r="G41" s="5">
        <v>44630</v>
      </c>
      <c r="H41" s="6">
        <v>99970</v>
      </c>
      <c r="I41" t="s">
        <v>9</v>
      </c>
    </row>
    <row r="42" spans="3:9" x14ac:dyDescent="0.3">
      <c r="C42" t="s">
        <v>149</v>
      </c>
      <c r="D42" t="s">
        <v>12</v>
      </c>
      <c r="E42" t="s">
        <v>10</v>
      </c>
      <c r="F42">
        <v>33</v>
      </c>
      <c r="G42" s="5">
        <v>44190</v>
      </c>
      <c r="H42" s="6">
        <v>96140</v>
      </c>
      <c r="I42" t="s">
        <v>9</v>
      </c>
    </row>
    <row r="43" spans="3:9" x14ac:dyDescent="0.3">
      <c r="C43" t="s">
        <v>150</v>
      </c>
      <c r="D43" t="s">
        <v>8</v>
      </c>
      <c r="E43" t="s">
        <v>15</v>
      </c>
      <c r="F43">
        <v>31</v>
      </c>
      <c r="G43" s="5">
        <v>44724</v>
      </c>
      <c r="H43" s="6">
        <v>103550</v>
      </c>
      <c r="I43" t="s">
        <v>9</v>
      </c>
    </row>
    <row r="44" spans="3:9" x14ac:dyDescent="0.3">
      <c r="C44" t="s">
        <v>151</v>
      </c>
      <c r="D44" t="s">
        <v>8</v>
      </c>
      <c r="E44" t="s">
        <v>10</v>
      </c>
      <c r="F44">
        <v>31</v>
      </c>
      <c r="G44" s="5">
        <v>44511</v>
      </c>
      <c r="H44" s="6">
        <v>48950</v>
      </c>
      <c r="I44" t="s">
        <v>9</v>
      </c>
    </row>
    <row r="45" spans="3:9" x14ac:dyDescent="0.3">
      <c r="C45" t="s">
        <v>152</v>
      </c>
      <c r="D45" t="s">
        <v>8</v>
      </c>
      <c r="E45" t="s">
        <v>20</v>
      </c>
      <c r="F45">
        <v>24</v>
      </c>
      <c r="G45" s="5">
        <v>44436</v>
      </c>
      <c r="H45" s="6">
        <v>52610</v>
      </c>
      <c r="I45" t="s">
        <v>19</v>
      </c>
    </row>
    <row r="46" spans="3:9" x14ac:dyDescent="0.3">
      <c r="C46" t="s">
        <v>153</v>
      </c>
      <c r="D46" t="s">
        <v>12</v>
      </c>
      <c r="E46" t="s">
        <v>15</v>
      </c>
      <c r="F46">
        <v>36</v>
      </c>
      <c r="G46" s="5">
        <v>44529</v>
      </c>
      <c r="H46" s="6">
        <v>78390</v>
      </c>
      <c r="I46" t="s">
        <v>9</v>
      </c>
    </row>
    <row r="47" spans="3:9" x14ac:dyDescent="0.3">
      <c r="C47" t="s">
        <v>154</v>
      </c>
      <c r="D47" t="s">
        <v>12</v>
      </c>
      <c r="E47" t="s">
        <v>20</v>
      </c>
      <c r="F47">
        <v>33</v>
      </c>
      <c r="G47" s="5">
        <v>44809</v>
      </c>
      <c r="H47" s="6">
        <v>86570</v>
      </c>
      <c r="I47" t="s">
        <v>9</v>
      </c>
    </row>
    <row r="48" spans="3:9" x14ac:dyDescent="0.3">
      <c r="C48" t="s">
        <v>155</v>
      </c>
      <c r="D48" t="s">
        <v>12</v>
      </c>
      <c r="E48" t="s">
        <v>10</v>
      </c>
      <c r="F48">
        <v>27</v>
      </c>
      <c r="G48" s="5">
        <v>44686</v>
      </c>
      <c r="H48" s="6">
        <v>83750</v>
      </c>
      <c r="I48" t="s">
        <v>9</v>
      </c>
    </row>
    <row r="49" spans="3:9" x14ac:dyDescent="0.3">
      <c r="C49" t="s">
        <v>156</v>
      </c>
      <c r="D49" t="s">
        <v>12</v>
      </c>
      <c r="E49" t="s">
        <v>20</v>
      </c>
      <c r="F49">
        <v>34</v>
      </c>
      <c r="G49" s="5">
        <v>44445</v>
      </c>
      <c r="H49" s="6">
        <v>92450</v>
      </c>
      <c r="I49" t="s">
        <v>9</v>
      </c>
    </row>
    <row r="50" spans="3:9" x14ac:dyDescent="0.3">
      <c r="C50" t="s">
        <v>157</v>
      </c>
      <c r="D50" t="s">
        <v>8</v>
      </c>
      <c r="E50" t="s">
        <v>10</v>
      </c>
      <c r="F50">
        <v>20</v>
      </c>
      <c r="G50" s="5">
        <v>44183</v>
      </c>
      <c r="H50" s="6">
        <v>112650</v>
      </c>
      <c r="I50" t="s">
        <v>9</v>
      </c>
    </row>
    <row r="51" spans="3:9" x14ac:dyDescent="0.3">
      <c r="C51" t="s">
        <v>158</v>
      </c>
      <c r="D51" t="s">
        <v>8</v>
      </c>
      <c r="E51" t="s">
        <v>15</v>
      </c>
      <c r="F51">
        <v>20</v>
      </c>
      <c r="G51" s="5">
        <v>44744</v>
      </c>
      <c r="H51" s="6">
        <v>79570</v>
      </c>
      <c r="I51" t="s">
        <v>9</v>
      </c>
    </row>
    <row r="52" spans="3:9" x14ac:dyDescent="0.3">
      <c r="C52" t="s">
        <v>159</v>
      </c>
      <c r="D52" t="s">
        <v>12</v>
      </c>
      <c r="E52" t="s">
        <v>22</v>
      </c>
      <c r="F52">
        <v>20</v>
      </c>
      <c r="G52" s="5">
        <v>44537</v>
      </c>
      <c r="H52" s="6">
        <v>68900</v>
      </c>
      <c r="I52" t="s">
        <v>19</v>
      </c>
    </row>
    <row r="53" spans="3:9" x14ac:dyDescent="0.3">
      <c r="C53" t="s">
        <v>160</v>
      </c>
      <c r="D53" t="s">
        <v>12</v>
      </c>
      <c r="E53" t="s">
        <v>10</v>
      </c>
      <c r="F53">
        <v>25</v>
      </c>
      <c r="G53" s="5">
        <v>44694</v>
      </c>
      <c r="H53" s="6">
        <v>80700</v>
      </c>
      <c r="I53" t="s">
        <v>13</v>
      </c>
    </row>
    <row r="54" spans="3:9" x14ac:dyDescent="0.3">
      <c r="C54" t="s">
        <v>161</v>
      </c>
      <c r="D54" t="s">
        <v>8</v>
      </c>
      <c r="E54" t="s">
        <v>15</v>
      </c>
      <c r="F54">
        <v>19</v>
      </c>
      <c r="G54" s="5">
        <v>44277</v>
      </c>
      <c r="H54" s="6">
        <v>58960</v>
      </c>
      <c r="I54" t="s">
        <v>9</v>
      </c>
    </row>
    <row r="55" spans="3:9" x14ac:dyDescent="0.3">
      <c r="C55" t="s">
        <v>162</v>
      </c>
      <c r="D55" t="s">
        <v>8</v>
      </c>
      <c r="E55" t="s">
        <v>10</v>
      </c>
      <c r="F55">
        <v>36</v>
      </c>
      <c r="G55" s="5">
        <v>44019</v>
      </c>
      <c r="H55" s="6">
        <v>118840</v>
      </c>
      <c r="I55" t="s">
        <v>9</v>
      </c>
    </row>
    <row r="56" spans="3:9" x14ac:dyDescent="0.3">
      <c r="C56" t="s">
        <v>163</v>
      </c>
      <c r="D56" t="s">
        <v>8</v>
      </c>
      <c r="E56" t="s">
        <v>20</v>
      </c>
      <c r="F56">
        <v>28</v>
      </c>
      <c r="G56" s="5">
        <v>44041</v>
      </c>
      <c r="H56" s="6">
        <v>48170</v>
      </c>
      <c r="I56" t="s">
        <v>13</v>
      </c>
    </row>
    <row r="57" spans="3:9" x14ac:dyDescent="0.3">
      <c r="C57" t="s">
        <v>164</v>
      </c>
      <c r="D57" t="s">
        <v>12</v>
      </c>
      <c r="E57" t="s">
        <v>17</v>
      </c>
      <c r="F57">
        <v>32</v>
      </c>
      <c r="G57" s="5">
        <v>44400</v>
      </c>
      <c r="H57" s="6">
        <v>45510</v>
      </c>
      <c r="I57" t="s">
        <v>9</v>
      </c>
    </row>
    <row r="58" spans="3:9" x14ac:dyDescent="0.3">
      <c r="C58" t="s">
        <v>157</v>
      </c>
      <c r="D58" t="s">
        <v>8</v>
      </c>
      <c r="E58" t="s">
        <v>15</v>
      </c>
      <c r="F58">
        <v>34</v>
      </c>
      <c r="G58" s="5">
        <v>44703</v>
      </c>
      <c r="H58" s="6">
        <v>112650</v>
      </c>
      <c r="I58" t="s">
        <v>9</v>
      </c>
    </row>
    <row r="59" spans="3:9" x14ac:dyDescent="0.3">
      <c r="C59" t="s">
        <v>165</v>
      </c>
      <c r="D59" t="s">
        <v>12</v>
      </c>
      <c r="E59" t="s">
        <v>15</v>
      </c>
      <c r="F59">
        <v>36</v>
      </c>
      <c r="G59" s="5">
        <v>44085</v>
      </c>
      <c r="H59" s="6">
        <v>114890</v>
      </c>
      <c r="I59" t="s">
        <v>9</v>
      </c>
    </row>
    <row r="60" spans="3:9" x14ac:dyDescent="0.3">
      <c r="C60" t="s">
        <v>166</v>
      </c>
      <c r="D60" t="s">
        <v>8</v>
      </c>
      <c r="E60" t="s">
        <v>10</v>
      </c>
      <c r="F60">
        <v>30</v>
      </c>
      <c r="G60" s="5">
        <v>44850</v>
      </c>
      <c r="H60" s="6">
        <v>69710</v>
      </c>
      <c r="I60" t="s">
        <v>9</v>
      </c>
    </row>
    <row r="61" spans="3:9" x14ac:dyDescent="0.3">
      <c r="C61" t="s">
        <v>167</v>
      </c>
      <c r="D61" t="s">
        <v>8</v>
      </c>
      <c r="E61" t="s">
        <v>20</v>
      </c>
      <c r="F61">
        <v>36</v>
      </c>
      <c r="G61" s="5">
        <v>44333</v>
      </c>
      <c r="H61" s="6">
        <v>71380</v>
      </c>
      <c r="I61" t="s">
        <v>9</v>
      </c>
    </row>
    <row r="62" spans="3:9" x14ac:dyDescent="0.3">
      <c r="C62" t="s">
        <v>168</v>
      </c>
      <c r="D62" t="s">
        <v>12</v>
      </c>
      <c r="E62" t="s">
        <v>22</v>
      </c>
      <c r="F62">
        <v>38</v>
      </c>
      <c r="G62" s="5">
        <v>44377</v>
      </c>
      <c r="H62" s="6">
        <v>109160</v>
      </c>
      <c r="I62" t="s">
        <v>41</v>
      </c>
    </row>
    <row r="63" spans="3:9" x14ac:dyDescent="0.3">
      <c r="C63" t="s">
        <v>169</v>
      </c>
      <c r="D63" t="s">
        <v>8</v>
      </c>
      <c r="E63" t="s">
        <v>15</v>
      </c>
      <c r="F63">
        <v>27</v>
      </c>
      <c r="G63" s="5">
        <v>44609</v>
      </c>
      <c r="H63" s="6">
        <v>113280</v>
      </c>
      <c r="I63" t="s">
        <v>81</v>
      </c>
    </row>
    <row r="64" spans="3:9" x14ac:dyDescent="0.3">
      <c r="C64" t="s">
        <v>170</v>
      </c>
      <c r="D64" t="s">
        <v>8</v>
      </c>
      <c r="E64" t="s">
        <v>10</v>
      </c>
      <c r="F64">
        <v>30</v>
      </c>
      <c r="G64" s="5">
        <v>44273</v>
      </c>
      <c r="H64" s="6">
        <v>69120</v>
      </c>
      <c r="I64" t="s">
        <v>9</v>
      </c>
    </row>
    <row r="65" spans="3:9" x14ac:dyDescent="0.3">
      <c r="C65" t="s">
        <v>171</v>
      </c>
      <c r="D65" t="s">
        <v>12</v>
      </c>
      <c r="E65" t="s">
        <v>17</v>
      </c>
      <c r="F65">
        <v>37</v>
      </c>
      <c r="G65" s="5">
        <v>44451</v>
      </c>
      <c r="H65" s="6">
        <v>118100</v>
      </c>
      <c r="I65" t="s">
        <v>9</v>
      </c>
    </row>
    <row r="66" spans="3:9" x14ac:dyDescent="0.3">
      <c r="C66" t="s">
        <v>172</v>
      </c>
      <c r="D66" t="s">
        <v>12</v>
      </c>
      <c r="E66" t="s">
        <v>15</v>
      </c>
      <c r="F66">
        <v>22</v>
      </c>
      <c r="G66" s="5">
        <v>44450</v>
      </c>
      <c r="H66" s="6">
        <v>76900</v>
      </c>
      <c r="I66" t="s">
        <v>13</v>
      </c>
    </row>
    <row r="67" spans="3:9" x14ac:dyDescent="0.3">
      <c r="C67" t="s">
        <v>173</v>
      </c>
      <c r="D67" t="s">
        <v>12</v>
      </c>
      <c r="E67" t="s">
        <v>10</v>
      </c>
      <c r="F67">
        <v>43</v>
      </c>
      <c r="G67" s="5">
        <v>45045</v>
      </c>
      <c r="H67" s="6">
        <v>114870</v>
      </c>
      <c r="I67" t="s">
        <v>9</v>
      </c>
    </row>
    <row r="68" spans="3:9" x14ac:dyDescent="0.3">
      <c r="C68" t="s">
        <v>174</v>
      </c>
      <c r="E68" t="s">
        <v>10</v>
      </c>
      <c r="F68">
        <v>32</v>
      </c>
      <c r="G68" s="5">
        <v>44774</v>
      </c>
      <c r="H68" s="6">
        <v>91310</v>
      </c>
      <c r="I68" t="s">
        <v>9</v>
      </c>
    </row>
    <row r="69" spans="3:9" x14ac:dyDescent="0.3">
      <c r="C69" t="s">
        <v>175</v>
      </c>
      <c r="D69" t="s">
        <v>12</v>
      </c>
      <c r="E69" t="s">
        <v>15</v>
      </c>
      <c r="F69">
        <v>28</v>
      </c>
      <c r="G69" s="5">
        <v>44486</v>
      </c>
      <c r="H69" s="6">
        <v>104770</v>
      </c>
      <c r="I69" t="s">
        <v>9</v>
      </c>
    </row>
    <row r="70" spans="3:9" x14ac:dyDescent="0.3">
      <c r="C70" t="s">
        <v>176</v>
      </c>
      <c r="D70" t="s">
        <v>8</v>
      </c>
      <c r="E70" t="s">
        <v>22</v>
      </c>
      <c r="F70">
        <v>27</v>
      </c>
      <c r="G70" s="5">
        <v>44134</v>
      </c>
      <c r="H70" s="6">
        <v>54970</v>
      </c>
      <c r="I70" t="s">
        <v>9</v>
      </c>
    </row>
    <row r="71" spans="3:9" x14ac:dyDescent="0.3">
      <c r="C71" t="s">
        <v>177</v>
      </c>
      <c r="E71" t="s">
        <v>10</v>
      </c>
      <c r="F71">
        <v>26</v>
      </c>
      <c r="G71" s="5">
        <v>44271</v>
      </c>
      <c r="H71" s="6">
        <v>90700</v>
      </c>
      <c r="I71" t="s">
        <v>13</v>
      </c>
    </row>
    <row r="72" spans="3:9" x14ac:dyDescent="0.3">
      <c r="C72" t="s">
        <v>178</v>
      </c>
      <c r="D72" t="s">
        <v>12</v>
      </c>
      <c r="E72" t="s">
        <v>22</v>
      </c>
      <c r="F72">
        <v>38</v>
      </c>
      <c r="G72" s="5">
        <v>44329</v>
      </c>
      <c r="H72" s="6">
        <v>56870</v>
      </c>
      <c r="I72" t="s">
        <v>13</v>
      </c>
    </row>
    <row r="73" spans="3:9" x14ac:dyDescent="0.3">
      <c r="C73" t="s">
        <v>179</v>
      </c>
      <c r="D73" t="s">
        <v>12</v>
      </c>
      <c r="E73" t="s">
        <v>22</v>
      </c>
      <c r="F73">
        <v>25</v>
      </c>
      <c r="G73" s="5">
        <v>44205</v>
      </c>
      <c r="H73" s="6">
        <v>92700</v>
      </c>
      <c r="I73" t="s">
        <v>9</v>
      </c>
    </row>
    <row r="74" spans="3:9" x14ac:dyDescent="0.3">
      <c r="C74" t="s">
        <v>180</v>
      </c>
      <c r="D74" t="s">
        <v>12</v>
      </c>
      <c r="E74" t="s">
        <v>20</v>
      </c>
      <c r="F74">
        <v>21</v>
      </c>
      <c r="G74" s="5">
        <v>44317</v>
      </c>
      <c r="H74" s="6">
        <v>65920</v>
      </c>
      <c r="I74" t="s">
        <v>9</v>
      </c>
    </row>
    <row r="75" spans="3:9" x14ac:dyDescent="0.3">
      <c r="C75" t="s">
        <v>181</v>
      </c>
      <c r="D75" t="s">
        <v>8</v>
      </c>
      <c r="E75" t="s">
        <v>15</v>
      </c>
      <c r="F75">
        <v>26</v>
      </c>
      <c r="G75" s="5">
        <v>44225</v>
      </c>
      <c r="H75" s="6">
        <v>47360</v>
      </c>
      <c r="I75" t="s">
        <v>9</v>
      </c>
    </row>
    <row r="76" spans="3:9" x14ac:dyDescent="0.3">
      <c r="C76" t="s">
        <v>182</v>
      </c>
      <c r="D76" t="s">
        <v>8</v>
      </c>
      <c r="E76" t="s">
        <v>15</v>
      </c>
      <c r="F76">
        <v>30</v>
      </c>
      <c r="G76" s="5">
        <v>44666</v>
      </c>
      <c r="H76" s="6">
        <v>60570</v>
      </c>
      <c r="I76" t="s">
        <v>9</v>
      </c>
    </row>
    <row r="77" spans="3:9" x14ac:dyDescent="0.3">
      <c r="C77" t="s">
        <v>183</v>
      </c>
      <c r="D77" t="s">
        <v>12</v>
      </c>
      <c r="E77" t="s">
        <v>15</v>
      </c>
      <c r="F77">
        <v>28</v>
      </c>
      <c r="G77" s="5">
        <v>44649</v>
      </c>
      <c r="H77" s="6">
        <v>104120</v>
      </c>
      <c r="I77" t="s">
        <v>9</v>
      </c>
    </row>
    <row r="78" spans="3:9" x14ac:dyDescent="0.3">
      <c r="C78" t="s">
        <v>184</v>
      </c>
      <c r="D78" t="s">
        <v>8</v>
      </c>
      <c r="E78" t="s">
        <v>10</v>
      </c>
      <c r="F78">
        <v>37</v>
      </c>
      <c r="G78" s="5">
        <v>44338</v>
      </c>
      <c r="H78" s="6">
        <v>88050</v>
      </c>
      <c r="I78" t="s">
        <v>19</v>
      </c>
    </row>
    <row r="79" spans="3:9" x14ac:dyDescent="0.3">
      <c r="C79" t="s">
        <v>185</v>
      </c>
      <c r="D79" t="s">
        <v>8</v>
      </c>
      <c r="E79" t="s">
        <v>10</v>
      </c>
      <c r="F79">
        <v>24</v>
      </c>
      <c r="G79" s="5">
        <v>44686</v>
      </c>
      <c r="H79" s="6">
        <v>100420</v>
      </c>
      <c r="I79" t="s">
        <v>9</v>
      </c>
    </row>
    <row r="80" spans="3:9" x14ac:dyDescent="0.3">
      <c r="C80" t="s">
        <v>186</v>
      </c>
      <c r="D80" t="s">
        <v>12</v>
      </c>
      <c r="E80" t="s">
        <v>15</v>
      </c>
      <c r="F80">
        <v>30</v>
      </c>
      <c r="G80" s="5">
        <v>44850</v>
      </c>
      <c r="H80" s="6">
        <v>114180</v>
      </c>
      <c r="I80" t="s">
        <v>9</v>
      </c>
    </row>
    <row r="81" spans="3:9" x14ac:dyDescent="0.3">
      <c r="C81" t="s">
        <v>187</v>
      </c>
      <c r="D81" t="s">
        <v>12</v>
      </c>
      <c r="E81" t="s">
        <v>10</v>
      </c>
      <c r="F81">
        <v>21</v>
      </c>
      <c r="G81" s="5">
        <v>44678</v>
      </c>
      <c r="H81" s="6">
        <v>33920</v>
      </c>
      <c r="I81" t="s">
        <v>9</v>
      </c>
    </row>
    <row r="82" spans="3:9" x14ac:dyDescent="0.3">
      <c r="C82" t="s">
        <v>188</v>
      </c>
      <c r="D82" t="s">
        <v>8</v>
      </c>
      <c r="E82" t="s">
        <v>15</v>
      </c>
      <c r="F82">
        <v>23</v>
      </c>
      <c r="G82" s="5">
        <v>44440</v>
      </c>
      <c r="H82" s="6">
        <v>106460</v>
      </c>
      <c r="I82" t="s">
        <v>9</v>
      </c>
    </row>
    <row r="83" spans="3:9" x14ac:dyDescent="0.3">
      <c r="C83" t="s">
        <v>189</v>
      </c>
      <c r="D83" t="s">
        <v>8</v>
      </c>
      <c r="E83" t="s">
        <v>15</v>
      </c>
      <c r="F83">
        <v>35</v>
      </c>
      <c r="G83" s="5">
        <v>44727</v>
      </c>
      <c r="H83" s="6">
        <v>40400</v>
      </c>
      <c r="I83" t="s">
        <v>9</v>
      </c>
    </row>
    <row r="84" spans="3:9" x14ac:dyDescent="0.3">
      <c r="C84" t="s">
        <v>190</v>
      </c>
      <c r="D84" t="s">
        <v>8</v>
      </c>
      <c r="E84" t="s">
        <v>20</v>
      </c>
      <c r="F84">
        <v>27</v>
      </c>
      <c r="G84" s="5">
        <v>44236</v>
      </c>
      <c r="H84" s="6">
        <v>91650</v>
      </c>
      <c r="I84" t="s">
        <v>13</v>
      </c>
    </row>
    <row r="85" spans="3:9" x14ac:dyDescent="0.3">
      <c r="C85" t="s">
        <v>191</v>
      </c>
      <c r="D85" t="s">
        <v>8</v>
      </c>
      <c r="E85" t="s">
        <v>22</v>
      </c>
      <c r="F85">
        <v>43</v>
      </c>
      <c r="G85" s="5">
        <v>44620</v>
      </c>
      <c r="H85" s="6">
        <v>36040</v>
      </c>
      <c r="I85" t="s">
        <v>9</v>
      </c>
    </row>
    <row r="86" spans="3:9" x14ac:dyDescent="0.3">
      <c r="C86" t="s">
        <v>192</v>
      </c>
      <c r="D86" t="s">
        <v>12</v>
      </c>
      <c r="E86" t="s">
        <v>10</v>
      </c>
      <c r="F86">
        <v>40</v>
      </c>
      <c r="G86" s="5">
        <v>44381</v>
      </c>
      <c r="H86" s="6">
        <v>104410</v>
      </c>
      <c r="I86" t="s">
        <v>9</v>
      </c>
    </row>
    <row r="87" spans="3:9" x14ac:dyDescent="0.3">
      <c r="C87" t="s">
        <v>193</v>
      </c>
      <c r="D87" t="s">
        <v>8</v>
      </c>
      <c r="E87" t="s">
        <v>20</v>
      </c>
      <c r="F87">
        <v>30</v>
      </c>
      <c r="G87" s="5">
        <v>44606</v>
      </c>
      <c r="H87" s="6">
        <v>96800</v>
      </c>
      <c r="I87" t="s">
        <v>9</v>
      </c>
    </row>
    <row r="88" spans="3:9" x14ac:dyDescent="0.3">
      <c r="C88" t="s">
        <v>194</v>
      </c>
      <c r="D88" t="s">
        <v>12</v>
      </c>
      <c r="E88" t="s">
        <v>20</v>
      </c>
      <c r="F88">
        <v>34</v>
      </c>
      <c r="G88" s="5">
        <v>44459</v>
      </c>
      <c r="H88" s="6">
        <v>85000</v>
      </c>
      <c r="I88" t="s">
        <v>9</v>
      </c>
    </row>
    <row r="89" spans="3:9" x14ac:dyDescent="0.3">
      <c r="C89" t="s">
        <v>195</v>
      </c>
      <c r="D89" t="s">
        <v>8</v>
      </c>
      <c r="E89" t="s">
        <v>22</v>
      </c>
      <c r="F89">
        <v>28</v>
      </c>
      <c r="G89" s="5">
        <v>44820</v>
      </c>
      <c r="H89" s="6">
        <v>43510</v>
      </c>
      <c r="I89" t="s">
        <v>81</v>
      </c>
    </row>
    <row r="90" spans="3:9" x14ac:dyDescent="0.3">
      <c r="C90" t="s">
        <v>196</v>
      </c>
      <c r="D90" t="s">
        <v>8</v>
      </c>
      <c r="E90" t="s">
        <v>20</v>
      </c>
      <c r="F90">
        <v>33</v>
      </c>
      <c r="G90" s="5">
        <v>44243</v>
      </c>
      <c r="H90" s="6">
        <v>59430</v>
      </c>
      <c r="I90" t="s">
        <v>9</v>
      </c>
    </row>
    <row r="91" spans="3:9" x14ac:dyDescent="0.3">
      <c r="C91" t="s">
        <v>197</v>
      </c>
      <c r="D91" t="s">
        <v>12</v>
      </c>
      <c r="E91" t="s">
        <v>20</v>
      </c>
      <c r="F91">
        <v>33</v>
      </c>
      <c r="G91" s="5">
        <v>44067</v>
      </c>
      <c r="H91" s="6">
        <v>65360</v>
      </c>
      <c r="I91" t="s">
        <v>9</v>
      </c>
    </row>
    <row r="92" spans="3:9" x14ac:dyDescent="0.3">
      <c r="C92" t="s">
        <v>198</v>
      </c>
      <c r="D92" t="s">
        <v>12</v>
      </c>
      <c r="E92" t="s">
        <v>15</v>
      </c>
      <c r="F92">
        <v>32</v>
      </c>
      <c r="G92" s="5">
        <v>44611</v>
      </c>
      <c r="H92" s="6">
        <v>41570</v>
      </c>
      <c r="I92" t="s">
        <v>9</v>
      </c>
    </row>
    <row r="93" spans="3:9" x14ac:dyDescent="0.3">
      <c r="C93" t="s">
        <v>199</v>
      </c>
      <c r="D93" t="s">
        <v>12</v>
      </c>
      <c r="E93" t="s">
        <v>10</v>
      </c>
      <c r="F93">
        <v>33</v>
      </c>
      <c r="G93" s="5">
        <v>44312</v>
      </c>
      <c r="H93" s="6">
        <v>75280</v>
      </c>
      <c r="I93" t="s">
        <v>9</v>
      </c>
    </row>
    <row r="94" spans="3:9" x14ac:dyDescent="0.3">
      <c r="C94" t="s">
        <v>200</v>
      </c>
      <c r="D94" t="s">
        <v>8</v>
      </c>
      <c r="E94" t="s">
        <v>22</v>
      </c>
      <c r="F94">
        <v>33</v>
      </c>
      <c r="G94" s="5">
        <v>44385</v>
      </c>
      <c r="H94" s="6">
        <v>74550</v>
      </c>
      <c r="I94" t="s">
        <v>9</v>
      </c>
    </row>
    <row r="95" spans="3:9" x14ac:dyDescent="0.3">
      <c r="C95" t="s">
        <v>201</v>
      </c>
      <c r="D95" t="s">
        <v>8</v>
      </c>
      <c r="E95" t="s">
        <v>15</v>
      </c>
      <c r="F95">
        <v>30</v>
      </c>
      <c r="G95" s="5">
        <v>44701</v>
      </c>
      <c r="H95" s="6">
        <v>67950</v>
      </c>
      <c r="I95" t="s">
        <v>9</v>
      </c>
    </row>
    <row r="96" spans="3:9" x14ac:dyDescent="0.3">
      <c r="C96" t="s">
        <v>202</v>
      </c>
      <c r="D96" t="s">
        <v>8</v>
      </c>
      <c r="E96" t="s">
        <v>20</v>
      </c>
      <c r="F96">
        <v>42</v>
      </c>
      <c r="G96" s="5">
        <v>44731</v>
      </c>
      <c r="H96" s="6">
        <v>70270</v>
      </c>
      <c r="I96" t="s">
        <v>19</v>
      </c>
    </row>
    <row r="97" spans="3:9" x14ac:dyDescent="0.3">
      <c r="C97" t="s">
        <v>203</v>
      </c>
      <c r="D97" t="s">
        <v>8</v>
      </c>
      <c r="E97" t="s">
        <v>15</v>
      </c>
      <c r="F97">
        <v>26</v>
      </c>
      <c r="G97" s="5">
        <v>44411</v>
      </c>
      <c r="H97" s="6">
        <v>53540</v>
      </c>
      <c r="I97" t="s">
        <v>9</v>
      </c>
    </row>
    <row r="98" spans="3:9" x14ac:dyDescent="0.3">
      <c r="C98" t="s">
        <v>113</v>
      </c>
      <c r="D98" t="s">
        <v>8</v>
      </c>
      <c r="E98" t="s">
        <v>22</v>
      </c>
      <c r="F98">
        <v>22</v>
      </c>
      <c r="G98" s="5">
        <v>44446</v>
      </c>
      <c r="H98" s="6">
        <v>112780</v>
      </c>
      <c r="I98" t="s">
        <v>13</v>
      </c>
    </row>
    <row r="99" spans="3:9" x14ac:dyDescent="0.3">
      <c r="C99" t="s">
        <v>114</v>
      </c>
      <c r="D99" t="s">
        <v>8</v>
      </c>
      <c r="E99" t="s">
        <v>15</v>
      </c>
      <c r="F99">
        <v>46</v>
      </c>
      <c r="G99" s="5">
        <v>44758</v>
      </c>
      <c r="H99" s="6">
        <v>70610</v>
      </c>
      <c r="I99" t="s">
        <v>9</v>
      </c>
    </row>
    <row r="100" spans="3:9" x14ac:dyDescent="0.3">
      <c r="C100" t="s">
        <v>115</v>
      </c>
      <c r="D100" t="s">
        <v>12</v>
      </c>
      <c r="E100" t="s">
        <v>22</v>
      </c>
      <c r="F100">
        <v>28</v>
      </c>
      <c r="G100" s="5">
        <v>44357</v>
      </c>
      <c r="H100" s="6">
        <v>53240</v>
      </c>
      <c r="I100" t="s">
        <v>9</v>
      </c>
    </row>
    <row r="101" spans="3:9" x14ac:dyDescent="0.3">
      <c r="C101" t="s">
        <v>116</v>
      </c>
      <c r="E101" t="s">
        <v>20</v>
      </c>
      <c r="F101">
        <v>37</v>
      </c>
      <c r="G101" s="5">
        <v>44146</v>
      </c>
      <c r="H101" s="6">
        <v>115440</v>
      </c>
      <c r="I101" t="s">
        <v>19</v>
      </c>
    </row>
    <row r="102" spans="3:9" x14ac:dyDescent="0.3">
      <c r="C102" t="s">
        <v>117</v>
      </c>
      <c r="D102" t="s">
        <v>8</v>
      </c>
      <c r="E102" t="s">
        <v>22</v>
      </c>
      <c r="F102">
        <v>32</v>
      </c>
      <c r="G102" s="5">
        <v>44465</v>
      </c>
      <c r="H102" s="6">
        <v>53540</v>
      </c>
      <c r="I102" t="s">
        <v>9</v>
      </c>
    </row>
    <row r="103" spans="3:9" x14ac:dyDescent="0.3">
      <c r="C103" t="s">
        <v>118</v>
      </c>
      <c r="D103" t="s">
        <v>12</v>
      </c>
      <c r="E103" t="s">
        <v>15</v>
      </c>
      <c r="F103">
        <v>30</v>
      </c>
      <c r="G103" s="5">
        <v>44861</v>
      </c>
      <c r="H103" s="6">
        <v>112570</v>
      </c>
      <c r="I103" t="s">
        <v>9</v>
      </c>
    </row>
    <row r="104" spans="3:9" x14ac:dyDescent="0.3">
      <c r="C104" t="s">
        <v>119</v>
      </c>
      <c r="D104" t="s">
        <v>8</v>
      </c>
      <c r="E104" t="s">
        <v>15</v>
      </c>
      <c r="F104">
        <v>33</v>
      </c>
      <c r="G104" s="5">
        <v>44701</v>
      </c>
      <c r="H104" s="6">
        <v>48530</v>
      </c>
      <c r="I104" t="s">
        <v>13</v>
      </c>
    </row>
    <row r="105" spans="3:9" x14ac:dyDescent="0.3">
      <c r="C105" t="s">
        <v>120</v>
      </c>
      <c r="D105" t="s">
        <v>12</v>
      </c>
      <c r="E105" t="s">
        <v>10</v>
      </c>
      <c r="F105">
        <v>24</v>
      </c>
      <c r="G105" s="5">
        <v>44148</v>
      </c>
      <c r="H105" s="6">
        <v>62780</v>
      </c>
      <c r="I105" t="s">
        <v>9</v>
      </c>
    </row>
    <row r="106" spans="3:9" x14ac:dyDescent="0.3">
      <c r="C106" t="s">
        <v>111</v>
      </c>
      <c r="F106">
        <f>SUBTOTAL(101,nzdian_stuff[Age])</f>
        <v>30.52</v>
      </c>
      <c r="H106" s="6">
        <f>SUBTOTAL(101,nzdian_stuff[Salary])</f>
        <v>76797.570000000007</v>
      </c>
      <c r="I106">
        <f>SUBTOTAL(103,nzdian_stuff[Rating])</f>
        <v>100</v>
      </c>
    </row>
  </sheetData>
  <conditionalFormatting sqref="C6:C105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730E-A63C-4C6B-BCF6-847B935EA0E4}">
  <dimension ref="A1:N194"/>
  <sheetViews>
    <sheetView zoomScale="65" workbookViewId="0">
      <selection activeCell="I2" sqref="I2:I176"/>
    </sheetView>
  </sheetViews>
  <sheetFormatPr defaultRowHeight="15" customHeight="1" x14ac:dyDescent="0.3"/>
  <cols>
    <col min="1" max="1" width="30" bestFit="1" customWidth="1"/>
    <col min="2" max="2" width="10" bestFit="1" customWidth="1"/>
    <col min="3" max="3" width="6.88671875" bestFit="1" customWidth="1"/>
    <col min="4" max="4" width="14.109375" style="29" bestFit="1" customWidth="1"/>
    <col min="5" max="5" width="15.44140625" customWidth="1"/>
    <col min="6" max="6" width="14.5546875" style="5" customWidth="1"/>
    <col min="7" max="7" width="14.5546875" style="30" customWidth="1"/>
    <col min="8" max="8" width="14.33203125" bestFit="1" customWidth="1"/>
    <col min="9" max="9" width="8.88671875" bestFit="1" customWidth="1"/>
    <col min="10" max="10" width="10.5546875" bestFit="1" customWidth="1"/>
    <col min="11" max="11" width="11" bestFit="1" customWidth="1"/>
    <col min="12" max="12" width="16.5546875" customWidth="1"/>
  </cols>
  <sheetData>
    <row r="1" spans="1:14" ht="14.4" x14ac:dyDescent="0.3">
      <c r="A1" t="s">
        <v>0</v>
      </c>
      <c r="B1" t="s">
        <v>1</v>
      </c>
      <c r="C1" t="s">
        <v>2</v>
      </c>
      <c r="D1" s="29" t="s">
        <v>3</v>
      </c>
      <c r="E1" t="s">
        <v>204</v>
      </c>
      <c r="F1" s="5" t="s">
        <v>4</v>
      </c>
      <c r="G1" s="30" t="s">
        <v>205</v>
      </c>
      <c r="H1" t="s">
        <v>5</v>
      </c>
      <c r="I1" t="s">
        <v>6</v>
      </c>
      <c r="J1" t="s">
        <v>206</v>
      </c>
      <c r="K1" t="s">
        <v>207</v>
      </c>
      <c r="L1" t="s">
        <v>208</v>
      </c>
    </row>
    <row r="2" spans="1:14" ht="14.4" x14ac:dyDescent="0.3">
      <c r="A2" t="s">
        <v>187</v>
      </c>
      <c r="B2" t="s">
        <v>12</v>
      </c>
      <c r="C2">
        <v>21</v>
      </c>
      <c r="D2" s="29" t="s">
        <v>9</v>
      </c>
      <c r="E2">
        <f>_xlfn.XLOOKUP(D2,Sheet1!$B$2:$B$6,Sheet1!$C$2:$C$6)</f>
        <v>3</v>
      </c>
      <c r="F2" s="5">
        <v>44678</v>
      </c>
      <c r="G2" s="30">
        <v>44678</v>
      </c>
      <c r="H2" t="s">
        <v>10</v>
      </c>
      <c r="I2">
        <v>33920</v>
      </c>
      <c r="J2" t="s">
        <v>209</v>
      </c>
      <c r="K2" s="7">
        <f ca="1">(TODAY()-allstaff[[#This Row],[Date Joined]])/365</f>
        <v>1.8520547945205479</v>
      </c>
      <c r="L2" s="7">
        <f ca="1">IF(allstaff[[#This Row],[Tenure]]&gt;2,3%,2%)*allstaff[[#This Row],[Salary]]</f>
        <v>678.4</v>
      </c>
      <c r="N2" t="s">
        <v>210</v>
      </c>
    </row>
    <row r="3" spans="1:14" ht="14.4" x14ac:dyDescent="0.3">
      <c r="A3" t="s">
        <v>61</v>
      </c>
      <c r="B3" t="s">
        <v>12</v>
      </c>
      <c r="C3">
        <v>21</v>
      </c>
      <c r="D3" s="29" t="s">
        <v>9</v>
      </c>
      <c r="E3">
        <f>_xlfn.XLOOKUP(D3,Sheet1!$B$2:$B$6,Sheet1!$C$2:$C$6)</f>
        <v>3</v>
      </c>
      <c r="F3" s="5">
        <v>44619</v>
      </c>
      <c r="G3" s="30">
        <v>44619</v>
      </c>
      <c r="H3" t="s">
        <v>10</v>
      </c>
      <c r="I3">
        <v>33920</v>
      </c>
      <c r="J3" t="s">
        <v>211</v>
      </c>
      <c r="K3" s="7">
        <f ca="1">(TODAY()-allstaff[[#This Row],[Date Joined]])/365</f>
        <v>2.0136986301369864</v>
      </c>
      <c r="L3" s="7">
        <f ca="1">IF(allstaff[[#This Row],[Tenure]]&gt;2,3%,2%)*allstaff[[#This Row],[Salary]]</f>
        <v>1017.5999999999999</v>
      </c>
      <c r="N3" t="s">
        <v>212</v>
      </c>
    </row>
    <row r="4" spans="1:14" ht="14.4" x14ac:dyDescent="0.3">
      <c r="A4" t="s">
        <v>140</v>
      </c>
      <c r="B4" t="s">
        <v>12</v>
      </c>
      <c r="C4">
        <v>29</v>
      </c>
      <c r="D4" s="29" t="s">
        <v>9</v>
      </c>
      <c r="E4">
        <f>_xlfn.XLOOKUP(D4,Sheet1!$B$2:$B$6,Sheet1!$C$2:$C$6)</f>
        <v>3</v>
      </c>
      <c r="F4" s="5">
        <v>44023</v>
      </c>
      <c r="G4" s="30">
        <v>44023</v>
      </c>
      <c r="H4" t="s">
        <v>10</v>
      </c>
      <c r="I4">
        <v>34980</v>
      </c>
      <c r="J4" t="s">
        <v>209</v>
      </c>
      <c r="K4" s="7">
        <f ca="1">(TODAY()-allstaff[[#This Row],[Date Joined]])/365</f>
        <v>3.6465753424657534</v>
      </c>
      <c r="L4" s="7">
        <f ca="1">IF(allstaff[[#This Row],[Tenure]]&gt;2,3%,2%)*allstaff[[#This Row],[Salary]]</f>
        <v>1049.3999999999999</v>
      </c>
      <c r="N4" t="s">
        <v>213</v>
      </c>
    </row>
    <row r="5" spans="1:14" ht="14.4" x14ac:dyDescent="0.3">
      <c r="A5" t="s">
        <v>99</v>
      </c>
      <c r="B5" t="s">
        <v>12</v>
      </c>
      <c r="C5">
        <v>29</v>
      </c>
      <c r="D5" s="29" t="s">
        <v>9</v>
      </c>
      <c r="E5">
        <f>_xlfn.XLOOKUP(D5,Sheet1!$B$2:$B$6,Sheet1!$C$2:$C$6)</f>
        <v>3</v>
      </c>
      <c r="F5" s="5">
        <v>43962</v>
      </c>
      <c r="G5" s="30">
        <v>43962</v>
      </c>
      <c r="H5" t="s">
        <v>10</v>
      </c>
      <c r="I5">
        <v>34980</v>
      </c>
      <c r="J5" t="s">
        <v>211</v>
      </c>
      <c r="K5" s="7">
        <f ca="1">(TODAY()-allstaff[[#This Row],[Date Joined]])/365</f>
        <v>3.8136986301369862</v>
      </c>
      <c r="L5" s="7">
        <f ca="1">IF(allstaff[[#This Row],[Tenure]]&gt;2,3%,2%)*allstaff[[#This Row],[Salary]]</f>
        <v>1049.3999999999999</v>
      </c>
      <c r="N5" t="s">
        <v>214</v>
      </c>
    </row>
    <row r="6" spans="1:14" ht="14.4" x14ac:dyDescent="0.3">
      <c r="A6" t="s">
        <v>191</v>
      </c>
      <c r="B6" t="s">
        <v>8</v>
      </c>
      <c r="C6">
        <v>43</v>
      </c>
      <c r="D6" s="29" t="s">
        <v>9</v>
      </c>
      <c r="E6">
        <f>_xlfn.XLOOKUP(D6,Sheet1!$B$2:$B$6,Sheet1!$C$2:$C$6)</f>
        <v>3</v>
      </c>
      <c r="F6" s="5">
        <v>44620</v>
      </c>
      <c r="G6" s="30">
        <v>44620</v>
      </c>
      <c r="H6" t="s">
        <v>22</v>
      </c>
      <c r="I6">
        <v>36040</v>
      </c>
      <c r="J6" t="s">
        <v>209</v>
      </c>
      <c r="K6" s="7">
        <f ca="1">(TODAY()-allstaff[[#This Row],[Date Joined]])/365</f>
        <v>2.010958904109589</v>
      </c>
      <c r="L6" s="7">
        <f ca="1">IF(allstaff[[#This Row],[Tenure]]&gt;2,3%,2%)*allstaff[[#This Row],[Salary]]</f>
        <v>1081.2</v>
      </c>
    </row>
    <row r="7" spans="1:14" ht="14.4" x14ac:dyDescent="0.3">
      <c r="A7" t="s">
        <v>39</v>
      </c>
      <c r="B7" t="s">
        <v>8</v>
      </c>
      <c r="C7">
        <v>43</v>
      </c>
      <c r="D7" s="29" t="s">
        <v>9</v>
      </c>
      <c r="E7">
        <f>_xlfn.XLOOKUP(D7,Sheet1!$B$2:$B$6,Sheet1!$C$2:$C$6)</f>
        <v>3</v>
      </c>
      <c r="F7" s="5">
        <v>44558</v>
      </c>
      <c r="G7" s="30">
        <v>44558</v>
      </c>
      <c r="H7" t="s">
        <v>22</v>
      </c>
      <c r="I7">
        <v>36040</v>
      </c>
      <c r="J7" t="s">
        <v>211</v>
      </c>
      <c r="K7" s="7">
        <f ca="1">(TODAY()-allstaff[[#This Row],[Date Joined]])/365</f>
        <v>2.1808219178082191</v>
      </c>
      <c r="L7" s="7">
        <f ca="1">IF(allstaff[[#This Row],[Tenure]]&gt;2,3%,2%)*allstaff[[#This Row],[Salary]]</f>
        <v>1081.2</v>
      </c>
    </row>
    <row r="8" spans="1:14" ht="14.4" x14ac:dyDescent="0.3">
      <c r="A8" t="s">
        <v>129</v>
      </c>
      <c r="B8" t="s">
        <v>8</v>
      </c>
      <c r="C8">
        <v>21</v>
      </c>
      <c r="D8" s="29" t="s">
        <v>9</v>
      </c>
      <c r="E8">
        <f>_xlfn.XLOOKUP(D8,Sheet1!$B$2:$B$6,Sheet1!$C$2:$C$6)</f>
        <v>3</v>
      </c>
      <c r="F8" s="5">
        <v>44104</v>
      </c>
      <c r="G8" s="30">
        <v>44104</v>
      </c>
      <c r="H8" t="s">
        <v>15</v>
      </c>
      <c r="I8">
        <v>37920</v>
      </c>
      <c r="J8" t="s">
        <v>209</v>
      </c>
      <c r="K8" s="7">
        <f ca="1">(TODAY()-allstaff[[#This Row],[Date Joined]])/365</f>
        <v>3.4246575342465753</v>
      </c>
      <c r="L8" s="7">
        <f ca="1">IF(allstaff[[#This Row],[Tenure]]&gt;2,3%,2%)*allstaff[[#This Row],[Salary]]</f>
        <v>1137.5999999999999</v>
      </c>
    </row>
    <row r="9" spans="1:14" ht="14.4" x14ac:dyDescent="0.3">
      <c r="A9" t="s">
        <v>30</v>
      </c>
      <c r="B9" t="s">
        <v>8</v>
      </c>
      <c r="C9">
        <v>21</v>
      </c>
      <c r="D9" s="29" t="s">
        <v>9</v>
      </c>
      <c r="E9">
        <f>_xlfn.XLOOKUP(D9,Sheet1!$B$2:$B$6,Sheet1!$C$2:$C$6)</f>
        <v>3</v>
      </c>
      <c r="F9" s="5">
        <v>44042</v>
      </c>
      <c r="G9" s="30">
        <v>44042</v>
      </c>
      <c r="H9" t="s">
        <v>15</v>
      </c>
      <c r="I9">
        <v>37920</v>
      </c>
      <c r="J9" t="s">
        <v>211</v>
      </c>
      <c r="K9" s="7">
        <f ca="1">(TODAY()-allstaff[[#This Row],[Date Joined]])/365</f>
        <v>3.5945205479452054</v>
      </c>
      <c r="L9" s="7">
        <f ca="1">IF(allstaff[[#This Row],[Tenure]]&gt;2,3%,2%)*allstaff[[#This Row],[Salary]]</f>
        <v>1137.5999999999999</v>
      </c>
    </row>
    <row r="10" spans="1:14" ht="14.4" x14ac:dyDescent="0.3">
      <c r="A10" t="s">
        <v>189</v>
      </c>
      <c r="B10" t="s">
        <v>8</v>
      </c>
      <c r="C10">
        <v>35</v>
      </c>
      <c r="D10" s="29" t="s">
        <v>9</v>
      </c>
      <c r="E10">
        <f>_xlfn.XLOOKUP(D10,Sheet1!$B$2:$B$6,Sheet1!$C$2:$C$6)</f>
        <v>3</v>
      </c>
      <c r="F10" s="5">
        <v>44727</v>
      </c>
      <c r="G10" s="30">
        <v>44727</v>
      </c>
      <c r="H10" t="s">
        <v>15</v>
      </c>
      <c r="I10">
        <v>40400</v>
      </c>
      <c r="J10" t="s">
        <v>209</v>
      </c>
      <c r="K10" s="7">
        <f ca="1">(TODAY()-allstaff[[#This Row],[Date Joined]])/365</f>
        <v>1.7178082191780821</v>
      </c>
      <c r="L10" s="7">
        <f ca="1">IF(allstaff[[#This Row],[Tenure]]&gt;2,3%,2%)*allstaff[[#This Row],[Salary]]</f>
        <v>808</v>
      </c>
    </row>
    <row r="11" spans="1:14" ht="14.4" x14ac:dyDescent="0.3">
      <c r="A11" t="s">
        <v>42</v>
      </c>
      <c r="B11" t="s">
        <v>8</v>
      </c>
      <c r="C11">
        <v>35</v>
      </c>
      <c r="D11" s="29" t="s">
        <v>9</v>
      </c>
      <c r="E11">
        <f>_xlfn.XLOOKUP(D11,Sheet1!$B$2:$B$6,Sheet1!$C$2:$C$6)</f>
        <v>3</v>
      </c>
      <c r="F11" s="5">
        <v>44666</v>
      </c>
      <c r="G11" s="30">
        <v>44666</v>
      </c>
      <c r="H11" t="s">
        <v>15</v>
      </c>
      <c r="I11">
        <v>40400</v>
      </c>
      <c r="J11" t="s">
        <v>211</v>
      </c>
      <c r="K11" s="7">
        <f ca="1">(TODAY()-allstaff[[#This Row],[Date Joined]])/365</f>
        <v>1.8849315068493151</v>
      </c>
      <c r="L11" s="7">
        <f ca="1">IF(allstaff[[#This Row],[Tenure]]&gt;2,3%,2%)*allstaff[[#This Row],[Salary]]</f>
        <v>808</v>
      </c>
    </row>
    <row r="12" spans="1:14" ht="14.4" x14ac:dyDescent="0.3">
      <c r="A12" t="s">
        <v>198</v>
      </c>
      <c r="B12" t="s">
        <v>12</v>
      </c>
      <c r="C12">
        <v>32</v>
      </c>
      <c r="D12" s="29" t="s">
        <v>9</v>
      </c>
      <c r="E12">
        <f>_xlfn.XLOOKUP(D12,Sheet1!$B$2:$B$6,Sheet1!$C$2:$C$6)</f>
        <v>3</v>
      </c>
      <c r="F12" s="5">
        <v>44611</v>
      </c>
      <c r="G12" s="30">
        <v>44611</v>
      </c>
      <c r="H12" t="s">
        <v>15</v>
      </c>
      <c r="I12">
        <v>41570</v>
      </c>
      <c r="J12" t="s">
        <v>209</v>
      </c>
      <c r="K12" s="7">
        <f ca="1">(TODAY()-allstaff[[#This Row],[Date Joined]])/365</f>
        <v>2.0356164383561643</v>
      </c>
      <c r="L12" s="7">
        <f ca="1">IF(allstaff[[#This Row],[Tenure]]&gt;2,3%,2%)*allstaff[[#This Row],[Salary]]</f>
        <v>1247.0999999999999</v>
      </c>
    </row>
    <row r="13" spans="1:14" ht="14.4" x14ac:dyDescent="0.3">
      <c r="A13" t="s">
        <v>46</v>
      </c>
      <c r="B13" t="s">
        <v>12</v>
      </c>
      <c r="C13">
        <v>32</v>
      </c>
      <c r="D13" s="29" t="s">
        <v>9</v>
      </c>
      <c r="E13">
        <f>_xlfn.XLOOKUP(D13,Sheet1!$B$2:$B$6,Sheet1!$C$2:$C$6)</f>
        <v>3</v>
      </c>
      <c r="F13" s="5">
        <v>44549</v>
      </c>
      <c r="G13" s="30">
        <v>44549</v>
      </c>
      <c r="H13" t="s">
        <v>15</v>
      </c>
      <c r="I13">
        <v>41570</v>
      </c>
      <c r="J13" t="s">
        <v>211</v>
      </c>
      <c r="K13" s="7">
        <f ca="1">(TODAY()-allstaff[[#This Row],[Date Joined]])/365</f>
        <v>2.2054794520547945</v>
      </c>
      <c r="L13" s="7">
        <f ca="1">IF(allstaff[[#This Row],[Tenure]]&gt;2,3%,2%)*allstaff[[#This Row],[Salary]]</f>
        <v>1247.0999999999999</v>
      </c>
    </row>
    <row r="14" spans="1:14" ht="14.4" x14ac:dyDescent="0.3">
      <c r="A14" t="s">
        <v>131</v>
      </c>
      <c r="B14" t="s">
        <v>12</v>
      </c>
      <c r="C14">
        <v>31</v>
      </c>
      <c r="D14" s="29" t="s">
        <v>9</v>
      </c>
      <c r="E14">
        <f>_xlfn.XLOOKUP(D14,Sheet1!$B$2:$B$6,Sheet1!$C$2:$C$6)</f>
        <v>3</v>
      </c>
      <c r="F14" s="5">
        <v>44145</v>
      </c>
      <c r="G14" s="30">
        <v>44145</v>
      </c>
      <c r="H14" t="s">
        <v>10</v>
      </c>
      <c r="I14">
        <v>41980</v>
      </c>
      <c r="J14" t="s">
        <v>209</v>
      </c>
      <c r="K14" s="7">
        <f ca="1">(TODAY()-allstaff[[#This Row],[Date Joined]])/365</f>
        <v>3.3123287671232875</v>
      </c>
      <c r="L14" s="7">
        <f ca="1">IF(allstaff[[#This Row],[Tenure]]&gt;2,3%,2%)*allstaff[[#This Row],[Salary]]</f>
        <v>1259.3999999999999</v>
      </c>
    </row>
    <row r="15" spans="1:14" ht="14.4" x14ac:dyDescent="0.3">
      <c r="A15" t="s">
        <v>84</v>
      </c>
      <c r="B15" t="s">
        <v>12</v>
      </c>
      <c r="C15">
        <v>31</v>
      </c>
      <c r="D15" s="29" t="s">
        <v>9</v>
      </c>
      <c r="E15">
        <f>_xlfn.XLOOKUP(D15,Sheet1!$B$2:$B$6,Sheet1!$C$2:$C$6)</f>
        <v>3</v>
      </c>
      <c r="F15" s="5">
        <v>44084</v>
      </c>
      <c r="G15" s="30">
        <v>44084</v>
      </c>
      <c r="H15" t="s">
        <v>10</v>
      </c>
      <c r="I15">
        <v>41980</v>
      </c>
      <c r="J15" t="s">
        <v>211</v>
      </c>
      <c r="K15" s="7">
        <f ca="1">(TODAY()-allstaff[[#This Row],[Date Joined]])/365</f>
        <v>3.4794520547945207</v>
      </c>
      <c r="L15" s="7">
        <f ca="1">IF(allstaff[[#This Row],[Tenure]]&gt;2,3%,2%)*allstaff[[#This Row],[Salary]]</f>
        <v>1259.3999999999999</v>
      </c>
    </row>
    <row r="16" spans="1:14" ht="14.4" x14ac:dyDescent="0.3">
      <c r="A16" t="s">
        <v>195</v>
      </c>
      <c r="B16" t="s">
        <v>8</v>
      </c>
      <c r="C16">
        <v>28</v>
      </c>
      <c r="D16" s="29" t="s">
        <v>81</v>
      </c>
      <c r="E16">
        <f>_xlfn.XLOOKUP(D16,Sheet1!$B$2:$B$6,Sheet1!$C$2:$C$6)</f>
        <v>1</v>
      </c>
      <c r="F16" s="5">
        <v>44820</v>
      </c>
      <c r="G16" s="30">
        <v>44820</v>
      </c>
      <c r="H16" t="s">
        <v>22</v>
      </c>
      <c r="I16">
        <v>43510</v>
      </c>
      <c r="J16" t="s">
        <v>209</v>
      </c>
      <c r="K16" s="7">
        <f ca="1">(TODAY()-allstaff[[#This Row],[Date Joined]])/365</f>
        <v>1.463013698630137</v>
      </c>
      <c r="L16" s="7">
        <f ca="1">IF(allstaff[[#This Row],[Tenure]]&gt;2,3%,2%)*allstaff[[#This Row],[Salary]]</f>
        <v>870.2</v>
      </c>
    </row>
    <row r="17" spans="1:12" ht="14.4" x14ac:dyDescent="0.3">
      <c r="A17" t="s">
        <v>80</v>
      </c>
      <c r="B17" t="s">
        <v>8</v>
      </c>
      <c r="C17">
        <v>28</v>
      </c>
      <c r="D17" s="29" t="s">
        <v>81</v>
      </c>
      <c r="E17">
        <f>_xlfn.XLOOKUP(D17,Sheet1!$B$2:$B$6,Sheet1!$C$2:$C$6)</f>
        <v>1</v>
      </c>
      <c r="F17" s="5">
        <v>44758</v>
      </c>
      <c r="G17" s="30">
        <v>44758</v>
      </c>
      <c r="H17" t="s">
        <v>22</v>
      </c>
      <c r="I17">
        <v>43510</v>
      </c>
      <c r="J17" t="s">
        <v>211</v>
      </c>
      <c r="K17" s="7">
        <f ca="1">(TODAY()-allstaff[[#This Row],[Date Joined]])/365</f>
        <v>1.6328767123287671</v>
      </c>
      <c r="L17" s="7">
        <f ca="1">IF(allstaff[[#This Row],[Tenure]]&gt;2,3%,2%)*allstaff[[#This Row],[Salary]]</f>
        <v>870.2</v>
      </c>
    </row>
    <row r="18" spans="1:12" ht="14.4" x14ac:dyDescent="0.3">
      <c r="A18" t="s">
        <v>127</v>
      </c>
      <c r="B18" t="s">
        <v>12</v>
      </c>
      <c r="C18">
        <v>32</v>
      </c>
      <c r="D18" s="29" t="s">
        <v>13</v>
      </c>
      <c r="E18">
        <f>_xlfn.XLOOKUP(D18,Sheet1!$B$2:$B$6,Sheet1!$C$2:$C$6)</f>
        <v>4</v>
      </c>
      <c r="F18" s="5">
        <v>44354</v>
      </c>
      <c r="G18" s="30">
        <v>44354</v>
      </c>
      <c r="H18" t="s">
        <v>10</v>
      </c>
      <c r="I18">
        <v>43840</v>
      </c>
      <c r="J18" t="s">
        <v>209</v>
      </c>
      <c r="K18" s="7">
        <f ca="1">(TODAY()-allstaff[[#This Row],[Date Joined]])/365</f>
        <v>2.7397260273972601</v>
      </c>
      <c r="L18" s="7">
        <f ca="1">IF(allstaff[[#This Row],[Tenure]]&gt;2,3%,2%)*allstaff[[#This Row],[Salary]]</f>
        <v>1315.2</v>
      </c>
    </row>
    <row r="19" spans="1:12" ht="14.4" x14ac:dyDescent="0.3">
      <c r="A19" t="s">
        <v>11</v>
      </c>
      <c r="B19" t="s">
        <v>12</v>
      </c>
      <c r="C19">
        <v>32</v>
      </c>
      <c r="D19" s="29" t="s">
        <v>13</v>
      </c>
      <c r="E19">
        <f>_xlfn.XLOOKUP(D19,Sheet1!$B$2:$B$6,Sheet1!$C$2:$C$6)</f>
        <v>4</v>
      </c>
      <c r="F19" s="5">
        <v>44293</v>
      </c>
      <c r="G19" s="30">
        <v>44293</v>
      </c>
      <c r="H19" t="s">
        <v>10</v>
      </c>
      <c r="I19">
        <v>43840</v>
      </c>
      <c r="J19" t="s">
        <v>211</v>
      </c>
      <c r="K19" s="7">
        <f ca="1">(TODAY()-allstaff[[#This Row],[Date Joined]])/365</f>
        <v>2.9068493150684933</v>
      </c>
      <c r="L19" s="7">
        <f ca="1">IF(allstaff[[#This Row],[Tenure]]&gt;2,3%,2%)*allstaff[[#This Row],[Salary]]</f>
        <v>1315.2</v>
      </c>
    </row>
    <row r="20" spans="1:12" ht="14.4" x14ac:dyDescent="0.3">
      <c r="A20" t="s">
        <v>113</v>
      </c>
      <c r="B20" t="s">
        <v>8</v>
      </c>
      <c r="C20">
        <v>22</v>
      </c>
      <c r="D20" s="29" t="s">
        <v>13</v>
      </c>
      <c r="E20">
        <f>_xlfn.XLOOKUP(D20,Sheet1!$B$2:$B$6,Sheet1!$C$2:$C$6)</f>
        <v>4</v>
      </c>
      <c r="F20" s="5">
        <v>44446</v>
      </c>
      <c r="G20" s="30">
        <v>44446</v>
      </c>
      <c r="H20" t="s">
        <v>22</v>
      </c>
      <c r="I20">
        <v>45327</v>
      </c>
      <c r="J20" t="s">
        <v>209</v>
      </c>
      <c r="K20" s="7">
        <f ca="1">(TODAY()-allstaff[[#This Row],[Date Joined]])/365</f>
        <v>2.4876712328767123</v>
      </c>
      <c r="L20" s="7">
        <f ca="1">IF(allstaff[[#This Row],[Tenure]]&gt;2,3%,2%)*allstaff[[#This Row],[Salary]]</f>
        <v>1359.81</v>
      </c>
    </row>
    <row r="21" spans="1:12" ht="14.4" x14ac:dyDescent="0.3">
      <c r="A21" t="s">
        <v>164</v>
      </c>
      <c r="B21" t="s">
        <v>12</v>
      </c>
      <c r="C21">
        <v>32</v>
      </c>
      <c r="D21" s="29" t="s">
        <v>9</v>
      </c>
      <c r="E21">
        <f>_xlfn.XLOOKUP(D21,Sheet1!$B$2:$B$6,Sheet1!$C$2:$C$6)</f>
        <v>3</v>
      </c>
      <c r="F21" s="5">
        <v>44400</v>
      </c>
      <c r="G21" s="30">
        <v>44400</v>
      </c>
      <c r="H21" t="s">
        <v>17</v>
      </c>
      <c r="I21">
        <v>45510</v>
      </c>
      <c r="J21" t="s">
        <v>209</v>
      </c>
      <c r="K21" s="7">
        <f ca="1">(TODAY()-allstaff[[#This Row],[Date Joined]])/365</f>
        <v>2.6136986301369864</v>
      </c>
      <c r="L21" s="7">
        <f ca="1">IF(allstaff[[#This Row],[Tenure]]&gt;2,3%,2%)*allstaff[[#This Row],[Salary]]</f>
        <v>1365.3</v>
      </c>
    </row>
    <row r="22" spans="1:12" ht="14.4" x14ac:dyDescent="0.3">
      <c r="A22" t="s">
        <v>16</v>
      </c>
      <c r="B22" t="s">
        <v>12</v>
      </c>
      <c r="C22">
        <v>32</v>
      </c>
      <c r="D22" s="29" t="s">
        <v>9</v>
      </c>
      <c r="E22">
        <f>_xlfn.XLOOKUP(D22,Sheet1!$B$2:$B$6,Sheet1!$C$2:$C$6)</f>
        <v>3</v>
      </c>
      <c r="F22" s="5">
        <v>44339</v>
      </c>
      <c r="G22" s="30">
        <v>44339</v>
      </c>
      <c r="H22" t="s">
        <v>17</v>
      </c>
      <c r="I22">
        <v>45510</v>
      </c>
      <c r="J22" t="s">
        <v>211</v>
      </c>
      <c r="K22" s="7">
        <f ca="1">(TODAY()-allstaff[[#This Row],[Date Joined]])/365</f>
        <v>2.7808219178082192</v>
      </c>
      <c r="L22" s="7">
        <f ca="1">IF(allstaff[[#This Row],[Tenure]]&gt;2,3%,2%)*allstaff[[#This Row],[Salary]]</f>
        <v>1365.3</v>
      </c>
    </row>
    <row r="23" spans="1:12" ht="14.4" x14ac:dyDescent="0.3">
      <c r="A23" t="s">
        <v>181</v>
      </c>
      <c r="B23" t="s">
        <v>8</v>
      </c>
      <c r="C23">
        <v>26</v>
      </c>
      <c r="D23" s="29" t="s">
        <v>9</v>
      </c>
      <c r="E23">
        <f>_xlfn.XLOOKUP(D23,Sheet1!$B$2:$B$6,Sheet1!$C$2:$C$6)</f>
        <v>3</v>
      </c>
      <c r="F23" s="5">
        <v>44225</v>
      </c>
      <c r="G23" s="30">
        <v>44225</v>
      </c>
      <c r="H23" t="s">
        <v>15</v>
      </c>
      <c r="I23">
        <v>47360</v>
      </c>
      <c r="J23" t="s">
        <v>209</v>
      </c>
      <c r="K23" s="7">
        <f ca="1">(TODAY()-allstaff[[#This Row],[Date Joined]])/365</f>
        <v>3.0931506849315067</v>
      </c>
      <c r="L23" s="7">
        <f ca="1">IF(allstaff[[#This Row],[Tenure]]&gt;2,3%,2%)*allstaff[[#This Row],[Salary]]</f>
        <v>1420.8</v>
      </c>
    </row>
    <row r="24" spans="1:12" ht="14.4" x14ac:dyDescent="0.3">
      <c r="A24" t="s">
        <v>48</v>
      </c>
      <c r="B24" t="s">
        <v>8</v>
      </c>
      <c r="C24">
        <v>26</v>
      </c>
      <c r="D24" s="29" t="s">
        <v>9</v>
      </c>
      <c r="E24">
        <f>_xlfn.XLOOKUP(D24,Sheet1!$B$2:$B$6,Sheet1!$C$2:$C$6)</f>
        <v>3</v>
      </c>
      <c r="F24" s="5">
        <v>44164</v>
      </c>
      <c r="G24" s="30">
        <v>44164</v>
      </c>
      <c r="H24" t="s">
        <v>15</v>
      </c>
      <c r="I24">
        <v>47360</v>
      </c>
      <c r="J24" t="s">
        <v>211</v>
      </c>
      <c r="K24" s="7">
        <f ca="1">(TODAY()-allstaff[[#This Row],[Date Joined]])/365</f>
        <v>3.2602739726027399</v>
      </c>
      <c r="L24" s="7">
        <f ca="1">IF(allstaff[[#This Row],[Tenure]]&gt;2,3%,2%)*allstaff[[#This Row],[Salary]]</f>
        <v>1420.8</v>
      </c>
    </row>
    <row r="25" spans="1:12" ht="14.4" x14ac:dyDescent="0.3">
      <c r="A25" t="s">
        <v>163</v>
      </c>
      <c r="B25" t="s">
        <v>8</v>
      </c>
      <c r="C25">
        <v>28</v>
      </c>
      <c r="D25" s="29" t="s">
        <v>13</v>
      </c>
      <c r="E25">
        <f>_xlfn.XLOOKUP(D25,Sheet1!$B$2:$B$6,Sheet1!$C$2:$C$6)</f>
        <v>4</v>
      </c>
      <c r="F25" s="5">
        <v>44041</v>
      </c>
      <c r="G25" s="30">
        <v>44041</v>
      </c>
      <c r="H25" t="s">
        <v>20</v>
      </c>
      <c r="I25">
        <v>48170</v>
      </c>
      <c r="J25" t="s">
        <v>209</v>
      </c>
      <c r="K25" s="7">
        <f ca="1">(TODAY()-allstaff[[#This Row],[Date Joined]])/365</f>
        <v>3.5972602739726027</v>
      </c>
      <c r="L25" s="7">
        <f ca="1">IF(allstaff[[#This Row],[Tenure]]&gt;2,3%,2%)*allstaff[[#This Row],[Salary]]</f>
        <v>1445.1</v>
      </c>
    </row>
    <row r="26" spans="1:12" ht="14.4" x14ac:dyDescent="0.3">
      <c r="A26" t="s">
        <v>29</v>
      </c>
      <c r="B26" t="s">
        <v>8</v>
      </c>
      <c r="C26">
        <v>28</v>
      </c>
      <c r="D26" s="29" t="s">
        <v>13</v>
      </c>
      <c r="E26">
        <f>_xlfn.XLOOKUP(D26,Sheet1!$B$2:$B$6,Sheet1!$C$2:$C$6)</f>
        <v>4</v>
      </c>
      <c r="F26" s="5">
        <v>43980</v>
      </c>
      <c r="G26" s="30">
        <v>43980</v>
      </c>
      <c r="H26" t="s">
        <v>20</v>
      </c>
      <c r="I26">
        <v>48170</v>
      </c>
      <c r="J26" t="s">
        <v>211</v>
      </c>
      <c r="K26" s="7">
        <f ca="1">(TODAY()-allstaff[[#This Row],[Date Joined]])/365</f>
        <v>3.7643835616438355</v>
      </c>
      <c r="L26" s="7">
        <f ca="1">IF(allstaff[[#This Row],[Tenure]]&gt;2,3%,2%)*allstaff[[#This Row],[Salary]]</f>
        <v>1445.1</v>
      </c>
    </row>
    <row r="27" spans="1:12" ht="14.4" x14ac:dyDescent="0.3">
      <c r="A27" t="s">
        <v>119</v>
      </c>
      <c r="B27" t="s">
        <v>8</v>
      </c>
      <c r="C27">
        <v>33</v>
      </c>
      <c r="D27" s="29" t="s">
        <v>13</v>
      </c>
      <c r="E27">
        <f>_xlfn.XLOOKUP(D27,Sheet1!$B$2:$B$6,Sheet1!$C$2:$C$6)</f>
        <v>4</v>
      </c>
      <c r="F27" s="5">
        <v>44701</v>
      </c>
      <c r="G27" s="30">
        <v>44701</v>
      </c>
      <c r="H27" t="s">
        <v>15</v>
      </c>
      <c r="I27">
        <v>48530</v>
      </c>
      <c r="J27" t="s">
        <v>209</v>
      </c>
      <c r="K27" s="7">
        <f ca="1">(TODAY()-allstaff[[#This Row],[Date Joined]])/365</f>
        <v>1.789041095890411</v>
      </c>
      <c r="L27" s="7">
        <f ca="1">IF(allstaff[[#This Row],[Tenure]]&gt;2,3%,2%)*allstaff[[#This Row],[Salary]]</f>
        <v>970.6</v>
      </c>
    </row>
    <row r="28" spans="1:12" ht="14.4" x14ac:dyDescent="0.3">
      <c r="A28" t="s">
        <v>109</v>
      </c>
      <c r="B28" t="s">
        <v>8</v>
      </c>
      <c r="C28">
        <v>33</v>
      </c>
      <c r="D28" s="29" t="s">
        <v>13</v>
      </c>
      <c r="E28">
        <f>_xlfn.XLOOKUP(D28,Sheet1!$B$2:$B$6,Sheet1!$C$2:$C$6)</f>
        <v>4</v>
      </c>
      <c r="F28" s="5">
        <v>44640</v>
      </c>
      <c r="G28" s="30">
        <v>44640</v>
      </c>
      <c r="H28" t="s">
        <v>15</v>
      </c>
      <c r="I28">
        <v>48530</v>
      </c>
      <c r="J28" t="s">
        <v>211</v>
      </c>
      <c r="K28" s="7">
        <f ca="1">(TODAY()-allstaff[[#This Row],[Date Joined]])/365</f>
        <v>1.9561643835616438</v>
      </c>
      <c r="L28" s="7">
        <f ca="1">IF(allstaff[[#This Row],[Tenure]]&gt;2,3%,2%)*allstaff[[#This Row],[Salary]]</f>
        <v>970.6</v>
      </c>
    </row>
    <row r="29" spans="1:12" ht="14.4" x14ac:dyDescent="0.3">
      <c r="A29" t="s">
        <v>151</v>
      </c>
      <c r="B29" t="s">
        <v>8</v>
      </c>
      <c r="C29">
        <v>31</v>
      </c>
      <c r="D29" s="29" t="s">
        <v>9</v>
      </c>
      <c r="E29">
        <f>_xlfn.XLOOKUP(D29,Sheet1!$B$2:$B$6,Sheet1!$C$2:$C$6)</f>
        <v>3</v>
      </c>
      <c r="F29" s="5">
        <v>44511</v>
      </c>
      <c r="G29" s="30">
        <v>44511</v>
      </c>
      <c r="H29" t="s">
        <v>10</v>
      </c>
      <c r="I29">
        <v>48950</v>
      </c>
      <c r="J29" t="s">
        <v>209</v>
      </c>
      <c r="K29" s="7">
        <f ca="1">(TODAY()-allstaff[[#This Row],[Date Joined]])/365</f>
        <v>2.3095890410958906</v>
      </c>
      <c r="L29" s="7">
        <f ca="1">IF(allstaff[[#This Row],[Tenure]]&gt;2,3%,2%)*allstaff[[#This Row],[Salary]]</f>
        <v>1468.5</v>
      </c>
    </row>
    <row r="30" spans="1:12" ht="14.4" x14ac:dyDescent="0.3">
      <c r="A30" t="s">
        <v>75</v>
      </c>
      <c r="B30" t="s">
        <v>8</v>
      </c>
      <c r="C30">
        <v>31</v>
      </c>
      <c r="D30" s="29" t="s">
        <v>9</v>
      </c>
      <c r="E30">
        <f>_xlfn.XLOOKUP(D30,Sheet1!$B$2:$B$6,Sheet1!$C$2:$C$6)</f>
        <v>3</v>
      </c>
      <c r="F30" s="5">
        <v>44450</v>
      </c>
      <c r="G30" s="30">
        <v>44450</v>
      </c>
      <c r="H30" t="s">
        <v>10</v>
      </c>
      <c r="I30">
        <v>48950</v>
      </c>
      <c r="J30" t="s">
        <v>211</v>
      </c>
      <c r="K30" s="7">
        <f ca="1">(TODAY()-allstaff[[#This Row],[Date Joined]])/365</f>
        <v>2.4767123287671233</v>
      </c>
      <c r="L30" s="7">
        <f ca="1">IF(allstaff[[#This Row],[Tenure]]&gt;2,3%,2%)*allstaff[[#This Row],[Salary]]</f>
        <v>1468.5</v>
      </c>
    </row>
    <row r="31" spans="1:12" ht="14.4" x14ac:dyDescent="0.3">
      <c r="A31" t="s">
        <v>136</v>
      </c>
      <c r="B31" t="s">
        <v>8</v>
      </c>
      <c r="C31">
        <v>27</v>
      </c>
      <c r="D31" s="29" t="s">
        <v>9</v>
      </c>
      <c r="E31">
        <f>_xlfn.XLOOKUP(D31,Sheet1!$B$2:$B$6,Sheet1!$C$2:$C$6)</f>
        <v>3</v>
      </c>
      <c r="F31" s="5">
        <v>44567</v>
      </c>
      <c r="G31" s="30">
        <v>44567</v>
      </c>
      <c r="H31" t="s">
        <v>20</v>
      </c>
      <c r="I31">
        <v>48980</v>
      </c>
      <c r="J31" t="s">
        <v>209</v>
      </c>
      <c r="K31" s="7">
        <f ca="1">(TODAY()-allstaff[[#This Row],[Date Joined]])/365</f>
        <v>2.1561643835616437</v>
      </c>
      <c r="L31" s="7">
        <f ca="1">IF(allstaff[[#This Row],[Tenure]]&gt;2,3%,2%)*allstaff[[#This Row],[Salary]]</f>
        <v>1469.3999999999999</v>
      </c>
    </row>
    <row r="32" spans="1:12" ht="14.4" x14ac:dyDescent="0.3">
      <c r="A32" t="s">
        <v>57</v>
      </c>
      <c r="B32" t="s">
        <v>8</v>
      </c>
      <c r="C32">
        <v>27</v>
      </c>
      <c r="D32" s="29" t="s">
        <v>9</v>
      </c>
      <c r="E32">
        <f>_xlfn.XLOOKUP(D32,Sheet1!$B$2:$B$6,Sheet1!$C$2:$C$6)</f>
        <v>3</v>
      </c>
      <c r="F32" s="5">
        <v>44506</v>
      </c>
      <c r="G32" s="30">
        <v>44506</v>
      </c>
      <c r="H32" t="s">
        <v>20</v>
      </c>
      <c r="I32">
        <v>48980</v>
      </c>
      <c r="J32" t="s">
        <v>211</v>
      </c>
      <c r="K32" s="7">
        <f ca="1">(TODAY()-allstaff[[#This Row],[Date Joined]])/365</f>
        <v>2.3232876712328765</v>
      </c>
      <c r="L32" s="7">
        <f ca="1">IF(allstaff[[#This Row],[Tenure]]&gt;2,3%,2%)*allstaff[[#This Row],[Salary]]</f>
        <v>1469.3999999999999</v>
      </c>
    </row>
    <row r="33" spans="1:12" ht="14.4" x14ac:dyDescent="0.3">
      <c r="A33" t="s">
        <v>147</v>
      </c>
      <c r="B33" t="s">
        <v>12</v>
      </c>
      <c r="C33">
        <v>34</v>
      </c>
      <c r="D33" s="29" t="s">
        <v>19</v>
      </c>
      <c r="E33">
        <f>_xlfn.XLOOKUP(D33,Sheet1!$B$2:$B$6,Sheet1!$C$2:$C$6)</f>
        <v>2</v>
      </c>
      <c r="F33" s="5">
        <v>44721</v>
      </c>
      <c r="G33" s="30">
        <v>44721</v>
      </c>
      <c r="H33" t="s">
        <v>22</v>
      </c>
      <c r="I33">
        <v>49630</v>
      </c>
      <c r="J33" t="s">
        <v>209</v>
      </c>
      <c r="K33" s="7">
        <f ca="1">(TODAY()-allstaff[[#This Row],[Date Joined]])/365</f>
        <v>1.7342465753424658</v>
      </c>
      <c r="L33" s="7">
        <f ca="1">IF(allstaff[[#This Row],[Tenure]]&gt;2,3%,2%)*allstaff[[#This Row],[Salary]]</f>
        <v>992.6</v>
      </c>
    </row>
    <row r="34" spans="1:12" ht="14.4" x14ac:dyDescent="0.3">
      <c r="A34" t="s">
        <v>32</v>
      </c>
      <c r="B34" t="s">
        <v>12</v>
      </c>
      <c r="C34">
        <v>34</v>
      </c>
      <c r="D34" s="29" t="s">
        <v>19</v>
      </c>
      <c r="E34">
        <f>_xlfn.XLOOKUP(D34,Sheet1!$B$2:$B$6,Sheet1!$C$2:$C$6)</f>
        <v>2</v>
      </c>
      <c r="F34" s="5">
        <v>44660</v>
      </c>
      <c r="G34" s="30">
        <v>44660</v>
      </c>
      <c r="H34" t="s">
        <v>22</v>
      </c>
      <c r="I34">
        <v>49630</v>
      </c>
      <c r="J34" t="s">
        <v>211</v>
      </c>
      <c r="K34" s="7">
        <f ca="1">(TODAY()-allstaff[[#This Row],[Date Joined]])/365</f>
        <v>1.9013698630136986</v>
      </c>
      <c r="L34" s="7">
        <f ca="1">IF(allstaff[[#This Row],[Tenure]]&gt;2,3%,2%)*allstaff[[#This Row],[Salary]]</f>
        <v>992.6</v>
      </c>
    </row>
    <row r="35" spans="1:12" ht="14.4" x14ac:dyDescent="0.3">
      <c r="A35" t="s">
        <v>152</v>
      </c>
      <c r="B35" t="s">
        <v>8</v>
      </c>
      <c r="C35">
        <v>24</v>
      </c>
      <c r="D35" s="29" t="s">
        <v>19</v>
      </c>
      <c r="E35">
        <f>_xlfn.XLOOKUP(D35,Sheet1!$B$2:$B$6,Sheet1!$C$2:$C$6)</f>
        <v>2</v>
      </c>
      <c r="F35" s="5">
        <v>44436</v>
      </c>
      <c r="G35" s="30">
        <v>44436</v>
      </c>
      <c r="H35" t="s">
        <v>20</v>
      </c>
      <c r="I35">
        <v>52610</v>
      </c>
      <c r="J35" t="s">
        <v>209</v>
      </c>
      <c r="K35" s="7">
        <f ca="1">(TODAY()-allstaff[[#This Row],[Date Joined]])/365</f>
        <v>2.515068493150685</v>
      </c>
      <c r="L35" s="7">
        <f ca="1">IF(allstaff[[#This Row],[Tenure]]&gt;2,3%,2%)*allstaff[[#This Row],[Salary]]</f>
        <v>1578.3</v>
      </c>
    </row>
    <row r="36" spans="1:12" ht="14.4" x14ac:dyDescent="0.3">
      <c r="A36" t="s">
        <v>52</v>
      </c>
      <c r="B36" t="s">
        <v>8</v>
      </c>
      <c r="C36">
        <v>24</v>
      </c>
      <c r="D36" s="29" t="s">
        <v>19</v>
      </c>
      <c r="E36">
        <f>_xlfn.XLOOKUP(D36,Sheet1!$B$2:$B$6,Sheet1!$C$2:$C$6)</f>
        <v>2</v>
      </c>
      <c r="F36" s="5">
        <v>44375</v>
      </c>
      <c r="G36" s="30">
        <v>44375</v>
      </c>
      <c r="H36" t="s">
        <v>20</v>
      </c>
      <c r="I36">
        <v>52610</v>
      </c>
      <c r="J36" t="s">
        <v>211</v>
      </c>
      <c r="K36" s="7">
        <f ca="1">(TODAY()-allstaff[[#This Row],[Date Joined]])/365</f>
        <v>2.6821917808219178</v>
      </c>
      <c r="L36" s="7">
        <f ca="1">IF(allstaff[[#This Row],[Tenure]]&gt;2,3%,2%)*allstaff[[#This Row],[Salary]]</f>
        <v>1578.3</v>
      </c>
    </row>
    <row r="37" spans="1:12" ht="14.4" x14ac:dyDescent="0.3">
      <c r="A37" t="s">
        <v>115</v>
      </c>
      <c r="B37" t="s">
        <v>12</v>
      </c>
      <c r="C37">
        <v>28</v>
      </c>
      <c r="D37" s="29" t="s">
        <v>9</v>
      </c>
      <c r="E37">
        <f>_xlfn.XLOOKUP(D37,Sheet1!$B$2:$B$6,Sheet1!$C$2:$C$6)</f>
        <v>3</v>
      </c>
      <c r="F37" s="5">
        <v>44357</v>
      </c>
      <c r="G37" s="30">
        <v>44357</v>
      </c>
      <c r="H37" t="s">
        <v>22</v>
      </c>
      <c r="I37">
        <v>53240</v>
      </c>
      <c r="J37" t="s">
        <v>209</v>
      </c>
      <c r="K37" s="7">
        <f ca="1">(TODAY()-allstaff[[#This Row],[Date Joined]])/365</f>
        <v>2.7315068493150685</v>
      </c>
      <c r="L37" s="7">
        <f ca="1">IF(allstaff[[#This Row],[Tenure]]&gt;2,3%,2%)*allstaff[[#This Row],[Salary]]</f>
        <v>1597.2</v>
      </c>
    </row>
    <row r="38" spans="1:12" ht="14.4" x14ac:dyDescent="0.3">
      <c r="A38" t="s">
        <v>59</v>
      </c>
      <c r="B38" t="s">
        <v>12</v>
      </c>
      <c r="C38">
        <v>28</v>
      </c>
      <c r="D38" s="29" t="s">
        <v>9</v>
      </c>
      <c r="E38">
        <f>_xlfn.XLOOKUP(D38,Sheet1!$B$2:$B$6,Sheet1!$C$2:$C$6)</f>
        <v>3</v>
      </c>
      <c r="F38" s="5">
        <v>44296</v>
      </c>
      <c r="G38" s="30">
        <v>44296</v>
      </c>
      <c r="H38" t="s">
        <v>22</v>
      </c>
      <c r="I38">
        <v>53240</v>
      </c>
      <c r="J38" t="s">
        <v>211</v>
      </c>
      <c r="K38" s="7">
        <f ca="1">(TODAY()-allstaff[[#This Row],[Date Joined]])/365</f>
        <v>2.8986301369863012</v>
      </c>
      <c r="L38" s="7">
        <f ca="1">IF(allstaff[[#This Row],[Tenure]]&gt;2,3%,2%)*allstaff[[#This Row],[Salary]]</f>
        <v>1597.2</v>
      </c>
    </row>
    <row r="39" spans="1:12" ht="14.4" x14ac:dyDescent="0.3">
      <c r="A39" t="s">
        <v>117</v>
      </c>
      <c r="B39" t="s">
        <v>8</v>
      </c>
      <c r="C39">
        <v>32</v>
      </c>
      <c r="D39" s="29" t="s">
        <v>9</v>
      </c>
      <c r="E39">
        <f>_xlfn.XLOOKUP(D39,Sheet1!$B$2:$B$6,Sheet1!$C$2:$C$6)</f>
        <v>3</v>
      </c>
      <c r="F39" s="5">
        <v>44465</v>
      </c>
      <c r="G39" s="30">
        <v>44465</v>
      </c>
      <c r="H39" t="s">
        <v>22</v>
      </c>
      <c r="I39">
        <v>53540</v>
      </c>
      <c r="J39" t="s">
        <v>209</v>
      </c>
      <c r="K39" s="7">
        <f ca="1">(TODAY()-allstaff[[#This Row],[Date Joined]])/365</f>
        <v>2.4356164383561643</v>
      </c>
      <c r="L39" s="7">
        <f ca="1">IF(allstaff[[#This Row],[Tenure]]&gt;2,3%,2%)*allstaff[[#This Row],[Salary]]</f>
        <v>1606.2</v>
      </c>
    </row>
    <row r="40" spans="1:12" ht="14.4" x14ac:dyDescent="0.3">
      <c r="A40" t="s">
        <v>203</v>
      </c>
      <c r="B40" t="s">
        <v>8</v>
      </c>
      <c r="C40">
        <v>26</v>
      </c>
      <c r="D40" s="29" t="s">
        <v>9</v>
      </c>
      <c r="E40">
        <f>_xlfn.XLOOKUP(D40,Sheet1!$B$2:$B$6,Sheet1!$C$2:$C$6)</f>
        <v>3</v>
      </c>
      <c r="F40" s="5">
        <v>44411</v>
      </c>
      <c r="G40" s="30">
        <v>44411</v>
      </c>
      <c r="H40" t="s">
        <v>15</v>
      </c>
      <c r="I40">
        <v>53540</v>
      </c>
      <c r="J40" t="s">
        <v>209</v>
      </c>
      <c r="K40" s="7">
        <f ca="1">(TODAY()-allstaff[[#This Row],[Date Joined]])/365</f>
        <v>2.5835616438356164</v>
      </c>
      <c r="L40" s="7">
        <f ca="1">IF(allstaff[[#This Row],[Tenure]]&gt;2,3%,2%)*allstaff[[#This Row],[Salary]]</f>
        <v>1606.2</v>
      </c>
    </row>
    <row r="41" spans="1:12" ht="14.4" x14ac:dyDescent="0.3">
      <c r="A41" t="s">
        <v>79</v>
      </c>
      <c r="B41" t="s">
        <v>8</v>
      </c>
      <c r="C41">
        <v>32</v>
      </c>
      <c r="D41" s="29" t="s">
        <v>9</v>
      </c>
      <c r="E41">
        <f>_xlfn.XLOOKUP(D41,Sheet1!$B$2:$B$6,Sheet1!$C$2:$C$6)</f>
        <v>3</v>
      </c>
      <c r="F41" s="5">
        <v>44403</v>
      </c>
      <c r="G41" s="30">
        <v>44403</v>
      </c>
      <c r="H41" t="s">
        <v>22</v>
      </c>
      <c r="I41">
        <v>53540</v>
      </c>
      <c r="J41" t="s">
        <v>211</v>
      </c>
      <c r="K41" s="7">
        <f ca="1">(TODAY()-allstaff[[#This Row],[Date Joined]])/365</f>
        <v>2.6054794520547944</v>
      </c>
      <c r="L41" s="7">
        <f ca="1">IF(allstaff[[#This Row],[Tenure]]&gt;2,3%,2%)*allstaff[[#This Row],[Salary]]</f>
        <v>1606.2</v>
      </c>
    </row>
    <row r="42" spans="1:12" ht="14.4" x14ac:dyDescent="0.3">
      <c r="A42" t="s">
        <v>88</v>
      </c>
      <c r="B42" t="s">
        <v>8</v>
      </c>
      <c r="C42">
        <v>26</v>
      </c>
      <c r="D42" s="29" t="s">
        <v>9</v>
      </c>
      <c r="E42">
        <f>_xlfn.XLOOKUP(D42,Sheet1!$B$2:$B$6,Sheet1!$C$2:$C$6)</f>
        <v>3</v>
      </c>
      <c r="F42" s="5">
        <v>44350</v>
      </c>
      <c r="G42" s="30">
        <v>44350</v>
      </c>
      <c r="H42" t="s">
        <v>15</v>
      </c>
      <c r="I42">
        <v>53540</v>
      </c>
      <c r="J42" t="s">
        <v>211</v>
      </c>
      <c r="K42" s="7">
        <f ca="1">(TODAY()-allstaff[[#This Row],[Date Joined]])/365</f>
        <v>2.7506849315068491</v>
      </c>
      <c r="L42" s="7">
        <f ca="1">IF(allstaff[[#This Row],[Tenure]]&gt;2,3%,2%)*allstaff[[#This Row],[Salary]]</f>
        <v>1606.2</v>
      </c>
    </row>
    <row r="43" spans="1:12" ht="14.4" x14ac:dyDescent="0.3">
      <c r="A43" t="s">
        <v>121</v>
      </c>
      <c r="B43" t="s">
        <v>8</v>
      </c>
      <c r="C43">
        <v>33</v>
      </c>
      <c r="D43" s="29" t="s">
        <v>9</v>
      </c>
      <c r="E43">
        <f>_xlfn.XLOOKUP(D43,Sheet1!$B$2:$B$6,Sheet1!$C$2:$C$6)</f>
        <v>3</v>
      </c>
      <c r="F43" s="5">
        <v>44509</v>
      </c>
      <c r="G43" s="30">
        <v>44509</v>
      </c>
      <c r="H43" t="s">
        <v>10</v>
      </c>
      <c r="I43">
        <v>53870</v>
      </c>
      <c r="J43" t="s">
        <v>209</v>
      </c>
      <c r="K43" s="7">
        <f ca="1">(TODAY()-allstaff[[#This Row],[Date Joined]])/365</f>
        <v>2.3150684931506849</v>
      </c>
      <c r="L43" s="7">
        <f ca="1">IF(allstaff[[#This Row],[Tenure]]&gt;2,3%,2%)*allstaff[[#This Row],[Salary]]</f>
        <v>1616.1</v>
      </c>
    </row>
    <row r="44" spans="1:12" ht="14.4" x14ac:dyDescent="0.3">
      <c r="A44" t="s">
        <v>104</v>
      </c>
      <c r="B44" t="s">
        <v>8</v>
      </c>
      <c r="C44">
        <v>33</v>
      </c>
      <c r="D44" s="29" t="s">
        <v>9</v>
      </c>
      <c r="E44">
        <f>_xlfn.XLOOKUP(D44,Sheet1!$B$2:$B$6,Sheet1!$C$2:$C$6)</f>
        <v>3</v>
      </c>
      <c r="F44" s="5">
        <v>44448</v>
      </c>
      <c r="G44" s="30">
        <v>44448</v>
      </c>
      <c r="H44" t="s">
        <v>10</v>
      </c>
      <c r="I44">
        <v>53870</v>
      </c>
      <c r="J44" t="s">
        <v>211</v>
      </c>
      <c r="K44" s="7">
        <f ca="1">(TODAY()-allstaff[[#This Row],[Date Joined]])/365</f>
        <v>2.4821917808219176</v>
      </c>
      <c r="L44" s="7">
        <f ca="1">IF(allstaff[[#This Row],[Tenure]]&gt;2,3%,2%)*allstaff[[#This Row],[Salary]]</f>
        <v>1616.1</v>
      </c>
    </row>
    <row r="45" spans="1:12" ht="14.4" x14ac:dyDescent="0.3">
      <c r="A45" t="s">
        <v>176</v>
      </c>
      <c r="B45" t="s">
        <v>8</v>
      </c>
      <c r="C45">
        <v>27</v>
      </c>
      <c r="D45" s="29" t="s">
        <v>9</v>
      </c>
      <c r="E45">
        <f>_xlfn.XLOOKUP(D45,Sheet1!$B$2:$B$6,Sheet1!$C$2:$C$6)</f>
        <v>3</v>
      </c>
      <c r="F45" s="5">
        <v>44134</v>
      </c>
      <c r="G45" s="30">
        <v>44134</v>
      </c>
      <c r="H45" t="s">
        <v>22</v>
      </c>
      <c r="I45">
        <v>54970</v>
      </c>
      <c r="J45" t="s">
        <v>209</v>
      </c>
      <c r="K45" s="7">
        <f ca="1">(TODAY()-allstaff[[#This Row],[Date Joined]])/365</f>
        <v>3.3424657534246576</v>
      </c>
      <c r="L45" s="7">
        <f ca="1">IF(allstaff[[#This Row],[Tenure]]&gt;2,3%,2%)*allstaff[[#This Row],[Salary]]</f>
        <v>1649.1</v>
      </c>
    </row>
    <row r="46" spans="1:12" ht="14.4" x14ac:dyDescent="0.3">
      <c r="A46" t="s">
        <v>37</v>
      </c>
      <c r="B46" t="s">
        <v>8</v>
      </c>
      <c r="C46">
        <v>27</v>
      </c>
      <c r="D46" s="29" t="s">
        <v>9</v>
      </c>
      <c r="E46">
        <f>_xlfn.XLOOKUP(D46,Sheet1!$B$2:$B$6,Sheet1!$C$2:$C$6)</f>
        <v>3</v>
      </c>
      <c r="F46" s="5">
        <v>44073</v>
      </c>
      <c r="G46" s="30">
        <v>44073</v>
      </c>
      <c r="H46" t="s">
        <v>22</v>
      </c>
      <c r="I46">
        <v>54970</v>
      </c>
      <c r="J46" t="s">
        <v>211</v>
      </c>
      <c r="K46" s="7">
        <f ca="1">(TODAY()-allstaff[[#This Row],[Date Joined]])/365</f>
        <v>3.5095890410958903</v>
      </c>
      <c r="L46" s="7">
        <f ca="1">IF(allstaff[[#This Row],[Tenure]]&gt;2,3%,2%)*allstaff[[#This Row],[Salary]]</f>
        <v>1649.1</v>
      </c>
    </row>
    <row r="47" spans="1:12" ht="14.4" x14ac:dyDescent="0.3">
      <c r="A47" t="s">
        <v>178</v>
      </c>
      <c r="B47" t="s">
        <v>12</v>
      </c>
      <c r="C47">
        <v>38</v>
      </c>
      <c r="D47" s="29" t="s">
        <v>13</v>
      </c>
      <c r="E47">
        <f>_xlfn.XLOOKUP(D47,Sheet1!$B$2:$B$6,Sheet1!$C$2:$C$6)</f>
        <v>4</v>
      </c>
      <c r="F47" s="5">
        <v>44329</v>
      </c>
      <c r="G47" s="30">
        <v>44329</v>
      </c>
      <c r="H47" t="s">
        <v>22</v>
      </c>
      <c r="I47">
        <v>56870</v>
      </c>
      <c r="J47" t="s">
        <v>209</v>
      </c>
      <c r="K47" s="7">
        <f ca="1">(TODAY()-allstaff[[#This Row],[Date Joined]])/365</f>
        <v>2.8082191780821919</v>
      </c>
      <c r="L47" s="7">
        <f ca="1">IF(allstaff[[#This Row],[Tenure]]&gt;2,3%,2%)*allstaff[[#This Row],[Salary]]</f>
        <v>1706.1</v>
      </c>
    </row>
    <row r="48" spans="1:12" ht="14.4" x14ac:dyDescent="0.3">
      <c r="A48" t="s">
        <v>21</v>
      </c>
      <c r="B48" t="s">
        <v>12</v>
      </c>
      <c r="C48">
        <v>38</v>
      </c>
      <c r="D48" s="29" t="s">
        <v>13</v>
      </c>
      <c r="E48">
        <f>_xlfn.XLOOKUP(D48,Sheet1!$B$2:$B$6,Sheet1!$C$2:$C$6)</f>
        <v>4</v>
      </c>
      <c r="F48" s="5">
        <v>44268</v>
      </c>
      <c r="G48" s="30">
        <v>44268</v>
      </c>
      <c r="H48" t="s">
        <v>22</v>
      </c>
      <c r="I48">
        <v>56870</v>
      </c>
      <c r="J48" t="s">
        <v>211</v>
      </c>
      <c r="K48" s="7">
        <f ca="1">(TODAY()-allstaff[[#This Row],[Date Joined]])/365</f>
        <v>2.9753424657534246</v>
      </c>
      <c r="L48" s="7">
        <f ca="1">IF(allstaff[[#This Row],[Tenure]]&gt;2,3%,2%)*allstaff[[#This Row],[Salary]]</f>
        <v>1706.1</v>
      </c>
    </row>
    <row r="49" spans="1:12" ht="14.4" x14ac:dyDescent="0.3">
      <c r="A49" t="s">
        <v>130</v>
      </c>
      <c r="B49" t="s">
        <v>8</v>
      </c>
      <c r="C49">
        <v>21</v>
      </c>
      <c r="D49" s="29" t="s">
        <v>9</v>
      </c>
      <c r="E49">
        <f>_xlfn.XLOOKUP(D49,Sheet1!$B$2:$B$6,Sheet1!$C$2:$C$6)</f>
        <v>3</v>
      </c>
      <c r="F49" s="5">
        <v>44762</v>
      </c>
      <c r="G49" s="30">
        <v>44762</v>
      </c>
      <c r="H49" t="s">
        <v>15</v>
      </c>
      <c r="I49">
        <v>57090</v>
      </c>
      <c r="J49" t="s">
        <v>209</v>
      </c>
      <c r="K49" s="7">
        <f ca="1">(TODAY()-allstaff[[#This Row],[Date Joined]])/365</f>
        <v>1.6219178082191781</v>
      </c>
      <c r="L49" s="7">
        <f ca="1">IF(allstaff[[#This Row],[Tenure]]&gt;2,3%,2%)*allstaff[[#This Row],[Salary]]</f>
        <v>1141.8</v>
      </c>
    </row>
    <row r="50" spans="1:12" ht="14.4" x14ac:dyDescent="0.3">
      <c r="A50" t="s">
        <v>65</v>
      </c>
      <c r="B50" t="s">
        <v>8</v>
      </c>
      <c r="C50">
        <v>21</v>
      </c>
      <c r="D50" s="29" t="s">
        <v>9</v>
      </c>
      <c r="E50">
        <f>_xlfn.XLOOKUP(D50,Sheet1!$B$2:$B$6,Sheet1!$C$2:$C$6)</f>
        <v>3</v>
      </c>
      <c r="F50" s="5">
        <v>44701</v>
      </c>
      <c r="G50" s="30">
        <v>44701</v>
      </c>
      <c r="H50" t="s">
        <v>15</v>
      </c>
      <c r="I50">
        <v>57090</v>
      </c>
      <c r="J50" t="s">
        <v>211</v>
      </c>
      <c r="K50" s="7">
        <f ca="1">(TODAY()-allstaff[[#This Row],[Date Joined]])/365</f>
        <v>1.789041095890411</v>
      </c>
      <c r="L50" s="7">
        <f ca="1">IF(allstaff[[#This Row],[Tenure]]&gt;2,3%,2%)*allstaff[[#This Row],[Salary]]</f>
        <v>1141.8</v>
      </c>
    </row>
    <row r="51" spans="1:12" ht="14.4" x14ac:dyDescent="0.3">
      <c r="A51" t="s">
        <v>135</v>
      </c>
      <c r="B51" t="s">
        <v>12</v>
      </c>
      <c r="C51">
        <v>31</v>
      </c>
      <c r="D51" s="29" t="s">
        <v>9</v>
      </c>
      <c r="E51">
        <f>_xlfn.XLOOKUP(D51,Sheet1!$B$2:$B$6,Sheet1!$C$2:$C$6)</f>
        <v>3</v>
      </c>
      <c r="F51" s="5">
        <v>44663</v>
      </c>
      <c r="G51" s="30">
        <v>44663</v>
      </c>
      <c r="H51" t="s">
        <v>10</v>
      </c>
      <c r="I51">
        <v>58100</v>
      </c>
      <c r="J51" t="s">
        <v>209</v>
      </c>
      <c r="K51" s="7">
        <f ca="1">(TODAY()-allstaff[[#This Row],[Date Joined]])/365</f>
        <v>1.893150684931507</v>
      </c>
      <c r="L51" s="7">
        <f ca="1">IF(allstaff[[#This Row],[Tenure]]&gt;2,3%,2%)*allstaff[[#This Row],[Salary]]</f>
        <v>1162</v>
      </c>
    </row>
    <row r="52" spans="1:12" ht="14.4" x14ac:dyDescent="0.3">
      <c r="A52" t="s">
        <v>44</v>
      </c>
      <c r="B52" t="s">
        <v>12</v>
      </c>
      <c r="C52">
        <v>31</v>
      </c>
      <c r="D52" s="29" t="s">
        <v>9</v>
      </c>
      <c r="E52">
        <f>_xlfn.XLOOKUP(D52,Sheet1!$B$2:$B$6,Sheet1!$C$2:$C$6)</f>
        <v>3</v>
      </c>
      <c r="F52" s="5">
        <v>44604</v>
      </c>
      <c r="G52" s="30">
        <v>44604</v>
      </c>
      <c r="H52" t="s">
        <v>10</v>
      </c>
      <c r="I52">
        <v>58100</v>
      </c>
      <c r="J52" t="s">
        <v>211</v>
      </c>
      <c r="K52" s="7">
        <f ca="1">(TODAY()-allstaff[[#This Row],[Date Joined]])/365</f>
        <v>2.0547945205479454</v>
      </c>
      <c r="L52" s="7">
        <f ca="1">IF(allstaff[[#This Row],[Tenure]]&gt;2,3%,2%)*allstaff[[#This Row],[Salary]]</f>
        <v>1743</v>
      </c>
    </row>
    <row r="53" spans="1:12" ht="14.4" x14ac:dyDescent="0.3">
      <c r="A53" t="s">
        <v>133</v>
      </c>
      <c r="B53" t="s">
        <v>12</v>
      </c>
      <c r="C53">
        <v>34</v>
      </c>
      <c r="D53" s="29" t="s">
        <v>9</v>
      </c>
      <c r="E53">
        <f>_xlfn.XLOOKUP(D53,Sheet1!$B$2:$B$6,Sheet1!$C$2:$C$6)</f>
        <v>3</v>
      </c>
      <c r="F53" s="5">
        <v>44653</v>
      </c>
      <c r="G53" s="30">
        <v>44653</v>
      </c>
      <c r="H53" t="s">
        <v>20</v>
      </c>
      <c r="I53">
        <v>58940</v>
      </c>
      <c r="J53" t="s">
        <v>209</v>
      </c>
      <c r="K53" s="7">
        <f ca="1">(TODAY()-allstaff[[#This Row],[Date Joined]])/365</f>
        <v>1.9205479452054794</v>
      </c>
      <c r="L53" s="7">
        <f ca="1">IF(allstaff[[#This Row],[Tenure]]&gt;2,3%,2%)*allstaff[[#This Row],[Salary]]</f>
        <v>1178.8</v>
      </c>
    </row>
    <row r="54" spans="1:12" ht="14.4" x14ac:dyDescent="0.3">
      <c r="A54" t="s">
        <v>63</v>
      </c>
      <c r="B54" t="s">
        <v>12</v>
      </c>
      <c r="C54">
        <v>34</v>
      </c>
      <c r="D54" s="29" t="s">
        <v>9</v>
      </c>
      <c r="E54">
        <f>_xlfn.XLOOKUP(D54,Sheet1!$B$2:$B$6,Sheet1!$C$2:$C$6)</f>
        <v>3</v>
      </c>
      <c r="F54" s="5">
        <v>44594</v>
      </c>
      <c r="G54" s="30">
        <v>44594</v>
      </c>
      <c r="H54" t="s">
        <v>20</v>
      </c>
      <c r="I54">
        <v>58940</v>
      </c>
      <c r="J54" t="s">
        <v>211</v>
      </c>
      <c r="K54" s="7">
        <f ca="1">(TODAY()-allstaff[[#This Row],[Date Joined]])/365</f>
        <v>2.0821917808219177</v>
      </c>
      <c r="L54" s="7">
        <f ca="1">IF(allstaff[[#This Row],[Tenure]]&gt;2,3%,2%)*allstaff[[#This Row],[Salary]]</f>
        <v>1768.2</v>
      </c>
    </row>
    <row r="55" spans="1:12" ht="14.4" x14ac:dyDescent="0.3">
      <c r="A55" t="s">
        <v>161</v>
      </c>
      <c r="B55" t="s">
        <v>8</v>
      </c>
      <c r="C55">
        <v>19</v>
      </c>
      <c r="D55" s="29" t="s">
        <v>9</v>
      </c>
      <c r="E55">
        <f>_xlfn.XLOOKUP(D55,Sheet1!$B$2:$B$6,Sheet1!$C$2:$C$6)</f>
        <v>3</v>
      </c>
      <c r="F55" s="5">
        <v>44277</v>
      </c>
      <c r="G55" s="30">
        <v>44277</v>
      </c>
      <c r="H55" t="s">
        <v>15</v>
      </c>
      <c r="I55">
        <v>58960</v>
      </c>
      <c r="J55" t="s">
        <v>209</v>
      </c>
      <c r="K55" s="7">
        <f ca="1">(TODAY()-allstaff[[#This Row],[Date Joined]])/365</f>
        <v>2.9506849315068493</v>
      </c>
      <c r="L55" s="7">
        <f ca="1">IF(allstaff[[#This Row],[Tenure]]&gt;2,3%,2%)*allstaff[[#This Row],[Salary]]</f>
        <v>1768.8</v>
      </c>
    </row>
    <row r="56" spans="1:12" ht="14.4" x14ac:dyDescent="0.3">
      <c r="A56" t="s">
        <v>106</v>
      </c>
      <c r="B56" t="s">
        <v>8</v>
      </c>
      <c r="C56">
        <v>19</v>
      </c>
      <c r="D56" s="29" t="s">
        <v>9</v>
      </c>
      <c r="E56">
        <f>_xlfn.XLOOKUP(D56,Sheet1!$B$2:$B$6,Sheet1!$C$2:$C$6)</f>
        <v>3</v>
      </c>
      <c r="F56" s="5">
        <v>44218</v>
      </c>
      <c r="G56" s="30">
        <v>44218</v>
      </c>
      <c r="H56" t="s">
        <v>15</v>
      </c>
      <c r="I56">
        <v>58960</v>
      </c>
      <c r="J56" t="s">
        <v>211</v>
      </c>
      <c r="K56" s="7">
        <f ca="1">(TODAY()-allstaff[[#This Row],[Date Joined]])/365</f>
        <v>3.1123287671232878</v>
      </c>
      <c r="L56" s="7">
        <f ca="1">IF(allstaff[[#This Row],[Tenure]]&gt;2,3%,2%)*allstaff[[#This Row],[Salary]]</f>
        <v>1768.8</v>
      </c>
    </row>
    <row r="57" spans="1:12" ht="14.4" x14ac:dyDescent="0.3">
      <c r="A57" t="s">
        <v>196</v>
      </c>
      <c r="B57" t="s">
        <v>8</v>
      </c>
      <c r="C57">
        <v>33</v>
      </c>
      <c r="D57" s="29" t="s">
        <v>9</v>
      </c>
      <c r="E57">
        <f>_xlfn.XLOOKUP(D57,Sheet1!$B$2:$B$6,Sheet1!$C$2:$C$6)</f>
        <v>3</v>
      </c>
      <c r="F57" s="5">
        <v>44243</v>
      </c>
      <c r="G57" s="30">
        <v>44243</v>
      </c>
      <c r="H57" t="s">
        <v>20</v>
      </c>
      <c r="I57">
        <v>59430</v>
      </c>
      <c r="J57" t="s">
        <v>209</v>
      </c>
      <c r="K57" s="7">
        <f ca="1">(TODAY()-allstaff[[#This Row],[Date Joined]])/365</f>
        <v>3.043835616438356</v>
      </c>
      <c r="L57" s="7">
        <f ca="1">IF(allstaff[[#This Row],[Tenure]]&gt;2,3%,2%)*allstaff[[#This Row],[Salary]]</f>
        <v>1782.8999999999999</v>
      </c>
    </row>
    <row r="58" spans="1:12" ht="14.4" x14ac:dyDescent="0.3">
      <c r="A58" t="s">
        <v>108</v>
      </c>
      <c r="B58" t="s">
        <v>8</v>
      </c>
      <c r="C58">
        <v>33</v>
      </c>
      <c r="D58" s="29" t="s">
        <v>9</v>
      </c>
      <c r="E58">
        <f>_xlfn.XLOOKUP(D58,Sheet1!$B$2:$B$6,Sheet1!$C$2:$C$6)</f>
        <v>3</v>
      </c>
      <c r="F58" s="5">
        <v>44181</v>
      </c>
      <c r="G58" s="30">
        <v>44181</v>
      </c>
      <c r="H58" t="s">
        <v>20</v>
      </c>
      <c r="I58">
        <v>59430</v>
      </c>
      <c r="J58" t="s">
        <v>211</v>
      </c>
      <c r="K58" s="7">
        <f ca="1">(TODAY()-allstaff[[#This Row],[Date Joined]])/365</f>
        <v>3.2136986301369861</v>
      </c>
      <c r="L58" s="7">
        <f ca="1">IF(allstaff[[#This Row],[Tenure]]&gt;2,3%,2%)*allstaff[[#This Row],[Salary]]</f>
        <v>1782.8999999999999</v>
      </c>
    </row>
    <row r="59" spans="1:12" ht="14.4" x14ac:dyDescent="0.3">
      <c r="A59" t="s">
        <v>142</v>
      </c>
      <c r="B59" t="s">
        <v>12</v>
      </c>
      <c r="C59">
        <v>34</v>
      </c>
      <c r="D59" s="29" t="s">
        <v>9</v>
      </c>
      <c r="E59">
        <f>_xlfn.XLOOKUP(D59,Sheet1!$B$2:$B$6,Sheet1!$C$2:$C$6)</f>
        <v>3</v>
      </c>
      <c r="F59" s="5">
        <v>44612</v>
      </c>
      <c r="G59" s="30">
        <v>44612</v>
      </c>
      <c r="H59" t="s">
        <v>20</v>
      </c>
      <c r="I59">
        <v>60130</v>
      </c>
      <c r="J59" t="s">
        <v>209</v>
      </c>
      <c r="K59" s="7">
        <f ca="1">(TODAY()-allstaff[[#This Row],[Date Joined]])/365</f>
        <v>2.032876712328767</v>
      </c>
      <c r="L59" s="7">
        <f ca="1">IF(allstaff[[#This Row],[Tenure]]&gt;2,3%,2%)*allstaff[[#This Row],[Salary]]</f>
        <v>1803.8999999999999</v>
      </c>
    </row>
    <row r="60" spans="1:12" ht="14.4" x14ac:dyDescent="0.3">
      <c r="A60" t="s">
        <v>92</v>
      </c>
      <c r="B60" t="s">
        <v>12</v>
      </c>
      <c r="C60">
        <v>34</v>
      </c>
      <c r="D60" s="29" t="s">
        <v>9</v>
      </c>
      <c r="E60">
        <f>_xlfn.XLOOKUP(D60,Sheet1!$B$2:$B$6,Sheet1!$C$2:$C$6)</f>
        <v>3</v>
      </c>
      <c r="F60" s="5">
        <v>44550</v>
      </c>
      <c r="G60" s="30">
        <v>44550</v>
      </c>
      <c r="H60" t="s">
        <v>20</v>
      </c>
      <c r="I60">
        <v>60130</v>
      </c>
      <c r="J60" t="s">
        <v>211</v>
      </c>
      <c r="K60" s="7">
        <f ca="1">(TODAY()-allstaff[[#This Row],[Date Joined]])/365</f>
        <v>2.2027397260273971</v>
      </c>
      <c r="L60" s="7">
        <f ca="1">IF(allstaff[[#This Row],[Tenure]]&gt;2,3%,2%)*allstaff[[#This Row],[Salary]]</f>
        <v>1803.8999999999999</v>
      </c>
    </row>
    <row r="61" spans="1:12" ht="14.4" x14ac:dyDescent="0.3">
      <c r="A61" t="s">
        <v>182</v>
      </c>
      <c r="B61" t="s">
        <v>8</v>
      </c>
      <c r="C61">
        <v>30</v>
      </c>
      <c r="D61" s="29" t="s">
        <v>9</v>
      </c>
      <c r="E61">
        <f>_xlfn.XLOOKUP(D61,Sheet1!$B$2:$B$6,Sheet1!$C$2:$C$6)</f>
        <v>3</v>
      </c>
      <c r="F61" s="5">
        <v>44666</v>
      </c>
      <c r="G61" s="30">
        <v>44666</v>
      </c>
      <c r="H61" t="s">
        <v>15</v>
      </c>
      <c r="I61">
        <v>60570</v>
      </c>
      <c r="J61" t="s">
        <v>209</v>
      </c>
      <c r="K61" s="7">
        <f ca="1">(TODAY()-allstaff[[#This Row],[Date Joined]])/365</f>
        <v>1.8849315068493151</v>
      </c>
      <c r="L61" s="7">
        <f ca="1">IF(allstaff[[#This Row],[Tenure]]&gt;2,3%,2%)*allstaff[[#This Row],[Salary]]</f>
        <v>1211.4000000000001</v>
      </c>
    </row>
    <row r="62" spans="1:12" ht="14.4" x14ac:dyDescent="0.3">
      <c r="A62" t="s">
        <v>70</v>
      </c>
      <c r="B62" t="s">
        <v>8</v>
      </c>
      <c r="C62">
        <v>30</v>
      </c>
      <c r="D62" s="29" t="s">
        <v>9</v>
      </c>
      <c r="E62">
        <f>_xlfn.XLOOKUP(D62,Sheet1!$B$2:$B$6,Sheet1!$C$2:$C$6)</f>
        <v>3</v>
      </c>
      <c r="F62" s="5">
        <v>44607</v>
      </c>
      <c r="G62" s="30">
        <v>44607</v>
      </c>
      <c r="H62" t="s">
        <v>15</v>
      </c>
      <c r="I62">
        <v>60570</v>
      </c>
      <c r="J62" t="s">
        <v>211</v>
      </c>
      <c r="K62" s="7">
        <f ca="1">(TODAY()-allstaff[[#This Row],[Date Joined]])/365</f>
        <v>2.0465753424657533</v>
      </c>
      <c r="L62" s="7">
        <f ca="1">IF(allstaff[[#This Row],[Tenure]]&gt;2,3%,2%)*allstaff[[#This Row],[Salary]]</f>
        <v>1817.1</v>
      </c>
    </row>
    <row r="63" spans="1:12" ht="14.4" x14ac:dyDescent="0.3">
      <c r="A63" t="s">
        <v>120</v>
      </c>
      <c r="B63" t="s">
        <v>12</v>
      </c>
      <c r="C63">
        <v>24</v>
      </c>
      <c r="D63" s="29" t="s">
        <v>9</v>
      </c>
      <c r="E63">
        <f>_xlfn.XLOOKUP(D63,Sheet1!$B$2:$B$6,Sheet1!$C$2:$C$6)</f>
        <v>3</v>
      </c>
      <c r="F63" s="5">
        <v>44148</v>
      </c>
      <c r="G63" s="30">
        <v>44148</v>
      </c>
      <c r="H63" t="s">
        <v>10</v>
      </c>
      <c r="I63">
        <v>62780</v>
      </c>
      <c r="J63" t="s">
        <v>209</v>
      </c>
      <c r="K63" s="7">
        <f ca="1">(TODAY()-allstaff[[#This Row],[Date Joined]])/365</f>
        <v>3.3041095890410959</v>
      </c>
      <c r="L63" s="7">
        <f ca="1">IF(allstaff[[#This Row],[Tenure]]&gt;2,3%,2%)*allstaff[[#This Row],[Salary]]</f>
        <v>1883.3999999999999</v>
      </c>
    </row>
    <row r="64" spans="1:12" ht="14.4" x14ac:dyDescent="0.3">
      <c r="A64" t="s">
        <v>100</v>
      </c>
      <c r="B64" t="s">
        <v>12</v>
      </c>
      <c r="C64">
        <v>24</v>
      </c>
      <c r="D64" s="29" t="s">
        <v>9</v>
      </c>
      <c r="E64">
        <f>_xlfn.XLOOKUP(D64,Sheet1!$B$2:$B$6,Sheet1!$C$2:$C$6)</f>
        <v>3</v>
      </c>
      <c r="F64" s="5">
        <v>44087</v>
      </c>
      <c r="G64" s="30">
        <v>44087</v>
      </c>
      <c r="H64" t="s">
        <v>10</v>
      </c>
      <c r="I64">
        <v>62780</v>
      </c>
      <c r="J64" t="s">
        <v>211</v>
      </c>
      <c r="K64" s="7">
        <f ca="1">(TODAY()-allstaff[[#This Row],[Date Joined]])/365</f>
        <v>3.4712328767123286</v>
      </c>
      <c r="L64" s="7">
        <f ca="1">IF(allstaff[[#This Row],[Tenure]]&gt;2,3%,2%)*allstaff[[#This Row],[Salary]]</f>
        <v>1883.3999999999999</v>
      </c>
    </row>
    <row r="65" spans="1:12" ht="14.4" x14ac:dyDescent="0.3">
      <c r="A65" t="s">
        <v>197</v>
      </c>
      <c r="B65" t="s">
        <v>12</v>
      </c>
      <c r="C65">
        <v>33</v>
      </c>
      <c r="D65" s="29" t="s">
        <v>9</v>
      </c>
      <c r="E65">
        <f>_xlfn.XLOOKUP(D65,Sheet1!$B$2:$B$6,Sheet1!$C$2:$C$6)</f>
        <v>3</v>
      </c>
      <c r="F65" s="5">
        <v>44067</v>
      </c>
      <c r="G65" s="30">
        <v>44067</v>
      </c>
      <c r="H65" t="s">
        <v>20</v>
      </c>
      <c r="I65">
        <v>65360</v>
      </c>
      <c r="J65" t="s">
        <v>209</v>
      </c>
      <c r="K65" s="7">
        <f ca="1">(TODAY()-allstaff[[#This Row],[Date Joined]])/365</f>
        <v>3.526027397260274</v>
      </c>
      <c r="L65" s="7">
        <f ca="1">IF(allstaff[[#This Row],[Tenure]]&gt;2,3%,2%)*allstaff[[#This Row],[Salary]]</f>
        <v>1960.8</v>
      </c>
    </row>
    <row r="66" spans="1:12" ht="14.4" x14ac:dyDescent="0.3">
      <c r="A66" t="s">
        <v>72</v>
      </c>
      <c r="B66" t="s">
        <v>12</v>
      </c>
      <c r="C66">
        <v>33</v>
      </c>
      <c r="D66" s="29" t="s">
        <v>9</v>
      </c>
      <c r="E66">
        <f>_xlfn.XLOOKUP(D66,Sheet1!$B$2:$B$6,Sheet1!$C$2:$C$6)</f>
        <v>3</v>
      </c>
      <c r="F66" s="5">
        <v>44006</v>
      </c>
      <c r="G66" s="30">
        <v>44006</v>
      </c>
      <c r="H66" t="s">
        <v>20</v>
      </c>
      <c r="I66">
        <v>65360</v>
      </c>
      <c r="J66" t="s">
        <v>211</v>
      </c>
      <c r="K66" s="7">
        <f ca="1">(TODAY()-allstaff[[#This Row],[Date Joined]])/365</f>
        <v>3.6931506849315068</v>
      </c>
      <c r="L66" s="7">
        <f ca="1">IF(allstaff[[#This Row],[Tenure]]&gt;2,3%,2%)*allstaff[[#This Row],[Salary]]</f>
        <v>1960.8</v>
      </c>
    </row>
    <row r="67" spans="1:12" ht="14.4" x14ac:dyDescent="0.3">
      <c r="A67" t="s">
        <v>124</v>
      </c>
      <c r="B67" t="s">
        <v>8</v>
      </c>
      <c r="C67">
        <v>25</v>
      </c>
      <c r="D67" s="29" t="s">
        <v>9</v>
      </c>
      <c r="E67">
        <f>_xlfn.XLOOKUP(D67,Sheet1!$B$2:$B$6,Sheet1!$C$2:$C$6)</f>
        <v>3</v>
      </c>
      <c r="F67" s="5">
        <v>44383</v>
      </c>
      <c r="G67" s="30">
        <v>44383</v>
      </c>
      <c r="H67" t="s">
        <v>22</v>
      </c>
      <c r="I67">
        <v>65700</v>
      </c>
      <c r="J67" t="s">
        <v>209</v>
      </c>
      <c r="K67" s="7">
        <f ca="1">(TODAY()-allstaff[[#This Row],[Date Joined]])/365</f>
        <v>2.6602739726027398</v>
      </c>
      <c r="L67" s="7">
        <f ca="1">IF(allstaff[[#This Row],[Tenure]]&gt;2,3%,2%)*allstaff[[#This Row],[Salary]]</f>
        <v>1971</v>
      </c>
    </row>
    <row r="68" spans="1:12" ht="14.4" x14ac:dyDescent="0.3">
      <c r="A68" t="s">
        <v>102</v>
      </c>
      <c r="B68" t="s">
        <v>8</v>
      </c>
      <c r="C68">
        <v>25</v>
      </c>
      <c r="D68" s="29" t="s">
        <v>9</v>
      </c>
      <c r="E68">
        <f>_xlfn.XLOOKUP(D68,Sheet1!$B$2:$B$6,Sheet1!$C$2:$C$6)</f>
        <v>3</v>
      </c>
      <c r="F68" s="5">
        <v>44322</v>
      </c>
      <c r="G68" s="30">
        <v>44322</v>
      </c>
      <c r="H68" t="s">
        <v>22</v>
      </c>
      <c r="I68">
        <v>65700</v>
      </c>
      <c r="J68" t="s">
        <v>211</v>
      </c>
      <c r="K68" s="7">
        <f ca="1">(TODAY()-allstaff[[#This Row],[Date Joined]])/365</f>
        <v>2.8273972602739725</v>
      </c>
      <c r="L68" s="7">
        <f ca="1">IF(allstaff[[#This Row],[Tenure]]&gt;2,3%,2%)*allstaff[[#This Row],[Salary]]</f>
        <v>1971</v>
      </c>
    </row>
    <row r="69" spans="1:12" ht="14.4" x14ac:dyDescent="0.3">
      <c r="A69" t="s">
        <v>180</v>
      </c>
      <c r="B69" t="s">
        <v>12</v>
      </c>
      <c r="C69">
        <v>21</v>
      </c>
      <c r="D69" s="29" t="s">
        <v>9</v>
      </c>
      <c r="E69">
        <f>_xlfn.XLOOKUP(D69,Sheet1!$B$2:$B$6,Sheet1!$C$2:$C$6)</f>
        <v>3</v>
      </c>
      <c r="F69" s="5">
        <v>44317</v>
      </c>
      <c r="G69" s="30">
        <v>44317</v>
      </c>
      <c r="H69" t="s">
        <v>20</v>
      </c>
      <c r="I69">
        <v>65920</v>
      </c>
      <c r="J69" t="s">
        <v>209</v>
      </c>
      <c r="K69" s="7">
        <f ca="1">(TODAY()-allstaff[[#This Row],[Date Joined]])/365</f>
        <v>2.8410958904109589</v>
      </c>
      <c r="L69" s="7">
        <f ca="1">IF(allstaff[[#This Row],[Tenure]]&gt;2,3%,2%)*allstaff[[#This Row],[Salary]]</f>
        <v>1977.6</v>
      </c>
    </row>
    <row r="70" spans="1:12" ht="14.4" x14ac:dyDescent="0.3">
      <c r="A70" t="s">
        <v>49</v>
      </c>
      <c r="B70" t="s">
        <v>12</v>
      </c>
      <c r="C70">
        <v>21</v>
      </c>
      <c r="D70" s="29" t="s">
        <v>9</v>
      </c>
      <c r="E70">
        <f>_xlfn.XLOOKUP(D70,Sheet1!$B$2:$B$6,Sheet1!$C$2:$C$6)</f>
        <v>3</v>
      </c>
      <c r="F70" s="5">
        <v>44256</v>
      </c>
      <c r="G70" s="30">
        <v>44256</v>
      </c>
      <c r="H70" t="s">
        <v>20</v>
      </c>
      <c r="I70">
        <v>65920</v>
      </c>
      <c r="J70" t="s">
        <v>211</v>
      </c>
      <c r="K70" s="7">
        <f ca="1">(TODAY()-allstaff[[#This Row],[Date Joined]])/365</f>
        <v>3.0082191780821916</v>
      </c>
      <c r="L70" s="7">
        <f ca="1">IF(allstaff[[#This Row],[Tenure]]&gt;2,3%,2%)*allstaff[[#This Row],[Salary]]</f>
        <v>1977.6</v>
      </c>
    </row>
    <row r="71" spans="1:12" ht="14.4" x14ac:dyDescent="0.3">
      <c r="A71" t="s">
        <v>134</v>
      </c>
      <c r="B71" t="s">
        <v>12</v>
      </c>
      <c r="C71">
        <v>30</v>
      </c>
      <c r="D71" s="29" t="s">
        <v>19</v>
      </c>
      <c r="E71">
        <f>_xlfn.XLOOKUP(D71,Sheet1!$B$2:$B$6,Sheet1!$C$2:$C$6)</f>
        <v>2</v>
      </c>
      <c r="F71" s="5">
        <v>44389</v>
      </c>
      <c r="G71" s="30">
        <v>44389</v>
      </c>
      <c r="H71" t="s">
        <v>20</v>
      </c>
      <c r="I71">
        <v>67910</v>
      </c>
      <c r="J71" t="s">
        <v>209</v>
      </c>
      <c r="K71" s="7">
        <f ca="1">(TODAY()-allstaff[[#This Row],[Date Joined]])/365</f>
        <v>2.6438356164383561</v>
      </c>
      <c r="L71" s="7">
        <f ca="1">IF(allstaff[[#This Row],[Tenure]]&gt;2,3%,2%)*allstaff[[#This Row],[Salary]]</f>
        <v>2037.3</v>
      </c>
    </row>
    <row r="72" spans="1:12" ht="14.4" x14ac:dyDescent="0.3">
      <c r="A72" t="s">
        <v>90</v>
      </c>
      <c r="B72" t="s">
        <v>12</v>
      </c>
      <c r="C72">
        <v>30</v>
      </c>
      <c r="D72" s="29" t="s">
        <v>19</v>
      </c>
      <c r="E72">
        <f>_xlfn.XLOOKUP(D72,Sheet1!$B$2:$B$6,Sheet1!$C$2:$C$6)</f>
        <v>2</v>
      </c>
      <c r="F72" s="5">
        <v>44328</v>
      </c>
      <c r="G72" s="30">
        <v>44328</v>
      </c>
      <c r="H72" t="s">
        <v>20</v>
      </c>
      <c r="I72">
        <v>67910</v>
      </c>
      <c r="J72" t="s">
        <v>211</v>
      </c>
      <c r="K72" s="7">
        <f ca="1">(TODAY()-allstaff[[#This Row],[Date Joined]])/365</f>
        <v>2.8109589041095893</v>
      </c>
      <c r="L72" s="7">
        <f ca="1">IF(allstaff[[#This Row],[Tenure]]&gt;2,3%,2%)*allstaff[[#This Row],[Salary]]</f>
        <v>2037.3</v>
      </c>
    </row>
    <row r="73" spans="1:12" ht="14.4" x14ac:dyDescent="0.3">
      <c r="A73" t="s">
        <v>201</v>
      </c>
      <c r="B73" t="s">
        <v>8</v>
      </c>
      <c r="C73">
        <v>30</v>
      </c>
      <c r="D73" s="29" t="s">
        <v>9</v>
      </c>
      <c r="E73">
        <f>_xlfn.XLOOKUP(D73,Sheet1!$B$2:$B$6,Sheet1!$C$2:$C$6)</f>
        <v>3</v>
      </c>
      <c r="F73" s="5">
        <v>44701</v>
      </c>
      <c r="G73" s="30">
        <v>44701</v>
      </c>
      <c r="H73" t="s">
        <v>15</v>
      </c>
      <c r="I73">
        <v>67950</v>
      </c>
      <c r="J73" t="s">
        <v>209</v>
      </c>
      <c r="K73" s="7">
        <f ca="1">(TODAY()-allstaff[[#This Row],[Date Joined]])/365</f>
        <v>1.789041095890411</v>
      </c>
      <c r="L73" s="7">
        <f ca="1">IF(allstaff[[#This Row],[Tenure]]&gt;2,3%,2%)*allstaff[[#This Row],[Salary]]</f>
        <v>1359</v>
      </c>
    </row>
    <row r="74" spans="1:12" ht="14.4" x14ac:dyDescent="0.3">
      <c r="A74" t="s">
        <v>98</v>
      </c>
      <c r="B74" t="s">
        <v>8</v>
      </c>
      <c r="C74">
        <v>30</v>
      </c>
      <c r="D74" s="29" t="s">
        <v>9</v>
      </c>
      <c r="E74">
        <f>_xlfn.XLOOKUP(D74,Sheet1!$B$2:$B$6,Sheet1!$C$2:$C$6)</f>
        <v>3</v>
      </c>
      <c r="F74" s="5">
        <v>44640</v>
      </c>
      <c r="G74" s="30">
        <v>44640</v>
      </c>
      <c r="H74" t="s">
        <v>15</v>
      </c>
      <c r="I74">
        <v>67950</v>
      </c>
      <c r="J74" t="s">
        <v>211</v>
      </c>
      <c r="K74" s="7">
        <f ca="1">(TODAY()-allstaff[[#This Row],[Date Joined]])/365</f>
        <v>1.9561643835616438</v>
      </c>
      <c r="L74" s="7">
        <f ca="1">IF(allstaff[[#This Row],[Tenure]]&gt;2,3%,2%)*allstaff[[#This Row],[Salary]]</f>
        <v>1359</v>
      </c>
    </row>
    <row r="75" spans="1:12" ht="14.4" x14ac:dyDescent="0.3">
      <c r="A75" t="s">
        <v>159</v>
      </c>
      <c r="B75" t="s">
        <v>12</v>
      </c>
      <c r="C75">
        <v>20</v>
      </c>
      <c r="D75" s="29" t="s">
        <v>19</v>
      </c>
      <c r="E75">
        <f>_xlfn.XLOOKUP(D75,Sheet1!$B$2:$B$6,Sheet1!$C$2:$C$6)</f>
        <v>2</v>
      </c>
      <c r="F75" s="5">
        <v>44537</v>
      </c>
      <c r="G75" s="30">
        <v>44537</v>
      </c>
      <c r="H75" t="s">
        <v>22</v>
      </c>
      <c r="I75">
        <v>68900</v>
      </c>
      <c r="J75" t="s">
        <v>209</v>
      </c>
      <c r="K75" s="7">
        <f ca="1">(TODAY()-allstaff[[#This Row],[Date Joined]])/365</f>
        <v>2.2383561643835614</v>
      </c>
      <c r="L75" s="7">
        <f ca="1">IF(allstaff[[#This Row],[Tenure]]&gt;2,3%,2%)*allstaff[[#This Row],[Salary]]</f>
        <v>2067</v>
      </c>
    </row>
    <row r="76" spans="1:12" ht="14.4" x14ac:dyDescent="0.3">
      <c r="A76" t="s">
        <v>78</v>
      </c>
      <c r="B76" t="s">
        <v>12</v>
      </c>
      <c r="C76">
        <v>20</v>
      </c>
      <c r="D76" s="29" t="s">
        <v>19</v>
      </c>
      <c r="E76">
        <f>_xlfn.XLOOKUP(D76,Sheet1!$B$2:$B$6,Sheet1!$C$2:$C$6)</f>
        <v>2</v>
      </c>
      <c r="F76" s="5">
        <v>44476</v>
      </c>
      <c r="G76" s="30">
        <v>44476</v>
      </c>
      <c r="H76" t="s">
        <v>22</v>
      </c>
      <c r="I76">
        <v>68900</v>
      </c>
      <c r="J76" t="s">
        <v>211</v>
      </c>
      <c r="K76" s="7">
        <f ca="1">(TODAY()-allstaff[[#This Row],[Date Joined]])/365</f>
        <v>2.4054794520547946</v>
      </c>
      <c r="L76" s="7">
        <f ca="1">IF(allstaff[[#This Row],[Tenure]]&gt;2,3%,2%)*allstaff[[#This Row],[Salary]]</f>
        <v>2067</v>
      </c>
    </row>
    <row r="77" spans="1:12" ht="14.4" x14ac:dyDescent="0.3">
      <c r="A77" t="s">
        <v>125</v>
      </c>
      <c r="B77" t="s">
        <v>8</v>
      </c>
      <c r="C77">
        <v>37</v>
      </c>
      <c r="D77" s="29" t="s">
        <v>9</v>
      </c>
      <c r="E77">
        <f>_xlfn.XLOOKUP(D77,Sheet1!$B$2:$B$6,Sheet1!$C$2:$C$6)</f>
        <v>3</v>
      </c>
      <c r="F77" s="5">
        <v>44701</v>
      </c>
      <c r="G77" s="30">
        <v>44701</v>
      </c>
      <c r="H77" t="s">
        <v>10</v>
      </c>
      <c r="I77">
        <v>69070</v>
      </c>
      <c r="J77" t="s">
        <v>209</v>
      </c>
      <c r="K77" s="7">
        <f ca="1">(TODAY()-allstaff[[#This Row],[Date Joined]])/365</f>
        <v>1.789041095890411</v>
      </c>
      <c r="L77" s="7">
        <f ca="1">IF(allstaff[[#This Row],[Tenure]]&gt;2,3%,2%)*allstaff[[#This Row],[Salary]]</f>
        <v>1381.4</v>
      </c>
    </row>
    <row r="78" spans="1:12" ht="14.4" x14ac:dyDescent="0.3">
      <c r="A78" t="s">
        <v>89</v>
      </c>
      <c r="B78" t="s">
        <v>8</v>
      </c>
      <c r="C78">
        <v>37</v>
      </c>
      <c r="D78" s="29" t="s">
        <v>9</v>
      </c>
      <c r="E78">
        <f>_xlfn.XLOOKUP(D78,Sheet1!$B$2:$B$6,Sheet1!$C$2:$C$6)</f>
        <v>3</v>
      </c>
      <c r="F78" s="5">
        <v>44640</v>
      </c>
      <c r="G78" s="30">
        <v>44640</v>
      </c>
      <c r="H78" t="s">
        <v>10</v>
      </c>
      <c r="I78">
        <v>69070</v>
      </c>
      <c r="J78" t="s">
        <v>211</v>
      </c>
      <c r="K78" s="7">
        <f ca="1">(TODAY()-allstaff[[#This Row],[Date Joined]])/365</f>
        <v>1.9561643835616438</v>
      </c>
      <c r="L78" s="7">
        <f ca="1">IF(allstaff[[#This Row],[Tenure]]&gt;2,3%,2%)*allstaff[[#This Row],[Salary]]</f>
        <v>1381.4</v>
      </c>
    </row>
    <row r="79" spans="1:12" ht="14.4" x14ac:dyDescent="0.3">
      <c r="A79" t="s">
        <v>170</v>
      </c>
      <c r="B79" t="s">
        <v>8</v>
      </c>
      <c r="C79">
        <v>30</v>
      </c>
      <c r="D79" s="29" t="s">
        <v>9</v>
      </c>
      <c r="E79">
        <f>_xlfn.XLOOKUP(D79,Sheet1!$B$2:$B$6,Sheet1!$C$2:$C$6)</f>
        <v>3</v>
      </c>
      <c r="F79" s="5">
        <v>44273</v>
      </c>
      <c r="G79" s="30">
        <v>44273</v>
      </c>
      <c r="H79" t="s">
        <v>10</v>
      </c>
      <c r="I79">
        <v>69120</v>
      </c>
      <c r="J79" t="s">
        <v>209</v>
      </c>
      <c r="K79" s="7">
        <f ca="1">(TODAY()-allstaff[[#This Row],[Date Joined]])/365</f>
        <v>2.9616438356164383</v>
      </c>
      <c r="L79" s="7">
        <f ca="1">IF(allstaff[[#This Row],[Tenure]]&gt;2,3%,2%)*allstaff[[#This Row],[Salary]]</f>
        <v>2073.6</v>
      </c>
    </row>
    <row r="80" spans="1:12" ht="14.4" x14ac:dyDescent="0.3">
      <c r="A80" t="s">
        <v>91</v>
      </c>
      <c r="B80" t="s">
        <v>8</v>
      </c>
      <c r="C80">
        <v>30</v>
      </c>
      <c r="D80" s="29" t="s">
        <v>9</v>
      </c>
      <c r="E80">
        <f>_xlfn.XLOOKUP(D80,Sheet1!$B$2:$B$6,Sheet1!$C$2:$C$6)</f>
        <v>3</v>
      </c>
      <c r="F80" s="5">
        <v>44214</v>
      </c>
      <c r="G80" s="30">
        <v>44214</v>
      </c>
      <c r="H80" t="s">
        <v>10</v>
      </c>
      <c r="I80">
        <v>69120</v>
      </c>
      <c r="J80" t="s">
        <v>211</v>
      </c>
      <c r="K80" s="7">
        <f ca="1">(TODAY()-allstaff[[#This Row],[Date Joined]])/365</f>
        <v>3.1232876712328768</v>
      </c>
      <c r="L80" s="7">
        <f ca="1">IF(allstaff[[#This Row],[Tenure]]&gt;2,3%,2%)*allstaff[[#This Row],[Salary]]</f>
        <v>2073.6</v>
      </c>
    </row>
    <row r="81" spans="1:12" ht="14.4" x14ac:dyDescent="0.3">
      <c r="A81" t="s">
        <v>166</v>
      </c>
      <c r="B81" t="s">
        <v>8</v>
      </c>
      <c r="C81">
        <v>30</v>
      </c>
      <c r="D81" s="29" t="s">
        <v>9</v>
      </c>
      <c r="E81">
        <f>_xlfn.XLOOKUP(D81,Sheet1!$B$2:$B$6,Sheet1!$C$2:$C$6)</f>
        <v>3</v>
      </c>
      <c r="F81" s="5">
        <v>44850</v>
      </c>
      <c r="G81" s="30">
        <v>44850</v>
      </c>
      <c r="H81" t="s">
        <v>10</v>
      </c>
      <c r="I81">
        <v>69710</v>
      </c>
      <c r="J81" t="s">
        <v>209</v>
      </c>
      <c r="K81" s="7">
        <f ca="1">(TODAY()-allstaff[[#This Row],[Date Joined]])/365</f>
        <v>1.3808219178082193</v>
      </c>
      <c r="L81" s="7">
        <f ca="1">IF(allstaff[[#This Row],[Tenure]]&gt;2,3%,2%)*allstaff[[#This Row],[Salary]]</f>
        <v>1394.2</v>
      </c>
    </row>
    <row r="82" spans="1:12" ht="14.4" x14ac:dyDescent="0.3">
      <c r="A82" t="s">
        <v>34</v>
      </c>
      <c r="B82" t="s">
        <v>8</v>
      </c>
      <c r="C82">
        <v>30</v>
      </c>
      <c r="D82" s="29" t="s">
        <v>9</v>
      </c>
      <c r="E82">
        <f>_xlfn.XLOOKUP(D82,Sheet1!$B$2:$B$6,Sheet1!$C$2:$C$6)</f>
        <v>3</v>
      </c>
      <c r="F82" s="5">
        <v>44789</v>
      </c>
      <c r="G82" s="30">
        <v>44789</v>
      </c>
      <c r="H82" t="s">
        <v>10</v>
      </c>
      <c r="I82">
        <v>69710</v>
      </c>
      <c r="J82" t="s">
        <v>211</v>
      </c>
      <c r="K82" s="7">
        <f ca="1">(TODAY()-allstaff[[#This Row],[Date Joined]])/365</f>
        <v>1.547945205479452</v>
      </c>
      <c r="L82" s="7">
        <f ca="1">IF(allstaff[[#This Row],[Tenure]]&gt;2,3%,2%)*allstaff[[#This Row],[Salary]]</f>
        <v>1394.2</v>
      </c>
    </row>
    <row r="83" spans="1:12" ht="14.4" x14ac:dyDescent="0.3">
      <c r="A83" t="s">
        <v>202</v>
      </c>
      <c r="B83" t="s">
        <v>8</v>
      </c>
      <c r="C83">
        <v>42</v>
      </c>
      <c r="D83" s="29" t="s">
        <v>19</v>
      </c>
      <c r="E83">
        <f>_xlfn.XLOOKUP(D83,Sheet1!$B$2:$B$6,Sheet1!$C$2:$C$6)</f>
        <v>2</v>
      </c>
      <c r="F83" s="5">
        <v>44731</v>
      </c>
      <c r="G83" s="30">
        <v>44731</v>
      </c>
      <c r="H83" t="s">
        <v>20</v>
      </c>
      <c r="I83">
        <v>70270</v>
      </c>
      <c r="J83" t="s">
        <v>209</v>
      </c>
      <c r="K83" s="7">
        <f ca="1">(TODAY()-allstaff[[#This Row],[Date Joined]])/365</f>
        <v>1.7068493150684931</v>
      </c>
      <c r="L83" s="7">
        <f ca="1">IF(allstaff[[#This Row],[Tenure]]&gt;2,3%,2%)*allstaff[[#This Row],[Salary]]</f>
        <v>1405.4</v>
      </c>
    </row>
    <row r="84" spans="1:12" ht="14.4" x14ac:dyDescent="0.3">
      <c r="A84" t="s">
        <v>67</v>
      </c>
      <c r="B84" t="s">
        <v>8</v>
      </c>
      <c r="C84">
        <v>42</v>
      </c>
      <c r="D84" s="29" t="s">
        <v>19</v>
      </c>
      <c r="E84">
        <f>_xlfn.XLOOKUP(D84,Sheet1!$B$2:$B$6,Sheet1!$C$2:$C$6)</f>
        <v>2</v>
      </c>
      <c r="F84" s="5">
        <v>44670</v>
      </c>
      <c r="G84" s="30">
        <v>44670</v>
      </c>
      <c r="H84" t="s">
        <v>20</v>
      </c>
      <c r="I84">
        <v>70270</v>
      </c>
      <c r="J84" t="s">
        <v>211</v>
      </c>
      <c r="K84" s="7">
        <f ca="1">(TODAY()-allstaff[[#This Row],[Date Joined]])/365</f>
        <v>1.8739726027397261</v>
      </c>
      <c r="L84" s="7">
        <f ca="1">IF(allstaff[[#This Row],[Tenure]]&gt;2,3%,2%)*allstaff[[#This Row],[Salary]]</f>
        <v>1405.4</v>
      </c>
    </row>
    <row r="85" spans="1:12" ht="14.4" x14ac:dyDescent="0.3">
      <c r="A85" t="s">
        <v>114</v>
      </c>
      <c r="B85" t="s">
        <v>8</v>
      </c>
      <c r="C85">
        <v>46</v>
      </c>
      <c r="D85" s="29" t="s">
        <v>9</v>
      </c>
      <c r="E85">
        <f>_xlfn.XLOOKUP(D85,Sheet1!$B$2:$B$6,Sheet1!$C$2:$C$6)</f>
        <v>3</v>
      </c>
      <c r="F85" s="5">
        <v>44758</v>
      </c>
      <c r="G85" s="30">
        <v>44758</v>
      </c>
      <c r="H85" t="s">
        <v>15</v>
      </c>
      <c r="I85">
        <v>70610</v>
      </c>
      <c r="J85" t="s">
        <v>209</v>
      </c>
      <c r="K85" s="7">
        <f ca="1">(TODAY()-allstaff[[#This Row],[Date Joined]])/365</f>
        <v>1.6328767123287671</v>
      </c>
      <c r="L85" s="7">
        <f ca="1">IF(allstaff[[#This Row],[Tenure]]&gt;2,3%,2%)*allstaff[[#This Row],[Salary]]</f>
        <v>1412.2</v>
      </c>
    </row>
    <row r="86" spans="1:12" ht="14.4" x14ac:dyDescent="0.3">
      <c r="A86" t="s">
        <v>107</v>
      </c>
      <c r="B86" t="s">
        <v>8</v>
      </c>
      <c r="C86">
        <v>46</v>
      </c>
      <c r="D86" s="29" t="s">
        <v>9</v>
      </c>
      <c r="E86">
        <f>_xlfn.XLOOKUP(D86,Sheet1!$B$2:$B$6,Sheet1!$C$2:$C$6)</f>
        <v>3</v>
      </c>
      <c r="F86" s="5">
        <v>44697</v>
      </c>
      <c r="G86" s="30">
        <v>44697</v>
      </c>
      <c r="H86" t="s">
        <v>15</v>
      </c>
      <c r="I86">
        <v>70610</v>
      </c>
      <c r="J86" t="s">
        <v>211</v>
      </c>
      <c r="K86" s="7">
        <f ca="1">(TODAY()-allstaff[[#This Row],[Date Joined]])/365</f>
        <v>1.8</v>
      </c>
      <c r="L86" s="7">
        <f ca="1">IF(allstaff[[#This Row],[Tenure]]&gt;2,3%,2%)*allstaff[[#This Row],[Salary]]</f>
        <v>1412.2</v>
      </c>
    </row>
    <row r="87" spans="1:12" ht="14.4" x14ac:dyDescent="0.3">
      <c r="A87" t="s">
        <v>167</v>
      </c>
      <c r="B87" t="s">
        <v>8</v>
      </c>
      <c r="C87">
        <v>36</v>
      </c>
      <c r="D87" s="29" t="s">
        <v>9</v>
      </c>
      <c r="E87">
        <f>_xlfn.XLOOKUP(D87,Sheet1!$B$2:$B$6,Sheet1!$C$2:$C$6)</f>
        <v>3</v>
      </c>
      <c r="F87" s="5">
        <v>44333</v>
      </c>
      <c r="G87" s="30">
        <v>44333</v>
      </c>
      <c r="H87" t="s">
        <v>20</v>
      </c>
      <c r="I87">
        <v>71380</v>
      </c>
      <c r="J87" t="s">
        <v>209</v>
      </c>
      <c r="K87" s="7">
        <f ca="1">(TODAY()-allstaff[[#This Row],[Date Joined]])/365</f>
        <v>2.7972602739726029</v>
      </c>
      <c r="L87" s="7">
        <f ca="1">IF(allstaff[[#This Row],[Tenure]]&gt;2,3%,2%)*allstaff[[#This Row],[Salary]]</f>
        <v>2141.4</v>
      </c>
    </row>
    <row r="88" spans="1:12" ht="14.4" x14ac:dyDescent="0.3">
      <c r="A88" t="s">
        <v>85</v>
      </c>
      <c r="B88" t="s">
        <v>8</v>
      </c>
      <c r="C88">
        <v>36</v>
      </c>
      <c r="D88" s="29" t="s">
        <v>9</v>
      </c>
      <c r="E88">
        <f>_xlfn.XLOOKUP(D88,Sheet1!$B$2:$B$6,Sheet1!$C$2:$C$6)</f>
        <v>3</v>
      </c>
      <c r="F88" s="5">
        <v>44272</v>
      </c>
      <c r="G88" s="30">
        <v>44272</v>
      </c>
      <c r="H88" t="s">
        <v>20</v>
      </c>
      <c r="I88">
        <v>71380</v>
      </c>
      <c r="J88" t="s">
        <v>211</v>
      </c>
      <c r="K88" s="7">
        <f ca="1">(TODAY()-allstaff[[#This Row],[Date Joined]])/365</f>
        <v>2.9643835616438357</v>
      </c>
      <c r="L88" s="7">
        <f ca="1">IF(allstaff[[#This Row],[Tenure]]&gt;2,3%,2%)*allstaff[[#This Row],[Salary]]</f>
        <v>2141.4</v>
      </c>
    </row>
    <row r="89" spans="1:12" ht="14.4" x14ac:dyDescent="0.3">
      <c r="A89" t="s">
        <v>200</v>
      </c>
      <c r="B89" t="s">
        <v>8</v>
      </c>
      <c r="C89">
        <v>33</v>
      </c>
      <c r="D89" s="29" t="s">
        <v>9</v>
      </c>
      <c r="E89">
        <f>_xlfn.XLOOKUP(D89,Sheet1!$B$2:$B$6,Sheet1!$C$2:$C$6)</f>
        <v>3</v>
      </c>
      <c r="F89" s="5">
        <v>44385</v>
      </c>
      <c r="G89" s="30">
        <v>44385</v>
      </c>
      <c r="H89" t="s">
        <v>22</v>
      </c>
      <c r="I89">
        <v>74550</v>
      </c>
      <c r="J89" t="s">
        <v>209</v>
      </c>
      <c r="K89" s="7">
        <f ca="1">(TODAY()-allstaff[[#This Row],[Date Joined]])/365</f>
        <v>2.6547945205479451</v>
      </c>
      <c r="L89" s="7">
        <f ca="1">IF(allstaff[[#This Row],[Tenure]]&gt;2,3%,2%)*allstaff[[#This Row],[Salary]]</f>
        <v>2236.5</v>
      </c>
    </row>
    <row r="90" spans="1:12" ht="14.4" x14ac:dyDescent="0.3">
      <c r="A90" t="s">
        <v>25</v>
      </c>
      <c r="B90" t="s">
        <v>8</v>
      </c>
      <c r="C90">
        <v>33</v>
      </c>
      <c r="D90" s="29" t="s">
        <v>9</v>
      </c>
      <c r="E90">
        <f>_xlfn.XLOOKUP(D90,Sheet1!$B$2:$B$6,Sheet1!$C$2:$C$6)</f>
        <v>3</v>
      </c>
      <c r="F90" s="5">
        <v>44324</v>
      </c>
      <c r="G90" s="30">
        <v>44324</v>
      </c>
      <c r="H90" t="s">
        <v>22</v>
      </c>
      <c r="I90">
        <v>74550</v>
      </c>
      <c r="J90" t="s">
        <v>211</v>
      </c>
      <c r="K90" s="7">
        <f ca="1">(TODAY()-allstaff[[#This Row],[Date Joined]])/365</f>
        <v>2.8219178082191783</v>
      </c>
      <c r="L90" s="7">
        <f ca="1">IF(allstaff[[#This Row],[Tenure]]&gt;2,3%,2%)*allstaff[[#This Row],[Salary]]</f>
        <v>2236.5</v>
      </c>
    </row>
    <row r="91" spans="1:12" ht="14.4" x14ac:dyDescent="0.3">
      <c r="A91" t="s">
        <v>138</v>
      </c>
      <c r="B91" t="s">
        <v>12</v>
      </c>
      <c r="C91">
        <v>42</v>
      </c>
      <c r="D91" s="29" t="s">
        <v>41</v>
      </c>
      <c r="E91">
        <f>_xlfn.XLOOKUP(D91,Sheet1!$B$2:$B$6,Sheet1!$C$2:$C$6)</f>
        <v>5</v>
      </c>
      <c r="F91" s="5">
        <v>44779</v>
      </c>
      <c r="G91" s="30">
        <v>44779</v>
      </c>
      <c r="H91" t="s">
        <v>15</v>
      </c>
      <c r="I91">
        <v>75000</v>
      </c>
      <c r="J91" t="s">
        <v>209</v>
      </c>
      <c r="K91" s="7">
        <f ca="1">(TODAY()-allstaff[[#This Row],[Date Joined]])/365</f>
        <v>1.5753424657534247</v>
      </c>
      <c r="L91" s="7">
        <f ca="1">IF(allstaff[[#This Row],[Tenure]]&gt;2,3%,2%)*allstaff[[#This Row],[Salary]]</f>
        <v>1500</v>
      </c>
    </row>
    <row r="92" spans="1:12" ht="14.4" x14ac:dyDescent="0.3">
      <c r="A92" t="s">
        <v>40</v>
      </c>
      <c r="B92" t="s">
        <v>12</v>
      </c>
      <c r="C92">
        <v>42</v>
      </c>
      <c r="D92" s="29" t="s">
        <v>41</v>
      </c>
      <c r="E92">
        <f>_xlfn.XLOOKUP(D92,Sheet1!$B$2:$B$6,Sheet1!$C$2:$C$6)</f>
        <v>5</v>
      </c>
      <c r="F92" s="5">
        <v>44718</v>
      </c>
      <c r="G92" s="30">
        <v>44718</v>
      </c>
      <c r="H92" t="s">
        <v>15</v>
      </c>
      <c r="I92">
        <v>75000</v>
      </c>
      <c r="J92" t="s">
        <v>211</v>
      </c>
      <c r="K92" s="7">
        <f ca="1">(TODAY()-allstaff[[#This Row],[Date Joined]])/365</f>
        <v>1.7424657534246575</v>
      </c>
      <c r="L92" s="7">
        <f ca="1">IF(allstaff[[#This Row],[Tenure]]&gt;2,3%,2%)*allstaff[[#This Row],[Salary]]</f>
        <v>1500</v>
      </c>
    </row>
    <row r="93" spans="1:12" ht="14.4" x14ac:dyDescent="0.3">
      <c r="A93" t="s">
        <v>199</v>
      </c>
      <c r="B93" t="s">
        <v>12</v>
      </c>
      <c r="C93">
        <v>33</v>
      </c>
      <c r="D93" s="29" t="s">
        <v>9</v>
      </c>
      <c r="E93">
        <f>_xlfn.XLOOKUP(D93,Sheet1!$B$2:$B$6,Sheet1!$C$2:$C$6)</f>
        <v>3</v>
      </c>
      <c r="F93" s="5">
        <v>44312</v>
      </c>
      <c r="G93" s="30">
        <v>44312</v>
      </c>
      <c r="H93" t="s">
        <v>10</v>
      </c>
      <c r="I93">
        <v>75280</v>
      </c>
      <c r="J93" t="s">
        <v>209</v>
      </c>
      <c r="K93" s="7">
        <f ca="1">(TODAY()-allstaff[[#This Row],[Date Joined]])/365</f>
        <v>2.8547945205479452</v>
      </c>
      <c r="L93" s="7">
        <f ca="1">IF(allstaff[[#This Row],[Tenure]]&gt;2,3%,2%)*allstaff[[#This Row],[Salary]]</f>
        <v>2258.4</v>
      </c>
    </row>
    <row r="94" spans="1:12" ht="14.4" x14ac:dyDescent="0.3">
      <c r="A94" t="s">
        <v>62</v>
      </c>
      <c r="B94" t="s">
        <v>12</v>
      </c>
      <c r="C94">
        <v>33</v>
      </c>
      <c r="D94" s="29" t="s">
        <v>9</v>
      </c>
      <c r="E94">
        <f>_xlfn.XLOOKUP(D94,Sheet1!$B$2:$B$6,Sheet1!$C$2:$C$6)</f>
        <v>3</v>
      </c>
      <c r="F94" s="5">
        <v>44253</v>
      </c>
      <c r="G94" s="30">
        <v>44253</v>
      </c>
      <c r="H94" t="s">
        <v>10</v>
      </c>
      <c r="I94">
        <v>75280</v>
      </c>
      <c r="J94" t="s">
        <v>211</v>
      </c>
      <c r="K94" s="7">
        <f ca="1">(TODAY()-allstaff[[#This Row],[Date Joined]])/365</f>
        <v>3.0164383561643837</v>
      </c>
      <c r="L94" s="7">
        <f ca="1">IF(allstaff[[#This Row],[Tenure]]&gt;2,3%,2%)*allstaff[[#This Row],[Salary]]</f>
        <v>2258.4</v>
      </c>
    </row>
    <row r="95" spans="1:12" ht="14.4" x14ac:dyDescent="0.3">
      <c r="A95" t="s">
        <v>143</v>
      </c>
      <c r="B95" t="s">
        <v>12</v>
      </c>
      <c r="C95">
        <v>33</v>
      </c>
      <c r="D95" s="29" t="s">
        <v>81</v>
      </c>
      <c r="E95">
        <f>_xlfn.XLOOKUP(D95,Sheet1!$B$2:$B$6,Sheet1!$C$2:$C$6)</f>
        <v>1</v>
      </c>
      <c r="F95" s="5">
        <v>44374</v>
      </c>
      <c r="G95" s="30">
        <v>44374</v>
      </c>
      <c r="H95" t="s">
        <v>10</v>
      </c>
      <c r="I95">
        <v>75480</v>
      </c>
      <c r="J95" t="s">
        <v>209</v>
      </c>
      <c r="K95" s="7">
        <f ca="1">(TODAY()-allstaff[[#This Row],[Date Joined]])/365</f>
        <v>2.6849315068493151</v>
      </c>
      <c r="L95" s="7">
        <f ca="1">IF(allstaff[[#This Row],[Tenure]]&gt;2,3%,2%)*allstaff[[#This Row],[Salary]]</f>
        <v>2264.4</v>
      </c>
    </row>
    <row r="96" spans="1:12" ht="14.4" x14ac:dyDescent="0.3">
      <c r="A96" t="s">
        <v>103</v>
      </c>
      <c r="B96" t="s">
        <v>12</v>
      </c>
      <c r="C96">
        <v>33</v>
      </c>
      <c r="D96" s="29" t="s">
        <v>81</v>
      </c>
      <c r="E96">
        <f>_xlfn.XLOOKUP(D96,Sheet1!$B$2:$B$6,Sheet1!$C$2:$C$6)</f>
        <v>1</v>
      </c>
      <c r="F96" s="5">
        <v>44313</v>
      </c>
      <c r="G96" s="30">
        <v>44313</v>
      </c>
      <c r="H96" t="s">
        <v>10</v>
      </c>
      <c r="I96">
        <v>75480</v>
      </c>
      <c r="J96" t="s">
        <v>211</v>
      </c>
      <c r="K96" s="7">
        <f ca="1">(TODAY()-allstaff[[#This Row],[Date Joined]])/365</f>
        <v>2.8520547945205479</v>
      </c>
      <c r="L96" s="7">
        <f ca="1">IF(allstaff[[#This Row],[Tenure]]&gt;2,3%,2%)*allstaff[[#This Row],[Salary]]</f>
        <v>2264.4</v>
      </c>
    </row>
    <row r="97" spans="1:12" ht="14.4" x14ac:dyDescent="0.3">
      <c r="A97" t="s">
        <v>132</v>
      </c>
      <c r="B97" t="s">
        <v>8</v>
      </c>
      <c r="C97">
        <v>21</v>
      </c>
      <c r="D97" s="29" t="s">
        <v>9</v>
      </c>
      <c r="E97">
        <f>_xlfn.XLOOKUP(D97,Sheet1!$B$2:$B$6,Sheet1!$C$2:$C$6)</f>
        <v>3</v>
      </c>
      <c r="F97" s="5">
        <v>44242</v>
      </c>
      <c r="G97" s="30">
        <v>44242</v>
      </c>
      <c r="H97" t="s">
        <v>17</v>
      </c>
      <c r="I97">
        <v>75880</v>
      </c>
      <c r="J97" t="s">
        <v>209</v>
      </c>
      <c r="K97" s="7">
        <f ca="1">(TODAY()-allstaff[[#This Row],[Date Joined]])/365</f>
        <v>3.0465753424657533</v>
      </c>
      <c r="L97" s="7">
        <f ca="1">IF(allstaff[[#This Row],[Tenure]]&gt;2,3%,2%)*allstaff[[#This Row],[Salary]]</f>
        <v>2276.4</v>
      </c>
    </row>
    <row r="98" spans="1:12" ht="14.4" x14ac:dyDescent="0.3">
      <c r="A98" t="s">
        <v>58</v>
      </c>
      <c r="B98" t="s">
        <v>8</v>
      </c>
      <c r="C98">
        <v>21</v>
      </c>
      <c r="D98" s="29" t="s">
        <v>9</v>
      </c>
      <c r="E98">
        <f>_xlfn.XLOOKUP(D98,Sheet1!$B$2:$B$6,Sheet1!$C$2:$C$6)</f>
        <v>3</v>
      </c>
      <c r="F98" s="5">
        <v>44180</v>
      </c>
      <c r="G98" s="30">
        <v>44180</v>
      </c>
      <c r="H98" t="s">
        <v>17</v>
      </c>
      <c r="I98">
        <v>75880</v>
      </c>
      <c r="J98" t="s">
        <v>211</v>
      </c>
      <c r="K98" s="7">
        <f ca="1">(TODAY()-allstaff[[#This Row],[Date Joined]])/365</f>
        <v>3.2164383561643834</v>
      </c>
      <c r="L98" s="7">
        <f ca="1">IF(allstaff[[#This Row],[Tenure]]&gt;2,3%,2%)*allstaff[[#This Row],[Salary]]</f>
        <v>2276.4</v>
      </c>
    </row>
    <row r="99" spans="1:12" ht="14.4" x14ac:dyDescent="0.3">
      <c r="A99" t="s">
        <v>141</v>
      </c>
      <c r="B99" t="s">
        <v>12</v>
      </c>
      <c r="C99">
        <v>28</v>
      </c>
      <c r="D99" s="29" t="s">
        <v>9</v>
      </c>
      <c r="E99">
        <f>_xlfn.XLOOKUP(D99,Sheet1!$B$2:$B$6,Sheet1!$C$2:$C$6)</f>
        <v>3</v>
      </c>
      <c r="F99" s="5">
        <v>44185</v>
      </c>
      <c r="G99" s="30">
        <v>44185</v>
      </c>
      <c r="H99" t="s">
        <v>20</v>
      </c>
      <c r="I99">
        <v>75970</v>
      </c>
      <c r="J99" t="s">
        <v>209</v>
      </c>
      <c r="K99" s="7">
        <f ca="1">(TODAY()-allstaff[[#This Row],[Date Joined]])/365</f>
        <v>3.2027397260273971</v>
      </c>
      <c r="L99" s="7">
        <f ca="1">IF(allstaff[[#This Row],[Tenure]]&gt;2,3%,2%)*allstaff[[#This Row],[Salary]]</f>
        <v>2279.1</v>
      </c>
    </row>
    <row r="100" spans="1:12" ht="14.4" x14ac:dyDescent="0.3">
      <c r="A100" t="s">
        <v>68</v>
      </c>
      <c r="B100" t="s">
        <v>12</v>
      </c>
      <c r="C100">
        <v>28</v>
      </c>
      <c r="D100" s="29" t="s">
        <v>9</v>
      </c>
      <c r="E100">
        <f>_xlfn.XLOOKUP(D100,Sheet1!$B$2:$B$6,Sheet1!$C$2:$C$6)</f>
        <v>3</v>
      </c>
      <c r="F100" s="5">
        <v>44124</v>
      </c>
      <c r="G100" s="30">
        <v>44124</v>
      </c>
      <c r="H100" t="s">
        <v>20</v>
      </c>
      <c r="I100">
        <v>75970</v>
      </c>
      <c r="J100" t="s">
        <v>211</v>
      </c>
      <c r="K100" s="7">
        <f ca="1">(TODAY()-allstaff[[#This Row],[Date Joined]])/365</f>
        <v>3.3698630136986303</v>
      </c>
      <c r="L100" s="7">
        <f ca="1">IF(allstaff[[#This Row],[Tenure]]&gt;2,3%,2%)*allstaff[[#This Row],[Salary]]</f>
        <v>2279.1</v>
      </c>
    </row>
    <row r="101" spans="1:12" ht="14.4" x14ac:dyDescent="0.3">
      <c r="A101" t="s">
        <v>172</v>
      </c>
      <c r="B101" t="s">
        <v>12</v>
      </c>
      <c r="C101">
        <v>22</v>
      </c>
      <c r="D101" s="29" t="s">
        <v>13</v>
      </c>
      <c r="E101">
        <f>_xlfn.XLOOKUP(D101,Sheet1!$B$2:$B$6,Sheet1!$C$2:$C$6)</f>
        <v>4</v>
      </c>
      <c r="F101" s="5">
        <v>44450</v>
      </c>
      <c r="G101" s="30">
        <v>44450</v>
      </c>
      <c r="H101" t="s">
        <v>15</v>
      </c>
      <c r="I101">
        <v>76900</v>
      </c>
      <c r="J101" t="s">
        <v>209</v>
      </c>
      <c r="K101" s="7">
        <f ca="1">(TODAY()-allstaff[[#This Row],[Date Joined]])/365</f>
        <v>2.4767123287671233</v>
      </c>
      <c r="L101" s="7">
        <f ca="1">IF(allstaff[[#This Row],[Tenure]]&gt;2,3%,2%)*allstaff[[#This Row],[Salary]]</f>
        <v>2307</v>
      </c>
    </row>
    <row r="102" spans="1:12" ht="14.4" x14ac:dyDescent="0.3">
      <c r="A102" t="s">
        <v>36</v>
      </c>
      <c r="B102" t="s">
        <v>12</v>
      </c>
      <c r="C102">
        <v>22</v>
      </c>
      <c r="D102" s="29" t="s">
        <v>13</v>
      </c>
      <c r="E102">
        <f>_xlfn.XLOOKUP(D102,Sheet1!$B$2:$B$6,Sheet1!$C$2:$C$6)</f>
        <v>4</v>
      </c>
      <c r="F102" s="5">
        <v>44388</v>
      </c>
      <c r="G102" s="30">
        <v>44388</v>
      </c>
      <c r="H102" t="s">
        <v>15</v>
      </c>
      <c r="I102">
        <v>76900</v>
      </c>
      <c r="J102" t="s">
        <v>211</v>
      </c>
      <c r="K102" s="7">
        <f ca="1">(TODAY()-allstaff[[#This Row],[Date Joined]])/365</f>
        <v>2.6465753424657534</v>
      </c>
      <c r="L102" s="7">
        <f ca="1">IF(allstaff[[#This Row],[Tenure]]&gt;2,3%,2%)*allstaff[[#This Row],[Salary]]</f>
        <v>2307</v>
      </c>
    </row>
    <row r="103" spans="1:12" ht="14.4" x14ac:dyDescent="0.3">
      <c r="A103" t="s">
        <v>153</v>
      </c>
      <c r="B103" t="s">
        <v>12</v>
      </c>
      <c r="C103">
        <v>36</v>
      </c>
      <c r="D103" s="29" t="s">
        <v>9</v>
      </c>
      <c r="E103">
        <f>_xlfn.XLOOKUP(D103,Sheet1!$B$2:$B$6,Sheet1!$C$2:$C$6)</f>
        <v>3</v>
      </c>
      <c r="F103" s="5">
        <v>44529</v>
      </c>
      <c r="G103" s="30">
        <v>44529</v>
      </c>
      <c r="H103" t="s">
        <v>15</v>
      </c>
      <c r="I103">
        <v>78390</v>
      </c>
      <c r="J103" t="s">
        <v>209</v>
      </c>
      <c r="K103" s="7">
        <f ca="1">(TODAY()-allstaff[[#This Row],[Date Joined]])/365</f>
        <v>2.2602739726027399</v>
      </c>
      <c r="L103" s="7">
        <f ca="1">IF(allstaff[[#This Row],[Tenure]]&gt;2,3%,2%)*allstaff[[#This Row],[Salary]]</f>
        <v>2351.6999999999998</v>
      </c>
    </row>
    <row r="104" spans="1:12" ht="14.4" x14ac:dyDescent="0.3">
      <c r="A104" t="s">
        <v>95</v>
      </c>
      <c r="B104" t="s">
        <v>12</v>
      </c>
      <c r="C104">
        <v>36</v>
      </c>
      <c r="D104" s="29" t="s">
        <v>9</v>
      </c>
      <c r="E104">
        <f>_xlfn.XLOOKUP(D104,Sheet1!$B$2:$B$6,Sheet1!$C$2:$C$6)</f>
        <v>3</v>
      </c>
      <c r="F104" s="5">
        <v>44468</v>
      </c>
      <c r="G104" s="30">
        <v>44468</v>
      </c>
      <c r="H104" t="s">
        <v>15</v>
      </c>
      <c r="I104">
        <v>78390</v>
      </c>
      <c r="J104" t="s">
        <v>211</v>
      </c>
      <c r="K104" s="7">
        <f ca="1">(TODAY()-allstaff[[#This Row],[Date Joined]])/365</f>
        <v>2.4273972602739726</v>
      </c>
      <c r="L104" s="7">
        <f ca="1">IF(allstaff[[#This Row],[Tenure]]&gt;2,3%,2%)*allstaff[[#This Row],[Salary]]</f>
        <v>2351.6999999999998</v>
      </c>
    </row>
    <row r="105" spans="1:12" ht="14.4" x14ac:dyDescent="0.3">
      <c r="A105" t="s">
        <v>145</v>
      </c>
      <c r="B105" t="s">
        <v>12</v>
      </c>
      <c r="C105">
        <v>36</v>
      </c>
      <c r="D105" s="29" t="s">
        <v>9</v>
      </c>
      <c r="E105">
        <f>_xlfn.XLOOKUP(D105,Sheet1!$B$2:$B$6,Sheet1!$C$2:$C$6)</f>
        <v>3</v>
      </c>
      <c r="F105" s="5">
        <v>44494</v>
      </c>
      <c r="G105" s="30">
        <v>44494</v>
      </c>
      <c r="H105" t="s">
        <v>22</v>
      </c>
      <c r="I105">
        <v>78540</v>
      </c>
      <c r="J105" t="s">
        <v>209</v>
      </c>
      <c r="K105" s="7">
        <f ca="1">(TODAY()-allstaff[[#This Row],[Date Joined]])/365</f>
        <v>2.3561643835616439</v>
      </c>
      <c r="L105" s="7">
        <f ca="1">IF(allstaff[[#This Row],[Tenure]]&gt;2,3%,2%)*allstaff[[#This Row],[Salary]]</f>
        <v>2356.1999999999998</v>
      </c>
    </row>
    <row r="106" spans="1:12" ht="14.4" x14ac:dyDescent="0.3">
      <c r="A106" t="s">
        <v>105</v>
      </c>
      <c r="B106" t="s">
        <v>12</v>
      </c>
      <c r="C106">
        <v>36</v>
      </c>
      <c r="D106" s="29" t="s">
        <v>9</v>
      </c>
      <c r="E106">
        <f>_xlfn.XLOOKUP(D106,Sheet1!$B$2:$B$6,Sheet1!$C$2:$C$6)</f>
        <v>3</v>
      </c>
      <c r="F106" s="5">
        <v>44433</v>
      </c>
      <c r="G106" s="30">
        <v>44433</v>
      </c>
      <c r="H106" t="s">
        <v>22</v>
      </c>
      <c r="I106">
        <v>78540</v>
      </c>
      <c r="J106" t="s">
        <v>211</v>
      </c>
      <c r="K106" s="7">
        <f ca="1">(TODAY()-allstaff[[#This Row],[Date Joined]])/365</f>
        <v>2.5232876712328767</v>
      </c>
      <c r="L106" s="7">
        <f ca="1">IF(allstaff[[#This Row],[Tenure]]&gt;2,3%,2%)*allstaff[[#This Row],[Salary]]</f>
        <v>2356.1999999999998</v>
      </c>
    </row>
    <row r="107" spans="1:12" ht="14.4" x14ac:dyDescent="0.3">
      <c r="A107" t="s">
        <v>158</v>
      </c>
      <c r="B107" t="s">
        <v>8</v>
      </c>
      <c r="C107">
        <v>20</v>
      </c>
      <c r="D107" s="29" t="s">
        <v>9</v>
      </c>
      <c r="E107">
        <f>_xlfn.XLOOKUP(D107,Sheet1!$B$2:$B$6,Sheet1!$C$2:$C$6)</f>
        <v>3</v>
      </c>
      <c r="F107" s="5">
        <v>44744</v>
      </c>
      <c r="G107" s="30">
        <v>44744</v>
      </c>
      <c r="H107" t="s">
        <v>15</v>
      </c>
      <c r="I107">
        <v>79570</v>
      </c>
      <c r="J107" t="s">
        <v>209</v>
      </c>
      <c r="K107" s="7">
        <f ca="1">(TODAY()-allstaff[[#This Row],[Date Joined]])/365</f>
        <v>1.6712328767123288</v>
      </c>
      <c r="L107" s="7">
        <f ca="1">IF(allstaff[[#This Row],[Tenure]]&gt;2,3%,2%)*allstaff[[#This Row],[Salary]]</f>
        <v>1591.4</v>
      </c>
    </row>
    <row r="108" spans="1:12" ht="14.4" x14ac:dyDescent="0.3">
      <c r="A108" t="s">
        <v>35</v>
      </c>
      <c r="B108" t="s">
        <v>8</v>
      </c>
      <c r="C108">
        <v>20</v>
      </c>
      <c r="D108" s="29" t="s">
        <v>9</v>
      </c>
      <c r="E108">
        <f>_xlfn.XLOOKUP(D108,Sheet1!$B$2:$B$6,Sheet1!$C$2:$C$6)</f>
        <v>3</v>
      </c>
      <c r="F108" s="5">
        <v>44683</v>
      </c>
      <c r="G108" s="30">
        <v>44683</v>
      </c>
      <c r="H108" t="s">
        <v>15</v>
      </c>
      <c r="I108">
        <v>79570</v>
      </c>
      <c r="J108" t="s">
        <v>211</v>
      </c>
      <c r="K108" s="7">
        <f ca="1">(TODAY()-allstaff[[#This Row],[Date Joined]])/365</f>
        <v>1.8383561643835618</v>
      </c>
      <c r="L108" s="7">
        <f ca="1">IF(allstaff[[#This Row],[Tenure]]&gt;2,3%,2%)*allstaff[[#This Row],[Salary]]</f>
        <v>1591.4</v>
      </c>
    </row>
    <row r="109" spans="1:12" ht="14.4" x14ac:dyDescent="0.3">
      <c r="A109" t="s">
        <v>160</v>
      </c>
      <c r="B109" t="s">
        <v>12</v>
      </c>
      <c r="C109">
        <v>25</v>
      </c>
      <c r="D109" s="29" t="s">
        <v>13</v>
      </c>
      <c r="E109">
        <f>_xlfn.XLOOKUP(D109,Sheet1!$B$2:$B$6,Sheet1!$C$2:$C$6)</f>
        <v>4</v>
      </c>
      <c r="F109" s="5">
        <v>44694</v>
      </c>
      <c r="G109" s="30">
        <v>44694</v>
      </c>
      <c r="H109" t="s">
        <v>10</v>
      </c>
      <c r="I109">
        <v>80700</v>
      </c>
      <c r="J109" t="s">
        <v>209</v>
      </c>
      <c r="K109" s="7">
        <f ca="1">(TODAY()-allstaff[[#This Row],[Date Joined]])/365</f>
        <v>1.8082191780821917</v>
      </c>
      <c r="L109" s="7">
        <f ca="1">IF(allstaff[[#This Row],[Tenure]]&gt;2,3%,2%)*allstaff[[#This Row],[Salary]]</f>
        <v>1614</v>
      </c>
    </row>
    <row r="110" spans="1:12" ht="14.4" x14ac:dyDescent="0.3">
      <c r="A110" t="s">
        <v>51</v>
      </c>
      <c r="B110" t="s">
        <v>12</v>
      </c>
      <c r="C110">
        <v>25</v>
      </c>
      <c r="D110" s="29" t="s">
        <v>13</v>
      </c>
      <c r="E110">
        <f>_xlfn.XLOOKUP(D110,Sheet1!$B$2:$B$6,Sheet1!$C$2:$C$6)</f>
        <v>4</v>
      </c>
      <c r="F110" s="5">
        <v>44633</v>
      </c>
      <c r="G110" s="30">
        <v>44633</v>
      </c>
      <c r="H110" t="s">
        <v>10</v>
      </c>
      <c r="I110">
        <v>80700</v>
      </c>
      <c r="J110" t="s">
        <v>211</v>
      </c>
      <c r="K110" s="7">
        <f ca="1">(TODAY()-allstaff[[#This Row],[Date Joined]])/365</f>
        <v>1.9753424657534246</v>
      </c>
      <c r="L110" s="7">
        <f ca="1">IF(allstaff[[#This Row],[Tenure]]&gt;2,3%,2%)*allstaff[[#This Row],[Salary]]</f>
        <v>1614</v>
      </c>
    </row>
    <row r="111" spans="1:12" ht="14.4" x14ac:dyDescent="0.3">
      <c r="A111" t="s">
        <v>155</v>
      </c>
      <c r="B111" t="s">
        <v>12</v>
      </c>
      <c r="C111">
        <v>27</v>
      </c>
      <c r="D111" s="29" t="s">
        <v>9</v>
      </c>
      <c r="E111">
        <f>_xlfn.XLOOKUP(D111,Sheet1!$B$2:$B$6,Sheet1!$C$2:$C$6)</f>
        <v>3</v>
      </c>
      <c r="F111" s="5">
        <v>44686</v>
      </c>
      <c r="G111" s="30">
        <v>44686</v>
      </c>
      <c r="H111" t="s">
        <v>10</v>
      </c>
      <c r="I111">
        <v>83750</v>
      </c>
      <c r="J111" t="s">
        <v>209</v>
      </c>
      <c r="K111" s="7">
        <f ca="1">(TODAY()-allstaff[[#This Row],[Date Joined]])/365</f>
        <v>1.8301369863013699</v>
      </c>
      <c r="L111" s="7">
        <f ca="1">IF(allstaff[[#This Row],[Tenure]]&gt;2,3%,2%)*allstaff[[#This Row],[Salary]]</f>
        <v>1675</v>
      </c>
    </row>
    <row r="112" spans="1:12" ht="14.4" x14ac:dyDescent="0.3">
      <c r="A112" t="s">
        <v>76</v>
      </c>
      <c r="B112" t="s">
        <v>12</v>
      </c>
      <c r="C112">
        <v>27</v>
      </c>
      <c r="D112" s="29" t="s">
        <v>9</v>
      </c>
      <c r="E112">
        <f>_xlfn.XLOOKUP(D112,Sheet1!$B$2:$B$6,Sheet1!$C$2:$C$6)</f>
        <v>3</v>
      </c>
      <c r="F112" s="5">
        <v>44625</v>
      </c>
      <c r="G112" s="30">
        <v>44625</v>
      </c>
      <c r="H112" t="s">
        <v>10</v>
      </c>
      <c r="I112">
        <v>83750</v>
      </c>
      <c r="J112" t="s">
        <v>211</v>
      </c>
      <c r="K112" s="7">
        <f ca="1">(TODAY()-allstaff[[#This Row],[Date Joined]])/365</f>
        <v>1.9972602739726026</v>
      </c>
      <c r="L112" s="7">
        <f ca="1">IF(allstaff[[#This Row],[Tenure]]&gt;2,3%,2%)*allstaff[[#This Row],[Salary]]</f>
        <v>1675</v>
      </c>
    </row>
    <row r="113" spans="1:12" ht="14.4" x14ac:dyDescent="0.3">
      <c r="A113" t="s">
        <v>194</v>
      </c>
      <c r="B113" t="s">
        <v>12</v>
      </c>
      <c r="C113">
        <v>34</v>
      </c>
      <c r="D113" s="29" t="s">
        <v>9</v>
      </c>
      <c r="E113">
        <f>_xlfn.XLOOKUP(D113,Sheet1!$B$2:$B$6,Sheet1!$C$2:$C$6)</f>
        <v>3</v>
      </c>
      <c r="F113" s="5">
        <v>44459</v>
      </c>
      <c r="G113" s="30">
        <v>44459</v>
      </c>
      <c r="H113" t="s">
        <v>20</v>
      </c>
      <c r="I113">
        <v>85000</v>
      </c>
      <c r="J113" t="s">
        <v>209</v>
      </c>
      <c r="K113" s="7">
        <f ca="1">(TODAY()-allstaff[[#This Row],[Date Joined]])/365</f>
        <v>2.452054794520548</v>
      </c>
      <c r="L113" s="7">
        <f ca="1">IF(allstaff[[#This Row],[Tenure]]&gt;2,3%,2%)*allstaff[[#This Row],[Salary]]</f>
        <v>2550</v>
      </c>
    </row>
    <row r="114" spans="1:12" ht="14.4" x14ac:dyDescent="0.3">
      <c r="A114" t="s">
        <v>60</v>
      </c>
      <c r="B114" t="s">
        <v>12</v>
      </c>
      <c r="C114">
        <v>34</v>
      </c>
      <c r="D114" s="29" t="s">
        <v>9</v>
      </c>
      <c r="E114">
        <f>_xlfn.XLOOKUP(D114,Sheet1!$B$2:$B$6,Sheet1!$C$2:$C$6)</f>
        <v>3</v>
      </c>
      <c r="F114" s="5">
        <v>44397</v>
      </c>
      <c r="G114" s="30">
        <v>44397</v>
      </c>
      <c r="H114" t="s">
        <v>20</v>
      </c>
      <c r="I114">
        <v>85000</v>
      </c>
      <c r="J114" t="s">
        <v>211</v>
      </c>
      <c r="K114" s="7">
        <f ca="1">(TODAY()-allstaff[[#This Row],[Date Joined]])/365</f>
        <v>2.6219178082191781</v>
      </c>
      <c r="L114" s="7">
        <f ca="1">IF(allstaff[[#This Row],[Tenure]]&gt;2,3%,2%)*allstaff[[#This Row],[Salary]]</f>
        <v>2550</v>
      </c>
    </row>
    <row r="115" spans="1:12" ht="14.4" x14ac:dyDescent="0.3">
      <c r="A115" t="s">
        <v>154</v>
      </c>
      <c r="B115" t="s">
        <v>12</v>
      </c>
      <c r="C115">
        <v>33</v>
      </c>
      <c r="D115" s="29" t="s">
        <v>9</v>
      </c>
      <c r="E115">
        <f>_xlfn.XLOOKUP(D115,Sheet1!$B$2:$B$6,Sheet1!$C$2:$C$6)</f>
        <v>3</v>
      </c>
      <c r="F115" s="5">
        <v>44809</v>
      </c>
      <c r="G115" s="30">
        <v>44809</v>
      </c>
      <c r="H115" t="s">
        <v>20</v>
      </c>
      <c r="I115">
        <v>86570</v>
      </c>
      <c r="J115" t="s">
        <v>209</v>
      </c>
      <c r="K115" s="7">
        <f ca="1">(TODAY()-allstaff[[#This Row],[Date Joined]])/365</f>
        <v>1.4931506849315068</v>
      </c>
      <c r="L115" s="7">
        <f ca="1">IF(allstaff[[#This Row],[Tenure]]&gt;2,3%,2%)*allstaff[[#This Row],[Salary]]</f>
        <v>1731.4</v>
      </c>
    </row>
    <row r="116" spans="1:12" ht="14.4" x14ac:dyDescent="0.3">
      <c r="A116" t="s">
        <v>87</v>
      </c>
      <c r="B116" t="s">
        <v>12</v>
      </c>
      <c r="C116">
        <v>33</v>
      </c>
      <c r="D116" s="29" t="s">
        <v>9</v>
      </c>
      <c r="E116">
        <f>_xlfn.XLOOKUP(D116,Sheet1!$B$2:$B$6,Sheet1!$C$2:$C$6)</f>
        <v>3</v>
      </c>
      <c r="F116" s="5">
        <v>44747</v>
      </c>
      <c r="G116" s="30">
        <v>44747</v>
      </c>
      <c r="H116" t="s">
        <v>20</v>
      </c>
      <c r="I116">
        <v>86570</v>
      </c>
      <c r="J116" t="s">
        <v>211</v>
      </c>
      <c r="K116" s="7">
        <f ca="1">(TODAY()-allstaff[[#This Row],[Date Joined]])/365</f>
        <v>1.6630136986301369</v>
      </c>
      <c r="L116" s="7">
        <f ca="1">IF(allstaff[[#This Row],[Tenure]]&gt;2,3%,2%)*allstaff[[#This Row],[Salary]]</f>
        <v>1731.4</v>
      </c>
    </row>
    <row r="117" spans="1:12" ht="14.4" x14ac:dyDescent="0.3">
      <c r="A117" t="s">
        <v>139</v>
      </c>
      <c r="B117" t="s">
        <v>12</v>
      </c>
      <c r="C117">
        <v>40</v>
      </c>
      <c r="D117" s="29" t="s">
        <v>9</v>
      </c>
      <c r="E117">
        <f>_xlfn.XLOOKUP(D117,Sheet1!$B$2:$B$6,Sheet1!$C$2:$C$6)</f>
        <v>3</v>
      </c>
      <c r="F117" s="5">
        <v>44337</v>
      </c>
      <c r="G117" s="30">
        <v>44337</v>
      </c>
      <c r="H117" t="s">
        <v>10</v>
      </c>
      <c r="I117">
        <v>87620</v>
      </c>
      <c r="J117" t="s">
        <v>209</v>
      </c>
      <c r="K117" s="7">
        <f ca="1">(TODAY()-allstaff[[#This Row],[Date Joined]])/365</f>
        <v>2.7863013698630139</v>
      </c>
      <c r="L117" s="7">
        <f ca="1">IF(allstaff[[#This Row],[Tenure]]&gt;2,3%,2%)*allstaff[[#This Row],[Salary]]</f>
        <v>2628.6</v>
      </c>
    </row>
    <row r="118" spans="1:12" ht="14.4" x14ac:dyDescent="0.3">
      <c r="A118" t="s">
        <v>77</v>
      </c>
      <c r="B118" t="s">
        <v>12</v>
      </c>
      <c r="C118">
        <v>40</v>
      </c>
      <c r="D118" s="29" t="s">
        <v>9</v>
      </c>
      <c r="E118">
        <f>_xlfn.XLOOKUP(D118,Sheet1!$B$2:$B$6,Sheet1!$C$2:$C$6)</f>
        <v>3</v>
      </c>
      <c r="F118" s="5">
        <v>44276</v>
      </c>
      <c r="G118" s="30">
        <v>44276</v>
      </c>
      <c r="H118" t="s">
        <v>10</v>
      </c>
      <c r="I118">
        <v>87620</v>
      </c>
      <c r="J118" t="s">
        <v>211</v>
      </c>
      <c r="K118" s="7">
        <f ca="1">(TODAY()-allstaff[[#This Row],[Date Joined]])/365</f>
        <v>2.9534246575342467</v>
      </c>
      <c r="L118" s="7">
        <f ca="1">IF(allstaff[[#This Row],[Tenure]]&gt;2,3%,2%)*allstaff[[#This Row],[Salary]]</f>
        <v>2628.6</v>
      </c>
    </row>
    <row r="119" spans="1:12" ht="14.4" x14ac:dyDescent="0.3">
      <c r="A119" t="s">
        <v>184</v>
      </c>
      <c r="B119" t="s">
        <v>8</v>
      </c>
      <c r="C119">
        <v>37</v>
      </c>
      <c r="D119" s="29" t="s">
        <v>19</v>
      </c>
      <c r="E119">
        <f>_xlfn.XLOOKUP(D119,Sheet1!$B$2:$B$6,Sheet1!$C$2:$C$6)</f>
        <v>2</v>
      </c>
      <c r="F119" s="5">
        <v>44338</v>
      </c>
      <c r="G119" s="30">
        <v>44338</v>
      </c>
      <c r="H119" t="s">
        <v>10</v>
      </c>
      <c r="I119">
        <v>88050</v>
      </c>
      <c r="J119" t="s">
        <v>209</v>
      </c>
      <c r="K119" s="7">
        <f ca="1">(TODAY()-allstaff[[#This Row],[Date Joined]])/365</f>
        <v>2.7835616438356166</v>
      </c>
      <c r="L119" s="7">
        <f ca="1">IF(allstaff[[#This Row],[Tenure]]&gt;2,3%,2%)*allstaff[[#This Row],[Salary]]</f>
        <v>2641.5</v>
      </c>
    </row>
    <row r="120" spans="1:12" ht="14.4" x14ac:dyDescent="0.3">
      <c r="A120" t="s">
        <v>38</v>
      </c>
      <c r="B120" t="s">
        <v>8</v>
      </c>
      <c r="C120">
        <v>37</v>
      </c>
      <c r="D120" s="29" t="s">
        <v>19</v>
      </c>
      <c r="E120">
        <f>_xlfn.XLOOKUP(D120,Sheet1!$B$2:$B$6,Sheet1!$C$2:$C$6)</f>
        <v>2</v>
      </c>
      <c r="F120" s="5">
        <v>44277</v>
      </c>
      <c r="G120" s="30">
        <v>44277</v>
      </c>
      <c r="H120" t="s">
        <v>10</v>
      </c>
      <c r="I120">
        <v>88050</v>
      </c>
      <c r="J120" t="s">
        <v>211</v>
      </c>
      <c r="K120" s="7">
        <f ca="1">(TODAY()-allstaff[[#This Row],[Date Joined]])/365</f>
        <v>2.9506849315068493</v>
      </c>
      <c r="L120" s="7">
        <f ca="1">IF(allstaff[[#This Row],[Tenure]]&gt;2,3%,2%)*allstaff[[#This Row],[Salary]]</f>
        <v>2641.5</v>
      </c>
    </row>
    <row r="121" spans="1:12" ht="14.4" x14ac:dyDescent="0.3">
      <c r="A121" t="s">
        <v>190</v>
      </c>
      <c r="B121" t="s">
        <v>8</v>
      </c>
      <c r="C121">
        <v>27</v>
      </c>
      <c r="D121" s="29" t="s">
        <v>13</v>
      </c>
      <c r="E121">
        <f>_xlfn.XLOOKUP(D121,Sheet1!$B$2:$B$6,Sheet1!$C$2:$C$6)</f>
        <v>4</v>
      </c>
      <c r="F121" s="5">
        <v>44236</v>
      </c>
      <c r="G121" s="30">
        <v>44236</v>
      </c>
      <c r="H121" t="s">
        <v>20</v>
      </c>
      <c r="I121">
        <v>91650</v>
      </c>
      <c r="J121" t="s">
        <v>209</v>
      </c>
      <c r="K121" s="7">
        <f ca="1">(TODAY()-allstaff[[#This Row],[Date Joined]])/365</f>
        <v>3.0630136986301371</v>
      </c>
      <c r="L121" s="7">
        <f ca="1">IF(allstaff[[#This Row],[Tenure]]&gt;2,3%,2%)*allstaff[[#This Row],[Salary]]</f>
        <v>2749.5</v>
      </c>
    </row>
    <row r="122" spans="1:12" ht="14.4" x14ac:dyDescent="0.3">
      <c r="A122" t="s">
        <v>66</v>
      </c>
      <c r="B122" t="s">
        <v>8</v>
      </c>
      <c r="C122">
        <v>27</v>
      </c>
      <c r="D122" s="29" t="s">
        <v>13</v>
      </c>
      <c r="E122">
        <f>_xlfn.XLOOKUP(D122,Sheet1!$B$2:$B$6,Sheet1!$C$2:$C$6)</f>
        <v>4</v>
      </c>
      <c r="F122" s="5">
        <v>44174</v>
      </c>
      <c r="G122" s="30">
        <v>44174</v>
      </c>
      <c r="H122" t="s">
        <v>20</v>
      </c>
      <c r="I122">
        <v>91650</v>
      </c>
      <c r="J122" t="s">
        <v>211</v>
      </c>
      <c r="K122" s="7">
        <f ca="1">(TODAY()-allstaff[[#This Row],[Date Joined]])/365</f>
        <v>3.2328767123287672</v>
      </c>
      <c r="L122" s="7">
        <f ca="1">IF(allstaff[[#This Row],[Tenure]]&gt;2,3%,2%)*allstaff[[#This Row],[Salary]]</f>
        <v>2749.5</v>
      </c>
    </row>
    <row r="123" spans="1:12" ht="14.4" x14ac:dyDescent="0.3">
      <c r="A123" t="s">
        <v>156</v>
      </c>
      <c r="B123" t="s">
        <v>12</v>
      </c>
      <c r="C123">
        <v>34</v>
      </c>
      <c r="D123" s="29" t="s">
        <v>9</v>
      </c>
      <c r="E123">
        <f>_xlfn.XLOOKUP(D123,Sheet1!$B$2:$B$6,Sheet1!$C$2:$C$6)</f>
        <v>3</v>
      </c>
      <c r="F123" s="5">
        <v>44445</v>
      </c>
      <c r="G123" s="30">
        <v>44445</v>
      </c>
      <c r="H123" t="s">
        <v>20</v>
      </c>
      <c r="I123">
        <v>92450</v>
      </c>
      <c r="J123" t="s">
        <v>209</v>
      </c>
      <c r="K123" s="7">
        <f ca="1">(TODAY()-allstaff[[#This Row],[Date Joined]])/365</f>
        <v>2.4904109589041097</v>
      </c>
      <c r="L123" s="7">
        <f ca="1">IF(allstaff[[#This Row],[Tenure]]&gt;2,3%,2%)*allstaff[[#This Row],[Salary]]</f>
        <v>2773.5</v>
      </c>
    </row>
    <row r="124" spans="1:12" ht="14.4" x14ac:dyDescent="0.3">
      <c r="A124" t="s">
        <v>74</v>
      </c>
      <c r="B124" t="s">
        <v>12</v>
      </c>
      <c r="C124">
        <v>34</v>
      </c>
      <c r="D124" s="29" t="s">
        <v>9</v>
      </c>
      <c r="E124">
        <f>_xlfn.XLOOKUP(D124,Sheet1!$B$2:$B$6,Sheet1!$C$2:$C$6)</f>
        <v>3</v>
      </c>
      <c r="F124" s="5">
        <v>44383</v>
      </c>
      <c r="G124" s="30">
        <v>44383</v>
      </c>
      <c r="H124" t="s">
        <v>20</v>
      </c>
      <c r="I124">
        <v>92450</v>
      </c>
      <c r="J124" t="s">
        <v>211</v>
      </c>
      <c r="K124" s="7">
        <f ca="1">(TODAY()-allstaff[[#This Row],[Date Joined]])/365</f>
        <v>2.6602739726027398</v>
      </c>
      <c r="L124" s="7">
        <f ca="1">IF(allstaff[[#This Row],[Tenure]]&gt;2,3%,2%)*allstaff[[#This Row],[Salary]]</f>
        <v>2773.5</v>
      </c>
    </row>
    <row r="125" spans="1:12" ht="14.4" x14ac:dyDescent="0.3">
      <c r="A125" t="s">
        <v>179</v>
      </c>
      <c r="B125" t="s">
        <v>12</v>
      </c>
      <c r="C125">
        <v>25</v>
      </c>
      <c r="D125" s="29" t="s">
        <v>9</v>
      </c>
      <c r="E125">
        <f>_xlfn.XLOOKUP(D125,Sheet1!$B$2:$B$6,Sheet1!$C$2:$C$6)</f>
        <v>3</v>
      </c>
      <c r="F125" s="5">
        <v>44205</v>
      </c>
      <c r="G125" s="30">
        <v>44205</v>
      </c>
      <c r="H125" t="s">
        <v>22</v>
      </c>
      <c r="I125">
        <v>92700</v>
      </c>
      <c r="J125" t="s">
        <v>209</v>
      </c>
      <c r="K125" s="7">
        <f ca="1">(TODAY()-allstaff[[#This Row],[Date Joined]])/365</f>
        <v>3.1479452054794521</v>
      </c>
      <c r="L125" s="7">
        <f ca="1">IF(allstaff[[#This Row],[Tenure]]&gt;2,3%,2%)*allstaff[[#This Row],[Salary]]</f>
        <v>2781</v>
      </c>
    </row>
    <row r="126" spans="1:12" ht="14.4" x14ac:dyDescent="0.3">
      <c r="A126" t="s">
        <v>23</v>
      </c>
      <c r="B126" t="s">
        <v>12</v>
      </c>
      <c r="C126">
        <v>25</v>
      </c>
      <c r="D126" s="29" t="s">
        <v>9</v>
      </c>
      <c r="E126">
        <f>_xlfn.XLOOKUP(D126,Sheet1!$B$2:$B$6,Sheet1!$C$2:$C$6)</f>
        <v>3</v>
      </c>
      <c r="F126" s="5">
        <v>44144</v>
      </c>
      <c r="G126" s="30">
        <v>44144</v>
      </c>
      <c r="H126" t="s">
        <v>22</v>
      </c>
      <c r="I126">
        <v>92700</v>
      </c>
      <c r="J126" t="s">
        <v>211</v>
      </c>
      <c r="K126" s="7">
        <f ca="1">(TODAY()-allstaff[[#This Row],[Date Joined]])/365</f>
        <v>3.3150684931506849</v>
      </c>
      <c r="L126" s="7">
        <f ca="1">IF(allstaff[[#This Row],[Tenure]]&gt;2,3%,2%)*allstaff[[#This Row],[Salary]]</f>
        <v>2781</v>
      </c>
    </row>
    <row r="127" spans="1:12" ht="14.4" x14ac:dyDescent="0.3">
      <c r="A127" t="s">
        <v>149</v>
      </c>
      <c r="B127" t="s">
        <v>12</v>
      </c>
      <c r="C127">
        <v>33</v>
      </c>
      <c r="D127" s="29" t="s">
        <v>9</v>
      </c>
      <c r="E127">
        <f>_xlfn.XLOOKUP(D127,Sheet1!$B$2:$B$6,Sheet1!$C$2:$C$6)</f>
        <v>3</v>
      </c>
      <c r="F127" s="5">
        <v>44190</v>
      </c>
      <c r="G127" s="30">
        <v>44190</v>
      </c>
      <c r="H127" t="s">
        <v>10</v>
      </c>
      <c r="I127">
        <v>96140</v>
      </c>
      <c r="J127" t="s">
        <v>209</v>
      </c>
      <c r="K127" s="7">
        <f ca="1">(TODAY()-allstaff[[#This Row],[Date Joined]])/365</f>
        <v>3.1890410958904107</v>
      </c>
      <c r="L127" s="7">
        <f ca="1">IF(allstaff[[#This Row],[Tenure]]&gt;2,3%,2%)*allstaff[[#This Row],[Salary]]</f>
        <v>2884.2</v>
      </c>
    </row>
    <row r="128" spans="1:12" ht="14.4" x14ac:dyDescent="0.3">
      <c r="A128" t="s">
        <v>110</v>
      </c>
      <c r="B128" t="s">
        <v>12</v>
      </c>
      <c r="C128">
        <v>33</v>
      </c>
      <c r="D128" s="29" t="s">
        <v>9</v>
      </c>
      <c r="E128">
        <f>_xlfn.XLOOKUP(D128,Sheet1!$B$2:$B$6,Sheet1!$C$2:$C$6)</f>
        <v>3</v>
      </c>
      <c r="F128" s="5">
        <v>44129</v>
      </c>
      <c r="G128" s="30">
        <v>44129</v>
      </c>
      <c r="H128" t="s">
        <v>10</v>
      </c>
      <c r="I128">
        <v>96140</v>
      </c>
      <c r="J128" t="s">
        <v>211</v>
      </c>
      <c r="K128" s="7">
        <f ca="1">(TODAY()-allstaff[[#This Row],[Date Joined]])/365</f>
        <v>3.3561643835616439</v>
      </c>
      <c r="L128" s="7">
        <f ca="1">IF(allstaff[[#This Row],[Tenure]]&gt;2,3%,2%)*allstaff[[#This Row],[Salary]]</f>
        <v>2884.2</v>
      </c>
    </row>
    <row r="129" spans="1:12" ht="14.4" x14ac:dyDescent="0.3">
      <c r="A129" t="s">
        <v>193</v>
      </c>
      <c r="B129" t="s">
        <v>8</v>
      </c>
      <c r="C129">
        <v>30</v>
      </c>
      <c r="D129" s="29" t="s">
        <v>9</v>
      </c>
      <c r="E129">
        <f>_xlfn.XLOOKUP(D129,Sheet1!$B$2:$B$6,Sheet1!$C$2:$C$6)</f>
        <v>3</v>
      </c>
      <c r="F129" s="5">
        <v>44606</v>
      </c>
      <c r="G129" s="30">
        <v>44606</v>
      </c>
      <c r="H129" t="s">
        <v>20</v>
      </c>
      <c r="I129">
        <v>96800</v>
      </c>
      <c r="J129" t="s">
        <v>209</v>
      </c>
      <c r="K129" s="7">
        <f ca="1">(TODAY()-allstaff[[#This Row],[Date Joined]])/365</f>
        <v>2.0493150684931507</v>
      </c>
      <c r="L129" s="7">
        <f ca="1">IF(allstaff[[#This Row],[Tenure]]&gt;2,3%,2%)*allstaff[[#This Row],[Salary]]</f>
        <v>2904</v>
      </c>
    </row>
    <row r="130" spans="1:12" ht="14.4" x14ac:dyDescent="0.3">
      <c r="A130" t="s">
        <v>28</v>
      </c>
      <c r="B130" t="s">
        <v>8</v>
      </c>
      <c r="C130">
        <v>30</v>
      </c>
      <c r="D130" s="29" t="s">
        <v>9</v>
      </c>
      <c r="E130">
        <f>_xlfn.XLOOKUP(D130,Sheet1!$B$2:$B$6,Sheet1!$C$2:$C$6)</f>
        <v>3</v>
      </c>
      <c r="F130" s="5">
        <v>44544</v>
      </c>
      <c r="G130" s="30">
        <v>44544</v>
      </c>
      <c r="H130" t="s">
        <v>20</v>
      </c>
      <c r="I130">
        <v>96800</v>
      </c>
      <c r="J130" t="s">
        <v>211</v>
      </c>
      <c r="K130" s="7">
        <f ca="1">(TODAY()-allstaff[[#This Row],[Date Joined]])/365</f>
        <v>2.2191780821917808</v>
      </c>
      <c r="L130" s="7">
        <f ca="1">IF(allstaff[[#This Row],[Tenure]]&gt;2,3%,2%)*allstaff[[#This Row],[Salary]]</f>
        <v>2904</v>
      </c>
    </row>
    <row r="131" spans="1:12" ht="14.4" x14ac:dyDescent="0.3">
      <c r="A131" t="s">
        <v>128</v>
      </c>
      <c r="B131" t="s">
        <v>8</v>
      </c>
      <c r="C131">
        <v>40</v>
      </c>
      <c r="D131" s="29" t="s">
        <v>9</v>
      </c>
      <c r="E131">
        <f>_xlfn.XLOOKUP(D131,Sheet1!$B$2:$B$6,Sheet1!$C$2:$C$6)</f>
        <v>3</v>
      </c>
      <c r="F131" s="5">
        <v>44263</v>
      </c>
      <c r="G131" s="30">
        <v>44263</v>
      </c>
      <c r="H131" t="s">
        <v>15</v>
      </c>
      <c r="I131">
        <v>99750</v>
      </c>
      <c r="J131" t="s">
        <v>209</v>
      </c>
      <c r="K131" s="7">
        <f ca="1">(TODAY()-allstaff[[#This Row],[Date Joined]])/365</f>
        <v>2.989041095890411</v>
      </c>
      <c r="L131" s="7">
        <f ca="1">IF(allstaff[[#This Row],[Tenure]]&gt;2,3%,2%)*allstaff[[#This Row],[Salary]]</f>
        <v>2992.5</v>
      </c>
    </row>
    <row r="132" spans="1:12" ht="14.4" x14ac:dyDescent="0.3">
      <c r="A132" t="s">
        <v>83</v>
      </c>
      <c r="B132" t="s">
        <v>8</v>
      </c>
      <c r="C132">
        <v>40</v>
      </c>
      <c r="D132" s="29" t="s">
        <v>9</v>
      </c>
      <c r="E132">
        <f>_xlfn.XLOOKUP(D132,Sheet1!$B$2:$B$6,Sheet1!$C$2:$C$6)</f>
        <v>3</v>
      </c>
      <c r="F132" s="5">
        <v>44204</v>
      </c>
      <c r="G132" s="30">
        <v>44204</v>
      </c>
      <c r="H132" t="s">
        <v>15</v>
      </c>
      <c r="I132">
        <v>99750</v>
      </c>
      <c r="J132" t="s">
        <v>211</v>
      </c>
      <c r="K132" s="7">
        <f ca="1">(TODAY()-allstaff[[#This Row],[Date Joined]])/365</f>
        <v>3.1506849315068495</v>
      </c>
      <c r="L132" s="7">
        <f ca="1">IF(allstaff[[#This Row],[Tenure]]&gt;2,3%,2%)*allstaff[[#This Row],[Salary]]</f>
        <v>2992.5</v>
      </c>
    </row>
    <row r="133" spans="1:12" ht="14.4" x14ac:dyDescent="0.3">
      <c r="A133" t="s">
        <v>148</v>
      </c>
      <c r="B133" t="s">
        <v>12</v>
      </c>
      <c r="C133">
        <v>28</v>
      </c>
      <c r="D133" s="29" t="s">
        <v>9</v>
      </c>
      <c r="E133">
        <f>_xlfn.XLOOKUP(D133,Sheet1!$B$2:$B$6,Sheet1!$C$2:$C$6)</f>
        <v>3</v>
      </c>
      <c r="F133" s="5">
        <v>44630</v>
      </c>
      <c r="G133" s="30">
        <v>44630</v>
      </c>
      <c r="H133" t="s">
        <v>15</v>
      </c>
      <c r="I133">
        <v>99970</v>
      </c>
      <c r="J133" t="s">
        <v>209</v>
      </c>
      <c r="K133" s="7">
        <f ca="1">(TODAY()-allstaff[[#This Row],[Date Joined]])/365</f>
        <v>1.9835616438356165</v>
      </c>
      <c r="L133" s="7">
        <f ca="1">IF(allstaff[[#This Row],[Tenure]]&gt;2,3%,2%)*allstaff[[#This Row],[Salary]]</f>
        <v>1999.4</v>
      </c>
    </row>
    <row r="134" spans="1:12" ht="14.4" x14ac:dyDescent="0.3">
      <c r="A134" t="s">
        <v>50</v>
      </c>
      <c r="B134" t="s">
        <v>12</v>
      </c>
      <c r="C134">
        <v>28</v>
      </c>
      <c r="D134" s="29" t="s">
        <v>9</v>
      </c>
      <c r="E134">
        <f>_xlfn.XLOOKUP(D134,Sheet1!$B$2:$B$6,Sheet1!$C$2:$C$6)</f>
        <v>3</v>
      </c>
      <c r="F134" s="5">
        <v>44571</v>
      </c>
      <c r="G134" s="30">
        <v>44571</v>
      </c>
      <c r="H134" t="s">
        <v>15</v>
      </c>
      <c r="I134">
        <v>99970</v>
      </c>
      <c r="J134" t="s">
        <v>211</v>
      </c>
      <c r="K134" s="7">
        <f ca="1">(TODAY()-allstaff[[#This Row],[Date Joined]])/365</f>
        <v>2.1452054794520548</v>
      </c>
      <c r="L134" s="7">
        <f ca="1">IF(allstaff[[#This Row],[Tenure]]&gt;2,3%,2%)*allstaff[[#This Row],[Salary]]</f>
        <v>2999.1</v>
      </c>
    </row>
    <row r="135" spans="1:12" ht="14.4" x14ac:dyDescent="0.3">
      <c r="A135" t="s">
        <v>185</v>
      </c>
      <c r="B135" t="s">
        <v>8</v>
      </c>
      <c r="C135">
        <v>24</v>
      </c>
      <c r="D135" s="29" t="s">
        <v>9</v>
      </c>
      <c r="E135">
        <f>_xlfn.XLOOKUP(D135,Sheet1!$B$2:$B$6,Sheet1!$C$2:$C$6)</f>
        <v>3</v>
      </c>
      <c r="F135" s="5">
        <v>44686</v>
      </c>
      <c r="G135" s="30">
        <v>44686</v>
      </c>
      <c r="H135" t="s">
        <v>10</v>
      </c>
      <c r="I135">
        <v>100420</v>
      </c>
      <c r="J135" t="s">
        <v>209</v>
      </c>
      <c r="K135" s="7">
        <f ca="1">(TODAY()-allstaff[[#This Row],[Date Joined]])/365</f>
        <v>1.8301369863013699</v>
      </c>
      <c r="L135" s="7">
        <f ca="1">IF(allstaff[[#This Row],[Tenure]]&gt;2,3%,2%)*allstaff[[#This Row],[Salary]]</f>
        <v>2008.4</v>
      </c>
    </row>
    <row r="136" spans="1:12" ht="14.4" x14ac:dyDescent="0.3">
      <c r="A136" t="s">
        <v>43</v>
      </c>
      <c r="B136" t="s">
        <v>8</v>
      </c>
      <c r="C136">
        <v>24</v>
      </c>
      <c r="D136" s="29" t="s">
        <v>9</v>
      </c>
      <c r="E136">
        <f>_xlfn.XLOOKUP(D136,Sheet1!$B$2:$B$6,Sheet1!$C$2:$C$6)</f>
        <v>3</v>
      </c>
      <c r="F136" s="5">
        <v>44625</v>
      </c>
      <c r="G136" s="30">
        <v>44625</v>
      </c>
      <c r="H136" t="s">
        <v>10</v>
      </c>
      <c r="I136">
        <v>100420</v>
      </c>
      <c r="J136" t="s">
        <v>211</v>
      </c>
      <c r="K136" s="7">
        <f ca="1">(TODAY()-allstaff[[#This Row],[Date Joined]])/365</f>
        <v>1.9972602739726026</v>
      </c>
      <c r="L136" s="7">
        <f ca="1">IF(allstaff[[#This Row],[Tenure]]&gt;2,3%,2%)*allstaff[[#This Row],[Salary]]</f>
        <v>2008.4</v>
      </c>
    </row>
    <row r="137" spans="1:12" ht="14.4" x14ac:dyDescent="0.3">
      <c r="A137" t="s">
        <v>150</v>
      </c>
      <c r="B137" t="s">
        <v>8</v>
      </c>
      <c r="C137">
        <v>31</v>
      </c>
      <c r="D137" s="29" t="s">
        <v>9</v>
      </c>
      <c r="E137">
        <f>_xlfn.XLOOKUP(D137,Sheet1!$B$2:$B$6,Sheet1!$C$2:$C$6)</f>
        <v>3</v>
      </c>
      <c r="F137" s="5">
        <v>44724</v>
      </c>
      <c r="G137" s="30">
        <v>44724</v>
      </c>
      <c r="H137" t="s">
        <v>15</v>
      </c>
      <c r="I137">
        <v>103550</v>
      </c>
      <c r="J137" t="s">
        <v>209</v>
      </c>
      <c r="K137" s="7">
        <f ca="1">(TODAY()-allstaff[[#This Row],[Date Joined]])/365</f>
        <v>1.726027397260274</v>
      </c>
      <c r="L137" s="7">
        <f ca="1">IF(allstaff[[#This Row],[Tenure]]&gt;2,3%,2%)*allstaff[[#This Row],[Salary]]</f>
        <v>2071</v>
      </c>
    </row>
    <row r="138" spans="1:12" ht="14.4" x14ac:dyDescent="0.3">
      <c r="A138" t="s">
        <v>14</v>
      </c>
      <c r="B138" t="s">
        <v>8</v>
      </c>
      <c r="C138">
        <v>31</v>
      </c>
      <c r="D138" s="29" t="s">
        <v>9</v>
      </c>
      <c r="E138">
        <f>_xlfn.XLOOKUP(D138,Sheet1!$B$2:$B$6,Sheet1!$C$2:$C$6)</f>
        <v>3</v>
      </c>
      <c r="F138" s="5">
        <v>44663</v>
      </c>
      <c r="G138" s="30">
        <v>44663</v>
      </c>
      <c r="H138" t="s">
        <v>15</v>
      </c>
      <c r="I138">
        <v>103550</v>
      </c>
      <c r="J138" t="s">
        <v>211</v>
      </c>
      <c r="K138" s="7">
        <f ca="1">(TODAY()-allstaff[[#This Row],[Date Joined]])/365</f>
        <v>1.893150684931507</v>
      </c>
      <c r="L138" s="7">
        <f ca="1">IF(allstaff[[#This Row],[Tenure]]&gt;2,3%,2%)*allstaff[[#This Row],[Salary]]</f>
        <v>2071</v>
      </c>
    </row>
    <row r="139" spans="1:12" ht="14.4" x14ac:dyDescent="0.3">
      <c r="A139" t="s">
        <v>183</v>
      </c>
      <c r="B139" t="s">
        <v>12</v>
      </c>
      <c r="C139">
        <v>28</v>
      </c>
      <c r="D139" s="29" t="s">
        <v>9</v>
      </c>
      <c r="E139">
        <f>_xlfn.XLOOKUP(D139,Sheet1!$B$2:$B$6,Sheet1!$C$2:$C$6)</f>
        <v>3</v>
      </c>
      <c r="F139" s="5">
        <v>44649</v>
      </c>
      <c r="G139" s="30">
        <v>44649</v>
      </c>
      <c r="H139" t="s">
        <v>15</v>
      </c>
      <c r="I139">
        <v>104120</v>
      </c>
      <c r="J139" t="s">
        <v>209</v>
      </c>
      <c r="K139" s="7">
        <f ca="1">(TODAY()-allstaff[[#This Row],[Date Joined]])/365</f>
        <v>1.9315068493150684</v>
      </c>
      <c r="L139" s="7">
        <f ca="1">IF(allstaff[[#This Row],[Tenure]]&gt;2,3%,2%)*allstaff[[#This Row],[Salary]]</f>
        <v>2082.4</v>
      </c>
    </row>
    <row r="140" spans="1:12" ht="14.4" x14ac:dyDescent="0.3">
      <c r="A140" t="s">
        <v>97</v>
      </c>
      <c r="B140" t="s">
        <v>12</v>
      </c>
      <c r="C140">
        <v>28</v>
      </c>
      <c r="D140" s="29" t="s">
        <v>9</v>
      </c>
      <c r="E140">
        <f>_xlfn.XLOOKUP(D140,Sheet1!$B$2:$B$6,Sheet1!$C$2:$C$6)</f>
        <v>3</v>
      </c>
      <c r="F140" s="5">
        <v>44590</v>
      </c>
      <c r="G140" s="30">
        <v>44590</v>
      </c>
      <c r="H140" t="s">
        <v>15</v>
      </c>
      <c r="I140">
        <v>104120</v>
      </c>
      <c r="J140" t="s">
        <v>211</v>
      </c>
      <c r="K140" s="7">
        <f ca="1">(TODAY()-allstaff[[#This Row],[Date Joined]])/365</f>
        <v>2.0931506849315067</v>
      </c>
      <c r="L140" s="7">
        <f ca="1">IF(allstaff[[#This Row],[Tenure]]&gt;2,3%,2%)*allstaff[[#This Row],[Salary]]</f>
        <v>3123.6</v>
      </c>
    </row>
    <row r="141" spans="1:12" ht="14.4" x14ac:dyDescent="0.3">
      <c r="A141" t="s">
        <v>192</v>
      </c>
      <c r="B141" t="s">
        <v>12</v>
      </c>
      <c r="C141">
        <v>40</v>
      </c>
      <c r="D141" s="29" t="s">
        <v>9</v>
      </c>
      <c r="E141">
        <f>_xlfn.XLOOKUP(D141,Sheet1!$B$2:$B$6,Sheet1!$C$2:$C$6)</f>
        <v>3</v>
      </c>
      <c r="F141" s="5">
        <v>44381</v>
      </c>
      <c r="G141" s="30">
        <v>44381</v>
      </c>
      <c r="H141" t="s">
        <v>10</v>
      </c>
      <c r="I141">
        <v>104410</v>
      </c>
      <c r="J141" t="s">
        <v>209</v>
      </c>
      <c r="K141" s="7">
        <f ca="1">(TODAY()-allstaff[[#This Row],[Date Joined]])/365</f>
        <v>2.6657534246575341</v>
      </c>
      <c r="L141" s="7">
        <f ca="1">IF(allstaff[[#This Row],[Tenure]]&gt;2,3%,2%)*allstaff[[#This Row],[Salary]]</f>
        <v>3132.2999999999997</v>
      </c>
    </row>
    <row r="142" spans="1:12" ht="14.4" x14ac:dyDescent="0.3">
      <c r="A142" t="s">
        <v>27</v>
      </c>
      <c r="B142" t="s">
        <v>12</v>
      </c>
      <c r="C142">
        <v>40</v>
      </c>
      <c r="D142" s="29" t="s">
        <v>9</v>
      </c>
      <c r="E142">
        <f>_xlfn.XLOOKUP(D142,Sheet1!$B$2:$B$6,Sheet1!$C$2:$C$6)</f>
        <v>3</v>
      </c>
      <c r="F142" s="5">
        <v>44320</v>
      </c>
      <c r="G142" s="30">
        <v>44320</v>
      </c>
      <c r="H142" t="s">
        <v>10</v>
      </c>
      <c r="I142">
        <v>104410</v>
      </c>
      <c r="J142" t="s">
        <v>211</v>
      </c>
      <c r="K142" s="7">
        <f ca="1">(TODAY()-allstaff[[#This Row],[Date Joined]])/365</f>
        <v>2.8328767123287673</v>
      </c>
      <c r="L142" s="7">
        <f ca="1">IF(allstaff[[#This Row],[Tenure]]&gt;2,3%,2%)*allstaff[[#This Row],[Salary]]</f>
        <v>3132.2999999999997</v>
      </c>
    </row>
    <row r="143" spans="1:12" ht="14.4" x14ac:dyDescent="0.3">
      <c r="A143" t="s">
        <v>175</v>
      </c>
      <c r="B143" t="s">
        <v>12</v>
      </c>
      <c r="C143">
        <v>28</v>
      </c>
      <c r="D143" s="29" t="s">
        <v>9</v>
      </c>
      <c r="E143">
        <f>_xlfn.XLOOKUP(D143,Sheet1!$B$2:$B$6,Sheet1!$C$2:$C$6)</f>
        <v>3</v>
      </c>
      <c r="F143" s="5">
        <v>44486</v>
      </c>
      <c r="G143" s="30">
        <v>44486</v>
      </c>
      <c r="H143" t="s">
        <v>15</v>
      </c>
      <c r="I143">
        <v>104770</v>
      </c>
      <c r="J143" t="s">
        <v>209</v>
      </c>
      <c r="K143" s="7">
        <f ca="1">(TODAY()-allstaff[[#This Row],[Date Joined]])/365</f>
        <v>2.3780821917808219</v>
      </c>
      <c r="L143" s="7">
        <f ca="1">IF(allstaff[[#This Row],[Tenure]]&gt;2,3%,2%)*allstaff[[#This Row],[Salary]]</f>
        <v>3143.1</v>
      </c>
    </row>
    <row r="144" spans="1:12" ht="14.4" x14ac:dyDescent="0.3">
      <c r="A144" t="s">
        <v>64</v>
      </c>
      <c r="B144" t="s">
        <v>12</v>
      </c>
      <c r="C144">
        <v>28</v>
      </c>
      <c r="D144" s="29" t="s">
        <v>9</v>
      </c>
      <c r="E144">
        <f>_xlfn.XLOOKUP(D144,Sheet1!$B$2:$B$6,Sheet1!$C$2:$C$6)</f>
        <v>3</v>
      </c>
      <c r="F144" s="5">
        <v>44425</v>
      </c>
      <c r="G144" s="30">
        <v>44425</v>
      </c>
      <c r="H144" t="s">
        <v>15</v>
      </c>
      <c r="I144">
        <v>104770</v>
      </c>
      <c r="J144" t="s">
        <v>211</v>
      </c>
      <c r="K144" s="7">
        <f ca="1">(TODAY()-allstaff[[#This Row],[Date Joined]])/365</f>
        <v>2.5452054794520547</v>
      </c>
      <c r="L144" s="7">
        <f ca="1">IF(allstaff[[#This Row],[Tenure]]&gt;2,3%,2%)*allstaff[[#This Row],[Salary]]</f>
        <v>3143.1</v>
      </c>
    </row>
    <row r="145" spans="1:12" ht="14.4" x14ac:dyDescent="0.3">
      <c r="A145" t="s">
        <v>188</v>
      </c>
      <c r="B145" t="s">
        <v>8</v>
      </c>
      <c r="C145">
        <v>23</v>
      </c>
      <c r="D145" s="29" t="s">
        <v>9</v>
      </c>
      <c r="E145">
        <f>_xlfn.XLOOKUP(D145,Sheet1!$B$2:$B$6,Sheet1!$C$2:$C$6)</f>
        <v>3</v>
      </c>
      <c r="F145" s="5">
        <v>44440</v>
      </c>
      <c r="G145" s="30">
        <v>44440</v>
      </c>
      <c r="H145" t="s">
        <v>15</v>
      </c>
      <c r="I145">
        <v>106460</v>
      </c>
      <c r="J145" t="s">
        <v>209</v>
      </c>
      <c r="K145" s="7">
        <f ca="1">(TODAY()-allstaff[[#This Row],[Date Joined]])/365</f>
        <v>2.504109589041096</v>
      </c>
      <c r="L145" s="7">
        <f ca="1">IF(allstaff[[#This Row],[Tenure]]&gt;2,3%,2%)*allstaff[[#This Row],[Salary]]</f>
        <v>3193.7999999999997</v>
      </c>
    </row>
    <row r="146" spans="1:12" ht="14.4" x14ac:dyDescent="0.3">
      <c r="A146" t="s">
        <v>93</v>
      </c>
      <c r="B146" t="s">
        <v>8</v>
      </c>
      <c r="C146">
        <v>23</v>
      </c>
      <c r="D146" s="29" t="s">
        <v>9</v>
      </c>
      <c r="E146">
        <f>_xlfn.XLOOKUP(D146,Sheet1!$B$2:$B$6,Sheet1!$C$2:$C$6)</f>
        <v>3</v>
      </c>
      <c r="F146" s="5">
        <v>44378</v>
      </c>
      <c r="G146" s="30">
        <v>44378</v>
      </c>
      <c r="H146" t="s">
        <v>15</v>
      </c>
      <c r="I146">
        <v>106460</v>
      </c>
      <c r="J146" t="s">
        <v>211</v>
      </c>
      <c r="K146" s="7">
        <f ca="1">(TODAY()-allstaff[[#This Row],[Date Joined]])/365</f>
        <v>2.6739726027397261</v>
      </c>
      <c r="L146" s="7">
        <f ca="1">IF(allstaff[[#This Row],[Tenure]]&gt;2,3%,2%)*allstaff[[#This Row],[Salary]]</f>
        <v>3193.7999999999997</v>
      </c>
    </row>
    <row r="147" spans="1:12" ht="14.4" x14ac:dyDescent="0.3">
      <c r="A147" t="s">
        <v>126</v>
      </c>
      <c r="B147" t="s">
        <v>8</v>
      </c>
      <c r="C147">
        <v>20</v>
      </c>
      <c r="D147" s="29" t="s">
        <v>9</v>
      </c>
      <c r="E147">
        <f>_xlfn.XLOOKUP(D147,Sheet1!$B$2:$B$6,Sheet1!$C$2:$C$6)</f>
        <v>3</v>
      </c>
      <c r="F147" s="5">
        <v>44459</v>
      </c>
      <c r="G147" s="30">
        <v>44459</v>
      </c>
      <c r="H147" t="s">
        <v>10</v>
      </c>
      <c r="I147">
        <v>107700</v>
      </c>
      <c r="J147" t="s">
        <v>209</v>
      </c>
      <c r="K147" s="7">
        <f ca="1">(TODAY()-allstaff[[#This Row],[Date Joined]])/365</f>
        <v>2.452054794520548</v>
      </c>
      <c r="L147" s="7">
        <f ca="1">IF(allstaff[[#This Row],[Tenure]]&gt;2,3%,2%)*allstaff[[#This Row],[Salary]]</f>
        <v>3231</v>
      </c>
    </row>
    <row r="148" spans="1:12" ht="14.4" x14ac:dyDescent="0.3">
      <c r="A148" t="s">
        <v>101</v>
      </c>
      <c r="B148" t="s">
        <v>8</v>
      </c>
      <c r="C148">
        <v>20</v>
      </c>
      <c r="D148" s="29" t="s">
        <v>9</v>
      </c>
      <c r="E148">
        <f>_xlfn.XLOOKUP(D148,Sheet1!$B$2:$B$6,Sheet1!$C$2:$C$6)</f>
        <v>3</v>
      </c>
      <c r="F148" s="5">
        <v>44397</v>
      </c>
      <c r="G148" s="30">
        <v>44397</v>
      </c>
      <c r="H148" t="s">
        <v>10</v>
      </c>
      <c r="I148">
        <v>107700</v>
      </c>
      <c r="J148" t="s">
        <v>211</v>
      </c>
      <c r="K148" s="7">
        <f ca="1">(TODAY()-allstaff[[#This Row],[Date Joined]])/365</f>
        <v>2.6219178082191781</v>
      </c>
      <c r="L148" s="7">
        <f ca="1">IF(allstaff[[#This Row],[Tenure]]&gt;2,3%,2%)*allstaff[[#This Row],[Salary]]</f>
        <v>3231</v>
      </c>
    </row>
    <row r="149" spans="1:12" ht="14.4" x14ac:dyDescent="0.3">
      <c r="A149" t="s">
        <v>168</v>
      </c>
      <c r="B149" t="s">
        <v>12</v>
      </c>
      <c r="C149">
        <v>38</v>
      </c>
      <c r="D149" s="29" t="s">
        <v>41</v>
      </c>
      <c r="E149">
        <f>_xlfn.XLOOKUP(D149,Sheet1!$B$2:$B$6,Sheet1!$C$2:$C$6)</f>
        <v>5</v>
      </c>
      <c r="F149" s="5">
        <v>44377</v>
      </c>
      <c r="G149" s="30">
        <v>44377</v>
      </c>
      <c r="H149" t="s">
        <v>22</v>
      </c>
      <c r="I149">
        <v>109160</v>
      </c>
      <c r="J149" t="s">
        <v>209</v>
      </c>
      <c r="K149" s="7">
        <f ca="1">(TODAY()-allstaff[[#This Row],[Date Joined]])/365</f>
        <v>2.6767123287671235</v>
      </c>
      <c r="L149" s="7">
        <f ca="1">IF(allstaff[[#This Row],[Tenure]]&gt;2,3%,2%)*allstaff[[#This Row],[Salary]]</f>
        <v>3274.7999999999997</v>
      </c>
    </row>
    <row r="150" spans="1:12" ht="14.4" x14ac:dyDescent="0.3">
      <c r="A150" t="s">
        <v>82</v>
      </c>
      <c r="B150" t="s">
        <v>12</v>
      </c>
      <c r="C150">
        <v>38</v>
      </c>
      <c r="D150" s="29" t="s">
        <v>41</v>
      </c>
      <c r="E150">
        <f>_xlfn.XLOOKUP(D150,Sheet1!$B$2:$B$6,Sheet1!$C$2:$C$6)</f>
        <v>5</v>
      </c>
      <c r="F150" s="5">
        <v>44316</v>
      </c>
      <c r="G150" s="30">
        <v>44316</v>
      </c>
      <c r="H150" t="s">
        <v>22</v>
      </c>
      <c r="I150">
        <v>109160</v>
      </c>
      <c r="J150" t="s">
        <v>211</v>
      </c>
      <c r="K150" s="7">
        <f ca="1">(TODAY()-allstaff[[#This Row],[Date Joined]])/365</f>
        <v>2.8438356164383563</v>
      </c>
      <c r="L150" s="7">
        <f ca="1">IF(allstaff[[#This Row],[Tenure]]&gt;2,3%,2%)*allstaff[[#This Row],[Salary]]</f>
        <v>3274.7999999999997</v>
      </c>
    </row>
    <row r="151" spans="1:12" ht="14.4" x14ac:dyDescent="0.3">
      <c r="A151" t="s">
        <v>146</v>
      </c>
      <c r="B151" t="s">
        <v>8</v>
      </c>
      <c r="C151">
        <v>25</v>
      </c>
      <c r="D151" s="29" t="s">
        <v>13</v>
      </c>
      <c r="E151">
        <f>_xlfn.XLOOKUP(D151,Sheet1!$B$2:$B$6,Sheet1!$C$2:$C$6)</f>
        <v>4</v>
      </c>
      <c r="F151" s="5">
        <v>44726</v>
      </c>
      <c r="G151" s="30">
        <v>44726</v>
      </c>
      <c r="H151" t="s">
        <v>15</v>
      </c>
      <c r="I151">
        <v>109190</v>
      </c>
      <c r="J151" t="s">
        <v>209</v>
      </c>
      <c r="K151" s="7">
        <f ca="1">(TODAY()-allstaff[[#This Row],[Date Joined]])/365</f>
        <v>1.7205479452054795</v>
      </c>
      <c r="L151" s="7">
        <f ca="1">IF(allstaff[[#This Row],[Tenure]]&gt;2,3%,2%)*allstaff[[#This Row],[Salary]]</f>
        <v>2183.8000000000002</v>
      </c>
    </row>
    <row r="152" spans="1:12" ht="14.4" x14ac:dyDescent="0.3">
      <c r="A152" t="s">
        <v>26</v>
      </c>
      <c r="B152" t="s">
        <v>8</v>
      </c>
      <c r="C152">
        <v>25</v>
      </c>
      <c r="D152" s="29" t="s">
        <v>13</v>
      </c>
      <c r="E152">
        <f>_xlfn.XLOOKUP(D152,Sheet1!$B$2:$B$6,Sheet1!$C$2:$C$6)</f>
        <v>4</v>
      </c>
      <c r="F152" s="5">
        <v>44665</v>
      </c>
      <c r="G152" s="30">
        <v>44665</v>
      </c>
      <c r="H152" t="s">
        <v>15</v>
      </c>
      <c r="I152">
        <v>109190</v>
      </c>
      <c r="J152" t="s">
        <v>211</v>
      </c>
      <c r="K152" s="7">
        <f ca="1">(TODAY()-allstaff[[#This Row],[Date Joined]])/365</f>
        <v>1.8876712328767122</v>
      </c>
      <c r="L152" s="7">
        <f ca="1">IF(allstaff[[#This Row],[Tenure]]&gt;2,3%,2%)*allstaff[[#This Row],[Salary]]</f>
        <v>2183.8000000000002</v>
      </c>
    </row>
    <row r="153" spans="1:12" ht="14.4" x14ac:dyDescent="0.3">
      <c r="A153" t="s">
        <v>123</v>
      </c>
      <c r="B153" t="s">
        <v>8</v>
      </c>
      <c r="C153">
        <v>29</v>
      </c>
      <c r="D153" s="29" t="s">
        <v>19</v>
      </c>
      <c r="E153">
        <f>_xlfn.XLOOKUP(D153,Sheet1!$B$2:$B$6,Sheet1!$C$2:$C$6)</f>
        <v>2</v>
      </c>
      <c r="F153" s="5">
        <v>44180</v>
      </c>
      <c r="G153" s="30">
        <v>44180</v>
      </c>
      <c r="H153" t="s">
        <v>10</v>
      </c>
      <c r="I153">
        <v>112110</v>
      </c>
      <c r="J153" t="s">
        <v>209</v>
      </c>
      <c r="K153" s="7">
        <f ca="1">(TODAY()-allstaff[[#This Row],[Date Joined]])/365</f>
        <v>3.2164383561643834</v>
      </c>
      <c r="L153" s="7">
        <f ca="1">IF(allstaff[[#This Row],[Tenure]]&gt;2,3%,2%)*allstaff[[#This Row],[Salary]]</f>
        <v>3363.2999999999997</v>
      </c>
    </row>
    <row r="154" spans="1:12" ht="14.4" x14ac:dyDescent="0.3">
      <c r="A154" t="s">
        <v>53</v>
      </c>
      <c r="B154" t="s">
        <v>8</v>
      </c>
      <c r="C154">
        <v>29</v>
      </c>
      <c r="D154" s="29" t="s">
        <v>19</v>
      </c>
      <c r="E154">
        <f>_xlfn.XLOOKUP(D154,Sheet1!$B$2:$B$6,Sheet1!$C$2:$C$6)</f>
        <v>2</v>
      </c>
      <c r="F154" s="5">
        <v>44119</v>
      </c>
      <c r="G154" s="30">
        <v>44119</v>
      </c>
      <c r="H154" t="s">
        <v>10</v>
      </c>
      <c r="I154">
        <v>112110</v>
      </c>
      <c r="J154" t="s">
        <v>211</v>
      </c>
      <c r="K154" s="7">
        <f ca="1">(TODAY()-allstaff[[#This Row],[Date Joined]])/365</f>
        <v>3.3835616438356166</v>
      </c>
      <c r="L154" s="7">
        <f ca="1">IF(allstaff[[#This Row],[Tenure]]&gt;2,3%,2%)*allstaff[[#This Row],[Salary]]</f>
        <v>3363.2999999999997</v>
      </c>
    </row>
    <row r="155" spans="1:12" ht="14.4" x14ac:dyDescent="0.3">
      <c r="A155" t="s">
        <v>118</v>
      </c>
      <c r="B155" t="s">
        <v>12</v>
      </c>
      <c r="C155">
        <v>30</v>
      </c>
      <c r="D155" s="29" t="s">
        <v>9</v>
      </c>
      <c r="E155">
        <f>_xlfn.XLOOKUP(D155,Sheet1!$B$2:$B$6,Sheet1!$C$2:$C$6)</f>
        <v>3</v>
      </c>
      <c r="F155" s="5">
        <v>44861</v>
      </c>
      <c r="G155" s="30">
        <v>44861</v>
      </c>
      <c r="H155" t="s">
        <v>15</v>
      </c>
      <c r="I155">
        <v>112570</v>
      </c>
      <c r="J155" t="s">
        <v>209</v>
      </c>
      <c r="K155" s="7">
        <f ca="1">(TODAY()-allstaff[[#This Row],[Date Joined]])/365</f>
        <v>1.3506849315068492</v>
      </c>
      <c r="L155" s="7">
        <f ca="1">IF(allstaff[[#This Row],[Tenure]]&gt;2,3%,2%)*allstaff[[#This Row],[Salary]]</f>
        <v>2251.4</v>
      </c>
    </row>
    <row r="156" spans="1:12" ht="14.4" x14ac:dyDescent="0.3">
      <c r="A156" t="s">
        <v>47</v>
      </c>
      <c r="B156" t="s">
        <v>12</v>
      </c>
      <c r="C156">
        <v>30</v>
      </c>
      <c r="D156" s="29" t="s">
        <v>9</v>
      </c>
      <c r="E156">
        <f>_xlfn.XLOOKUP(D156,Sheet1!$B$2:$B$6,Sheet1!$C$2:$C$6)</f>
        <v>3</v>
      </c>
      <c r="F156" s="5">
        <v>44800</v>
      </c>
      <c r="G156" s="30">
        <v>44800</v>
      </c>
      <c r="H156" t="s">
        <v>15</v>
      </c>
      <c r="I156">
        <v>112570</v>
      </c>
      <c r="J156" t="s">
        <v>211</v>
      </c>
      <c r="K156" s="7">
        <f ca="1">(TODAY()-allstaff[[#This Row],[Date Joined]])/365</f>
        <v>1.5178082191780822</v>
      </c>
      <c r="L156" s="7">
        <f ca="1">IF(allstaff[[#This Row],[Tenure]]&gt;2,3%,2%)*allstaff[[#This Row],[Salary]]</f>
        <v>2251.4</v>
      </c>
    </row>
    <row r="157" spans="1:12" ht="14.4" x14ac:dyDescent="0.3">
      <c r="A157" t="s">
        <v>157</v>
      </c>
      <c r="B157" t="s">
        <v>8</v>
      </c>
      <c r="C157">
        <v>20</v>
      </c>
      <c r="D157" s="29" t="s">
        <v>9</v>
      </c>
      <c r="E157">
        <f>_xlfn.XLOOKUP(D157,Sheet1!$B$2:$B$6,Sheet1!$C$2:$C$6)</f>
        <v>3</v>
      </c>
      <c r="F157" s="5">
        <v>44183</v>
      </c>
      <c r="G157" s="30">
        <v>44183</v>
      </c>
      <c r="H157" t="s">
        <v>10</v>
      </c>
      <c r="I157">
        <v>112650</v>
      </c>
      <c r="J157" t="s">
        <v>209</v>
      </c>
      <c r="K157" s="7">
        <f ca="1">(TODAY()-allstaff[[#This Row],[Date Joined]])/365</f>
        <v>3.2082191780821918</v>
      </c>
      <c r="L157" s="7">
        <f ca="1">IF(allstaff[[#This Row],[Tenure]]&gt;2,3%,2%)*allstaff[[#This Row],[Salary]]</f>
        <v>3379.5</v>
      </c>
    </row>
    <row r="158" spans="1:12" ht="14.4" x14ac:dyDescent="0.3">
      <c r="A158" t="s">
        <v>7</v>
      </c>
      <c r="B158" t="s">
        <v>8</v>
      </c>
      <c r="C158">
        <v>20</v>
      </c>
      <c r="D158" s="29" t="s">
        <v>9</v>
      </c>
      <c r="E158">
        <f>_xlfn.XLOOKUP(D158,Sheet1!$B$2:$B$6,Sheet1!$C$2:$C$6)</f>
        <v>3</v>
      </c>
      <c r="F158" s="5">
        <v>44122</v>
      </c>
      <c r="G158" s="30">
        <v>44122</v>
      </c>
      <c r="H158" t="s">
        <v>10</v>
      </c>
      <c r="I158">
        <v>112650</v>
      </c>
      <c r="J158" t="s">
        <v>211</v>
      </c>
      <c r="K158" s="7">
        <f ca="1">(TODAY()-allstaff[[#This Row],[Date Joined]])/365</f>
        <v>3.3753424657534246</v>
      </c>
      <c r="L158" s="7">
        <f ca="1">IF(allstaff[[#This Row],[Tenure]]&gt;2,3%,2%)*allstaff[[#This Row],[Salary]]</f>
        <v>3379.5</v>
      </c>
    </row>
    <row r="159" spans="1:12" ht="14.4" x14ac:dyDescent="0.3">
      <c r="A159" t="s">
        <v>31</v>
      </c>
      <c r="B159" t="s">
        <v>8</v>
      </c>
      <c r="C159">
        <v>34</v>
      </c>
      <c r="D159" s="29" t="s">
        <v>9</v>
      </c>
      <c r="E159">
        <f>_xlfn.XLOOKUP(D159,Sheet1!$B$2:$B$6,Sheet1!$C$2:$C$6)</f>
        <v>3</v>
      </c>
      <c r="F159" s="5">
        <v>44642</v>
      </c>
      <c r="G159" s="30">
        <v>44642</v>
      </c>
      <c r="H159" t="s">
        <v>15</v>
      </c>
      <c r="I159">
        <v>112650</v>
      </c>
      <c r="J159" t="s">
        <v>211</v>
      </c>
      <c r="K159" s="7">
        <f ca="1">(TODAY()-allstaff[[#This Row],[Date Joined]])/365</f>
        <v>1.9506849315068493</v>
      </c>
      <c r="L159" s="7">
        <f ca="1">IF(allstaff[[#This Row],[Tenure]]&gt;2,3%,2%)*allstaff[[#This Row],[Salary]]</f>
        <v>2253</v>
      </c>
    </row>
    <row r="160" spans="1:12" ht="14.4" x14ac:dyDescent="0.3">
      <c r="A160" t="s">
        <v>55</v>
      </c>
      <c r="B160" t="s">
        <v>8</v>
      </c>
      <c r="C160">
        <v>22</v>
      </c>
      <c r="D160" s="29" t="s">
        <v>13</v>
      </c>
      <c r="E160">
        <f>_xlfn.XLOOKUP(D160,Sheet1!$B$2:$B$6,Sheet1!$C$2:$C$6)</f>
        <v>4</v>
      </c>
      <c r="F160" s="5">
        <v>44384</v>
      </c>
      <c r="G160" s="30">
        <v>44384</v>
      </c>
      <c r="H160" t="s">
        <v>22</v>
      </c>
      <c r="I160">
        <v>112780</v>
      </c>
      <c r="J160" t="s">
        <v>211</v>
      </c>
      <c r="K160" s="7">
        <f ca="1">(TODAY()-allstaff[[#This Row],[Date Joined]])/365</f>
        <v>2.6575342465753424</v>
      </c>
      <c r="L160" s="7">
        <f ca="1">IF(allstaff[[#This Row],[Tenure]]&gt;2,3%,2%)*allstaff[[#This Row],[Salary]]</f>
        <v>3383.4</v>
      </c>
    </row>
    <row r="161" spans="1:12" ht="14.4" x14ac:dyDescent="0.3">
      <c r="A161" t="s">
        <v>169</v>
      </c>
      <c r="B161" t="s">
        <v>8</v>
      </c>
      <c r="C161">
        <v>27</v>
      </c>
      <c r="D161" s="29" t="s">
        <v>81</v>
      </c>
      <c r="E161">
        <f>_xlfn.XLOOKUP(D161,Sheet1!$B$2:$B$6,Sheet1!$C$2:$C$6)</f>
        <v>1</v>
      </c>
      <c r="F161" s="5">
        <v>44609</v>
      </c>
      <c r="G161" s="30">
        <v>44609</v>
      </c>
      <c r="H161" t="s">
        <v>15</v>
      </c>
      <c r="I161">
        <v>113280</v>
      </c>
      <c r="J161" t="s">
        <v>209</v>
      </c>
      <c r="K161" s="7">
        <f ca="1">(TODAY()-allstaff[[#This Row],[Date Joined]])/365</f>
        <v>2.0410958904109591</v>
      </c>
      <c r="L161" s="7">
        <f ca="1">IF(allstaff[[#This Row],[Tenure]]&gt;2,3%,2%)*allstaff[[#This Row],[Salary]]</f>
        <v>3398.4</v>
      </c>
    </row>
    <row r="162" spans="1:12" ht="14.4" x14ac:dyDescent="0.3">
      <c r="A162" t="s">
        <v>86</v>
      </c>
      <c r="B162" t="s">
        <v>8</v>
      </c>
      <c r="C162">
        <v>27</v>
      </c>
      <c r="D162" s="29" t="s">
        <v>81</v>
      </c>
      <c r="E162">
        <f>_xlfn.XLOOKUP(D162,Sheet1!$B$2:$B$6,Sheet1!$C$2:$C$6)</f>
        <v>1</v>
      </c>
      <c r="F162" s="5">
        <v>44547</v>
      </c>
      <c r="G162" s="30">
        <v>44547</v>
      </c>
      <c r="H162" t="s">
        <v>15</v>
      </c>
      <c r="I162">
        <v>113280</v>
      </c>
      <c r="J162" t="s">
        <v>211</v>
      </c>
      <c r="K162" s="7">
        <f ca="1">(TODAY()-allstaff[[#This Row],[Date Joined]])/365</f>
        <v>2.2109589041095892</v>
      </c>
      <c r="L162" s="7">
        <f ca="1">IF(allstaff[[#This Row],[Tenure]]&gt;2,3%,2%)*allstaff[[#This Row],[Salary]]</f>
        <v>3398.4</v>
      </c>
    </row>
    <row r="163" spans="1:12" ht="14.4" x14ac:dyDescent="0.3">
      <c r="A163" t="s">
        <v>186</v>
      </c>
      <c r="B163" t="s">
        <v>12</v>
      </c>
      <c r="C163">
        <v>30</v>
      </c>
      <c r="D163" s="29" t="s">
        <v>9</v>
      </c>
      <c r="E163">
        <f>_xlfn.XLOOKUP(D163,Sheet1!$B$2:$B$6,Sheet1!$C$2:$C$6)</f>
        <v>3</v>
      </c>
      <c r="F163" s="5">
        <v>44850</v>
      </c>
      <c r="G163" s="30">
        <v>44850</v>
      </c>
      <c r="H163" t="s">
        <v>15</v>
      </c>
      <c r="I163">
        <v>114180</v>
      </c>
      <c r="J163" t="s">
        <v>209</v>
      </c>
      <c r="K163" s="7">
        <f ca="1">(TODAY()-allstaff[[#This Row],[Date Joined]])/365</f>
        <v>1.3808219178082193</v>
      </c>
      <c r="L163" s="7">
        <f ca="1">IF(allstaff[[#This Row],[Tenure]]&gt;2,3%,2%)*allstaff[[#This Row],[Salary]]</f>
        <v>2283.6</v>
      </c>
    </row>
    <row r="164" spans="1:12" ht="14.4" x14ac:dyDescent="0.3">
      <c r="A164" t="s">
        <v>96</v>
      </c>
      <c r="B164" t="s">
        <v>12</v>
      </c>
      <c r="C164">
        <v>30</v>
      </c>
      <c r="D164" s="29" t="s">
        <v>9</v>
      </c>
      <c r="E164">
        <f>_xlfn.XLOOKUP(D164,Sheet1!$B$2:$B$6,Sheet1!$C$2:$C$6)</f>
        <v>3</v>
      </c>
      <c r="F164" s="5">
        <v>44789</v>
      </c>
      <c r="G164" s="30">
        <v>44789</v>
      </c>
      <c r="H164" t="s">
        <v>15</v>
      </c>
      <c r="I164">
        <v>114180</v>
      </c>
      <c r="J164" t="s">
        <v>211</v>
      </c>
      <c r="K164" s="7">
        <f ca="1">(TODAY()-allstaff[[#This Row],[Date Joined]])/365</f>
        <v>1.547945205479452</v>
      </c>
      <c r="L164" s="7">
        <f ca="1">IF(allstaff[[#This Row],[Tenure]]&gt;2,3%,2%)*allstaff[[#This Row],[Salary]]</f>
        <v>2283.6</v>
      </c>
    </row>
    <row r="165" spans="1:12" ht="14.4" x14ac:dyDescent="0.3">
      <c r="A165" t="s">
        <v>173</v>
      </c>
      <c r="B165" t="s">
        <v>12</v>
      </c>
      <c r="C165">
        <v>43</v>
      </c>
      <c r="D165" s="29" t="s">
        <v>9</v>
      </c>
      <c r="E165">
        <f>_xlfn.XLOOKUP(D165,Sheet1!$B$2:$B$6,Sheet1!$C$2:$C$6)</f>
        <v>3</v>
      </c>
      <c r="F165" s="5">
        <v>45045</v>
      </c>
      <c r="G165" s="30">
        <v>45045</v>
      </c>
      <c r="H165" t="s">
        <v>10</v>
      </c>
      <c r="I165">
        <v>114870</v>
      </c>
      <c r="J165" t="s">
        <v>209</v>
      </c>
      <c r="K165" s="7">
        <f ca="1">(TODAY()-allstaff[[#This Row],[Date Joined]])/365</f>
        <v>0.84657534246575339</v>
      </c>
      <c r="L165" s="7">
        <f ca="1">IF(allstaff[[#This Row],[Tenure]]&gt;2,3%,2%)*allstaff[[#This Row],[Salary]]</f>
        <v>2297.4</v>
      </c>
    </row>
    <row r="166" spans="1:12" ht="14.4" x14ac:dyDescent="0.3">
      <c r="A166" t="s">
        <v>45</v>
      </c>
      <c r="B166" t="s">
        <v>12</v>
      </c>
      <c r="C166">
        <v>44</v>
      </c>
      <c r="D166" s="29" t="s">
        <v>9</v>
      </c>
      <c r="E166">
        <f>_xlfn.XLOOKUP(D166,Sheet1!$B$2:$B$6,Sheet1!$C$2:$C$6)</f>
        <v>3</v>
      </c>
      <c r="F166" s="5">
        <v>44985</v>
      </c>
      <c r="G166" s="30">
        <v>44985</v>
      </c>
      <c r="H166" t="s">
        <v>10</v>
      </c>
      <c r="I166">
        <v>114870</v>
      </c>
      <c r="J166" t="s">
        <v>211</v>
      </c>
      <c r="K166" s="7">
        <f ca="1">(TODAY()-allstaff[[#This Row],[Date Joined]])/365</f>
        <v>1.010958904109589</v>
      </c>
      <c r="L166" s="7">
        <f ca="1">IF(allstaff[[#This Row],[Tenure]]&gt;2,3%,2%)*allstaff[[#This Row],[Salary]]</f>
        <v>2297.4</v>
      </c>
    </row>
    <row r="167" spans="1:12" ht="14.4" x14ac:dyDescent="0.3">
      <c r="A167" t="s">
        <v>165</v>
      </c>
      <c r="B167" t="s">
        <v>12</v>
      </c>
      <c r="C167">
        <v>36</v>
      </c>
      <c r="D167" s="29" t="s">
        <v>9</v>
      </c>
      <c r="E167">
        <f>_xlfn.XLOOKUP(D167,Sheet1!$B$2:$B$6,Sheet1!$C$2:$C$6)</f>
        <v>3</v>
      </c>
      <c r="F167" s="5">
        <v>44085</v>
      </c>
      <c r="G167" s="30">
        <v>44085</v>
      </c>
      <c r="H167" t="s">
        <v>15</v>
      </c>
      <c r="I167">
        <v>114890</v>
      </c>
      <c r="J167" t="s">
        <v>209</v>
      </c>
      <c r="K167" s="7">
        <f ca="1">(TODAY()-allstaff[[#This Row],[Date Joined]])/365</f>
        <v>3.4767123287671233</v>
      </c>
      <c r="L167" s="7">
        <f ca="1">IF(allstaff[[#This Row],[Tenure]]&gt;2,3%,2%)*allstaff[[#This Row],[Salary]]</f>
        <v>3446.7</v>
      </c>
    </row>
    <row r="168" spans="1:12" ht="14.4" x14ac:dyDescent="0.3">
      <c r="A168" t="s">
        <v>56</v>
      </c>
      <c r="B168" t="s">
        <v>12</v>
      </c>
      <c r="C168">
        <v>36</v>
      </c>
      <c r="D168" s="29" t="s">
        <v>9</v>
      </c>
      <c r="E168">
        <f>_xlfn.XLOOKUP(D168,Sheet1!$B$2:$B$6,Sheet1!$C$2:$C$6)</f>
        <v>3</v>
      </c>
      <c r="F168" s="5">
        <v>44023</v>
      </c>
      <c r="G168" s="30">
        <v>44023</v>
      </c>
      <c r="H168" t="s">
        <v>15</v>
      </c>
      <c r="I168">
        <v>114890</v>
      </c>
      <c r="J168" t="s">
        <v>211</v>
      </c>
      <c r="K168" s="7">
        <f ca="1">(TODAY()-allstaff[[#This Row],[Date Joined]])/365</f>
        <v>3.6465753424657534</v>
      </c>
      <c r="L168" s="7">
        <f ca="1">IF(allstaff[[#This Row],[Tenure]]&gt;2,3%,2%)*allstaff[[#This Row],[Salary]]</f>
        <v>3446.7</v>
      </c>
    </row>
    <row r="169" spans="1:12" ht="14.4" x14ac:dyDescent="0.3">
      <c r="A169" t="s">
        <v>144</v>
      </c>
      <c r="B169" t="s">
        <v>8</v>
      </c>
      <c r="C169">
        <v>33</v>
      </c>
      <c r="D169" s="29" t="s">
        <v>9</v>
      </c>
      <c r="E169">
        <f>_xlfn.XLOOKUP(D169,Sheet1!$B$2:$B$6,Sheet1!$C$2:$C$6)</f>
        <v>3</v>
      </c>
      <c r="F169" s="5">
        <v>44164</v>
      </c>
      <c r="G169" s="30">
        <v>44164</v>
      </c>
      <c r="H169" t="s">
        <v>15</v>
      </c>
      <c r="I169">
        <v>115920</v>
      </c>
      <c r="J169" t="s">
        <v>209</v>
      </c>
      <c r="K169" s="7">
        <f ca="1">(TODAY()-allstaff[[#This Row],[Date Joined]])/365</f>
        <v>3.2602739726027399</v>
      </c>
      <c r="L169" s="7">
        <f ca="1">IF(allstaff[[#This Row],[Tenure]]&gt;2,3%,2%)*allstaff[[#This Row],[Salary]]</f>
        <v>3477.6</v>
      </c>
    </row>
    <row r="170" spans="1:12" ht="14.4" x14ac:dyDescent="0.3">
      <c r="A170" t="s">
        <v>71</v>
      </c>
      <c r="B170" t="s">
        <v>8</v>
      </c>
      <c r="C170">
        <v>33</v>
      </c>
      <c r="D170" s="29" t="s">
        <v>9</v>
      </c>
      <c r="E170">
        <f>_xlfn.XLOOKUP(D170,Sheet1!$B$2:$B$6,Sheet1!$C$2:$C$6)</f>
        <v>3</v>
      </c>
      <c r="F170" s="5">
        <v>44103</v>
      </c>
      <c r="G170" s="30">
        <v>44103</v>
      </c>
      <c r="H170" t="s">
        <v>15</v>
      </c>
      <c r="I170">
        <v>115920</v>
      </c>
      <c r="J170" t="s">
        <v>211</v>
      </c>
      <c r="K170" s="7">
        <f ca="1">(TODAY()-allstaff[[#This Row],[Date Joined]])/365</f>
        <v>3.4273972602739726</v>
      </c>
      <c r="L170" s="7">
        <f ca="1">IF(allstaff[[#This Row],[Tenure]]&gt;2,3%,2%)*allstaff[[#This Row],[Salary]]</f>
        <v>3477.6</v>
      </c>
    </row>
    <row r="171" spans="1:12" ht="14.4" x14ac:dyDescent="0.3">
      <c r="A171" t="s">
        <v>171</v>
      </c>
      <c r="B171" t="s">
        <v>12</v>
      </c>
      <c r="C171">
        <v>37</v>
      </c>
      <c r="D171" s="29" t="s">
        <v>9</v>
      </c>
      <c r="E171">
        <f>_xlfn.XLOOKUP(D171,Sheet1!$B$2:$B$6,Sheet1!$C$2:$C$6)</f>
        <v>3</v>
      </c>
      <c r="F171" s="5">
        <v>44451</v>
      </c>
      <c r="G171" s="30">
        <v>44451</v>
      </c>
      <c r="H171" t="s">
        <v>17</v>
      </c>
      <c r="I171">
        <v>118100</v>
      </c>
      <c r="J171" t="s">
        <v>209</v>
      </c>
      <c r="K171" s="7">
        <f ca="1">(TODAY()-allstaff[[#This Row],[Date Joined]])/365</f>
        <v>2.473972602739726</v>
      </c>
      <c r="L171" s="7">
        <f ca="1">IF(allstaff[[#This Row],[Tenure]]&gt;2,3%,2%)*allstaff[[#This Row],[Salary]]</f>
        <v>3543</v>
      </c>
    </row>
    <row r="172" spans="1:12" ht="14.4" x14ac:dyDescent="0.3">
      <c r="A172" t="s">
        <v>94</v>
      </c>
      <c r="B172" t="s">
        <v>12</v>
      </c>
      <c r="C172">
        <v>37</v>
      </c>
      <c r="D172" s="29" t="s">
        <v>9</v>
      </c>
      <c r="E172">
        <f>_xlfn.XLOOKUP(D172,Sheet1!$B$2:$B$6,Sheet1!$C$2:$C$6)</f>
        <v>3</v>
      </c>
      <c r="F172" s="5">
        <v>44389</v>
      </c>
      <c r="G172" s="30">
        <v>44389</v>
      </c>
      <c r="H172" t="s">
        <v>17</v>
      </c>
      <c r="I172">
        <v>118100</v>
      </c>
      <c r="J172" t="s">
        <v>211</v>
      </c>
      <c r="K172" s="7">
        <f ca="1">(TODAY()-allstaff[[#This Row],[Date Joined]])/365</f>
        <v>2.6438356164383561</v>
      </c>
      <c r="L172" s="7">
        <f ca="1">IF(allstaff[[#This Row],[Tenure]]&gt;2,3%,2%)*allstaff[[#This Row],[Salary]]</f>
        <v>3543</v>
      </c>
    </row>
    <row r="173" spans="1:12" ht="14.4" x14ac:dyDescent="0.3">
      <c r="A173" t="s">
        <v>162</v>
      </c>
      <c r="B173" t="s">
        <v>8</v>
      </c>
      <c r="C173">
        <v>36</v>
      </c>
      <c r="D173" s="29" t="s">
        <v>9</v>
      </c>
      <c r="E173">
        <f>_xlfn.XLOOKUP(D173,Sheet1!$B$2:$B$6,Sheet1!$C$2:$C$6)</f>
        <v>3</v>
      </c>
      <c r="F173" s="5">
        <v>44019</v>
      </c>
      <c r="G173" s="30">
        <v>44019</v>
      </c>
      <c r="H173" t="s">
        <v>10</v>
      </c>
      <c r="I173">
        <v>118840</v>
      </c>
      <c r="J173" t="s">
        <v>209</v>
      </c>
      <c r="K173" s="7">
        <f ca="1">(TODAY()-allstaff[[#This Row],[Date Joined]])/365</f>
        <v>3.6575342465753424</v>
      </c>
      <c r="L173" s="7">
        <f ca="1">IF(allstaff[[#This Row],[Tenure]]&gt;2,3%,2%)*allstaff[[#This Row],[Salary]]</f>
        <v>3565.2</v>
      </c>
    </row>
    <row r="174" spans="1:12" ht="14.4" x14ac:dyDescent="0.3">
      <c r="A174" t="s">
        <v>33</v>
      </c>
      <c r="B174" t="s">
        <v>8</v>
      </c>
      <c r="C174">
        <v>36</v>
      </c>
      <c r="D174" s="29" t="s">
        <v>9</v>
      </c>
      <c r="E174">
        <f>_xlfn.XLOOKUP(D174,Sheet1!$B$2:$B$6,Sheet1!$C$2:$C$6)</f>
        <v>3</v>
      </c>
      <c r="F174" s="5">
        <v>43958</v>
      </c>
      <c r="G174" s="30">
        <v>43958</v>
      </c>
      <c r="H174" t="s">
        <v>10</v>
      </c>
      <c r="I174">
        <v>118840</v>
      </c>
      <c r="J174" t="s">
        <v>211</v>
      </c>
      <c r="K174" s="7">
        <f ca="1">(TODAY()-allstaff[[#This Row],[Date Joined]])/365</f>
        <v>3.8246575342465752</v>
      </c>
      <c r="L174" s="7">
        <f ca="1">IF(allstaff[[#This Row],[Tenure]]&gt;2,3%,2%)*allstaff[[#This Row],[Salary]]</f>
        <v>3565.2</v>
      </c>
    </row>
    <row r="175" spans="1:12" ht="14.4" x14ac:dyDescent="0.3">
      <c r="A175" t="s">
        <v>122</v>
      </c>
      <c r="B175" t="s">
        <v>12</v>
      </c>
      <c r="C175">
        <v>27</v>
      </c>
      <c r="D175" s="29" t="s">
        <v>9</v>
      </c>
      <c r="E175">
        <f>_xlfn.XLOOKUP(D175,Sheet1!$B$2:$B$6,Sheet1!$C$2:$C$6)</f>
        <v>3</v>
      </c>
      <c r="F175" s="5">
        <v>44122</v>
      </c>
      <c r="G175" s="30">
        <v>44122</v>
      </c>
      <c r="H175" t="s">
        <v>17</v>
      </c>
      <c r="I175">
        <v>119110</v>
      </c>
      <c r="J175" t="s">
        <v>209</v>
      </c>
      <c r="K175" s="7">
        <f ca="1">(TODAY()-allstaff[[#This Row],[Date Joined]])/365</f>
        <v>3.3753424657534246</v>
      </c>
      <c r="L175" s="7">
        <f ca="1">IF(allstaff[[#This Row],[Tenure]]&gt;2,3%,2%)*allstaff[[#This Row],[Salary]]</f>
        <v>3573.2999999999997</v>
      </c>
    </row>
    <row r="176" spans="1:12" ht="14.4" x14ac:dyDescent="0.3">
      <c r="A176" t="s">
        <v>54</v>
      </c>
      <c r="B176" t="s">
        <v>12</v>
      </c>
      <c r="C176">
        <v>27</v>
      </c>
      <c r="D176" s="29" t="s">
        <v>9</v>
      </c>
      <c r="E176">
        <f>_xlfn.XLOOKUP(D176,Sheet1!$B$2:$B$6,Sheet1!$C$2:$C$6)</f>
        <v>3</v>
      </c>
      <c r="F176" s="5">
        <v>44061</v>
      </c>
      <c r="G176" s="30">
        <v>44061</v>
      </c>
      <c r="H176" t="s">
        <v>17</v>
      </c>
      <c r="I176">
        <v>119110</v>
      </c>
      <c r="J176" t="s">
        <v>211</v>
      </c>
      <c r="K176" s="7">
        <f ca="1">(TODAY()-allstaff[[#This Row],[Date Joined]])/365</f>
        <v>3.5424657534246577</v>
      </c>
      <c r="L176" s="7">
        <f ca="1">IF(allstaff[[#This Row],[Tenure]]&gt;2,3%,2%)*allstaff[[#This Row],[Salary]]</f>
        <v>3573.2999999999997</v>
      </c>
    </row>
    <row r="177" spans="11:12" ht="14.4" x14ac:dyDescent="0.3">
      <c r="K177" s="7"/>
      <c r="L177" s="7"/>
    </row>
    <row r="178" spans="11:12" ht="14.4" x14ac:dyDescent="0.3">
      <c r="K178" s="7"/>
      <c r="L178" s="7"/>
    </row>
    <row r="179" spans="11:12" ht="14.4" x14ac:dyDescent="0.3"/>
    <row r="180" spans="11:12" ht="14.4" x14ac:dyDescent="0.3"/>
    <row r="181" spans="11:12" ht="14.4" x14ac:dyDescent="0.3"/>
    <row r="182" spans="11:12" ht="14.4" x14ac:dyDescent="0.3"/>
    <row r="183" spans="11:12" ht="14.4" x14ac:dyDescent="0.3"/>
    <row r="184" spans="11:12" ht="14.4" x14ac:dyDescent="0.3"/>
    <row r="185" spans="11:12" ht="14.4" x14ac:dyDescent="0.3"/>
    <row r="186" spans="11:12" ht="14.4" x14ac:dyDescent="0.3"/>
    <row r="187" spans="11:12" ht="14.4" x14ac:dyDescent="0.3"/>
    <row r="188" spans="11:12" ht="14.4" x14ac:dyDescent="0.3"/>
    <row r="189" spans="11:12" ht="14.4" x14ac:dyDescent="0.3"/>
    <row r="190" spans="11:12" ht="14.4" x14ac:dyDescent="0.3"/>
    <row r="191" spans="11:12" ht="14.4" x14ac:dyDescent="0.3"/>
    <row r="192" spans="11:12" ht="14.4" x14ac:dyDescent="0.3"/>
    <row r="193" ht="14.4" x14ac:dyDescent="0.3"/>
    <row r="194" ht="14.4" x14ac:dyDescent="0.3"/>
  </sheetData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78"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7E19-FA43-4CA0-A6B4-3210777708C8}">
  <dimension ref="A2:G12"/>
  <sheetViews>
    <sheetView workbookViewId="0">
      <selection activeCell="A2" sqref="A2:D12"/>
    </sheetView>
  </sheetViews>
  <sheetFormatPr defaultRowHeight="14.4" x14ac:dyDescent="0.3"/>
  <cols>
    <col min="2" max="7" width="10.44140625" customWidth="1"/>
  </cols>
  <sheetData>
    <row r="2" spans="1:7" ht="15.6" x14ac:dyDescent="0.3">
      <c r="A2" s="10">
        <v>1</v>
      </c>
      <c r="B2" t="s">
        <v>205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</row>
    <row r="3" spans="1:7" x14ac:dyDescent="0.3">
      <c r="B3" t="s">
        <v>220</v>
      </c>
      <c r="D3">
        <f>COUNTA(allstaff[Name])</f>
        <v>175</v>
      </c>
      <c r="E3" t="str">
        <f ca="1">_xlfn.FORMULATEXT(D3)</f>
        <v>=COUNTA(allstaff[Name])</v>
      </c>
    </row>
    <row r="4" spans="1:7" x14ac:dyDescent="0.3">
      <c r="B4" t="s">
        <v>221</v>
      </c>
      <c r="D4">
        <f>AVERAGE(allstaff[Salary])</f>
        <v>76185.354285714289</v>
      </c>
      <c r="E4" t="str">
        <f ca="1">_xlfn.FORMULATEXT(D4)</f>
        <v>=AVERAGE(allstaff[Salary])</v>
      </c>
      <c r="G4">
        <f>MEDIAN(all_staff!I:I)</f>
        <v>74550</v>
      </c>
    </row>
    <row r="5" spans="1:7" x14ac:dyDescent="0.3">
      <c r="B5" t="s">
        <v>222</v>
      </c>
      <c r="D5">
        <f>AVERAGE(all_staff!C:C)</f>
        <v>30.382857142857144</v>
      </c>
      <c r="E5" t="str">
        <f ca="1">_xlfn.FORMULATEXT(D5)</f>
        <v>=AVERAGE(all_staff!C:C)</v>
      </c>
      <c r="G5">
        <f>MEDIAN(all_staff!C:C)</f>
        <v>30</v>
      </c>
    </row>
    <row r="6" spans="1:7" x14ac:dyDescent="0.3">
      <c r="B6" t="s">
        <v>223</v>
      </c>
      <c r="D6">
        <f ca="1">AVERAGE(all_staff!K:K)</f>
        <v>2.5211428571428582</v>
      </c>
      <c r="E6" t="str">
        <f ca="1">_xlfn.FORMULATEXT(D6)</f>
        <v>=AVERAGE(all_staff!K:K)</v>
      </c>
    </row>
    <row r="7" spans="1:7" x14ac:dyDescent="0.3">
      <c r="B7" t="s">
        <v>224</v>
      </c>
      <c r="D7">
        <f>COUNTIFS(allstaff[Gender], "Female")</f>
        <v>86</v>
      </c>
      <c r="E7" t="str">
        <f t="shared" ref="E7:E12" ca="1" si="0">_xlfn.FORMULATEXT(D7)</f>
        <v>=COUNTIFS(allstaff[Gender], "Female")</v>
      </c>
    </row>
    <row r="8" spans="1:7" x14ac:dyDescent="0.3">
      <c r="B8" t="s">
        <v>225</v>
      </c>
      <c r="D8" s="8">
        <f>D7/D3</f>
        <v>0.49142857142857144</v>
      </c>
      <c r="E8" t="str">
        <f t="shared" ca="1" si="0"/>
        <v>=D7/D3</v>
      </c>
    </row>
    <row r="9" spans="1:7" x14ac:dyDescent="0.3">
      <c r="B9" t="s">
        <v>226</v>
      </c>
    </row>
    <row r="10" spans="1:7" x14ac:dyDescent="0.3">
      <c r="B10" t="s">
        <v>227</v>
      </c>
      <c r="C10">
        <v>90000</v>
      </c>
      <c r="D10">
        <f>COUNTIFS(all_staff!I:I, "&gt;90000")</f>
        <v>56</v>
      </c>
      <c r="E10" t="str">
        <f t="shared" ca="1" si="0"/>
        <v>=COUNTIFS(all_staff!I:I, "&gt;90000")</v>
      </c>
    </row>
    <row r="11" spans="1:7" x14ac:dyDescent="0.3">
      <c r="B11" t="s">
        <v>228</v>
      </c>
      <c r="C11">
        <v>90000</v>
      </c>
      <c r="D11">
        <f>COUNTIFS(all_staff!I:I, "&lt;=90000")</f>
        <v>119</v>
      </c>
      <c r="E11" t="str">
        <f t="shared" ca="1" si="0"/>
        <v>=COUNTIFS(all_staff!I:I, "&lt;=90000")</v>
      </c>
    </row>
    <row r="12" spans="1:7" x14ac:dyDescent="0.3">
      <c r="B12" t="s">
        <v>229</v>
      </c>
      <c r="D12" s="9">
        <f>D10/D3</f>
        <v>0.32</v>
      </c>
      <c r="E12" t="str">
        <f t="shared" ca="1" si="0"/>
        <v>=D10/D3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EAD9-CFAF-44BE-889E-70C260B87954}">
  <dimension ref="A1:AR190"/>
  <sheetViews>
    <sheetView tabSelected="1" zoomScale="71" workbookViewId="0">
      <selection activeCell="G16" sqref="G16"/>
    </sheetView>
  </sheetViews>
  <sheetFormatPr defaultRowHeight="15" customHeight="1" x14ac:dyDescent="0.3"/>
  <cols>
    <col min="2" max="2" width="21.5546875" bestFit="1" customWidth="1"/>
    <col min="3" max="3" width="11.44140625" bestFit="1" customWidth="1"/>
    <col min="4" max="4" width="9.33203125" bestFit="1" customWidth="1"/>
    <col min="6" max="6" width="15.6640625" customWidth="1"/>
    <col min="7" max="7" width="16.109375" customWidth="1"/>
    <col min="8" max="8" width="3.33203125" bestFit="1" customWidth="1"/>
    <col min="9" max="9" width="30" bestFit="1" customWidth="1"/>
    <col min="10" max="10" width="6.5546875" style="16" bestFit="1" customWidth="1"/>
    <col min="11" max="11" width="7.33203125" customWidth="1"/>
    <col min="12" max="12" width="25.109375" customWidth="1"/>
    <col min="13" max="13" width="27" customWidth="1"/>
    <col min="14" max="14" width="14.109375" bestFit="1" customWidth="1"/>
    <col min="15" max="15" width="7.33203125" customWidth="1"/>
    <col min="16" max="16" width="6.5546875" customWidth="1"/>
    <col min="17" max="17" width="7.33203125" customWidth="1"/>
    <col min="18" max="18" width="16.44140625" bestFit="1" customWidth="1"/>
    <col min="19" max="20" width="12.88671875" customWidth="1"/>
    <col min="21" max="21" width="11.109375" bestFit="1" customWidth="1"/>
    <col min="22" max="22" width="28.88671875" bestFit="1" customWidth="1"/>
    <col min="23" max="23" width="5.109375" customWidth="1"/>
    <col min="24" max="24" width="5.6640625" style="16" customWidth="1"/>
    <col min="25" max="25" width="5.6640625" customWidth="1"/>
    <col min="26" max="26" width="15.6640625" customWidth="1"/>
    <col min="27" max="28" width="28.88671875" bestFit="1" customWidth="1"/>
    <col min="29" max="29" width="13.33203125" bestFit="1" customWidth="1"/>
    <col min="30" max="30" width="13.88671875" bestFit="1" customWidth="1"/>
    <col min="31" max="31" width="15.6640625" bestFit="1" customWidth="1"/>
    <col min="32" max="32" width="27" customWidth="1"/>
    <col min="33" max="33" width="5.6640625" style="16" customWidth="1"/>
    <col min="34" max="34" width="5.6640625" customWidth="1"/>
    <col min="35" max="35" width="19.88671875" bestFit="1" customWidth="1"/>
    <col min="36" max="36" width="22.6640625" bestFit="1" customWidth="1"/>
    <col min="37" max="37" width="13.88671875" bestFit="1" customWidth="1"/>
    <col min="38" max="38" width="14.88671875" bestFit="1" customWidth="1"/>
    <col min="39" max="39" width="21.6640625" bestFit="1" customWidth="1"/>
    <col min="40" max="40" width="31.109375" customWidth="1"/>
    <col min="41" max="41" width="8.109375" customWidth="1"/>
    <col min="42" max="44" width="12.6640625" customWidth="1"/>
    <col min="45" max="47" width="21.6640625" bestFit="1" customWidth="1"/>
    <col min="48" max="48" width="10.6640625" bestFit="1" customWidth="1"/>
    <col min="49" max="60" width="3.33203125" bestFit="1" customWidth="1"/>
    <col min="61" max="61" width="11.6640625" bestFit="1" customWidth="1"/>
    <col min="62" max="189" width="28.88671875" bestFit="1" customWidth="1"/>
    <col min="190" max="190" width="10.6640625" bestFit="1" customWidth="1"/>
  </cols>
  <sheetData>
    <row r="1" spans="1:44" ht="14.4" x14ac:dyDescent="0.3">
      <c r="G1" s="12" t="str">
        <f>(TRANSPOSE(VLOOKUP(G3,all_staff!A:K,2,0)))</f>
        <v>Male</v>
      </c>
      <c r="H1" s="12">
        <f>VLOOKUP(G3,all_staff!A:K,3,0)</f>
        <v>24</v>
      </c>
      <c r="I1" s="12" t="str">
        <f>VLOOKUP(G3,all_staff!A:K,4,0)</f>
        <v>Poor</v>
      </c>
      <c r="J1" s="28">
        <f>VLOOKUP(G3,all_staff!A:K,5,0)</f>
        <v>2</v>
      </c>
      <c r="K1" s="12"/>
      <c r="L1" s="12">
        <f>VLOOKUP(G3,all_staff!A:K,6,0)</f>
        <v>44436</v>
      </c>
      <c r="N1" s="12" t="str">
        <f>VLOOKUP(G3,all_staff!A:K,8,0)</f>
        <v>Finance</v>
      </c>
      <c r="O1" s="12"/>
      <c r="P1" s="28" t="e">
        <f>VLOOKUP(M3,all_staff!I:Q,5,0)</f>
        <v>#N/A</v>
      </c>
    </row>
    <row r="2" spans="1:44" ht="18" x14ac:dyDescent="0.35">
      <c r="A2" s="10">
        <v>1</v>
      </c>
      <c r="F2" s="10">
        <v>2</v>
      </c>
      <c r="L2" s="10">
        <v>3</v>
      </c>
      <c r="M2" s="23" t="s">
        <v>230</v>
      </c>
      <c r="P2" s="16"/>
      <c r="R2" s="10">
        <v>4</v>
      </c>
      <c r="S2" s="23" t="s">
        <v>231</v>
      </c>
      <c r="Z2" s="10">
        <v>5</v>
      </c>
      <c r="AA2" s="23" t="s">
        <v>232</v>
      </c>
      <c r="AC2" s="23" t="s">
        <v>233</v>
      </c>
      <c r="AI2" s="10">
        <v>6</v>
      </c>
      <c r="AJ2" s="23" t="s">
        <v>232</v>
      </c>
    </row>
    <row r="3" spans="1:44" ht="14.4" x14ac:dyDescent="0.3">
      <c r="F3" s="11" t="s">
        <v>234</v>
      </c>
      <c r="G3" t="s">
        <v>152</v>
      </c>
      <c r="L3" s="11" t="s">
        <v>235</v>
      </c>
      <c r="M3" s="22" t="s">
        <v>10</v>
      </c>
      <c r="P3" s="16"/>
    </row>
    <row r="4" spans="1:44" ht="15" customHeight="1" x14ac:dyDescent="0.3">
      <c r="M4" t="s">
        <v>236</v>
      </c>
      <c r="P4" s="16"/>
    </row>
    <row r="5" spans="1:44" ht="15" customHeight="1" x14ac:dyDescent="0.3">
      <c r="P5" s="16"/>
      <c r="AC5" s="11" t="s">
        <v>3</v>
      </c>
      <c r="AD5" t="s">
        <v>237</v>
      </c>
      <c r="AE5" t="s">
        <v>238</v>
      </c>
      <c r="AI5" s="11" t="s">
        <v>239</v>
      </c>
      <c r="AJ5" s="11" t="s">
        <v>240</v>
      </c>
      <c r="AK5" t="s">
        <v>237</v>
      </c>
      <c r="AP5" t="s">
        <v>241</v>
      </c>
      <c r="AQ5" t="s">
        <v>242</v>
      </c>
      <c r="AR5" t="s">
        <v>243</v>
      </c>
    </row>
    <row r="6" spans="1:44" ht="14.4" x14ac:dyDescent="0.3">
      <c r="B6" t="s">
        <v>0</v>
      </c>
      <c r="C6" t="s">
        <v>205</v>
      </c>
      <c r="D6" t="s">
        <v>244</v>
      </c>
      <c r="F6" s="24" t="s">
        <v>1</v>
      </c>
      <c r="G6" s="25" t="str">
        <f t="array" ref="G6:G13">TRANSPOSE(G1:P1)</f>
        <v>Male</v>
      </c>
      <c r="L6" s="26" t="str">
        <f>allstaff[[#Headers],[Name]]</f>
        <v>Name</v>
      </c>
      <c r="M6" s="26" t="str">
        <f>allstaff[[#Headers],[Salary]]</f>
        <v>Salary</v>
      </c>
      <c r="N6" s="26" t="str">
        <f>allstaff[[#Headers],[Rating]]</f>
        <v>Rating</v>
      </c>
      <c r="P6" s="16"/>
      <c r="S6" s="11" t="s">
        <v>1</v>
      </c>
      <c r="AC6" t="s">
        <v>41</v>
      </c>
      <c r="AD6">
        <v>4</v>
      </c>
      <c r="AE6" s="7">
        <v>92080</v>
      </c>
      <c r="AI6" t="s">
        <v>245</v>
      </c>
      <c r="AJ6" t="s">
        <v>246</v>
      </c>
      <c r="AK6">
        <v>3</v>
      </c>
      <c r="AO6" cm="1">
        <f t="array" ref="AO6:AO41">_xlfn.SEQUENCE(36)</f>
        <v>1</v>
      </c>
      <c r="AP6" s="5" cm="1">
        <f t="array" ref="AP6:AP41">EDATE(DATE(2020,4,1),_xlfn.ANCHORARRAY(AO6)+0)</f>
        <v>43952</v>
      </c>
      <c r="AQ6">
        <f>COUNTIFS(all_staff!F:F,"&gt;="&amp;Build_Info_Finder!AP6,all_staff!F:F,"&lt;="&amp;EOMONTH(AP6,0))</f>
        <v>3</v>
      </c>
      <c r="AR6">
        <f>SUM($AQ$6:AQ6)</f>
        <v>3</v>
      </c>
    </row>
    <row r="7" spans="1:44" ht="14.4" x14ac:dyDescent="0.3">
      <c r="B7" t="s">
        <v>220</v>
      </c>
      <c r="D7">
        <f>COUNTA(allstaff[Name])</f>
        <v>175</v>
      </c>
      <c r="F7" s="13" t="s">
        <v>2</v>
      </c>
      <c r="G7" s="14">
        <v>24</v>
      </c>
      <c r="L7" s="27" t="e" cm="1">
        <f t="array" aca="1" ref="L7:N56" ca="1">_xlfn._xlws.SORT(_xlfn.CHOOSECOLS(_xlfn._xlws.FILTER(allstaff[],allstaff[Department]=M3),1,7,4),2,-1)</f>
        <v>#NAME?</v>
      </c>
      <c r="M7" s="27" t="e">
        <f ca="1"/>
        <v>#NAME?</v>
      </c>
      <c r="N7" s="27" t="e">
        <f ca="1"/>
        <v>#NAME?</v>
      </c>
      <c r="P7" s="16"/>
      <c r="Q7" s="17"/>
      <c r="R7" s="11" t="s">
        <v>247</v>
      </c>
      <c r="S7" t="s">
        <v>12</v>
      </c>
      <c r="T7" t="s">
        <v>8</v>
      </c>
      <c r="AC7" t="s">
        <v>13</v>
      </c>
      <c r="AD7">
        <v>18</v>
      </c>
      <c r="AE7" s="7">
        <v>70544.833333333328</v>
      </c>
      <c r="AJ7" t="s">
        <v>248</v>
      </c>
      <c r="AK7">
        <v>4</v>
      </c>
      <c r="AO7">
        <v>2</v>
      </c>
      <c r="AP7" s="5">
        <v>43983</v>
      </c>
      <c r="AQ7">
        <f>COUNTIFS(all_staff!F:F,"&gt;="&amp;Build_Info_Finder!AP7,all_staff!F:F,"&lt;="&amp;EOMONTH(AP7,0))</f>
        <v>1</v>
      </c>
      <c r="AR7">
        <f>SUM($AQ$6:AQ7)</f>
        <v>4</v>
      </c>
    </row>
    <row r="8" spans="1:44" ht="14.4" x14ac:dyDescent="0.3">
      <c r="B8" t="s">
        <v>221</v>
      </c>
      <c r="D8">
        <f>AVERAGE(allstaff[Salary])</f>
        <v>76185.354285714289</v>
      </c>
      <c r="F8" s="13" t="s">
        <v>3</v>
      </c>
      <c r="G8" s="14" t="str">
        <v>Poor</v>
      </c>
      <c r="L8" s="27" t="e">
        <f ca="1"/>
        <v>#NAME?</v>
      </c>
      <c r="M8" s="27" t="e">
        <f ca="1"/>
        <v>#NAME?</v>
      </c>
      <c r="N8" s="27" t="e">
        <f ca="1"/>
        <v>#NAME?</v>
      </c>
      <c r="P8" s="16"/>
      <c r="Q8" s="18"/>
      <c r="R8" t="s">
        <v>237</v>
      </c>
      <c r="S8">
        <v>86</v>
      </c>
      <c r="T8">
        <v>89</v>
      </c>
      <c r="AC8" t="s">
        <v>9</v>
      </c>
      <c r="AD8">
        <v>133</v>
      </c>
      <c r="AE8" s="7">
        <v>76773.007518796992</v>
      </c>
      <c r="AJ8" t="s">
        <v>249</v>
      </c>
      <c r="AK8">
        <v>9</v>
      </c>
      <c r="AO8">
        <v>3</v>
      </c>
      <c r="AP8" s="5">
        <v>44013</v>
      </c>
      <c r="AQ8">
        <f>COUNTIFS(all_staff!F:F,"&gt;="&amp;Build_Info_Finder!AP8,all_staff!F:F,"&lt;="&amp;EOMONTH(AP8,0))</f>
        <v>5</v>
      </c>
      <c r="AR8">
        <f>SUM($AQ$6:AQ8)</f>
        <v>9</v>
      </c>
    </row>
    <row r="9" spans="1:44" ht="14.4" x14ac:dyDescent="0.3">
      <c r="B9" t="s">
        <v>222</v>
      </c>
      <c r="D9">
        <f>AVERAGE(allstaff[Age])</f>
        <v>30.382857142857144</v>
      </c>
      <c r="F9" s="13" t="s">
        <v>250</v>
      </c>
      <c r="G9" s="15">
        <v>2</v>
      </c>
      <c r="L9" s="27" t="e">
        <f ca="1"/>
        <v>#NAME?</v>
      </c>
      <c r="M9" s="27" t="e">
        <f ca="1"/>
        <v>#NAME?</v>
      </c>
      <c r="N9" s="27" t="e">
        <f ca="1"/>
        <v>#NAME?</v>
      </c>
      <c r="P9" s="16"/>
      <c r="Q9" s="18"/>
      <c r="R9" t="s">
        <v>251</v>
      </c>
      <c r="S9" s="19">
        <v>31.406976744186046</v>
      </c>
      <c r="T9" s="19">
        <v>29.393258426966291</v>
      </c>
      <c r="AC9" t="s">
        <v>19</v>
      </c>
      <c r="AD9">
        <v>14</v>
      </c>
      <c r="AE9" s="7">
        <v>72782.857142857145</v>
      </c>
      <c r="AJ9" t="s">
        <v>252</v>
      </c>
      <c r="AK9">
        <v>12</v>
      </c>
      <c r="AO9">
        <v>4</v>
      </c>
      <c r="AP9" s="5">
        <v>44044</v>
      </c>
      <c r="AQ9">
        <f>COUNTIFS(all_staff!F:F,"&gt;="&amp;Build_Info_Finder!AP9,all_staff!F:F,"&lt;="&amp;EOMONTH(AP9,0))</f>
        <v>3</v>
      </c>
      <c r="AR9">
        <f>SUM($AQ$6:AQ9)</f>
        <v>12</v>
      </c>
    </row>
    <row r="10" spans="1:44" ht="14.4" x14ac:dyDescent="0.3">
      <c r="B10" t="s">
        <v>223</v>
      </c>
      <c r="D10">
        <f ca="1">AVERAGE(allstaff[Tenure])</f>
        <v>2.5211428571428582</v>
      </c>
      <c r="F10" s="13" t="s">
        <v>5</v>
      </c>
      <c r="G10" s="14">
        <v>0</v>
      </c>
      <c r="I10" t="s">
        <v>102</v>
      </c>
      <c r="L10" s="27" t="e">
        <f ca="1"/>
        <v>#NAME?</v>
      </c>
      <c r="M10" s="27" t="e">
        <f ca="1"/>
        <v>#NAME?</v>
      </c>
      <c r="N10" s="27" t="e">
        <f ca="1"/>
        <v>#NAME?</v>
      </c>
      <c r="P10" s="16"/>
      <c r="Q10" s="18"/>
      <c r="R10" t="s">
        <v>238</v>
      </c>
      <c r="S10" s="21">
        <v>78284.186046511633</v>
      </c>
      <c r="T10" s="21">
        <v>74157.269662921346</v>
      </c>
      <c r="AC10" t="s">
        <v>81</v>
      </c>
      <c r="AD10">
        <v>6</v>
      </c>
      <c r="AE10" s="7">
        <v>77423.333333333328</v>
      </c>
      <c r="AJ10" t="s">
        <v>253</v>
      </c>
      <c r="AK10">
        <v>17</v>
      </c>
      <c r="AO10">
        <v>5</v>
      </c>
      <c r="AP10" s="5">
        <v>44075</v>
      </c>
      <c r="AQ10">
        <f>COUNTIFS(all_staff!F:F,"&gt;="&amp;Build_Info_Finder!AP10,all_staff!F:F,"&lt;="&amp;EOMONTH(AP10,0))</f>
        <v>5</v>
      </c>
      <c r="AR10">
        <f>SUM($AQ$6:AQ10)</f>
        <v>17</v>
      </c>
    </row>
    <row r="11" spans="1:44" ht="14.4" x14ac:dyDescent="0.3">
      <c r="B11" t="s">
        <v>224</v>
      </c>
      <c r="D11">
        <f>COUNTIFS(allstaff[Gender], "Female")</f>
        <v>86</v>
      </c>
      <c r="F11" s="13" t="s">
        <v>6</v>
      </c>
      <c r="G11" s="14">
        <v>44436</v>
      </c>
      <c r="I11" t="s">
        <v>30</v>
      </c>
      <c r="L11" s="27" t="e">
        <f ca="1"/>
        <v>#NAME?</v>
      </c>
      <c r="M11" s="27" t="e">
        <f ca="1"/>
        <v>#NAME?</v>
      </c>
      <c r="N11" s="27" t="e">
        <f ca="1"/>
        <v>#NAME?</v>
      </c>
      <c r="P11" s="16"/>
      <c r="Q11" s="18"/>
      <c r="R11" t="s">
        <v>254</v>
      </c>
      <c r="S11" s="19">
        <v>2.4983752787511948</v>
      </c>
      <c r="T11" s="19">
        <v>2.4892719716792366</v>
      </c>
      <c r="AC11" t="s">
        <v>255</v>
      </c>
      <c r="AD11">
        <v>175</v>
      </c>
      <c r="AE11" s="7">
        <v>76185.354285714289</v>
      </c>
      <c r="AJ11" t="s">
        <v>256</v>
      </c>
      <c r="AK11">
        <v>23</v>
      </c>
      <c r="AO11">
        <v>6</v>
      </c>
      <c r="AP11" s="5">
        <v>44105</v>
      </c>
      <c r="AQ11">
        <f>COUNTIFS(all_staff!F:F,"&gt;="&amp;Build_Info_Finder!AP11,all_staff!F:F,"&lt;="&amp;EOMONTH(AP11,0))</f>
        <v>6</v>
      </c>
      <c r="AR11">
        <f>SUM($AQ$6:AQ11)</f>
        <v>23</v>
      </c>
    </row>
    <row r="12" spans="1:44" ht="14.4" x14ac:dyDescent="0.3">
      <c r="B12" t="s">
        <v>225</v>
      </c>
      <c r="D12" s="8">
        <f>D11/D7</f>
        <v>0.49142857142857144</v>
      </c>
      <c r="F12" s="13" t="s">
        <v>257</v>
      </c>
      <c r="G12" s="14">
        <v>0</v>
      </c>
      <c r="I12" t="s">
        <v>153</v>
      </c>
      <c r="L12" s="27" t="e">
        <f ca="1"/>
        <v>#NAME?</v>
      </c>
      <c r="M12" s="27" t="e">
        <f ca="1"/>
        <v>#NAME?</v>
      </c>
      <c r="N12" s="27" t="e">
        <f ca="1"/>
        <v>#NAME?</v>
      </c>
      <c r="P12" s="16"/>
      <c r="Q12" s="18"/>
      <c r="U12" s="18"/>
      <c r="AJ12" t="s">
        <v>258</v>
      </c>
      <c r="AK12">
        <v>28</v>
      </c>
      <c r="AO12">
        <v>7</v>
      </c>
      <c r="AP12" s="5">
        <v>44136</v>
      </c>
      <c r="AQ12">
        <f>COUNTIFS(all_staff!F:F,"&gt;="&amp;Build_Info_Finder!AP12,all_staff!F:F,"&lt;="&amp;EOMONTH(AP12,0))</f>
        <v>5</v>
      </c>
      <c r="AR12">
        <f>SUM($AQ$6:AQ12)</f>
        <v>28</v>
      </c>
    </row>
    <row r="13" spans="1:44" ht="14.4" x14ac:dyDescent="0.3">
      <c r="B13" s="20" t="s">
        <v>226</v>
      </c>
      <c r="F13" s="13" t="s">
        <v>207</v>
      </c>
      <c r="G13" s="14" t="str">
        <v>Finance</v>
      </c>
      <c r="I13" t="s">
        <v>176</v>
      </c>
      <c r="L13" s="27" t="e">
        <f ca="1"/>
        <v>#NAME?</v>
      </c>
      <c r="M13" s="27" t="e">
        <f ca="1"/>
        <v>#NAME?</v>
      </c>
      <c r="N13" s="27" t="e">
        <f ca="1"/>
        <v>#NAME?</v>
      </c>
      <c r="P13" s="16"/>
      <c r="Q13" s="18"/>
      <c r="U13" s="18"/>
      <c r="AJ13" t="s">
        <v>259</v>
      </c>
      <c r="AK13">
        <v>35</v>
      </c>
      <c r="AO13">
        <v>8</v>
      </c>
      <c r="AP13" s="5">
        <v>44166</v>
      </c>
      <c r="AQ13">
        <f>COUNTIFS(all_staff!F:F,"&gt;="&amp;Build_Info_Finder!AP13,all_staff!F:F,"&lt;="&amp;EOMONTH(AP13,0))</f>
        <v>7</v>
      </c>
      <c r="AR13">
        <f>SUM($AQ$6:AQ13)</f>
        <v>35</v>
      </c>
    </row>
    <row r="14" spans="1:44" ht="14.4" x14ac:dyDescent="0.3">
      <c r="B14" t="s">
        <v>227</v>
      </c>
      <c r="C14">
        <v>90000</v>
      </c>
      <c r="D14">
        <f>COUNTIFS(all_staff!I:I, "&gt;90000")</f>
        <v>56</v>
      </c>
      <c r="I14" t="s">
        <v>75</v>
      </c>
      <c r="L14" s="27" t="e">
        <f ca="1"/>
        <v>#NAME?</v>
      </c>
      <c r="M14" s="27" t="e">
        <f ca="1"/>
        <v>#NAME?</v>
      </c>
      <c r="N14" s="27" t="e">
        <f ca="1"/>
        <v>#NAME?</v>
      </c>
      <c r="P14" s="16"/>
      <c r="Q14" s="18"/>
      <c r="U14" s="18"/>
      <c r="AI14" t="s">
        <v>260</v>
      </c>
      <c r="AO14">
        <v>9</v>
      </c>
      <c r="AP14" s="5">
        <v>44197</v>
      </c>
      <c r="AQ14">
        <f>COUNTIFS(all_staff!F:F,"&gt;="&amp;Build_Info_Finder!AP14,all_staff!F:F,"&lt;="&amp;EOMONTH(AP14,0))</f>
        <v>5</v>
      </c>
      <c r="AR14">
        <f>SUM($AQ$6:AQ14)</f>
        <v>40</v>
      </c>
    </row>
    <row r="15" spans="1:44" ht="14.4" x14ac:dyDescent="0.3">
      <c r="B15" t="s">
        <v>228</v>
      </c>
      <c r="C15">
        <v>90000</v>
      </c>
      <c r="D15">
        <f>COUNTIFS(all_staff!I:I, "&lt;=90000")</f>
        <v>119</v>
      </c>
      <c r="I15" t="s">
        <v>114</v>
      </c>
      <c r="L15" s="27" t="e">
        <f ca="1"/>
        <v>#NAME?</v>
      </c>
      <c r="M15" s="27" t="e">
        <f ca="1"/>
        <v>#NAME?</v>
      </c>
      <c r="N15" s="27" t="e">
        <f ca="1"/>
        <v>#NAME?</v>
      </c>
      <c r="P15" s="16"/>
      <c r="Q15" s="18"/>
      <c r="U15" s="18"/>
      <c r="AI15" t="s">
        <v>261</v>
      </c>
      <c r="AK15" t="e">
        <v>#N/A</v>
      </c>
      <c r="AO15">
        <v>10</v>
      </c>
      <c r="AP15" s="5">
        <v>44228</v>
      </c>
      <c r="AQ15">
        <f>COUNTIFS(all_staff!F:F,"&gt;="&amp;Build_Info_Finder!AP15,all_staff!F:F,"&lt;="&amp;EOMONTH(AP15,0))</f>
        <v>4</v>
      </c>
      <c r="AR15">
        <f>SUM($AQ$6:AQ15)</f>
        <v>44</v>
      </c>
    </row>
    <row r="16" spans="1:44" ht="14.4" x14ac:dyDescent="0.3">
      <c r="B16" t="s">
        <v>229</v>
      </c>
      <c r="D16" s="9">
        <f>D14/D7</f>
        <v>0.32</v>
      </c>
      <c r="I16" t="s">
        <v>43</v>
      </c>
      <c r="L16" s="27" t="e">
        <f ca="1"/>
        <v>#NAME?</v>
      </c>
      <c r="M16" s="27" t="e">
        <f ca="1"/>
        <v>#NAME?</v>
      </c>
      <c r="N16" s="27" t="e">
        <f ca="1"/>
        <v>#NAME?</v>
      </c>
      <c r="P16" s="16"/>
      <c r="Q16" s="18"/>
      <c r="U16" s="18"/>
      <c r="AI16" t="s">
        <v>262</v>
      </c>
      <c r="AJ16" t="s">
        <v>263</v>
      </c>
      <c r="AK16">
        <v>3</v>
      </c>
      <c r="AO16">
        <v>11</v>
      </c>
      <c r="AP16" s="5">
        <v>44256</v>
      </c>
      <c r="AQ16">
        <f>COUNTIFS(all_staff!F:F,"&gt;="&amp;Build_Info_Finder!AP16,all_staff!F:F,"&lt;="&amp;EOMONTH(AP16,0))</f>
        <v>8</v>
      </c>
      <c r="AR16">
        <f>SUM($AQ$6:AQ16)</f>
        <v>52</v>
      </c>
    </row>
    <row r="17" spans="9:44" ht="14.4" x14ac:dyDescent="0.3">
      <c r="I17" t="s">
        <v>170</v>
      </c>
      <c r="L17" s="27" t="e">
        <f ca="1"/>
        <v>#NAME?</v>
      </c>
      <c r="M17" s="27" t="e">
        <f ca="1"/>
        <v>#NAME?</v>
      </c>
      <c r="N17" s="27" t="e">
        <f ca="1"/>
        <v>#NAME?</v>
      </c>
      <c r="P17" s="16"/>
      <c r="Q17" s="18"/>
      <c r="U17" s="18"/>
      <c r="AJ17" t="s">
        <v>264</v>
      </c>
      <c r="AK17">
        <v>12</v>
      </c>
      <c r="AO17">
        <v>12</v>
      </c>
      <c r="AP17" s="5">
        <v>44287</v>
      </c>
      <c r="AQ17">
        <f>COUNTIFS(all_staff!F:F,"&gt;="&amp;Build_Info_Finder!AP17,all_staff!F:F,"&lt;="&amp;EOMONTH(AP17,0))</f>
        <v>5</v>
      </c>
      <c r="AR17">
        <f>SUM($AQ$6:AQ17)</f>
        <v>57</v>
      </c>
    </row>
    <row r="18" spans="9:44" ht="14.4" x14ac:dyDescent="0.3">
      <c r="I18" t="s">
        <v>54</v>
      </c>
      <c r="L18" s="27" t="e">
        <f ca="1"/>
        <v>#NAME?</v>
      </c>
      <c r="M18" s="27" t="e">
        <f ca="1"/>
        <v>#NAME?</v>
      </c>
      <c r="N18" s="27" t="e">
        <f ca="1"/>
        <v>#NAME?</v>
      </c>
      <c r="P18" s="16"/>
      <c r="Q18" s="18"/>
      <c r="U18" s="18"/>
      <c r="AJ18" t="s">
        <v>265</v>
      </c>
      <c r="AK18">
        <v>21</v>
      </c>
      <c r="AO18">
        <v>13</v>
      </c>
      <c r="AP18" s="5">
        <v>44317</v>
      </c>
      <c r="AQ18">
        <f>COUNTIFS(all_staff!F:F,"&gt;="&amp;Build_Info_Finder!AP18,all_staff!F:F,"&lt;="&amp;EOMONTH(AP18,0))</f>
        <v>10</v>
      </c>
      <c r="AR18">
        <f>SUM($AQ$6:AQ18)</f>
        <v>67</v>
      </c>
    </row>
    <row r="19" spans="9:44" ht="14.4" x14ac:dyDescent="0.3">
      <c r="I19" t="s">
        <v>59</v>
      </c>
      <c r="L19" s="27" t="e">
        <f ca="1"/>
        <v>#NAME?</v>
      </c>
      <c r="M19" s="27" t="e">
        <f ca="1"/>
        <v>#NAME?</v>
      </c>
      <c r="N19" s="27" t="e">
        <f ca="1"/>
        <v>#NAME?</v>
      </c>
      <c r="P19" s="16"/>
      <c r="Q19" s="18"/>
      <c r="U19" s="18"/>
      <c r="AJ19" t="s">
        <v>266</v>
      </c>
      <c r="AK19">
        <v>30</v>
      </c>
      <c r="AO19">
        <v>14</v>
      </c>
      <c r="AP19" s="5">
        <v>44348</v>
      </c>
      <c r="AQ19">
        <f>COUNTIFS(all_staff!F:F,"&gt;="&amp;Build_Info_Finder!AP19,all_staff!F:F,"&lt;="&amp;EOMONTH(AP19,0))</f>
        <v>6</v>
      </c>
      <c r="AR19">
        <f>SUM($AQ$6:AQ19)</f>
        <v>73</v>
      </c>
    </row>
    <row r="20" spans="9:44" ht="14.4" x14ac:dyDescent="0.3">
      <c r="I20" t="s">
        <v>189</v>
      </c>
      <c r="L20" s="27" t="e">
        <f ca="1"/>
        <v>#NAME?</v>
      </c>
      <c r="M20" s="27" t="e">
        <f ca="1"/>
        <v>#NAME?</v>
      </c>
      <c r="N20" s="27" t="e">
        <f ca="1"/>
        <v>#NAME?</v>
      </c>
      <c r="P20" s="16"/>
      <c r="Q20" s="18"/>
      <c r="U20" s="18"/>
      <c r="AJ20" t="s">
        <v>246</v>
      </c>
      <c r="AK20">
        <v>39</v>
      </c>
      <c r="AO20">
        <v>15</v>
      </c>
      <c r="AP20" s="5">
        <v>44378</v>
      </c>
      <c r="AQ20">
        <f>COUNTIFS(all_staff!F:F,"&gt;="&amp;Build_Info_Finder!AP20,all_staff!F:F,"&lt;="&amp;EOMONTH(AP20,0))</f>
        <v>13</v>
      </c>
      <c r="AR20">
        <f>SUM($AQ$6:AQ20)</f>
        <v>86</v>
      </c>
    </row>
    <row r="21" spans="9:44" ht="14.4" x14ac:dyDescent="0.3">
      <c r="I21" t="s">
        <v>29</v>
      </c>
      <c r="L21" s="27" t="e">
        <f ca="1"/>
        <v>#NAME?</v>
      </c>
      <c r="M21" s="27" t="e">
        <f ca="1"/>
        <v>#NAME?</v>
      </c>
      <c r="N21" s="27" t="e">
        <f ca="1"/>
        <v>#NAME?</v>
      </c>
      <c r="P21" s="16"/>
      <c r="Q21" s="18"/>
      <c r="U21" s="18"/>
      <c r="AJ21" t="s">
        <v>248</v>
      </c>
      <c r="AK21">
        <v>45</v>
      </c>
      <c r="AO21">
        <v>16</v>
      </c>
      <c r="AP21" s="5">
        <v>44409</v>
      </c>
      <c r="AQ21">
        <f>COUNTIFS(all_staff!F:F,"&gt;="&amp;Build_Info_Finder!AP21,all_staff!F:F,"&lt;="&amp;EOMONTH(AP21,0))</f>
        <v>4</v>
      </c>
      <c r="AR21">
        <f>SUM($AQ$6:AQ21)</f>
        <v>90</v>
      </c>
    </row>
    <row r="22" spans="9:44" ht="14.4" x14ac:dyDescent="0.3">
      <c r="I22" t="s">
        <v>108</v>
      </c>
      <c r="L22" s="27" t="e">
        <f ca="1"/>
        <v>#NAME?</v>
      </c>
      <c r="M22" s="27" t="e">
        <f ca="1"/>
        <v>#NAME?</v>
      </c>
      <c r="N22" s="27" t="e">
        <f ca="1"/>
        <v>#NAME?</v>
      </c>
      <c r="P22" s="16"/>
      <c r="Q22" s="18"/>
      <c r="U22" s="18"/>
      <c r="AJ22" t="s">
        <v>249</v>
      </c>
      <c r="AK22">
        <v>50</v>
      </c>
      <c r="AO22">
        <v>17</v>
      </c>
      <c r="AP22" s="5">
        <v>44440</v>
      </c>
      <c r="AQ22">
        <f>COUNTIFS(all_staff!F:F,"&gt;="&amp;Build_Info_Finder!AP22,all_staff!F:F,"&lt;="&amp;EOMONTH(AP22,0))</f>
        <v>11</v>
      </c>
      <c r="AR22">
        <f>SUM($AQ$6:AQ22)</f>
        <v>101</v>
      </c>
    </row>
    <row r="23" spans="9:44" ht="14.4" x14ac:dyDescent="0.3">
      <c r="I23" t="s">
        <v>103</v>
      </c>
      <c r="L23" s="27" t="e">
        <f ca="1"/>
        <v>#NAME?</v>
      </c>
      <c r="M23" s="27" t="e">
        <f ca="1"/>
        <v>#NAME?</v>
      </c>
      <c r="N23" s="27" t="e">
        <f ca="1"/>
        <v>#NAME?</v>
      </c>
      <c r="P23" s="16"/>
      <c r="Q23" s="18"/>
      <c r="U23" s="18"/>
      <c r="AJ23" t="s">
        <v>252</v>
      </c>
      <c r="AK23">
        <v>54</v>
      </c>
      <c r="AO23">
        <v>18</v>
      </c>
      <c r="AP23" s="5">
        <v>44470</v>
      </c>
      <c r="AQ23">
        <f>COUNTIFS(all_staff!F:F,"&gt;="&amp;Build_Info_Finder!AP23,all_staff!F:F,"&lt;="&amp;EOMONTH(AP23,0))</f>
        <v>3</v>
      </c>
      <c r="AR23">
        <f>SUM($AQ$6:AQ23)</f>
        <v>104</v>
      </c>
    </row>
    <row r="24" spans="9:44" ht="14.4" x14ac:dyDescent="0.3">
      <c r="I24" t="s">
        <v>31</v>
      </c>
      <c r="L24" s="27" t="e">
        <f ca="1"/>
        <v>#NAME?</v>
      </c>
      <c r="M24" s="27" t="e">
        <f ca="1"/>
        <v>#NAME?</v>
      </c>
      <c r="N24" s="27" t="e">
        <f ca="1"/>
        <v>#NAME?</v>
      </c>
      <c r="P24" s="16"/>
      <c r="Q24" s="18"/>
      <c r="U24" s="18"/>
      <c r="AJ24" t="s">
        <v>253</v>
      </c>
      <c r="AK24">
        <v>56</v>
      </c>
      <c r="AO24">
        <v>19</v>
      </c>
      <c r="AP24" s="5">
        <v>44501</v>
      </c>
      <c r="AQ24">
        <f>COUNTIFS(all_staff!F:F,"&gt;="&amp;Build_Info_Finder!AP24,all_staff!F:F,"&lt;="&amp;EOMONTH(AP24,0))</f>
        <v>4</v>
      </c>
      <c r="AR24">
        <f>SUM($AQ$6:AQ24)</f>
        <v>108</v>
      </c>
    </row>
    <row r="25" spans="9:44" ht="14.4" x14ac:dyDescent="0.3">
      <c r="I25" t="s">
        <v>138</v>
      </c>
      <c r="L25" s="27" t="e">
        <f ca="1"/>
        <v>#NAME?</v>
      </c>
      <c r="M25" s="27" t="e">
        <f ca="1"/>
        <v>#NAME?</v>
      </c>
      <c r="N25" s="27" t="e">
        <f ca="1"/>
        <v>#NAME?</v>
      </c>
      <c r="P25" s="16"/>
      <c r="Q25" s="18"/>
      <c r="U25" s="18"/>
      <c r="AJ25" t="s">
        <v>256</v>
      </c>
      <c r="AK25">
        <v>59</v>
      </c>
      <c r="AO25">
        <v>20</v>
      </c>
      <c r="AP25" s="5">
        <v>44531</v>
      </c>
      <c r="AQ25">
        <f>COUNTIFS(all_staff!F:F,"&gt;="&amp;Build_Info_Finder!AP25,all_staff!F:F,"&lt;="&amp;EOMONTH(AP25,0))</f>
        <v>6</v>
      </c>
      <c r="AR25">
        <f>SUM($AQ$6:AQ25)</f>
        <v>114</v>
      </c>
    </row>
    <row r="26" spans="9:44" ht="14.4" x14ac:dyDescent="0.3">
      <c r="I26" t="s">
        <v>83</v>
      </c>
      <c r="L26" s="27" t="e">
        <f ca="1"/>
        <v>#NAME?</v>
      </c>
      <c r="M26" s="27" t="e">
        <f ca="1"/>
        <v>#NAME?</v>
      </c>
      <c r="N26" s="27" t="e">
        <f ca="1"/>
        <v>#NAME?</v>
      </c>
      <c r="P26" s="16"/>
      <c r="Q26" s="18"/>
      <c r="U26" s="18"/>
      <c r="AI26" t="s">
        <v>267</v>
      </c>
      <c r="AO26">
        <v>21</v>
      </c>
      <c r="AP26" s="5">
        <v>44562</v>
      </c>
      <c r="AQ26">
        <f>COUNTIFS(all_staff!F:F,"&gt;="&amp;Build_Info_Finder!AP26,all_staff!F:F,"&lt;="&amp;EOMONTH(AP26,0))</f>
        <v>3</v>
      </c>
      <c r="AR26">
        <f>SUM($AQ$6:AQ26)</f>
        <v>117</v>
      </c>
    </row>
    <row r="27" spans="9:44" ht="14.4" x14ac:dyDescent="0.3">
      <c r="I27" t="s">
        <v>167</v>
      </c>
      <c r="L27" s="27" t="e">
        <f ca="1"/>
        <v>#NAME?</v>
      </c>
      <c r="M27" s="27" t="e">
        <f ca="1"/>
        <v>#NAME?</v>
      </c>
      <c r="N27" s="27" t="e">
        <f ca="1"/>
        <v>#NAME?</v>
      </c>
      <c r="P27" s="16"/>
      <c r="Q27" s="18"/>
      <c r="U27" s="18"/>
      <c r="AI27" t="s">
        <v>268</v>
      </c>
      <c r="AK27" t="e">
        <v>#N/A</v>
      </c>
      <c r="AO27">
        <v>22</v>
      </c>
      <c r="AP27" s="5">
        <v>44593</v>
      </c>
      <c r="AQ27">
        <f>COUNTIFS(all_staff!F:F,"&gt;="&amp;Build_Info_Finder!AP27,all_staff!F:F,"&lt;="&amp;EOMONTH(AP27,0))</f>
        <v>9</v>
      </c>
      <c r="AR27">
        <f>SUM($AQ$6:AQ27)</f>
        <v>126</v>
      </c>
    </row>
    <row r="28" spans="9:44" ht="14.4" x14ac:dyDescent="0.3">
      <c r="I28" t="s">
        <v>116</v>
      </c>
      <c r="L28" s="27" t="e">
        <f ca="1"/>
        <v>#NAME?</v>
      </c>
      <c r="M28" s="27" t="e">
        <f ca="1"/>
        <v>#NAME?</v>
      </c>
      <c r="N28" s="27" t="e">
        <f ca="1"/>
        <v>#NAME?</v>
      </c>
      <c r="P28" s="16"/>
      <c r="Q28" s="18"/>
      <c r="U28" s="18"/>
      <c r="AI28" t="s">
        <v>255</v>
      </c>
      <c r="AO28">
        <v>23</v>
      </c>
      <c r="AP28" s="5">
        <v>44621</v>
      </c>
      <c r="AQ28">
        <f>COUNTIFS(all_staff!F:F,"&gt;="&amp;Build_Info_Finder!AP28,all_staff!F:F,"&lt;="&amp;EOMONTH(AP28,0))</f>
        <v>9</v>
      </c>
      <c r="AR28">
        <f>SUM($AQ$6:AQ28)</f>
        <v>135</v>
      </c>
    </row>
    <row r="29" spans="9:44" ht="14.4" x14ac:dyDescent="0.3">
      <c r="I29" t="s">
        <v>148</v>
      </c>
      <c r="L29" s="27" t="e">
        <f ca="1"/>
        <v>#NAME?</v>
      </c>
      <c r="M29" s="27" t="e">
        <f ca="1"/>
        <v>#NAME?</v>
      </c>
      <c r="N29" s="27" t="e">
        <f ca="1"/>
        <v>#NAME?</v>
      </c>
      <c r="P29" s="16"/>
      <c r="Q29" s="18"/>
      <c r="U29" s="18"/>
      <c r="AO29">
        <v>24</v>
      </c>
      <c r="AP29" s="5">
        <v>44652</v>
      </c>
      <c r="AQ29">
        <f>COUNTIFS(all_staff!F:F,"&gt;="&amp;Build_Info_Finder!AP29,all_staff!F:F,"&lt;="&amp;EOMONTH(AP29,0))</f>
        <v>9</v>
      </c>
      <c r="AR29">
        <f>SUM($AQ$6:AQ29)</f>
        <v>144</v>
      </c>
    </row>
    <row r="30" spans="9:44" ht="14.4" x14ac:dyDescent="0.3">
      <c r="I30" t="s">
        <v>123</v>
      </c>
      <c r="L30" s="27" t="e">
        <f ca="1"/>
        <v>#NAME?</v>
      </c>
      <c r="M30" s="27" t="e">
        <f ca="1"/>
        <v>#NAME?</v>
      </c>
      <c r="N30" s="27" t="e">
        <f ca="1"/>
        <v>#NAME?</v>
      </c>
      <c r="P30" s="16"/>
      <c r="Q30" s="18"/>
      <c r="U30" s="18"/>
      <c r="AO30">
        <v>25</v>
      </c>
      <c r="AP30" s="5">
        <v>44682</v>
      </c>
      <c r="AQ30">
        <f>COUNTIFS(all_staff!F:F,"&gt;="&amp;Build_Info_Finder!AP30,all_staff!F:F,"&lt;="&amp;EOMONTH(AP30,0))</f>
        <v>9</v>
      </c>
      <c r="AR30">
        <f>SUM($AQ$6:AQ30)</f>
        <v>153</v>
      </c>
    </row>
    <row r="31" spans="9:44" ht="14.4" x14ac:dyDescent="0.3">
      <c r="I31" t="s">
        <v>141</v>
      </c>
      <c r="L31" s="27" t="e">
        <f ca="1"/>
        <v>#NAME?</v>
      </c>
      <c r="M31" s="27" t="e">
        <f ca="1"/>
        <v>#NAME?</v>
      </c>
      <c r="N31" s="27" t="e">
        <f ca="1"/>
        <v>#NAME?</v>
      </c>
      <c r="P31" s="16"/>
      <c r="Q31" s="18"/>
      <c r="U31" s="18"/>
      <c r="AO31">
        <v>26</v>
      </c>
      <c r="AP31" s="5">
        <v>44713</v>
      </c>
      <c r="AQ31">
        <f>COUNTIFS(all_staff!F:F,"&gt;="&amp;Build_Info_Finder!AP31,all_staff!F:F,"&lt;="&amp;EOMONTH(AP31,0))</f>
        <v>6</v>
      </c>
      <c r="AR31">
        <f>SUM($AQ$6:AQ31)</f>
        <v>159</v>
      </c>
    </row>
    <row r="32" spans="9:44" ht="14.4" x14ac:dyDescent="0.3">
      <c r="I32" t="s">
        <v>51</v>
      </c>
      <c r="L32" s="27" t="e">
        <f ca="1"/>
        <v>#NAME?</v>
      </c>
      <c r="M32" s="27" t="e">
        <f ca="1"/>
        <v>#NAME?</v>
      </c>
      <c r="N32" s="27" t="e">
        <f ca="1"/>
        <v>#NAME?</v>
      </c>
      <c r="P32" s="16"/>
      <c r="Q32" s="18"/>
      <c r="U32" s="18"/>
      <c r="AO32">
        <v>27</v>
      </c>
      <c r="AP32" s="5">
        <v>44743</v>
      </c>
      <c r="AQ32">
        <f>COUNTIFS(all_staff!F:F,"&gt;="&amp;Build_Info_Finder!AP32,all_staff!F:F,"&lt;="&amp;EOMONTH(AP32,0))</f>
        <v>5</v>
      </c>
      <c r="AR32">
        <f>SUM($AQ$6:AQ32)</f>
        <v>164</v>
      </c>
    </row>
    <row r="33" spans="9:44" ht="14.4" x14ac:dyDescent="0.3">
      <c r="I33" t="s">
        <v>191</v>
      </c>
      <c r="L33" s="27" t="e">
        <f ca="1"/>
        <v>#NAME?</v>
      </c>
      <c r="M33" s="27" t="e">
        <f ca="1"/>
        <v>#NAME?</v>
      </c>
      <c r="N33" s="27" t="e">
        <f ca="1"/>
        <v>#NAME?</v>
      </c>
      <c r="P33" s="16"/>
      <c r="Q33" s="18"/>
      <c r="U33" s="18"/>
      <c r="AO33">
        <v>28</v>
      </c>
      <c r="AP33" s="5">
        <v>44774</v>
      </c>
      <c r="AQ33">
        <f>COUNTIFS(all_staff!F:F,"&gt;="&amp;Build_Info_Finder!AP33,all_staff!F:F,"&lt;="&amp;EOMONTH(AP33,0))</f>
        <v>4</v>
      </c>
      <c r="AR33">
        <f>SUM($AQ$6:AQ33)</f>
        <v>168</v>
      </c>
    </row>
    <row r="34" spans="9:44" ht="14.4" x14ac:dyDescent="0.3">
      <c r="I34" t="s">
        <v>135</v>
      </c>
      <c r="L34" s="27" t="e">
        <f ca="1"/>
        <v>#NAME?</v>
      </c>
      <c r="M34" s="27" t="e">
        <f ca="1"/>
        <v>#NAME?</v>
      </c>
      <c r="N34" s="27" t="e">
        <f ca="1"/>
        <v>#NAME?</v>
      </c>
      <c r="P34" s="16"/>
      <c r="Q34" s="18"/>
      <c r="R34" s="18"/>
      <c r="S34" s="18"/>
      <c r="T34" s="18"/>
      <c r="U34" s="18"/>
      <c r="AO34">
        <v>29</v>
      </c>
      <c r="AP34" s="5">
        <v>44805</v>
      </c>
      <c r="AQ34">
        <f>COUNTIFS(all_staff!F:F,"&gt;="&amp;Build_Info_Finder!AP34,all_staff!F:F,"&lt;="&amp;EOMONTH(AP34,0))</f>
        <v>2</v>
      </c>
      <c r="AR34">
        <f>SUM($AQ$6:AQ34)</f>
        <v>170</v>
      </c>
    </row>
    <row r="35" spans="9:44" ht="14.4" x14ac:dyDescent="0.3">
      <c r="I35" t="s">
        <v>143</v>
      </c>
      <c r="L35" s="27" t="e">
        <f ca="1"/>
        <v>#NAME?</v>
      </c>
      <c r="M35" s="27" t="e">
        <f ca="1"/>
        <v>#NAME?</v>
      </c>
      <c r="N35" s="27" t="e">
        <f ca="1"/>
        <v>#NAME?</v>
      </c>
      <c r="P35" s="16"/>
      <c r="Q35" s="18"/>
      <c r="R35" s="18"/>
      <c r="S35" s="18"/>
      <c r="T35" s="18"/>
      <c r="U35" s="18"/>
      <c r="AO35">
        <v>30</v>
      </c>
      <c r="AP35" s="5">
        <v>44835</v>
      </c>
      <c r="AQ35">
        <f>COUNTIFS(all_staff!F:F,"&gt;="&amp;Build_Info_Finder!AP35,all_staff!F:F,"&lt;="&amp;EOMONTH(AP35,0))</f>
        <v>3</v>
      </c>
      <c r="AR35">
        <f>SUM($AQ$6:AQ35)</f>
        <v>173</v>
      </c>
    </row>
    <row r="36" spans="9:44" ht="14.4" x14ac:dyDescent="0.3">
      <c r="I36" t="s">
        <v>192</v>
      </c>
      <c r="L36" s="27" t="e">
        <f ca="1"/>
        <v>#NAME?</v>
      </c>
      <c r="M36" s="27" t="e">
        <f ca="1"/>
        <v>#NAME?</v>
      </c>
      <c r="N36" s="27" t="e">
        <f ca="1"/>
        <v>#NAME?</v>
      </c>
      <c r="P36" s="16"/>
      <c r="AO36">
        <v>31</v>
      </c>
      <c r="AP36" s="5">
        <v>44866</v>
      </c>
      <c r="AQ36">
        <f>COUNTIFS(all_staff!F:F,"&gt;="&amp;Build_Info_Finder!AP36,all_staff!F:F,"&lt;="&amp;EOMONTH(AP36,0))</f>
        <v>0</v>
      </c>
      <c r="AR36">
        <f>SUM($AQ$6:AQ36)</f>
        <v>173</v>
      </c>
    </row>
    <row r="37" spans="9:44" ht="14.4" x14ac:dyDescent="0.3">
      <c r="I37" t="s">
        <v>67</v>
      </c>
      <c r="L37" s="27" t="e">
        <f ca="1"/>
        <v>#NAME?</v>
      </c>
      <c r="M37" s="27" t="e">
        <f ca="1"/>
        <v>#NAME?</v>
      </c>
      <c r="N37" s="27" t="e">
        <f ca="1"/>
        <v>#NAME?</v>
      </c>
      <c r="P37" s="16"/>
      <c r="AO37">
        <v>32</v>
      </c>
      <c r="AP37" s="5">
        <v>44896</v>
      </c>
      <c r="AQ37">
        <f>COUNTIFS(all_staff!F:F,"&gt;="&amp;Build_Info_Finder!AP37,all_staff!F:F,"&lt;="&amp;EOMONTH(AP37,0))</f>
        <v>0</v>
      </c>
      <c r="AR37">
        <f>SUM($AQ$6:AQ37)</f>
        <v>173</v>
      </c>
    </row>
    <row r="38" spans="9:44" ht="14.4" x14ac:dyDescent="0.3">
      <c r="I38" t="s">
        <v>183</v>
      </c>
      <c r="L38" s="27" t="e">
        <f ca="1"/>
        <v>#NAME?</v>
      </c>
      <c r="M38" s="27" t="e">
        <f ca="1"/>
        <v>#NAME?</v>
      </c>
      <c r="N38" s="27" t="e">
        <f ca="1"/>
        <v>#NAME?</v>
      </c>
      <c r="P38" s="16"/>
      <c r="AO38">
        <v>33</v>
      </c>
      <c r="AP38" s="5">
        <v>44927</v>
      </c>
      <c r="AQ38">
        <f>COUNTIFS(all_staff!F:F,"&gt;="&amp;Build_Info_Finder!AP38,all_staff!F:F,"&lt;="&amp;EOMONTH(AP38,0))</f>
        <v>0</v>
      </c>
      <c r="AR38">
        <f>SUM($AQ$6:AQ38)</f>
        <v>173</v>
      </c>
    </row>
    <row r="39" spans="9:44" ht="14.4" x14ac:dyDescent="0.3">
      <c r="I39" t="s">
        <v>184</v>
      </c>
      <c r="L39" s="27" t="e">
        <f ca="1"/>
        <v>#NAME?</v>
      </c>
      <c r="M39" s="27" t="e">
        <f ca="1"/>
        <v>#NAME?</v>
      </c>
      <c r="N39" s="27" t="e">
        <f ca="1"/>
        <v>#NAME?</v>
      </c>
      <c r="P39" s="16"/>
      <c r="AO39">
        <v>34</v>
      </c>
      <c r="AP39" s="5">
        <v>44958</v>
      </c>
      <c r="AQ39">
        <f>COUNTIFS(all_staff!F:F,"&gt;="&amp;Build_Info_Finder!AP39,all_staff!F:F,"&lt;="&amp;EOMONTH(AP39,0))</f>
        <v>1</v>
      </c>
      <c r="AR39">
        <f>SUM($AQ$6:AQ39)</f>
        <v>174</v>
      </c>
    </row>
    <row r="40" spans="9:44" ht="14.4" x14ac:dyDescent="0.3">
      <c r="I40" t="s">
        <v>88</v>
      </c>
      <c r="L40" s="27" t="e">
        <f ca="1"/>
        <v>#NAME?</v>
      </c>
      <c r="M40" s="27" t="e">
        <f ca="1"/>
        <v>#NAME?</v>
      </c>
      <c r="N40" s="27" t="e">
        <f ca="1"/>
        <v>#NAME?</v>
      </c>
      <c r="P40" s="16"/>
      <c r="AO40">
        <v>35</v>
      </c>
      <c r="AP40" s="5">
        <v>44986</v>
      </c>
      <c r="AQ40">
        <f>COUNTIFS(all_staff!F:F,"&gt;="&amp;Build_Info_Finder!AP40,all_staff!F:F,"&lt;="&amp;EOMONTH(AP40,0))</f>
        <v>0</v>
      </c>
      <c r="AR40">
        <f>SUM($AQ$6:AQ40)</f>
        <v>174</v>
      </c>
    </row>
    <row r="41" spans="9:44" ht="14.4" x14ac:dyDescent="0.3">
      <c r="I41" t="s">
        <v>185</v>
      </c>
      <c r="L41" s="27" t="e">
        <f ca="1"/>
        <v>#NAME?</v>
      </c>
      <c r="M41" s="27" t="e">
        <f ca="1"/>
        <v>#NAME?</v>
      </c>
      <c r="N41" s="27" t="e">
        <f ca="1"/>
        <v>#NAME?</v>
      </c>
      <c r="P41" s="16"/>
      <c r="AO41">
        <v>36</v>
      </c>
      <c r="AP41" s="5">
        <v>45017</v>
      </c>
      <c r="AQ41">
        <f>COUNTIFS(all_staff!F:F,"&gt;="&amp;Build_Info_Finder!AP41,all_staff!F:F,"&lt;="&amp;EOMONTH(AP41,0))</f>
        <v>1</v>
      </c>
      <c r="AR41">
        <f>SUM($AQ$6:AQ41)</f>
        <v>175</v>
      </c>
    </row>
    <row r="42" spans="9:44" ht="14.4" x14ac:dyDescent="0.3">
      <c r="I42" t="s">
        <v>193</v>
      </c>
      <c r="L42" s="27" t="e">
        <f ca="1"/>
        <v>#NAME?</v>
      </c>
      <c r="M42" s="27" t="e">
        <f ca="1"/>
        <v>#NAME?</v>
      </c>
      <c r="N42" s="27" t="e">
        <f ca="1"/>
        <v>#NAME?</v>
      </c>
      <c r="P42" s="16"/>
    </row>
    <row r="43" spans="9:44" ht="14.4" x14ac:dyDescent="0.3">
      <c r="I43" t="s">
        <v>198</v>
      </c>
      <c r="L43" s="27" t="e">
        <f ca="1"/>
        <v>#NAME?</v>
      </c>
      <c r="M43" s="27" t="e">
        <f ca="1"/>
        <v>#NAME?</v>
      </c>
      <c r="N43" s="27" t="e">
        <f ca="1"/>
        <v>#NAME?</v>
      </c>
      <c r="P43" s="16"/>
    </row>
    <row r="44" spans="9:44" ht="14.4" x14ac:dyDescent="0.3">
      <c r="I44" t="s">
        <v>137</v>
      </c>
      <c r="L44" s="27" t="e">
        <f ca="1"/>
        <v>#NAME?</v>
      </c>
      <c r="M44" s="27" t="e">
        <f ca="1"/>
        <v>#NAME?</v>
      </c>
      <c r="N44" s="27" t="e">
        <f ca="1"/>
        <v>#NAME?</v>
      </c>
      <c r="P44" s="16"/>
    </row>
    <row r="45" spans="9:44" ht="14.4" x14ac:dyDescent="0.3">
      <c r="I45" t="s">
        <v>26</v>
      </c>
      <c r="L45" s="27" t="e">
        <f ca="1"/>
        <v>#NAME?</v>
      </c>
      <c r="M45" s="27" t="e">
        <f ca="1"/>
        <v>#NAME?</v>
      </c>
      <c r="N45" s="27" t="e">
        <f ca="1"/>
        <v>#NAME?</v>
      </c>
      <c r="P45" s="16"/>
    </row>
    <row r="46" spans="9:44" ht="14.4" x14ac:dyDescent="0.3">
      <c r="I46" t="s">
        <v>32</v>
      </c>
      <c r="L46" s="27" t="e">
        <f ca="1"/>
        <v>#NAME?</v>
      </c>
      <c r="M46" s="27" t="e">
        <f ca="1"/>
        <v>#NAME?</v>
      </c>
      <c r="N46" s="27" t="e">
        <f ca="1"/>
        <v>#NAME?</v>
      </c>
      <c r="P46" s="16"/>
    </row>
    <row r="47" spans="9:44" ht="14.4" x14ac:dyDescent="0.3">
      <c r="I47" t="s">
        <v>7</v>
      </c>
      <c r="L47" s="27" t="e">
        <f ca="1"/>
        <v>#NAME?</v>
      </c>
      <c r="M47" s="27" t="e">
        <f ca="1"/>
        <v>#NAME?</v>
      </c>
      <c r="N47" s="27" t="e">
        <f ca="1"/>
        <v>#NAME?</v>
      </c>
      <c r="P47" s="16"/>
    </row>
    <row r="48" spans="9:44" ht="14.4" x14ac:dyDescent="0.3">
      <c r="I48" t="s">
        <v>74</v>
      </c>
      <c r="L48" s="27" t="e">
        <f ca="1"/>
        <v>#NAME?</v>
      </c>
      <c r="M48" s="27" t="e">
        <f ca="1"/>
        <v>#NAME?</v>
      </c>
      <c r="N48" s="27" t="e">
        <f ca="1"/>
        <v>#NAME?</v>
      </c>
      <c r="P48" s="16"/>
    </row>
    <row r="49" spans="9:16" ht="14.4" x14ac:dyDescent="0.3">
      <c r="I49" t="s">
        <v>181</v>
      </c>
      <c r="L49" s="27" t="e">
        <f ca="1"/>
        <v>#NAME?</v>
      </c>
      <c r="M49" s="27" t="e">
        <f ca="1"/>
        <v>#NAME?</v>
      </c>
      <c r="N49" s="27" t="e">
        <f ca="1"/>
        <v>#NAME?</v>
      </c>
      <c r="P49" s="16"/>
    </row>
    <row r="50" spans="9:16" ht="14.4" x14ac:dyDescent="0.3">
      <c r="I50" t="s">
        <v>177</v>
      </c>
      <c r="L50" s="27" t="e">
        <f ca="1"/>
        <v>#NAME?</v>
      </c>
      <c r="M50" s="27" t="e">
        <f ca="1"/>
        <v>#NAME?</v>
      </c>
      <c r="N50" s="27" t="e">
        <f ca="1"/>
        <v>#NAME?</v>
      </c>
      <c r="P50" s="16"/>
    </row>
    <row r="51" spans="9:16" ht="14.4" x14ac:dyDescent="0.3">
      <c r="I51" t="s">
        <v>78</v>
      </c>
      <c r="L51" s="27" t="e">
        <f ca="1"/>
        <v>#NAME?</v>
      </c>
      <c r="M51" s="27" t="e">
        <f ca="1"/>
        <v>#NAME?</v>
      </c>
      <c r="N51" s="27" t="e">
        <f ca="1"/>
        <v>#NAME?</v>
      </c>
      <c r="P51" s="16"/>
    </row>
    <row r="52" spans="9:16" ht="14.4" x14ac:dyDescent="0.3">
      <c r="I52" t="s">
        <v>56</v>
      </c>
      <c r="L52" s="27" t="e">
        <f ca="1"/>
        <v>#NAME?</v>
      </c>
      <c r="M52" s="27" t="e">
        <f ca="1"/>
        <v>#NAME?</v>
      </c>
      <c r="N52" s="27" t="e">
        <f ca="1"/>
        <v>#NAME?</v>
      </c>
      <c r="P52" s="16"/>
    </row>
    <row r="53" spans="9:16" ht="14.4" x14ac:dyDescent="0.3">
      <c r="I53" t="s">
        <v>131</v>
      </c>
      <c r="L53" s="27" t="e">
        <f ca="1"/>
        <v>#NAME?</v>
      </c>
      <c r="M53" s="27" t="e">
        <f ca="1"/>
        <v>#NAME?</v>
      </c>
      <c r="N53" s="27" t="e">
        <f ca="1"/>
        <v>#NAME?</v>
      </c>
      <c r="P53" s="16"/>
    </row>
    <row r="54" spans="9:16" ht="14.4" x14ac:dyDescent="0.3">
      <c r="I54" t="s">
        <v>195</v>
      </c>
      <c r="L54" s="27" t="e">
        <f ca="1"/>
        <v>#NAME?</v>
      </c>
      <c r="M54" s="27" t="e">
        <f ca="1"/>
        <v>#NAME?</v>
      </c>
      <c r="N54" s="27" t="e">
        <f ca="1"/>
        <v>#NAME?</v>
      </c>
      <c r="P54" s="16"/>
    </row>
    <row r="55" spans="9:16" ht="14.4" x14ac:dyDescent="0.3">
      <c r="I55" t="s">
        <v>150</v>
      </c>
      <c r="L55" s="27" t="e">
        <f ca="1"/>
        <v>#NAME?</v>
      </c>
      <c r="M55" s="27" t="e">
        <f ca="1"/>
        <v>#NAME?</v>
      </c>
      <c r="N55" s="27" t="e">
        <f ca="1"/>
        <v>#NAME?</v>
      </c>
      <c r="P55" s="16"/>
    </row>
    <row r="56" spans="9:16" ht="14.4" x14ac:dyDescent="0.3">
      <c r="I56" t="s">
        <v>201</v>
      </c>
      <c r="L56" s="27" t="e">
        <f ca="1"/>
        <v>#NAME?</v>
      </c>
      <c r="M56" s="27" t="e">
        <f ca="1"/>
        <v>#NAME?</v>
      </c>
      <c r="N56" s="27" t="e">
        <f ca="1"/>
        <v>#NAME?</v>
      </c>
      <c r="P56" s="16"/>
    </row>
    <row r="57" spans="9:16" ht="14.4" x14ac:dyDescent="0.3">
      <c r="I57" t="s">
        <v>199</v>
      </c>
      <c r="L57" s="27"/>
      <c r="M57" s="27"/>
      <c r="N57" s="27"/>
      <c r="P57" s="16"/>
    </row>
    <row r="58" spans="9:16" ht="14.4" x14ac:dyDescent="0.3">
      <c r="I58" t="s">
        <v>190</v>
      </c>
      <c r="L58" s="27"/>
      <c r="M58" s="27"/>
      <c r="N58" s="27"/>
      <c r="P58" s="16"/>
    </row>
    <row r="59" spans="9:16" ht="14.4" x14ac:dyDescent="0.3">
      <c r="I59" t="s">
        <v>119</v>
      </c>
      <c r="L59" s="27"/>
      <c r="M59" s="27"/>
      <c r="N59" s="27"/>
      <c r="P59" s="16"/>
    </row>
    <row r="60" spans="9:16" ht="14.4" x14ac:dyDescent="0.3">
      <c r="I60" t="s">
        <v>136</v>
      </c>
      <c r="L60" s="27"/>
      <c r="M60" s="27"/>
      <c r="N60" s="27"/>
      <c r="P60" s="16"/>
    </row>
    <row r="61" spans="9:16" ht="14.4" x14ac:dyDescent="0.3">
      <c r="I61" t="s">
        <v>122</v>
      </c>
      <c r="P61" s="16"/>
    </row>
    <row r="62" spans="9:16" ht="14.4" x14ac:dyDescent="0.3">
      <c r="I62" t="s">
        <v>164</v>
      </c>
      <c r="L62" s="18"/>
      <c r="M62" s="18"/>
      <c r="N62" s="18"/>
      <c r="P62" s="16"/>
    </row>
    <row r="63" spans="9:16" ht="14.4" x14ac:dyDescent="0.3">
      <c r="I63" t="s">
        <v>100</v>
      </c>
      <c r="L63" s="18"/>
      <c r="M63" s="18"/>
      <c r="N63" s="18"/>
      <c r="P63" s="16"/>
    </row>
    <row r="64" spans="9:16" ht="14.4" x14ac:dyDescent="0.3">
      <c r="I64" t="s">
        <v>38</v>
      </c>
      <c r="L64" s="18"/>
      <c r="M64" s="18"/>
      <c r="N64" s="18"/>
      <c r="P64" s="16"/>
    </row>
    <row r="65" spans="9:16" ht="14.4" x14ac:dyDescent="0.3">
      <c r="I65" t="s">
        <v>79</v>
      </c>
      <c r="L65" s="18"/>
      <c r="M65" s="18"/>
      <c r="N65" s="18"/>
      <c r="P65" s="16"/>
    </row>
    <row r="66" spans="9:16" ht="14.4" x14ac:dyDescent="0.3">
      <c r="I66" t="s">
        <v>200</v>
      </c>
      <c r="L66" s="18"/>
      <c r="M66" s="18"/>
      <c r="N66" s="18"/>
      <c r="P66" s="16"/>
    </row>
    <row r="67" spans="9:16" ht="14.4" x14ac:dyDescent="0.3">
      <c r="I67" t="s">
        <v>77</v>
      </c>
      <c r="L67" s="18"/>
      <c r="M67" s="18"/>
      <c r="N67" s="18"/>
      <c r="P67" s="16"/>
    </row>
    <row r="68" spans="9:16" ht="14.4" x14ac:dyDescent="0.3">
      <c r="I68" t="s">
        <v>145</v>
      </c>
      <c r="L68" s="18"/>
      <c r="M68" s="18"/>
      <c r="N68" s="18"/>
      <c r="P68" s="16"/>
    </row>
    <row r="69" spans="9:16" ht="14.4" x14ac:dyDescent="0.3">
      <c r="I69" t="s">
        <v>187</v>
      </c>
      <c r="L69" s="18"/>
      <c r="M69" s="18"/>
      <c r="N69" s="18"/>
      <c r="P69" s="16"/>
    </row>
    <row r="70" spans="9:16" ht="14.4" x14ac:dyDescent="0.3">
      <c r="I70" t="s">
        <v>52</v>
      </c>
      <c r="L70" s="18"/>
      <c r="M70" s="18"/>
      <c r="N70" s="18"/>
      <c r="P70" s="16"/>
    </row>
    <row r="71" spans="9:16" ht="14.4" x14ac:dyDescent="0.3">
      <c r="I71" t="s">
        <v>151</v>
      </c>
      <c r="L71" s="18"/>
      <c r="M71" s="18"/>
      <c r="N71" s="18"/>
      <c r="P71" s="16"/>
    </row>
    <row r="72" spans="9:16" ht="14.4" x14ac:dyDescent="0.3">
      <c r="I72" t="s">
        <v>118</v>
      </c>
      <c r="L72" s="18"/>
      <c r="M72" s="18"/>
      <c r="N72" s="18"/>
      <c r="P72" s="16"/>
    </row>
    <row r="73" spans="9:16" ht="14.4" x14ac:dyDescent="0.3">
      <c r="I73" t="s">
        <v>33</v>
      </c>
      <c r="L73" s="18"/>
      <c r="M73" s="18"/>
      <c r="N73" s="18"/>
      <c r="P73" s="16"/>
    </row>
    <row r="74" spans="9:16" ht="14.4" x14ac:dyDescent="0.3">
      <c r="I74" t="s">
        <v>62</v>
      </c>
      <c r="L74" s="18"/>
      <c r="M74" s="18"/>
      <c r="N74" s="18"/>
      <c r="P74" s="16"/>
    </row>
    <row r="75" spans="9:16" ht="14.4" x14ac:dyDescent="0.3">
      <c r="I75" t="s">
        <v>179</v>
      </c>
      <c r="L75" s="18"/>
      <c r="M75" s="18"/>
      <c r="N75" s="18"/>
      <c r="P75" s="16"/>
    </row>
    <row r="76" spans="9:16" ht="14.4" x14ac:dyDescent="0.3">
      <c r="I76" t="s">
        <v>186</v>
      </c>
      <c r="L76" s="18"/>
      <c r="M76" s="18"/>
      <c r="N76" s="18"/>
      <c r="P76" s="16"/>
    </row>
    <row r="77" spans="9:16" ht="14.4" x14ac:dyDescent="0.3">
      <c r="I77" t="s">
        <v>117</v>
      </c>
      <c r="L77" s="18"/>
      <c r="M77" s="18"/>
      <c r="N77" s="18"/>
      <c r="P77" s="16"/>
    </row>
    <row r="78" spans="9:16" ht="14.4" x14ac:dyDescent="0.3">
      <c r="I78" t="s">
        <v>101</v>
      </c>
      <c r="L78" s="18"/>
      <c r="M78" s="18"/>
      <c r="N78" s="18"/>
      <c r="P78" s="16"/>
    </row>
    <row r="79" spans="9:16" ht="14.4" x14ac:dyDescent="0.3">
      <c r="I79" t="s">
        <v>134</v>
      </c>
      <c r="L79" s="18"/>
      <c r="M79" s="18"/>
      <c r="N79" s="18"/>
      <c r="P79" s="16"/>
    </row>
    <row r="80" spans="9:16" ht="14.4" x14ac:dyDescent="0.3">
      <c r="I80" t="s">
        <v>159</v>
      </c>
      <c r="L80" s="18"/>
      <c r="M80" s="18"/>
      <c r="N80" s="18"/>
      <c r="P80" s="16"/>
    </row>
    <row r="81" spans="9:16" ht="14.4" x14ac:dyDescent="0.3">
      <c r="I81" t="s">
        <v>86</v>
      </c>
      <c r="L81" s="18"/>
      <c r="M81" s="18"/>
      <c r="N81" s="18"/>
      <c r="P81" s="16"/>
    </row>
    <row r="82" spans="9:16" ht="14.4" x14ac:dyDescent="0.3">
      <c r="I82" t="s">
        <v>68</v>
      </c>
      <c r="L82" s="18"/>
      <c r="M82" s="18"/>
      <c r="N82" s="18"/>
      <c r="P82" s="16"/>
    </row>
    <row r="83" spans="9:16" ht="14.4" x14ac:dyDescent="0.3">
      <c r="I83" t="s">
        <v>84</v>
      </c>
      <c r="L83" s="18"/>
      <c r="M83" s="18"/>
      <c r="N83" s="18"/>
      <c r="P83" s="16"/>
    </row>
    <row r="84" spans="9:16" ht="14.4" x14ac:dyDescent="0.3">
      <c r="I84" t="s">
        <v>89</v>
      </c>
      <c r="L84" s="18"/>
      <c r="M84" s="18"/>
      <c r="N84" s="18"/>
      <c r="P84" s="16"/>
    </row>
    <row r="85" spans="9:16" ht="14.4" x14ac:dyDescent="0.3">
      <c r="I85" t="s">
        <v>163</v>
      </c>
      <c r="L85" s="18"/>
      <c r="M85" s="18"/>
      <c r="N85" s="18"/>
      <c r="P85" s="16"/>
    </row>
    <row r="86" spans="9:16" ht="14.4" x14ac:dyDescent="0.3">
      <c r="I86" t="s">
        <v>175</v>
      </c>
      <c r="L86" s="18"/>
      <c r="M86" s="18"/>
      <c r="N86" s="18"/>
      <c r="P86" s="16"/>
    </row>
    <row r="87" spans="9:16" ht="14.4" x14ac:dyDescent="0.3">
      <c r="I87" t="s">
        <v>142</v>
      </c>
      <c r="P87" s="16"/>
    </row>
    <row r="88" spans="9:16" ht="14.4" x14ac:dyDescent="0.3">
      <c r="I88" t="s">
        <v>126</v>
      </c>
      <c r="P88" s="16"/>
    </row>
    <row r="89" spans="9:16" ht="14.4" x14ac:dyDescent="0.3">
      <c r="I89" t="s">
        <v>94</v>
      </c>
      <c r="P89" s="16"/>
    </row>
    <row r="90" spans="9:16" ht="14.4" x14ac:dyDescent="0.3">
      <c r="I90" t="s">
        <v>66</v>
      </c>
      <c r="P90" s="16"/>
    </row>
    <row r="91" spans="9:16" ht="14.4" x14ac:dyDescent="0.3">
      <c r="I91" t="s">
        <v>90</v>
      </c>
      <c r="P91" s="16"/>
    </row>
    <row r="92" spans="9:16" ht="14.4" x14ac:dyDescent="0.3">
      <c r="I92" t="s">
        <v>194</v>
      </c>
      <c r="P92" s="16"/>
    </row>
    <row r="93" spans="9:16" ht="14.4" x14ac:dyDescent="0.3">
      <c r="I93" t="s">
        <v>69</v>
      </c>
      <c r="P93" s="16"/>
    </row>
    <row r="94" spans="9:16" ht="14.4" x14ac:dyDescent="0.3">
      <c r="I94" t="s">
        <v>127</v>
      </c>
      <c r="P94" s="16"/>
    </row>
    <row r="95" spans="9:16" ht="14.4" x14ac:dyDescent="0.3">
      <c r="I95" t="s">
        <v>124</v>
      </c>
      <c r="P95" s="16"/>
    </row>
    <row r="96" spans="9:16" ht="14.4" x14ac:dyDescent="0.3">
      <c r="I96" t="s">
        <v>152</v>
      </c>
      <c r="P96" s="16"/>
    </row>
    <row r="97" spans="9:16" ht="14.4" x14ac:dyDescent="0.3">
      <c r="I97" t="s">
        <v>130</v>
      </c>
      <c r="P97" s="16"/>
    </row>
    <row r="98" spans="9:16" ht="14.4" x14ac:dyDescent="0.3">
      <c r="I98" t="s">
        <v>158</v>
      </c>
      <c r="P98" s="16"/>
    </row>
    <row r="99" spans="9:16" ht="14.4" x14ac:dyDescent="0.3">
      <c r="I99" t="s">
        <v>72</v>
      </c>
      <c r="P99" s="16"/>
    </row>
    <row r="100" spans="9:16" ht="14.4" x14ac:dyDescent="0.3">
      <c r="I100" t="s">
        <v>188</v>
      </c>
      <c r="P100" s="16"/>
    </row>
    <row r="101" spans="9:16" ht="14.4" x14ac:dyDescent="0.3">
      <c r="I101" t="s">
        <v>55</v>
      </c>
      <c r="P101" s="16"/>
    </row>
    <row r="102" spans="9:16" ht="14.4" x14ac:dyDescent="0.3">
      <c r="I102" t="s">
        <v>63</v>
      </c>
      <c r="P102" s="16"/>
    </row>
    <row r="103" spans="9:16" ht="14.4" x14ac:dyDescent="0.3">
      <c r="I103" t="s">
        <v>85</v>
      </c>
      <c r="P103" s="16"/>
    </row>
    <row r="104" spans="9:16" ht="14.4" x14ac:dyDescent="0.3">
      <c r="I104" t="s">
        <v>76</v>
      </c>
      <c r="P104" s="16"/>
    </row>
    <row r="105" spans="9:16" ht="14.4" x14ac:dyDescent="0.3">
      <c r="I105" t="s">
        <v>92</v>
      </c>
      <c r="P105" s="16"/>
    </row>
    <row r="106" spans="9:16" ht="14.4" x14ac:dyDescent="0.3">
      <c r="I106" t="s">
        <v>156</v>
      </c>
      <c r="P106" s="16"/>
    </row>
    <row r="107" spans="9:16" ht="14.4" x14ac:dyDescent="0.3">
      <c r="I107" t="s">
        <v>161</v>
      </c>
      <c r="P107" s="16"/>
    </row>
    <row r="108" spans="9:16" ht="14.4" x14ac:dyDescent="0.3">
      <c r="I108" t="s">
        <v>113</v>
      </c>
      <c r="P108" s="16"/>
    </row>
    <row r="109" spans="9:16" ht="14.4" x14ac:dyDescent="0.3">
      <c r="I109" t="s">
        <v>146</v>
      </c>
      <c r="P109" s="16"/>
    </row>
    <row r="110" spans="9:16" ht="14.4" x14ac:dyDescent="0.3">
      <c r="I110" t="s">
        <v>174</v>
      </c>
      <c r="P110" s="16"/>
    </row>
    <row r="111" spans="9:16" ht="14.4" x14ac:dyDescent="0.3">
      <c r="I111" t="s">
        <v>16</v>
      </c>
      <c r="P111" s="16"/>
    </row>
    <row r="112" spans="9:16" ht="14.4" x14ac:dyDescent="0.3">
      <c r="I112" t="s">
        <v>87</v>
      </c>
      <c r="P112" s="16"/>
    </row>
    <row r="113" spans="9:16" ht="14.4" x14ac:dyDescent="0.3">
      <c r="I113" t="s">
        <v>169</v>
      </c>
      <c r="P113" s="16"/>
    </row>
    <row r="114" spans="9:16" ht="14.4" x14ac:dyDescent="0.3">
      <c r="I114" t="s">
        <v>98</v>
      </c>
      <c r="P114" s="16"/>
    </row>
    <row r="115" spans="9:16" ht="14.4" x14ac:dyDescent="0.3">
      <c r="I115" t="s">
        <v>47</v>
      </c>
      <c r="P115" s="16"/>
    </row>
    <row r="116" spans="9:16" ht="14.4" x14ac:dyDescent="0.3">
      <c r="I116" t="s">
        <v>182</v>
      </c>
      <c r="P116" s="16"/>
    </row>
    <row r="117" spans="9:16" ht="14.4" x14ac:dyDescent="0.3">
      <c r="I117" t="s">
        <v>27</v>
      </c>
      <c r="P117" s="16"/>
    </row>
    <row r="118" spans="9:16" ht="14.4" x14ac:dyDescent="0.3">
      <c r="I118" t="s">
        <v>70</v>
      </c>
      <c r="P118" s="16"/>
    </row>
    <row r="119" spans="9:16" ht="14.4" x14ac:dyDescent="0.3">
      <c r="I119" t="s">
        <v>180</v>
      </c>
      <c r="P119" s="16"/>
    </row>
    <row r="120" spans="9:16" ht="14.4" x14ac:dyDescent="0.3">
      <c r="I120" t="s">
        <v>139</v>
      </c>
      <c r="P120" s="16"/>
    </row>
    <row r="121" spans="9:16" ht="14.4" x14ac:dyDescent="0.3">
      <c r="I121" t="s">
        <v>21</v>
      </c>
      <c r="P121" s="16"/>
    </row>
    <row r="122" spans="9:16" ht="14.4" x14ac:dyDescent="0.3">
      <c r="I122" t="s">
        <v>28</v>
      </c>
      <c r="P122" s="16"/>
    </row>
    <row r="123" spans="9:16" ht="14.4" x14ac:dyDescent="0.3">
      <c r="I123" t="s">
        <v>157</v>
      </c>
      <c r="P123" s="16"/>
    </row>
    <row r="124" spans="9:16" ht="14.4" x14ac:dyDescent="0.3">
      <c r="I124" t="s">
        <v>125</v>
      </c>
      <c r="P124" s="16"/>
    </row>
    <row r="125" spans="9:16" ht="14.4" x14ac:dyDescent="0.3">
      <c r="I125" t="s">
        <v>196</v>
      </c>
      <c r="P125" s="16"/>
    </row>
    <row r="126" spans="9:16" ht="14.4" x14ac:dyDescent="0.3">
      <c r="I126" t="s">
        <v>166</v>
      </c>
      <c r="P126" s="16"/>
    </row>
    <row r="127" spans="9:16" ht="14.4" x14ac:dyDescent="0.3">
      <c r="I127" t="s">
        <v>40</v>
      </c>
      <c r="P127" s="16"/>
    </row>
    <row r="128" spans="9:16" ht="14.4" x14ac:dyDescent="0.3">
      <c r="I128" t="s">
        <v>53</v>
      </c>
      <c r="P128" s="16"/>
    </row>
    <row r="129" spans="9:16" ht="14.4" x14ac:dyDescent="0.3">
      <c r="I129" t="s">
        <v>140</v>
      </c>
      <c r="P129" s="16"/>
    </row>
    <row r="130" spans="9:16" ht="14.4" x14ac:dyDescent="0.3">
      <c r="I130" t="s">
        <v>133</v>
      </c>
      <c r="P130" s="16"/>
    </row>
    <row r="131" spans="9:16" ht="14.4" x14ac:dyDescent="0.3">
      <c r="I131" t="s">
        <v>178</v>
      </c>
      <c r="P131" s="16"/>
    </row>
    <row r="132" spans="9:16" ht="14.4" x14ac:dyDescent="0.3">
      <c r="I132" t="s">
        <v>129</v>
      </c>
      <c r="P132" s="16"/>
    </row>
    <row r="133" spans="9:16" ht="14.4" x14ac:dyDescent="0.3">
      <c r="I133" t="s">
        <v>109</v>
      </c>
      <c r="P133" s="16"/>
    </row>
    <row r="134" spans="9:16" ht="14.4" x14ac:dyDescent="0.3">
      <c r="I134" t="s">
        <v>104</v>
      </c>
      <c r="P134" s="16"/>
    </row>
    <row r="135" spans="9:16" ht="14.4" x14ac:dyDescent="0.3">
      <c r="I135" t="s">
        <v>44</v>
      </c>
      <c r="P135" s="16"/>
    </row>
    <row r="136" spans="9:16" ht="14.4" x14ac:dyDescent="0.3">
      <c r="I136" t="s">
        <v>46</v>
      </c>
      <c r="P136" s="16"/>
    </row>
    <row r="137" spans="9:16" ht="14.4" x14ac:dyDescent="0.3">
      <c r="I137" t="s">
        <v>23</v>
      </c>
      <c r="P137" s="16"/>
    </row>
    <row r="138" spans="9:16" ht="14.4" x14ac:dyDescent="0.3">
      <c r="I138" t="s">
        <v>168</v>
      </c>
      <c r="P138" s="16"/>
    </row>
    <row r="139" spans="9:16" ht="14.4" x14ac:dyDescent="0.3">
      <c r="I139" t="s">
        <v>91</v>
      </c>
      <c r="P139" s="16"/>
    </row>
    <row r="140" spans="9:16" ht="14.4" x14ac:dyDescent="0.3">
      <c r="I140" t="s">
        <v>45</v>
      </c>
      <c r="P140" s="16"/>
    </row>
    <row r="141" spans="9:16" ht="14.4" x14ac:dyDescent="0.3">
      <c r="I141" t="s">
        <v>107</v>
      </c>
      <c r="P141" s="16"/>
    </row>
    <row r="142" spans="9:16" ht="14.4" x14ac:dyDescent="0.3">
      <c r="I142" t="s">
        <v>144</v>
      </c>
      <c r="P142" s="16"/>
    </row>
    <row r="143" spans="9:16" ht="14.4" x14ac:dyDescent="0.3">
      <c r="I143" t="s">
        <v>24</v>
      </c>
      <c r="P143" s="16"/>
    </row>
    <row r="144" spans="9:16" ht="14.4" x14ac:dyDescent="0.3">
      <c r="I144" t="s">
        <v>80</v>
      </c>
      <c r="P144" s="16"/>
    </row>
    <row r="145" spans="9:16" ht="14.4" x14ac:dyDescent="0.3">
      <c r="I145" t="s">
        <v>95</v>
      </c>
      <c r="P145" s="16"/>
    </row>
    <row r="146" spans="9:16" ht="14.4" x14ac:dyDescent="0.3">
      <c r="I146" t="s">
        <v>93</v>
      </c>
      <c r="P146" s="16"/>
    </row>
    <row r="147" spans="9:16" ht="14.4" x14ac:dyDescent="0.3">
      <c r="I147" t="s">
        <v>18</v>
      </c>
      <c r="P147" s="16"/>
    </row>
    <row r="148" spans="9:16" ht="14.4" x14ac:dyDescent="0.3">
      <c r="I148" t="s">
        <v>58</v>
      </c>
      <c r="P148" s="16"/>
    </row>
    <row r="149" spans="9:16" ht="14.4" x14ac:dyDescent="0.3">
      <c r="I149" t="s">
        <v>37</v>
      </c>
      <c r="P149" s="16"/>
    </row>
    <row r="150" spans="9:16" ht="14.4" x14ac:dyDescent="0.3">
      <c r="I150" t="s">
        <v>71</v>
      </c>
      <c r="P150" s="16"/>
    </row>
    <row r="151" spans="9:16" ht="14.4" x14ac:dyDescent="0.3">
      <c r="I151" t="s">
        <v>96</v>
      </c>
      <c r="P151" s="16"/>
    </row>
    <row r="152" spans="9:16" ht="14.4" x14ac:dyDescent="0.3">
      <c r="I152" t="s">
        <v>97</v>
      </c>
      <c r="P152" s="16"/>
    </row>
    <row r="153" spans="9:16" ht="14.4" x14ac:dyDescent="0.3">
      <c r="I153" t="s">
        <v>14</v>
      </c>
      <c r="P153" s="16"/>
    </row>
    <row r="154" spans="9:16" ht="14.4" x14ac:dyDescent="0.3">
      <c r="I154" t="s">
        <v>82</v>
      </c>
      <c r="P154" s="16"/>
    </row>
    <row r="155" spans="9:16" ht="14.4" x14ac:dyDescent="0.3">
      <c r="I155" t="s">
        <v>132</v>
      </c>
      <c r="P155" s="16"/>
    </row>
    <row r="156" spans="9:16" ht="14.4" x14ac:dyDescent="0.3">
      <c r="I156" t="s">
        <v>65</v>
      </c>
      <c r="P156" s="16"/>
    </row>
    <row r="157" spans="9:16" ht="14.4" x14ac:dyDescent="0.3">
      <c r="I157" t="s">
        <v>202</v>
      </c>
      <c r="P157" s="16"/>
    </row>
    <row r="158" spans="9:16" ht="14.4" x14ac:dyDescent="0.3">
      <c r="I158" t="s">
        <v>34</v>
      </c>
      <c r="P158" s="16"/>
    </row>
    <row r="159" spans="9:16" ht="14.4" x14ac:dyDescent="0.3">
      <c r="I159" t="s">
        <v>64</v>
      </c>
      <c r="P159" s="16"/>
    </row>
    <row r="160" spans="9:16" ht="14.4" x14ac:dyDescent="0.3">
      <c r="I160" t="s">
        <v>48</v>
      </c>
      <c r="P160" s="16"/>
    </row>
    <row r="161" spans="9:16" ht="14.4" x14ac:dyDescent="0.3">
      <c r="I161" t="s">
        <v>42</v>
      </c>
      <c r="P161" s="16"/>
    </row>
    <row r="162" spans="9:16" ht="14.4" x14ac:dyDescent="0.3">
      <c r="I162" t="s">
        <v>36</v>
      </c>
      <c r="P162" s="16"/>
    </row>
    <row r="163" spans="9:16" ht="14.4" x14ac:dyDescent="0.3">
      <c r="I163" t="s">
        <v>61</v>
      </c>
      <c r="P163" s="16"/>
    </row>
    <row r="164" spans="9:16" ht="14.4" x14ac:dyDescent="0.3">
      <c r="I164" t="s">
        <v>105</v>
      </c>
      <c r="P164" s="16"/>
    </row>
    <row r="165" spans="9:16" ht="14.4" x14ac:dyDescent="0.3">
      <c r="I165" t="s">
        <v>154</v>
      </c>
      <c r="P165" s="16"/>
    </row>
    <row r="166" spans="9:16" ht="14.4" x14ac:dyDescent="0.3">
      <c r="I166" t="s">
        <v>128</v>
      </c>
      <c r="P166" s="16"/>
    </row>
    <row r="167" spans="9:16" ht="14.4" x14ac:dyDescent="0.3">
      <c r="I167" t="s">
        <v>99</v>
      </c>
      <c r="P167" s="16"/>
    </row>
    <row r="168" spans="9:16" ht="14.4" x14ac:dyDescent="0.3">
      <c r="I168" t="s">
        <v>110</v>
      </c>
      <c r="P168" s="16"/>
    </row>
    <row r="169" spans="9:16" ht="14.4" x14ac:dyDescent="0.3">
      <c r="I169" t="s">
        <v>60</v>
      </c>
      <c r="P169" s="16"/>
    </row>
    <row r="170" spans="9:16" ht="14.4" x14ac:dyDescent="0.3">
      <c r="I170" t="s">
        <v>115</v>
      </c>
      <c r="P170" s="16"/>
    </row>
    <row r="171" spans="9:16" ht="14.4" x14ac:dyDescent="0.3">
      <c r="I171" t="s">
        <v>162</v>
      </c>
      <c r="P171" s="16"/>
    </row>
    <row r="172" spans="9:16" ht="14.4" x14ac:dyDescent="0.3">
      <c r="I172" t="s">
        <v>197</v>
      </c>
      <c r="P172" s="16"/>
    </row>
    <row r="173" spans="9:16" ht="14.4" x14ac:dyDescent="0.3">
      <c r="I173" t="s">
        <v>149</v>
      </c>
      <c r="P173" s="16"/>
    </row>
    <row r="174" spans="9:16" ht="14.4" x14ac:dyDescent="0.3">
      <c r="I174" t="s">
        <v>165</v>
      </c>
      <c r="P174" s="16"/>
    </row>
    <row r="175" spans="9:16" ht="14.4" x14ac:dyDescent="0.3">
      <c r="I175" t="s">
        <v>35</v>
      </c>
      <c r="P175" s="16"/>
    </row>
    <row r="176" spans="9:16" ht="14.4" x14ac:dyDescent="0.3">
      <c r="I176" t="s">
        <v>73</v>
      </c>
      <c r="P176" s="16"/>
    </row>
    <row r="177" spans="9:16" ht="14.4" x14ac:dyDescent="0.3">
      <c r="I177" t="s">
        <v>171</v>
      </c>
      <c r="P177" s="16"/>
    </row>
    <row r="178" spans="9:16" ht="14.4" x14ac:dyDescent="0.3">
      <c r="I178" t="s">
        <v>160</v>
      </c>
      <c r="P178" s="16"/>
    </row>
    <row r="179" spans="9:16" ht="14.4" x14ac:dyDescent="0.3">
      <c r="I179" t="s">
        <v>57</v>
      </c>
      <c r="P179" s="16"/>
    </row>
    <row r="180" spans="9:16" ht="14.4" x14ac:dyDescent="0.3">
      <c r="I180" t="s">
        <v>50</v>
      </c>
      <c r="P180" s="16"/>
    </row>
    <row r="181" spans="9:16" ht="14.4" x14ac:dyDescent="0.3">
      <c r="I181" t="s">
        <v>120</v>
      </c>
      <c r="P181" s="16"/>
    </row>
    <row r="182" spans="9:16" ht="14.4" x14ac:dyDescent="0.3">
      <c r="I182" t="s">
        <v>106</v>
      </c>
      <c r="P182" s="16"/>
    </row>
    <row r="183" spans="9:16" ht="14.4" x14ac:dyDescent="0.3">
      <c r="I183" t="s">
        <v>147</v>
      </c>
      <c r="P183" s="16"/>
    </row>
    <row r="184" spans="9:16" ht="14.4" x14ac:dyDescent="0.3">
      <c r="I184" t="s">
        <v>172</v>
      </c>
      <c r="P184" s="16"/>
    </row>
    <row r="185" spans="9:16" ht="14.4" x14ac:dyDescent="0.3">
      <c r="I185" t="s">
        <v>39</v>
      </c>
      <c r="P185" s="16"/>
    </row>
    <row r="186" spans="9:16" ht="14.4" x14ac:dyDescent="0.3">
      <c r="I186" t="s">
        <v>121</v>
      </c>
      <c r="P186" s="16"/>
    </row>
    <row r="187" spans="9:16" ht="14.4" x14ac:dyDescent="0.3">
      <c r="I187" t="s">
        <v>173</v>
      </c>
      <c r="P187" s="16"/>
    </row>
    <row r="188" spans="9:16" ht="14.4" x14ac:dyDescent="0.3">
      <c r="I188" t="s">
        <v>11</v>
      </c>
      <c r="P188" s="16"/>
    </row>
    <row r="189" spans="9:16" ht="14.4" x14ac:dyDescent="0.3">
      <c r="I189" t="s">
        <v>25</v>
      </c>
      <c r="P189" s="16"/>
    </row>
    <row r="190" spans="9:16" ht="14.4" x14ac:dyDescent="0.3">
      <c r="I190" t="s">
        <v>203</v>
      </c>
      <c r="P190" s="16"/>
    </row>
  </sheetData>
  <dataConsolidate/>
  <conditionalFormatting sqref="AE16">
    <cfRule type="colorScale" priority="3">
      <colorScale>
        <cfvo type="min"/>
        <cfvo type="max"/>
        <color rgb="FFFCFCFF"/>
        <color rgb="FF63BE7B"/>
      </colorScale>
    </cfRule>
  </conditionalFormatting>
  <conditionalFormatting pivot="1" sqref="AE6:AE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{5C77DCBA-3817-494D-80F7-BFF6C29E9EC3}</x14:id>
        </ext>
      </extLst>
    </cfRule>
  </conditionalFormatting>
  <conditionalFormatting pivot="1" sqref="AE6:AE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{E893399E-6695-48C6-868E-2D4F6BC646C7}</x14:id>
        </ext>
      </extLst>
    </cfRule>
  </conditionalFormatting>
  <pageMargins left="0.7" right="0.7" top="0.75" bottom="0.75" header="0.3" footer="0.3"/>
  <drawing r:id="rId6"/>
  <tableParts count="1"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5C77DCBA-3817-494D-80F7-BFF6C29E9E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AE6:AE10</xm:sqref>
        </x14:conditionalFormatting>
        <x14:conditionalFormatting xmlns:xm="http://schemas.microsoft.com/office/excel/2006/main" pivot="1">
          <x14:cfRule type="dataBar" id="{E893399E-6695-48C6-868E-2D4F6BC646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AE6:AE10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D470-CC94-4AD7-B024-16E55B1C9F1F}">
  <dimension ref="C2:N23"/>
  <sheetViews>
    <sheetView zoomScale="70" zoomScaleNormal="70" workbookViewId="0">
      <selection activeCell="Z43" sqref="Z43"/>
    </sheetView>
  </sheetViews>
  <sheetFormatPr defaultRowHeight="14.4" x14ac:dyDescent="0.3"/>
  <cols>
    <col min="3" max="3" width="30.6640625" customWidth="1"/>
    <col min="4" max="4" width="1.6640625" customWidth="1"/>
    <col min="5" max="5" width="30.6640625" customWidth="1"/>
    <col min="6" max="6" width="1.6640625" customWidth="1"/>
    <col min="7" max="7" width="32.6640625" customWidth="1"/>
    <col min="10" max="10" width="30.6640625" customWidth="1"/>
    <col min="11" max="11" width="1.6640625" customWidth="1"/>
    <col min="12" max="12" width="30.6640625" customWidth="1"/>
    <col min="13" max="13" width="1.6640625" customWidth="1"/>
    <col min="14" max="14" width="38.77734375" customWidth="1"/>
  </cols>
  <sheetData>
    <row r="2" spans="3:14" ht="36.6" x14ac:dyDescent="0.85">
      <c r="C2" s="46" t="s">
        <v>269</v>
      </c>
      <c r="D2" s="46"/>
      <c r="E2" s="46"/>
      <c r="F2" s="46"/>
      <c r="G2" s="46"/>
      <c r="J2" s="46" t="s">
        <v>211</v>
      </c>
      <c r="K2" s="46"/>
      <c r="L2" s="46"/>
      <c r="M2" s="46"/>
      <c r="N2" s="46"/>
    </row>
    <row r="3" spans="3:14" ht="81" customHeight="1" x14ac:dyDescent="0.3">
      <c r="C3" s="39">
        <f>COUNTIFS(allstaff[Country],"NZ")</f>
        <v>87</v>
      </c>
      <c r="E3" s="40">
        <f>COUNTIFS(allstaff[Country],"NZ",allstaff[Gender],"Female")/C3</f>
        <v>0.4942528735632184</v>
      </c>
      <c r="G3" s="41">
        <f>AVERAGEIFS(allstaff[Salary],allstaff[Country],"NZ")</f>
        <v>75588.126436781604</v>
      </c>
      <c r="J3" s="44">
        <f>COUNTIFS(allstaff[Country],"India")</f>
        <v>88</v>
      </c>
      <c r="L3" s="43">
        <f>COUNTIFS(allstaff[Country],"India",allstaff[Gender],"Female")/C3</f>
        <v>0.4942528735632184</v>
      </c>
      <c r="N3" s="42">
        <f>AVERAGEIFS(allstaff[Salary],allstaff[Country],"India")</f>
        <v>76775.795454545456</v>
      </c>
    </row>
    <row r="5" spans="3:14" x14ac:dyDescent="0.3">
      <c r="C5" s="45" t="s">
        <v>270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3:14" x14ac:dyDescent="0.3"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8" spans="3:14" x14ac:dyDescent="0.3">
      <c r="C8" s="31"/>
      <c r="D8" s="32"/>
      <c r="E8" s="32"/>
      <c r="F8" s="32"/>
      <c r="G8" s="33"/>
      <c r="J8" s="31"/>
      <c r="K8" s="32"/>
      <c r="L8" s="32"/>
      <c r="M8" s="32"/>
      <c r="N8" s="33"/>
    </row>
    <row r="9" spans="3:14" x14ac:dyDescent="0.3">
      <c r="C9" s="34"/>
      <c r="G9" s="35"/>
      <c r="J9" s="34"/>
      <c r="N9" s="35"/>
    </row>
    <row r="10" spans="3:14" x14ac:dyDescent="0.3">
      <c r="C10" s="34"/>
      <c r="G10" s="35"/>
      <c r="J10" s="34"/>
      <c r="N10" s="35"/>
    </row>
    <row r="11" spans="3:14" x14ac:dyDescent="0.3">
      <c r="C11" s="34"/>
      <c r="G11" s="35"/>
      <c r="J11" s="34"/>
      <c r="N11" s="35"/>
    </row>
    <row r="12" spans="3:14" x14ac:dyDescent="0.3">
      <c r="C12" s="34"/>
      <c r="G12" s="35"/>
      <c r="J12" s="34"/>
      <c r="N12" s="35"/>
    </row>
    <row r="13" spans="3:14" x14ac:dyDescent="0.3">
      <c r="C13" s="34"/>
      <c r="G13" s="35"/>
      <c r="J13" s="34"/>
      <c r="N13" s="35"/>
    </row>
    <row r="14" spans="3:14" x14ac:dyDescent="0.3">
      <c r="C14" s="34"/>
      <c r="G14" s="35"/>
      <c r="J14" s="34"/>
      <c r="N14" s="35"/>
    </row>
    <row r="15" spans="3:14" x14ac:dyDescent="0.3">
      <c r="C15" s="34"/>
      <c r="G15" s="35"/>
      <c r="J15" s="34"/>
      <c r="N15" s="35"/>
    </row>
    <row r="16" spans="3:14" x14ac:dyDescent="0.3">
      <c r="C16" s="34"/>
      <c r="G16" s="35"/>
      <c r="J16" s="34"/>
      <c r="N16" s="35"/>
    </row>
    <row r="17" spans="3:14" x14ac:dyDescent="0.3">
      <c r="C17" s="34"/>
      <c r="G17" s="35"/>
      <c r="J17" s="34"/>
      <c r="N17" s="35"/>
    </row>
    <row r="18" spans="3:14" x14ac:dyDescent="0.3">
      <c r="C18" s="34"/>
      <c r="G18" s="35"/>
      <c r="J18" s="34"/>
      <c r="N18" s="35"/>
    </row>
    <row r="19" spans="3:14" x14ac:dyDescent="0.3">
      <c r="C19" s="34"/>
      <c r="G19" s="35"/>
      <c r="J19" s="34"/>
      <c r="N19" s="35"/>
    </row>
    <row r="20" spans="3:14" x14ac:dyDescent="0.3">
      <c r="C20" s="34"/>
      <c r="G20" s="35"/>
      <c r="J20" s="34"/>
      <c r="N20" s="35"/>
    </row>
    <row r="21" spans="3:14" x14ac:dyDescent="0.3">
      <c r="C21" s="34"/>
      <c r="G21" s="35"/>
      <c r="J21" s="34"/>
      <c r="N21" s="35"/>
    </row>
    <row r="22" spans="3:14" x14ac:dyDescent="0.3">
      <c r="C22" s="34"/>
      <c r="G22" s="35"/>
      <c r="J22" s="34"/>
      <c r="N22" s="35"/>
    </row>
    <row r="23" spans="3:14" x14ac:dyDescent="0.3">
      <c r="C23" s="36"/>
      <c r="D23" s="37"/>
      <c r="E23" s="37"/>
      <c r="F23" s="37"/>
      <c r="G23" s="38"/>
      <c r="J23" s="36"/>
      <c r="K23" s="37"/>
      <c r="L23" s="37"/>
      <c r="M23" s="37"/>
      <c r="N23" s="38"/>
    </row>
  </sheetData>
  <mergeCells count="3">
    <mergeCell ref="C5:N6"/>
    <mergeCell ref="C2:G2"/>
    <mergeCell ref="J2:N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58F6-3B66-42FD-90F2-CBE87A2C64AD}">
  <dimension ref="B1:F9"/>
  <sheetViews>
    <sheetView workbookViewId="0">
      <selection activeCell="N18" sqref="N18"/>
    </sheetView>
  </sheetViews>
  <sheetFormatPr defaultRowHeight="14.4" x14ac:dyDescent="0.3"/>
  <cols>
    <col min="2" max="2" width="15.109375" bestFit="1" customWidth="1"/>
    <col min="3" max="3" width="14.6640625" bestFit="1" customWidth="1"/>
    <col min="5" max="5" width="15.109375" bestFit="1" customWidth="1"/>
    <col min="6" max="6" width="14.6640625" bestFit="1" customWidth="1"/>
  </cols>
  <sheetData>
    <row r="1" spans="2:6" x14ac:dyDescent="0.3">
      <c r="B1" s="11" t="s">
        <v>206</v>
      </c>
      <c r="C1" t="s">
        <v>209</v>
      </c>
      <c r="E1" s="11" t="s">
        <v>206</v>
      </c>
      <c r="F1" t="s">
        <v>211</v>
      </c>
    </row>
    <row r="3" spans="2:6" x14ac:dyDescent="0.3">
      <c r="B3" s="11" t="s">
        <v>5</v>
      </c>
      <c r="C3" t="s">
        <v>237</v>
      </c>
      <c r="E3" s="11" t="s">
        <v>5</v>
      </c>
      <c r="F3" t="s">
        <v>237</v>
      </c>
    </row>
    <row r="4" spans="2:6" x14ac:dyDescent="0.3">
      <c r="B4" t="s">
        <v>15</v>
      </c>
      <c r="C4">
        <v>27</v>
      </c>
      <c r="E4" t="s">
        <v>15</v>
      </c>
      <c r="F4">
        <v>28</v>
      </c>
    </row>
    <row r="5" spans="2:6" x14ac:dyDescent="0.3">
      <c r="B5" t="s">
        <v>10</v>
      </c>
      <c r="C5">
        <v>25</v>
      </c>
      <c r="E5" t="s">
        <v>10</v>
      </c>
      <c r="F5">
        <v>25</v>
      </c>
    </row>
    <row r="6" spans="2:6" x14ac:dyDescent="0.3">
      <c r="B6" t="s">
        <v>20</v>
      </c>
      <c r="C6">
        <v>17</v>
      </c>
      <c r="E6" t="s">
        <v>20</v>
      </c>
      <c r="F6">
        <v>17</v>
      </c>
    </row>
    <row r="7" spans="2:6" x14ac:dyDescent="0.3">
      <c r="B7" t="s">
        <v>22</v>
      </c>
      <c r="C7">
        <v>14</v>
      </c>
      <c r="E7" t="s">
        <v>22</v>
      </c>
      <c r="F7">
        <v>14</v>
      </c>
    </row>
    <row r="8" spans="2:6" x14ac:dyDescent="0.3">
      <c r="B8" t="s">
        <v>17</v>
      </c>
      <c r="C8">
        <v>4</v>
      </c>
      <c r="E8" t="s">
        <v>17</v>
      </c>
      <c r="F8">
        <v>4</v>
      </c>
    </row>
    <row r="9" spans="2:6" x14ac:dyDescent="0.3">
      <c r="B9" t="s">
        <v>255</v>
      </c>
      <c r="C9">
        <v>87</v>
      </c>
      <c r="E9" t="s">
        <v>255</v>
      </c>
      <c r="F9">
        <v>88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D50F-AF11-412C-9799-5C8CBAA0636C}">
  <dimension ref="B2:C6"/>
  <sheetViews>
    <sheetView workbookViewId="0">
      <selection activeCell="C2" sqref="C2"/>
    </sheetView>
  </sheetViews>
  <sheetFormatPr defaultRowHeight="14.4" x14ac:dyDescent="0.3"/>
  <cols>
    <col min="2" max="2" width="14.44140625" customWidth="1"/>
  </cols>
  <sheetData>
    <row r="2" spans="2:3" x14ac:dyDescent="0.3">
      <c r="B2" s="29" t="s">
        <v>41</v>
      </c>
      <c r="C2" s="7">
        <v>5</v>
      </c>
    </row>
    <row r="3" spans="2:3" x14ac:dyDescent="0.3">
      <c r="B3" s="29" t="s">
        <v>13</v>
      </c>
      <c r="C3" s="7">
        <v>4</v>
      </c>
    </row>
    <row r="4" spans="2:3" x14ac:dyDescent="0.3">
      <c r="B4" s="29" t="s">
        <v>9</v>
      </c>
      <c r="C4" s="7">
        <v>3</v>
      </c>
    </row>
    <row r="5" spans="2:3" x14ac:dyDescent="0.3">
      <c r="B5" s="29" t="s">
        <v>19</v>
      </c>
      <c r="C5" s="7">
        <v>2</v>
      </c>
    </row>
    <row r="6" spans="2:3" x14ac:dyDescent="0.3">
      <c r="B6" s="29" t="s">
        <v>81</v>
      </c>
      <c r="C6" s="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22C9FF-8C3F-40EE-818B-7623516C53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India Staff</vt:lpstr>
      <vt:lpstr>NZ Staff</vt:lpstr>
      <vt:lpstr>all_staff</vt:lpstr>
      <vt:lpstr>Quick analysis of data</vt:lpstr>
      <vt:lpstr>Build_Info_Finder</vt:lpstr>
      <vt:lpstr>Country Comparison </vt:lpstr>
      <vt:lpstr>Sheet2</vt:lpstr>
      <vt:lpstr>Sheet1</vt:lpstr>
      <vt:lpstr>all_staff</vt:lpstr>
      <vt:lpstr>Grand_Total</vt:lpstr>
      <vt:lpstr>india_stuff</vt:lpstr>
      <vt:lpstr>nz_staff</vt:lpstr>
      <vt:lpstr>nz_stuff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Joanns Engels</cp:lastModifiedBy>
  <cp:revision/>
  <dcterms:created xsi:type="dcterms:W3CDTF">2021-03-14T20:21:32Z</dcterms:created>
  <dcterms:modified xsi:type="dcterms:W3CDTF">2024-03-03T20:39:16Z</dcterms:modified>
  <cp:category/>
  <cp:contentStatus/>
</cp:coreProperties>
</file>