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11" documentId="13_ncr:1_{06B0CC7C-481A-409E-83EA-FEAFE5A1C91F}" xr6:coauthVersionLast="47" xr6:coauthVersionMax="47" xr10:uidLastSave="{F6D134E4-BDD4-4B53-8772-C8C3D7DCB57E}"/>
  <workbookProtection workbookAlgorithmName="SHA-512" workbookHashValue="hCBMdfbWOkbA/VAq8+TdNnNn6yDZkrM9rj0MksObCHvCY7TT/LAWrr57exTZXhvv70BMSwUTbrrDEaKVnEviRw==" workbookSaltValue="959trsHucnJJG857LOUScQ==" workbookSpinCount="100000" lockStructure="1"/>
  <bookViews>
    <workbookView xWindow="3816" yWindow="2016" windowWidth="18432" windowHeight="9768"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Y32" i="2"/>
  <c r="BS34" i="2"/>
  <c r="BR34" i="2"/>
  <c r="BL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Q34" i="2" l="1"/>
  <c r="BM34" i="2"/>
  <c r="BO34" i="2" s="1"/>
  <c r="P21" i="2"/>
  <c r="U21" i="2" s="1"/>
  <c r="AX32" i="2"/>
  <c r="AW34" i="2"/>
  <c r="AT32" i="2"/>
  <c r="AR32" i="2"/>
  <c r="Q34" i="2"/>
  <c r="AR33" i="2"/>
  <c r="AP32" i="2"/>
  <c r="AQ34" i="2"/>
  <c r="LE40" i="2"/>
  <c r="LG39" i="2" s="1"/>
  <c r="AS32" i="2"/>
  <c r="AU32" i="2" s="1"/>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OK28" i="2" l="1"/>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27" i="2" l="1"/>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AB37" i="2" s="1"/>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0" i="2"/>
  <c r="AU21" i="2"/>
  <c r="AU19" i="2"/>
  <c r="AA7" i="2"/>
  <c r="AA32" i="2"/>
  <c r="AB5" i="2"/>
  <c r="AF5" i="2" s="1"/>
  <c r="AB4" i="2"/>
  <c r="AA39" i="2"/>
  <c r="AA34" i="2"/>
  <c r="CU21" i="2"/>
  <c r="CV21" i="2"/>
  <c r="AIB32" i="2" l="1"/>
  <c r="AA38" i="2"/>
  <c r="ZJ12" i="2"/>
  <c r="PW47" i="2"/>
  <c r="ZJ13" i="2"/>
  <c r="ZI13" i="2"/>
  <c r="ZI14" i="2"/>
  <c r="ZJ14" i="2"/>
  <c r="ZO14" i="2"/>
  <c r="ZF13" i="2"/>
  <c r="ZH12" i="2"/>
  <c r="ZG12" i="2"/>
  <c r="ZH13" i="2"/>
  <c r="ZF12" i="2"/>
  <c r="ZI12" i="2"/>
  <c r="ZG13" i="2"/>
  <c r="ZM14" i="2"/>
  <c r="ZH14" i="2"/>
  <c r="ZG14" i="2"/>
  <c r="AB40" i="2"/>
  <c r="AF40" i="2" s="1"/>
  <c r="AS80" i="2"/>
  <c r="T65" i="2"/>
  <c r="U65" i="2" s="1"/>
  <c r="T66" i="2"/>
  <c r="U66"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B20" i="2"/>
  <c r="BE33" i="2"/>
  <c r="BD19" i="2"/>
  <c r="BE20" i="2"/>
  <c r="BC19" i="2"/>
  <c r="BD20"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L13" i="2" l="1"/>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T70" i="2" l="1"/>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BC73" i="2" l="1"/>
  <c r="BD74" i="2"/>
  <c r="BE74" i="2"/>
  <c r="BB74" i="2"/>
  <c r="BC74" i="2"/>
  <c r="AOZ21" i="2"/>
  <c r="APD21" i="2" s="1"/>
  <c r="APE20"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1" i="2" l="1"/>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BH33" i="2" l="1"/>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DJ3" i="2" s="1"/>
  <c r="U9" i="1"/>
  <c r="X9" i="1"/>
  <c r="Z9" i="1"/>
  <c r="DM3" i="2" s="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K3" i="2"/>
  <c r="DH3" i="2"/>
  <c r="DP3" i="2" s="1"/>
  <c r="D56" i="28"/>
  <c r="IL3" i="2"/>
  <c r="IM3" i="2"/>
  <c r="IL6" i="2"/>
  <c r="IM6" i="2"/>
  <c r="AL72" i="28" l="1"/>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c r="DW13" i="2" l="1"/>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B41" i="1"/>
  <c r="V43" i="1"/>
  <c r="U43" i="1"/>
  <c r="W43" i="1"/>
  <c r="AB42" i="1"/>
  <c r="W42" i="1"/>
  <c r="AA42" i="1"/>
  <c r="V42" i="1"/>
  <c r="Z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15" i="2"/>
  <c r="DR13" i="2"/>
  <c r="DS20" i="2"/>
  <c r="DS16" i="2"/>
  <c r="DS26" i="2"/>
  <c r="DS14" i="2"/>
  <c r="DS27" i="2"/>
  <c r="DS23" i="2"/>
  <c r="DS19" i="2"/>
  <c r="DS15" i="2"/>
  <c r="X42" i="1" l="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1" i="28"/>
  <c r="AG53" i="28"/>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7" i="2" l="1"/>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0" i="2" l="1"/>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RH33" i="2"/>
  <c r="AWF33" i="2"/>
  <c r="IV31" i="2"/>
  <c r="SR31" i="2" l="1"/>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G14" i="26" l="1"/>
  <c r="BI70" i="28"/>
  <c r="BK14" i="26"/>
  <c r="BK73" i="28"/>
  <c r="BD80" i="28"/>
  <c r="BW75" i="28"/>
  <c r="BX80" i="28"/>
  <c r="BZ75" i="28"/>
  <c r="BX81" i="28"/>
  <c r="CE73" i="28"/>
  <c r="CD73" i="28"/>
  <c r="BI12" i="26"/>
  <c r="AO74" i="28"/>
  <c r="BU74" i="28"/>
  <c r="BT74" i="28"/>
  <c r="BT69" i="28"/>
  <c r="BU69" i="28"/>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X5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X78" i="28" l="1"/>
  <c r="BX79" i="28"/>
  <c r="CD75" i="28"/>
  <c r="CC75" i="28" s="1"/>
  <c r="CE75" i="28"/>
  <c r="CC73" i="28"/>
  <c r="BK16" i="26"/>
  <c r="L12" i="26"/>
  <c r="E12" i="26" s="1"/>
  <c r="AH52" i="28"/>
  <c r="F12" i="34" s="1"/>
  <c r="D12" i="34" s="1"/>
  <c r="BL15" i="26"/>
  <c r="BS74" i="28"/>
  <c r="BS69" i="28"/>
  <c r="BG15" i="26"/>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M11" i="26"/>
  <c r="F11" i="26" s="1"/>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M16" i="26" l="1"/>
  <c r="N12" i="26"/>
  <c r="H12" i="26" s="1"/>
  <c r="BBC21" i="2"/>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<sst xmlns="http://schemas.openxmlformats.org/spreadsheetml/2006/main" count="4233" uniqueCount="381">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</sst>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8">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xf numFmtId="0" fontId="1" fillId="0" borderId="0"/>
  </cellStyleXfs>
  <cellXfs count="422">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58" fillId="0" borderId="57" xfId="3" applyFont="1" applyBorder="1" applyAlignment="1" applyProtection="1">
      <alignment horizontal="center" vertical="center"/>
      <protection locked="0"/>
    </xf>
    <xf numFmtId="0" fontId="58" fillId="0" borderId="58"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58" fillId="0" borderId="59" xfId="3" applyFont="1" applyBorder="1" applyAlignment="1" applyProtection="1">
      <alignment horizontal="center" vertical="center"/>
      <protection locked="0"/>
    </xf>
    <xf numFmtId="0" fontId="9" fillId="0" borderId="9" xfId="7" applyFont="1" applyBorder="1" applyAlignment="1">
      <alignment horizontal="center" vertical="center"/>
    </xf>
    <xf numFmtId="0" fontId="9" fillId="0" borderId="59" xfId="7" applyFont="1" applyBorder="1" applyAlignment="1">
      <alignment horizontal="center" vertical="center"/>
    </xf>
    <xf numFmtId="0" fontId="9" fillId="0" borderId="12" xfId="7" applyFont="1" applyBorder="1" applyAlignment="1">
      <alignment horizontal="center" vertical="center"/>
    </xf>
    <xf numFmtId="0" fontId="1" fillId="0" borderId="9" xfId="7" applyBorder="1" applyAlignment="1">
      <alignment horizontal="center"/>
    </xf>
    <xf numFmtId="0" fontId="1" fillId="0" borderId="12" xfId="7" applyBorder="1" applyAlignment="1">
      <alignment horizontal="center"/>
    </xf>
    <xf numFmtId="0" fontId="1" fillId="0" borderId="59" xfId="7" applyBorder="1" applyAlignment="1">
      <alignment horizontal="center"/>
    </xf>
    <xf numFmtId="0" fontId="9" fillId="0" borderId="59" xfId="3" applyFont="1" applyBorder="1" applyAlignment="1" applyProtection="1">
      <alignment horizontal="center" vertical="center"/>
      <protection locked="0"/>
    </xf>
    <xf numFmtId="0" fontId="9" fillId="0" borderId="12" xfId="3" applyFont="1" applyBorder="1" applyAlignment="1" applyProtection="1">
      <alignment horizontal="center" vertical="center"/>
      <protection locked="0"/>
    </xf>
    <xf numFmtId="0" fontId="59" fillId="0" borderId="12" xfId="3" applyFont="1" applyBorder="1" applyAlignment="1" applyProtection="1">
      <alignment horizontal="center"/>
      <protection locked="0"/>
    </xf>
    <xf numFmtId="0" fontId="59" fillId="0" borderId="9" xfId="3" applyFont="1" applyBorder="1" applyAlignment="1" applyProtection="1">
      <alignment horizontal="center"/>
      <protection locked="0"/>
    </xf>
    <xf numFmtId="0" fontId="59" fillId="0" borderId="59" xfId="3" applyFont="1" applyBorder="1" applyAlignment="1" applyProtection="1">
      <alignment horizontal="center"/>
      <protection locked="0"/>
    </xf>
    <xf numFmtId="0" fontId="1" fillId="0" borderId="26" xfId="0" applyFont="1" applyBorder="1" applyProtection="1">
      <protection locked="0"/>
    </xf>
    <xf numFmtId="0" fontId="1" fillId="0" borderId="14" xfId="0" applyFont="1" applyBorder="1" applyProtection="1">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8">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63" t="s">
        <v>4</v>
      </c>
      <c r="L7" s="363"/>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53" t="s">
        <v>13</v>
      </c>
      <c r="G15" s="353"/>
      <c r="H15" s="353"/>
      <c r="I15" s="353"/>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54" t="s">
        <v>36</v>
      </c>
      <c r="H41" s="355"/>
      <c r="I41" s="356"/>
    </row>
    <row r="42" spans="2:9" ht="15" customHeight="1" x14ac:dyDescent="0.25">
      <c r="B42" s="284"/>
      <c r="C42" s="285" t="s">
        <v>31</v>
      </c>
      <c r="D42" s="286" t="s">
        <v>37</v>
      </c>
      <c r="E42" s="287"/>
      <c r="F42" s="297">
        <v>8</v>
      </c>
      <c r="G42" s="357"/>
      <c r="H42" s="358"/>
      <c r="I42" s="359"/>
    </row>
    <row r="43" spans="2:9" ht="15" customHeight="1" x14ac:dyDescent="0.25">
      <c r="B43" s="284"/>
      <c r="C43" s="285" t="s">
        <v>31</v>
      </c>
      <c r="D43" s="286" t="s">
        <v>38</v>
      </c>
      <c r="E43" s="287"/>
      <c r="F43" s="297">
        <v>4</v>
      </c>
      <c r="G43" s="357"/>
      <c r="H43" s="358"/>
      <c r="I43" s="359"/>
    </row>
    <row r="44" spans="2:9" ht="15" customHeight="1" x14ac:dyDescent="0.25">
      <c r="B44" s="284"/>
      <c r="C44" s="285" t="s">
        <v>31</v>
      </c>
      <c r="D44" s="286" t="s">
        <v>39</v>
      </c>
      <c r="E44" s="287"/>
      <c r="F44" s="297">
        <v>2</v>
      </c>
      <c r="G44" s="357"/>
      <c r="H44" s="358"/>
      <c r="I44" s="359"/>
    </row>
    <row r="45" spans="2:9" ht="15" customHeight="1" x14ac:dyDescent="0.25">
      <c r="B45" s="284">
        <v>6</v>
      </c>
      <c r="C45" s="286" t="s">
        <v>40</v>
      </c>
      <c r="D45" s="286"/>
      <c r="E45" s="287"/>
      <c r="F45" s="297"/>
      <c r="G45" s="357"/>
      <c r="H45" s="358"/>
      <c r="I45" s="359"/>
    </row>
    <row r="46" spans="2:9" ht="15" customHeight="1" x14ac:dyDescent="0.25">
      <c r="B46" s="284"/>
      <c r="C46" s="285" t="s">
        <v>31</v>
      </c>
      <c r="D46" s="286" t="s">
        <v>41</v>
      </c>
      <c r="E46" s="287"/>
      <c r="F46" s="297">
        <v>8</v>
      </c>
      <c r="G46" s="357"/>
      <c r="H46" s="358"/>
      <c r="I46" s="359"/>
    </row>
    <row r="47" spans="2:9" ht="15" customHeight="1" x14ac:dyDescent="0.25">
      <c r="B47" s="284"/>
      <c r="C47" s="285" t="s">
        <v>31</v>
      </c>
      <c r="D47" s="286" t="s">
        <v>42</v>
      </c>
      <c r="E47" s="287"/>
      <c r="F47" s="297">
        <v>4</v>
      </c>
      <c r="G47" s="357"/>
      <c r="H47" s="358"/>
      <c r="I47" s="359"/>
    </row>
    <row r="48" spans="2:9" ht="15" customHeight="1" x14ac:dyDescent="0.25">
      <c r="B48" s="284">
        <v>7</v>
      </c>
      <c r="C48" s="286" t="s">
        <v>43</v>
      </c>
      <c r="D48" s="286"/>
      <c r="E48" s="287"/>
      <c r="F48" s="297"/>
      <c r="G48" s="357"/>
      <c r="H48" s="358"/>
      <c r="I48" s="359"/>
    </row>
    <row r="49" spans="2:9" ht="15" customHeight="1" x14ac:dyDescent="0.25">
      <c r="B49" s="284"/>
      <c r="C49" s="285" t="s">
        <v>31</v>
      </c>
      <c r="D49" s="286" t="s">
        <v>44</v>
      </c>
      <c r="E49" s="287"/>
      <c r="F49" s="297">
        <v>8</v>
      </c>
      <c r="G49" s="357"/>
      <c r="H49" s="358"/>
      <c r="I49" s="359"/>
    </row>
    <row r="50" spans="2:9" ht="15" customHeight="1" thickBot="1" x14ac:dyDescent="0.3">
      <c r="B50" s="288"/>
      <c r="C50" s="289" t="s">
        <v>31</v>
      </c>
      <c r="D50" s="290" t="s">
        <v>45</v>
      </c>
      <c r="E50" s="291"/>
      <c r="F50" s="298">
        <v>4</v>
      </c>
      <c r="G50" s="360"/>
      <c r="H50" s="361"/>
      <c r="I50" s="362"/>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54" t="s">
        <v>36</v>
      </c>
      <c r="H52" s="355"/>
      <c r="I52" s="356"/>
    </row>
    <row r="53" spans="2:9" ht="15" customHeight="1" x14ac:dyDescent="0.25">
      <c r="B53" s="284">
        <v>10</v>
      </c>
      <c r="C53" s="286" t="s">
        <v>48</v>
      </c>
      <c r="D53" s="292"/>
      <c r="E53" s="287"/>
      <c r="F53" s="297">
        <v>24</v>
      </c>
      <c r="G53" s="357"/>
      <c r="H53" s="358"/>
      <c r="I53" s="359"/>
    </row>
    <row r="54" spans="2:9" ht="15" customHeight="1" x14ac:dyDescent="0.25">
      <c r="B54" s="284">
        <v>11</v>
      </c>
      <c r="C54" s="286" t="s">
        <v>49</v>
      </c>
      <c r="D54" s="292"/>
      <c r="E54" s="287"/>
      <c r="F54" s="299">
        <f>SUM(F55:F58)</f>
        <v>90</v>
      </c>
      <c r="G54" s="357"/>
      <c r="H54" s="358"/>
      <c r="I54" s="359"/>
    </row>
    <row r="55" spans="2:9" ht="15" customHeight="1" x14ac:dyDescent="0.25">
      <c r="B55" s="293"/>
      <c r="C55" s="285" t="s">
        <v>31</v>
      </c>
      <c r="D55" s="294" t="s">
        <v>50</v>
      </c>
      <c r="E55" s="287"/>
      <c r="F55" s="297">
        <v>6</v>
      </c>
      <c r="G55" s="357"/>
      <c r="H55" s="358"/>
      <c r="I55" s="359"/>
    </row>
    <row r="56" spans="2:9" ht="15" customHeight="1" x14ac:dyDescent="0.25">
      <c r="B56" s="293"/>
      <c r="C56" s="285" t="s">
        <v>31</v>
      </c>
      <c r="D56" s="294" t="s">
        <v>51</v>
      </c>
      <c r="E56" s="287"/>
      <c r="F56" s="297">
        <v>12</v>
      </c>
      <c r="G56" s="357"/>
      <c r="H56" s="358"/>
      <c r="I56" s="359"/>
    </row>
    <row r="57" spans="2:9" ht="15" customHeight="1" x14ac:dyDescent="0.25">
      <c r="B57" s="293"/>
      <c r="C57" s="285" t="s">
        <v>31</v>
      </c>
      <c r="D57" s="294" t="s">
        <v>52</v>
      </c>
      <c r="E57" s="287"/>
      <c r="F57" s="297">
        <v>24</v>
      </c>
      <c r="G57" s="357"/>
      <c r="H57" s="358"/>
      <c r="I57" s="359"/>
    </row>
    <row r="58" spans="2:9" ht="15" customHeight="1" x14ac:dyDescent="0.25">
      <c r="B58" s="293"/>
      <c r="C58" s="285" t="s">
        <v>31</v>
      </c>
      <c r="D58" s="294" t="s">
        <v>53</v>
      </c>
      <c r="E58" s="287"/>
      <c r="F58" s="297">
        <v>48</v>
      </c>
      <c r="G58" s="357"/>
      <c r="H58" s="358"/>
      <c r="I58" s="359"/>
    </row>
    <row r="59" spans="2:9" ht="15" customHeight="1" x14ac:dyDescent="0.25">
      <c r="B59" s="284">
        <v>12</v>
      </c>
      <c r="C59" s="292" t="s">
        <v>54</v>
      </c>
      <c r="D59" s="292"/>
      <c r="E59" s="287"/>
      <c r="F59" s="299">
        <f>SUM(F60:F62)</f>
        <v>42</v>
      </c>
      <c r="G59" s="357"/>
      <c r="H59" s="358"/>
      <c r="I59" s="359"/>
    </row>
    <row r="60" spans="2:9" ht="15" customHeight="1" x14ac:dyDescent="0.25">
      <c r="B60" s="293"/>
      <c r="C60" s="285" t="s">
        <v>31</v>
      </c>
      <c r="D60" s="294" t="s">
        <v>50</v>
      </c>
      <c r="E60" s="287"/>
      <c r="F60" s="297">
        <v>6</v>
      </c>
      <c r="G60" s="357"/>
      <c r="H60" s="358"/>
      <c r="I60" s="359"/>
    </row>
    <row r="61" spans="2:9" ht="15" customHeight="1" x14ac:dyDescent="0.25">
      <c r="B61" s="293"/>
      <c r="C61" s="285" t="s">
        <v>31</v>
      </c>
      <c r="D61" s="294" t="s">
        <v>55</v>
      </c>
      <c r="E61" s="287"/>
      <c r="F61" s="297">
        <v>12</v>
      </c>
      <c r="G61" s="357"/>
      <c r="H61" s="358"/>
      <c r="I61" s="359"/>
    </row>
    <row r="62" spans="2:9" ht="15" customHeight="1" x14ac:dyDescent="0.25">
      <c r="B62" s="293"/>
      <c r="C62" s="285" t="s">
        <v>31</v>
      </c>
      <c r="D62" s="294" t="s">
        <v>56</v>
      </c>
      <c r="E62" s="287"/>
      <c r="F62" s="297">
        <v>24</v>
      </c>
      <c r="G62" s="357"/>
      <c r="H62" s="358"/>
      <c r="I62" s="359"/>
    </row>
    <row r="63" spans="2:9" ht="15" customHeight="1" x14ac:dyDescent="0.25">
      <c r="B63" s="284">
        <v>13</v>
      </c>
      <c r="C63" s="292" t="s">
        <v>57</v>
      </c>
      <c r="D63" s="292"/>
      <c r="E63" s="287"/>
      <c r="F63" s="299">
        <f>SUM(F64:F65)</f>
        <v>18</v>
      </c>
      <c r="G63" s="357"/>
      <c r="H63" s="358"/>
      <c r="I63" s="359"/>
    </row>
    <row r="64" spans="2:9" ht="15" customHeight="1" x14ac:dyDescent="0.25">
      <c r="B64" s="293"/>
      <c r="C64" s="285" t="s">
        <v>31</v>
      </c>
      <c r="D64" s="294" t="s">
        <v>50</v>
      </c>
      <c r="E64" s="287"/>
      <c r="F64" s="297">
        <v>6</v>
      </c>
      <c r="G64" s="357"/>
      <c r="H64" s="358"/>
      <c r="I64" s="359"/>
    </row>
    <row r="65" spans="2:9" ht="15" customHeight="1" x14ac:dyDescent="0.25">
      <c r="B65" s="293"/>
      <c r="C65" s="285" t="s">
        <v>31</v>
      </c>
      <c r="D65" s="294" t="s">
        <v>55</v>
      </c>
      <c r="E65" s="287"/>
      <c r="F65" s="297">
        <v>12</v>
      </c>
      <c r="G65" s="357"/>
      <c r="H65" s="358"/>
      <c r="I65" s="359"/>
    </row>
    <row r="66" spans="2:9" ht="15" customHeight="1" thickBot="1" x14ac:dyDescent="0.3">
      <c r="B66" s="288">
        <v>14</v>
      </c>
      <c r="C66" s="290" t="s">
        <v>58</v>
      </c>
      <c r="D66" s="295"/>
      <c r="E66" s="291"/>
      <c r="F66" s="298">
        <v>0</v>
      </c>
      <c r="G66" s="360"/>
      <c r="H66" s="361"/>
      <c r="I66" s="362"/>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5">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287</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288</v>
      </c>
      <c r="I7" s="19"/>
      <c r="J7" s="37"/>
      <c r="K7" s="37"/>
      <c r="L7" s="37"/>
      <c r="M7" s="37"/>
      <c r="N7" s="37"/>
      <c r="O7" s="37"/>
    </row>
    <row r="8" spans="2:15" x14ac:dyDescent="0.3">
      <c r="B8" s="194"/>
      <c r="C8" s="194" t="s">
        <v>289</v>
      </c>
      <c r="D8" s="194" t="s">
        <v>290</v>
      </c>
      <c r="E8" s="194" t="s">
        <v>291</v>
      </c>
      <c r="F8" s="194"/>
      <c r="G8" s="194"/>
      <c r="H8" s="238" t="s">
        <v>292</v>
      </c>
      <c r="I8" s="239"/>
      <c r="J8" s="238"/>
      <c r="K8" s="238"/>
      <c r="L8" s="238"/>
      <c r="M8" s="238"/>
      <c r="N8" s="238"/>
      <c r="O8" s="37"/>
    </row>
    <row r="9" spans="2:15" x14ac:dyDescent="0.3">
      <c r="B9" s="194"/>
      <c r="C9" s="194" t="s">
        <v>293</v>
      </c>
      <c r="D9" s="194" t="s">
        <v>290</v>
      </c>
      <c r="E9" s="195" t="s">
        <v>294</v>
      </c>
      <c r="F9" s="194"/>
      <c r="G9" s="194"/>
      <c r="H9" s="218"/>
      <c r="I9" s="19"/>
      <c r="J9" s="37"/>
      <c r="K9" s="37"/>
      <c r="L9" s="37"/>
      <c r="M9" s="37"/>
      <c r="N9" s="37"/>
      <c r="O9" s="37"/>
    </row>
    <row r="10" spans="2:15" x14ac:dyDescent="0.3">
      <c r="B10" s="194"/>
      <c r="C10" s="194" t="s">
        <v>295</v>
      </c>
      <c r="D10" s="194" t="s">
        <v>290</v>
      </c>
      <c r="E10" s="194" t="s">
        <v>296</v>
      </c>
      <c r="F10" s="194"/>
      <c r="G10" s="194"/>
      <c r="H10" s="218"/>
      <c r="I10" s="19"/>
      <c r="J10" s="37"/>
      <c r="K10" s="37"/>
      <c r="L10" s="37"/>
      <c r="M10" s="37"/>
      <c r="N10" s="37"/>
      <c r="O10" s="37"/>
    </row>
    <row r="11" spans="2:15" x14ac:dyDescent="0.3">
      <c r="B11" s="194"/>
      <c r="C11" s="194" t="s">
        <v>297</v>
      </c>
      <c r="D11" s="194" t="s">
        <v>290</v>
      </c>
      <c r="E11" s="221" t="s">
        <v>298</v>
      </c>
      <c r="F11" s="196"/>
      <c r="G11" s="194"/>
      <c r="H11" s="218"/>
      <c r="I11" s="19"/>
      <c r="J11" s="37"/>
      <c r="K11" s="37"/>
      <c r="L11" s="37"/>
      <c r="M11" s="37"/>
      <c r="N11" s="37"/>
      <c r="O11" s="37"/>
    </row>
    <row r="12" spans="2:15" x14ac:dyDescent="0.3">
      <c r="B12" s="194"/>
      <c r="C12" s="194" t="s">
        <v>299</v>
      </c>
      <c r="D12" s="194" t="s">
        <v>290</v>
      </c>
      <c r="E12" s="218" t="s">
        <v>300</v>
      </c>
      <c r="F12" s="218"/>
      <c r="G12" s="194"/>
      <c r="H12" s="218"/>
      <c r="I12" s="19"/>
      <c r="J12" s="37"/>
      <c r="K12" s="37"/>
      <c r="L12" s="37"/>
      <c r="M12" s="37"/>
      <c r="N12" s="37"/>
      <c r="O12" s="37"/>
    </row>
    <row r="13" spans="2:15" x14ac:dyDescent="0.3">
      <c r="B13" s="194"/>
      <c r="C13" s="194" t="s">
        <v>301</v>
      </c>
      <c r="D13" s="194" t="s">
        <v>290</v>
      </c>
      <c r="E13" s="222" t="s">
        <v>302</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303</v>
      </c>
      <c r="G16" s="206" t="s">
        <v>304</v>
      </c>
      <c r="H16" s="233" t="s">
        <v>305</v>
      </c>
    </row>
    <row r="17" spans="2:8" ht="15" customHeight="1" x14ac:dyDescent="0.3">
      <c r="B17" s="214" t="s">
        <v>306</v>
      </c>
      <c r="C17" s="214"/>
      <c r="D17" s="214"/>
      <c r="E17" s="214"/>
      <c r="F17" s="228">
        <v>10</v>
      </c>
      <c r="G17" s="215">
        <v>100</v>
      </c>
      <c r="H17" s="225">
        <v>100</v>
      </c>
    </row>
    <row r="18" spans="2:8" ht="15" customHeight="1" x14ac:dyDescent="0.3">
      <c r="B18" s="214" t="s">
        <v>307</v>
      </c>
      <c r="C18" s="214"/>
      <c r="D18" s="214"/>
      <c r="E18" s="219"/>
      <c r="F18" s="229"/>
      <c r="G18" s="219"/>
      <c r="H18" s="226"/>
    </row>
    <row r="19" spans="2:8" ht="15" customHeight="1" x14ac:dyDescent="0.3">
      <c r="B19" s="220" t="s">
        <v>131</v>
      </c>
      <c r="C19" s="214" t="s">
        <v>308</v>
      </c>
      <c r="D19" s="214"/>
      <c r="E19" s="219"/>
      <c r="F19" s="228" t="s">
        <v>17</v>
      </c>
      <c r="G19" s="215" t="s">
        <v>17</v>
      </c>
      <c r="H19" s="225" t="s">
        <v>17</v>
      </c>
    </row>
    <row r="20" spans="2:8" ht="15" customHeight="1" x14ac:dyDescent="0.3">
      <c r="B20" s="220" t="s">
        <v>131</v>
      </c>
      <c r="C20" s="214" t="s">
        <v>309</v>
      </c>
      <c r="D20" s="214"/>
      <c r="E20" s="219"/>
      <c r="F20" s="228" t="s">
        <v>17</v>
      </c>
      <c r="G20" s="215" t="s">
        <v>17</v>
      </c>
      <c r="H20" s="225" t="s">
        <v>17</v>
      </c>
    </row>
    <row r="21" spans="2:8" ht="15" customHeight="1" x14ac:dyDescent="0.3">
      <c r="B21" s="220" t="s">
        <v>131</v>
      </c>
      <c r="C21" s="214" t="s">
        <v>310</v>
      </c>
      <c r="D21" s="214"/>
      <c r="E21" s="219"/>
      <c r="F21" s="228" t="s">
        <v>17</v>
      </c>
      <c r="G21" s="215" t="s">
        <v>17</v>
      </c>
      <c r="H21" s="225" t="s">
        <v>17</v>
      </c>
    </row>
    <row r="22" spans="2:8" ht="15" customHeight="1" x14ac:dyDescent="0.3">
      <c r="B22" s="220" t="s">
        <v>131</v>
      </c>
      <c r="C22" s="214" t="s">
        <v>311</v>
      </c>
      <c r="D22" s="214"/>
      <c r="E22" s="219"/>
      <c r="F22" s="228" t="s">
        <v>17</v>
      </c>
      <c r="G22" s="215" t="s">
        <v>17</v>
      </c>
      <c r="H22" s="225" t="s">
        <v>17</v>
      </c>
    </row>
    <row r="23" spans="2:8" ht="15" customHeight="1" x14ac:dyDescent="0.3">
      <c r="B23" s="220" t="s">
        <v>131</v>
      </c>
      <c r="C23" s="214" t="s">
        <v>312</v>
      </c>
      <c r="D23" s="214"/>
      <c r="E23" s="219"/>
      <c r="F23" s="228" t="s">
        <v>17</v>
      </c>
      <c r="G23" s="215" t="s">
        <v>17</v>
      </c>
      <c r="H23" s="225" t="s">
        <v>17</v>
      </c>
    </row>
    <row r="24" spans="2:8" ht="15" customHeight="1" x14ac:dyDescent="0.3">
      <c r="B24" s="220" t="s">
        <v>131</v>
      </c>
      <c r="C24" s="214" t="s">
        <v>313</v>
      </c>
      <c r="D24" s="214"/>
      <c r="E24" s="214"/>
      <c r="F24" s="230" t="s">
        <v>314</v>
      </c>
      <c r="G24" s="216" t="s">
        <v>315</v>
      </c>
      <c r="H24" s="227" t="s">
        <v>315</v>
      </c>
    </row>
    <row r="25" spans="2:8" ht="15" customHeight="1" x14ac:dyDescent="0.3">
      <c r="B25" s="214" t="s">
        <v>316</v>
      </c>
      <c r="C25" s="214"/>
      <c r="D25" s="214"/>
      <c r="E25" s="214"/>
      <c r="F25" s="228" t="s">
        <v>317</v>
      </c>
      <c r="G25" s="215" t="s">
        <v>317</v>
      </c>
      <c r="H25" s="225" t="s">
        <v>318</v>
      </c>
    </row>
    <row r="26" spans="2:8" ht="15" customHeight="1" x14ac:dyDescent="0.3">
      <c r="B26" s="214" t="s">
        <v>319</v>
      </c>
      <c r="C26" s="214"/>
      <c r="D26" s="214"/>
      <c r="E26" s="214"/>
      <c r="F26" s="228" t="s">
        <v>67</v>
      </c>
      <c r="G26" s="215" t="s">
        <v>320</v>
      </c>
      <c r="H26" s="225" t="s">
        <v>321</v>
      </c>
    </row>
    <row r="27" spans="2:8" ht="15" customHeight="1" x14ac:dyDescent="0.3">
      <c r="B27" s="214" t="s">
        <v>322</v>
      </c>
      <c r="C27" s="214"/>
      <c r="D27" s="214"/>
      <c r="E27" s="214"/>
      <c r="F27" s="228" t="s">
        <v>67</v>
      </c>
      <c r="G27" s="215" t="s">
        <v>67</v>
      </c>
      <c r="H27" s="225" t="s">
        <v>17</v>
      </c>
    </row>
    <row r="28" spans="2:8" ht="15" customHeight="1" x14ac:dyDescent="0.3">
      <c r="B28" s="214" t="s">
        <v>323</v>
      </c>
      <c r="C28" s="214"/>
      <c r="D28" s="214"/>
      <c r="E28" s="214"/>
      <c r="F28" s="228" t="s">
        <v>317</v>
      </c>
      <c r="G28" s="215" t="s">
        <v>324</v>
      </c>
      <c r="H28" s="225" t="s">
        <v>324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325</v>
      </c>
      <c r="H33" s="217" t="s">
        <v>326</v>
      </c>
    </row>
    <row r="35" spans="2:8" ht="15.6" x14ac:dyDescent="0.3">
      <c r="B35" s="421" t="s">
        <v>327</v>
      </c>
      <c r="C35" s="421"/>
      <c r="D35" s="421"/>
      <c r="E35" s="421"/>
      <c r="F35" s="421"/>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ht="13.8" x14ac:dyDescent="0.3">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1</v>
      </c>
      <c r="DR3" s="319">
        <f>SUMPRODUCT((DQ3:DQ8=DQ3)*(DN3:DN8&gt;DN3))</f>
        <v>2</v>
      </c>
      <c r="DS3" s="319">
        <f>SUMPRODUCT((DQ3:DQ8=DQ3)*(DN3:DN8=DN3)*(DL3:DL8&gt;DL3))</f>
        <v>0</v>
      </c>
      <c r="DT3" s="319">
        <f>SUMPRODUCT((DQ3:DQ8=DQ3)*(DN3:DN8=DN3)*(DL3:DL8=DL3)*(DP3:DP8&gt;DP3))</f>
        <v>0</v>
      </c>
      <c r="DU3" s="319">
        <f>IF('Player Scoreboard'!B20="© 2024 | journalSHEET.com",SUM(DQ3:DT3),1)</f>
        <v>3</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1</v>
      </c>
      <c r="DR4" s="319">
        <f>SUMPRODUCT((DQ3:DQ8=DQ4)*(DN3:DN8&gt;DN4))</f>
        <v>1</v>
      </c>
      <c r="DS4" s="319">
        <f>SUMPRODUCT((DQ3:DQ8=DQ4)*(DN3:DN8=DN4)*(DL3:DL8&gt;DL4))</f>
        <v>0</v>
      </c>
      <c r="DT4" s="319">
        <f>SUMPRODUCT((DQ3:DQ8=DQ4)*(DN3:DN8=DN4)*(DL3:DL8=DL4)*(DP3:DP8&gt;DP4))</f>
        <v>0</v>
      </c>
      <c r="DU4" s="319">
        <f t="shared" ref="DU4:DU8" si="163">SUM(DQ4:DT4)</f>
        <v>2</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1</v>
      </c>
      <c r="DK5" s="320">
        <f>Matches!W19</f>
        <v>0</v>
      </c>
      <c r="DL5" s="320">
        <f>Matches!X19</f>
        <v>1</v>
      </c>
      <c r="DM5" s="320">
        <f>Matches!Z19</f>
        <v>1</v>
      </c>
      <c r="DN5" s="320">
        <f>Matches!AA19</f>
        <v>0</v>
      </c>
      <c r="DO5" s="320">
        <f>Matches!AB19</f>
        <v>1</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4</v>
      </c>
      <c r="DR6" s="319">
        <f>SUMPRODUCT((DQ3:DQ8=DQ6)*(DN3:DN8&gt;DN6))</f>
        <v>0</v>
      </c>
      <c r="DS6" s="319">
        <f>SUMPRODUCT((DQ3:DQ8=DQ6)*(DN3:DN8=DN6)*(DL3:DL8&gt;DL6))</f>
        <v>0</v>
      </c>
      <c r="DT6" s="319">
        <f>SUMPRODUCT((DQ3:DQ8=DQ6)*(DN3:DN8=DN6)*(DL3:DL8=DL6)*(DP3:DP8&gt;DP6))</f>
        <v>1</v>
      </c>
      <c r="DU6" s="319">
        <f t="shared" si="163"/>
        <v>5</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4</v>
      </c>
      <c r="DR7" s="319">
        <f>SUMPRODUCT((DQ3:DQ8=DQ7)*(DN3:DN8&gt;DN7))</f>
        <v>0</v>
      </c>
      <c r="DS7" s="319">
        <f>SUMPRODUCT((DQ3:DQ8=DQ7)*(DN3:DN8=DN7)*(DL3:DL8&gt;DL7))</f>
        <v>2</v>
      </c>
      <c r="DT7" s="319">
        <f>SUMPRODUCT((DQ3:DQ8=DQ7)*(DN3:DN8=DN7)*(DL3:DL8=DL7)*(DP3:DP8&gt;DP7))</f>
        <v>0</v>
      </c>
      <c r="DU7" s="319">
        <f t="shared" si="163"/>
        <v>6</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4</v>
      </c>
      <c r="DR8" s="319">
        <f>SUMPRODUCT((DQ3:DQ8=DQ8)*(DN3:DN8&gt;DN8))</f>
        <v>0</v>
      </c>
      <c r="DS8" s="319">
        <f>SUMPRODUCT((DQ3:DQ8=DQ8)*(DN3:DN8=DN8)*(DL3:DL8&gt;DL8))</f>
        <v>0</v>
      </c>
      <c r="DT8" s="319">
        <f>SUMPRODUCT((DQ3:DQ8=DQ8)*(DN3:DN8=DN8)*(DL3:DL8=DL8)*(DP3:DP8&gt;DP8))</f>
        <v>0</v>
      </c>
      <c r="DU8" s="319">
        <f t="shared" si="163"/>
        <v>4</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0</v>
      </c>
      <c r="F11" s="319">
        <f>SUMIF(CZ3:CZ60,B11,DA3:DA60)+SUMIF(DC3:DC60,B11,DB3:DB60)</f>
        <v>2</v>
      </c>
      <c r="G11" s="319">
        <f>SUMIF(DC3:DC60,B11,DA3:DA60)+SUMIF(CZ3:CZ60,B11,DB3:DB60)</f>
        <v>1</v>
      </c>
      <c r="H11" s="319">
        <f t="shared" ref="H11:H14" si="2706">F11-G11+1000</f>
        <v>1001</v>
      </c>
      <c r="I11" s="319">
        <f t="shared" ref="I11:I14" si="2707">C11*3+D11*1</f>
        <v>3</v>
      </c>
      <c r="J11" s="319">
        <v>36</v>
      </c>
      <c r="K11" s="319">
        <f>IF(COUNTIF(I11:I15,4)&lt;&gt;4,RANK(I11,I11:I15),I51)</f>
        <v>1</v>
      </c>
      <c r="L11" s="319"/>
      <c r="M11" s="319">
        <f>SUMPRODUCT((K11:K14=K11)*(J11:J14&lt;J11))+K11</f>
        <v>1</v>
      </c>
      <c r="N11" s="319" t="str">
        <f>INDEX(B11:B15,MATCH(1,M11:M15,0),0)</f>
        <v>Italy</v>
      </c>
      <c r="O11" s="319">
        <f>INDEX(K11:K15,MATCH(N11,B11:B15,0),0)</f>
        <v>1</v>
      </c>
      <c r="P11" s="319" t="str">
        <f>IF(O12=1,N11,"")</f>
        <v>Italy</v>
      </c>
      <c r="Q11" s="319" t="str">
        <f>IF(O13=2,N12,"")</f>
        <v/>
      </c>
      <c r="R11" s="319" t="str">
        <f>IF(O14=3,N13,"")</f>
        <v>Croatia</v>
      </c>
      <c r="S11" s="319" t="str">
        <f>IF(O15=4,N14,"")</f>
        <v/>
      </c>
      <c r="T11" s="319"/>
      <c r="U11" s="319" t="str">
        <f>IF(P11&lt;&gt;"",P11,"")</f>
        <v>Italy</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f t="shared" ref="AB11:AB14" si="2708">IF(U11&lt;&gt;"",V11*3+W11*1,"")</f>
        <v>0</v>
      </c>
      <c r="AC11" s="319">
        <f>IF(U11&lt;&gt;"",VLOOKUP(U11,B4:H40,7,FALSE),"")</f>
        <v>1001</v>
      </c>
      <c r="AD11" s="319">
        <f>IF(U11&lt;&gt;"",VLOOKUP(U11,B4:H40,5,FALSE),"")</f>
        <v>2</v>
      </c>
      <c r="AE11" s="319">
        <f>IF(U11&lt;&gt;"",VLOOKUP(U11,B4:J40,9,FALSE),"")</f>
        <v>36</v>
      </c>
      <c r="AF11" s="319">
        <f t="shared" ref="AF11:AF14" si="2709">AB11</f>
        <v>0</v>
      </c>
      <c r="AG11" s="319">
        <f>IF(U11&lt;&gt;"",RANK(AF11,AF11:AF15),"")</f>
        <v>1</v>
      </c>
      <c r="AH11" s="319">
        <f>IF(U11&lt;&gt;"",SUMPRODUCT((AF11:AF15=AF11)*(AA11:AA15&gt;AA11)),"")</f>
        <v>0</v>
      </c>
      <c r="AI11" s="319">
        <f>IF(U11&lt;&gt;"",SUMPRODUCT((AF11:AF15=AF11)*(AA11:AA15=AA11)*(Y11:Y15&gt;Y11)),"")</f>
        <v>0</v>
      </c>
      <c r="AJ11" s="319">
        <f>IF(U11&lt;&gt;"",SUMPRODUCT((AF11:AF15=AF11)*(AA11:AA15=AA11)*(Y11:Y15=Y11)*(AC11:AC15&gt;AC11)),"")</f>
        <v>1</v>
      </c>
      <c r="AK11" s="319">
        <f>IF(U11&lt;&gt;"",SUMPRODUCT((AF11:AF15=AF11)*(AA11:AA15=AA11)*(Y11:Y15=Y11)*(AC11:AC15=AC11)*(AD11:AD15&gt;AD11)),"")</f>
        <v>0</v>
      </c>
      <c r="AL11" s="319">
        <f>IF(U11&lt;&gt;"",SUMPRODUCT((AF11:AF15=AF11)*(AA11:AA15=AA11)*(Y11:Y15=Y11)*(AC11:AC15=AC11)*(AD11:AD15=AD11)*(AE11:AE15&gt;AE11)),"")</f>
        <v>0</v>
      </c>
      <c r="AM11" s="319">
        <f>IF(U11&lt;&gt;"",IF(AM51&lt;&gt;"",IF(T50=3,AM51,AM51+T50),SUM(AG11:AL11)),"")</f>
        <v>2</v>
      </c>
      <c r="AN11" s="319" t="str">
        <f>IF(U11&lt;&gt;"",INDEX(U11:U15,MATCH(1,AM11:AM15,0),0),"")</f>
        <v>Spain</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Spain</v>
      </c>
      <c r="O12" s="319">
        <f>INDEX(K11:K15,MATCH(N12,B11:B15,0),0)</f>
        <v>1</v>
      </c>
      <c r="P12" s="319" t="str">
        <f>IF(P11&lt;&gt;"",N12,"")</f>
        <v>Spain</v>
      </c>
      <c r="Q12" s="319" t="str">
        <f>IF(Q11&lt;&gt;"",N13,"")</f>
        <v/>
      </c>
      <c r="R12" s="319" t="str">
        <f>IF(R11&lt;&gt;"",N14,"")</f>
        <v>Albania</v>
      </c>
      <c r="S12" s="319" t="str">
        <f>IF(S11&lt;&gt;"",N15,"")</f>
        <v/>
      </c>
      <c r="T12" s="319"/>
      <c r="U12" s="319" t="str">
        <f t="shared" ref="U12:U14" si="3051">IF(P12&lt;&gt;"",P12,"")</f>
        <v>Spain</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f t="shared" si="2708"/>
        <v>0</v>
      </c>
      <c r="AC12" s="319">
        <f>IF(U12&lt;&gt;"",VLOOKUP(U12,B4:H40,7,FALSE),"")</f>
        <v>1003</v>
      </c>
      <c r="AD12" s="319">
        <f>IF(U12&lt;&gt;"",VLOOKUP(U12,B4:H40,5,FALSE),"")</f>
        <v>3</v>
      </c>
      <c r="AE12" s="319">
        <f>IF(U12&lt;&gt;"",VLOOKUP(U12,B4:J40,9,FALSE),"")</f>
        <v>51</v>
      </c>
      <c r="AF12" s="319">
        <f t="shared" si="2709"/>
        <v>0</v>
      </c>
      <c r="AG12" s="319">
        <f>IF(U12&lt;&gt;"",RANK(AF12,AF11:AF15),"")</f>
        <v>1</v>
      </c>
      <c r="AH12" s="319">
        <f>IF(U12&lt;&gt;"",SUMPRODUCT((AF11:AF15=AF12)*(AA11:AA15&gt;AA12)),"")</f>
        <v>0</v>
      </c>
      <c r="AI12" s="319">
        <f>IF(U12&lt;&gt;"",SUMPRODUCT((AF11:AF15=AF12)*(AA11:AA15=AA12)*(Y11:Y15&gt;Y12)),"")</f>
        <v>0</v>
      </c>
      <c r="AJ12" s="319">
        <f>IF(U12&lt;&gt;"",SUMPRODUCT((AF11:AF15=AF12)*(AA11:AA15=AA12)*(Y11:Y15=Y12)*(AC11:AC15&gt;AC12)),"")</f>
        <v>0</v>
      </c>
      <c r="AK12" s="319">
        <f>IF(U12&lt;&gt;"",SUMPRODUCT((AF11:AF15=AF12)*(AA11:AA15=AA12)*(Y11:Y15=Y12)*(AC11:AC15=AC12)*(AD11:AD15&gt;AD12)),"")</f>
        <v>0</v>
      </c>
      <c r="AL12" s="319">
        <f>IF(U12&lt;&gt;"",SUMPRODUCT((AF11:AF15=AF12)*(AA11:AA15=AA12)*(Y11:Y15=Y12)*(AC11:AC15=AC12)*(AD11:AD15=AD12)*(AE11:AE15&gt;AE12)),"")</f>
        <v>0</v>
      </c>
      <c r="AM12" s="319">
        <f>IF(U12&lt;&gt;"",IF(AM52&lt;&gt;"",IF(T50=3,AM52,AM52+T50),SUM(AG12:AL12)),"")</f>
        <v>1</v>
      </c>
      <c r="AN12" s="319" t="str">
        <f>IF(U12&lt;&gt;"",INDEX(U11:U15,MATCH(2,AM11:AM15,0),0),"")</f>
        <v>Italy</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C</v>
      </c>
      <c r="DR12" s="326" t="str">
        <f>Matches!AC40</f>
        <v>B</v>
      </c>
      <c r="DS12" s="326" t="str">
        <f>Matches!AC41</f>
        <v>A</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1</v>
      </c>
      <c r="D13" s="319">
        <f>SUMPRODUCT((CZ3:CZ42=B13)*(DD3:DD42="D"))+SUMPRODUCT((DC3:DC42=B13)*(DE3:DE42="D"))</f>
        <v>0</v>
      </c>
      <c r="E13" s="319">
        <f>SUMPRODUCT((CZ3:CZ42=B13)*(DD3:DD42="L"))+SUMPRODUCT((DC3:DC42=B13)*(DE3:DE42="L"))</f>
        <v>0</v>
      </c>
      <c r="F13" s="319">
        <f>SUMIF(CZ3:CZ60,B13,DA3:DA60)+SUMIF(DC3:DC60,B13,DB3:DB60)</f>
        <v>3</v>
      </c>
      <c r="G13" s="319">
        <f>SUMIF(DC3:DC60,B13,DA3:DA60)+SUMIF(CZ3:CZ60,B13,DB3:DB60)</f>
        <v>0</v>
      </c>
      <c r="H13" s="319">
        <f t="shared" si="2706"/>
        <v>1003</v>
      </c>
      <c r="I13" s="319">
        <f t="shared" si="2707"/>
        <v>3</v>
      </c>
      <c r="J13" s="319">
        <v>51</v>
      </c>
      <c r="K13" s="319">
        <f>IF(COUNTIF(I11:I15,4)&lt;&gt;4,RANK(I13,I11:I15),I53)</f>
        <v>1</v>
      </c>
      <c r="L13" s="319"/>
      <c r="M13" s="319">
        <f>SUMPRODUCT((K11:K14=K13)*(J11:J14&lt;J13))+K13</f>
        <v>2</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3</v>
      </c>
      <c r="DR13" s="326">
        <f>IFERROR(MATCH(DR12,DH13:DK13,0),0)</f>
        <v>2</v>
      </c>
      <c r="DS13" s="326">
        <f>IFERROR(MATCH(DS12,DH13:DK13,0),0)</f>
        <v>1</v>
      </c>
      <c r="DT13" s="326">
        <f>IFERROR(MATCH(DT12,DH13:DK13,0),0)</f>
        <v>0</v>
      </c>
      <c r="DU13" s="326">
        <f t="shared" ref="DU13:DU27" si="3541">SUM(DQ13:DT13)</f>
        <v>6</v>
      </c>
      <c r="DV13" s="325"/>
      <c r="DW13" s="325" t="str">
        <f>INDEX(DH3:DH8,MATCH(1,DU3:DU8,0),0)</f>
        <v>Slovenia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3</v>
      </c>
      <c r="DR14" s="326">
        <f>IFERROR(MATCH(DR12,DH14:DK14,0),0)</f>
        <v>2</v>
      </c>
      <c r="DS14" s="326">
        <f>IFERROR(MATCH(DS12,DH14:DK14,0),0)</f>
        <v>1</v>
      </c>
      <c r="DT14" s="326">
        <f>IFERROR(MATCH(DT12,DH14:DK14,0),0)</f>
        <v>0</v>
      </c>
      <c r="DU14" s="326">
        <f t="shared" si="3541"/>
        <v>6</v>
      </c>
      <c r="DV14" s="325"/>
      <c r="DW14" s="325" t="str">
        <f>INDEX(DH3:DH8,MATCH(2,DU3:DU8,0),0)</f>
        <v>Albania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3</v>
      </c>
      <c r="DR15" s="326">
        <f>IFERROR(MATCH(DR12,DH15:DK15,0),0)</f>
        <v>2</v>
      </c>
      <c r="DS15" s="326">
        <f>IFERROR(MATCH(DS12,DH15:DK15,0),0)</f>
        <v>1</v>
      </c>
      <c r="DT15" s="326">
        <f>IFERROR(MATCH(DT12,DH15:DK15,0),0)</f>
        <v>4</v>
      </c>
      <c r="DU15" s="326">
        <f t="shared" si="3541"/>
        <v>10</v>
      </c>
      <c r="DV15" s="325"/>
      <c r="DW15" s="325" t="str">
        <f>INDEX(DH3:DH8,MATCH(3,DU3:DU8,0),0)</f>
        <v>Scotland</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0</v>
      </c>
      <c r="DR16" s="326">
        <f>IFERROR(MATCH(DR12,DH16:DK16,0),0)</f>
        <v>2</v>
      </c>
      <c r="DS16" s="326">
        <f>IFERROR(MATCH(DS12,DH16:DK16,0),0)</f>
        <v>1</v>
      </c>
      <c r="DT16" s="326">
        <f>IFERROR(MATCH(DT12,DH16:DK16,0),0)</f>
        <v>0</v>
      </c>
      <c r="DU16" s="326">
        <f t="shared" si="3541"/>
        <v>3</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0</v>
      </c>
      <c r="DR17" s="326">
        <f>IFERROR(MATCH(DR12,DH17:DK17,0),0)</f>
        <v>2</v>
      </c>
      <c r="DS17" s="326">
        <f>IFERROR(MATCH(DS12,DH17:DK17,0),0)</f>
        <v>1</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0</v>
      </c>
      <c r="E18" s="319">
        <f>SUMPRODUCT((CZ3:CZ42=B18)*(DD3:DD42="L"))+SUMPRODUCT((DC3:DC42=B18)*(DE3:DE42="L"))</f>
        <v>1</v>
      </c>
      <c r="F18" s="319">
        <f>SUMIF(CZ3:CZ60,B18,DA3:DA60)+SUMIF(DC3:DC60,B18,DB3:DB60)</f>
        <v>0</v>
      </c>
      <c r="G18" s="319">
        <f>SUMIF(DC3:DC60,B18,DA3:DA60)+SUMIF(CZ3:CZ60,B18,DB3:DB60)</f>
        <v>1</v>
      </c>
      <c r="H18" s="319">
        <f t="shared" ref="H18:H21" si="5039">F18-G18+1000</f>
        <v>999</v>
      </c>
      <c r="I18" s="319">
        <f t="shared" ref="I18:I21" si="5040">C18*3+D18*1</f>
        <v>0</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0</v>
      </c>
      <c r="DB18" s="319">
        <f>IF(AND(Matches!I23&lt;&gt;"",Matches!H23&lt;&gt;""),Matches!I23,0)</f>
        <v>0</v>
      </c>
      <c r="DC18" s="319" t="str">
        <f>Matches!J23</f>
        <v>Italy</v>
      </c>
      <c r="DD18" s="319" t="str">
        <f>IF(AND(Matches!H23&lt;&gt;"",Matches!I23&lt;&gt;""),IF(DA18&gt;DB18,"W",IF(DA18=DB18,"D","L")),"")</f>
        <v/>
      </c>
      <c r="DE18" s="319" t="str">
        <f t="shared" si="162"/>
        <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2</v>
      </c>
      <c r="DS18" s="326">
        <f>IFERROR(MATCH(DS12,DH18:DK18,0),0)</f>
        <v>1</v>
      </c>
      <c r="DT18" s="326">
        <f>IFERROR(MATCH(DT12,DH18:DK18,0),0)</f>
        <v>4</v>
      </c>
      <c r="DU18" s="326">
        <f t="shared" si="3541"/>
        <v>7</v>
      </c>
      <c r="DV18" s="325" t="s">
        <v>362</v>
      </c>
      <c r="DW18" s="325" t="str">
        <f>INDEX(DH3:DH8,MATCH(INDEX(DL13:DL27,MATCH(10,DU13:DU27,0),0),DV3:DV8,0),0)</f>
        <v>Scotland</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0</v>
      </c>
      <c r="E19" s="319">
        <f>SUMPRODUCT((CZ3:CZ42=B19)*(DD3:DD42="L"))+SUMPRODUCT((DC3:DC42=B19)*(DE3:DE42="L"))</f>
        <v>0</v>
      </c>
      <c r="F19" s="319">
        <f>SUMIF(CZ3:CZ60,B19,DA3:DA60)+SUMIF(DC3:DC60,B19,DB3:DB60)</f>
        <v>1</v>
      </c>
      <c r="G19" s="319">
        <f>SUMIF(DC3:DC60,B19,DA3:DA60)+SUMIF(CZ3:CZ60,B19,DB3:DB60)</f>
        <v>0</v>
      </c>
      <c r="H19" s="319">
        <f t="shared" si="5039"/>
        <v>1001</v>
      </c>
      <c r="I19" s="319">
        <f t="shared" si="5040"/>
        <v>3</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1</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0</v>
      </c>
      <c r="DB19" s="319">
        <f>IF(License!G14="Musa",IF(AND(Matches!I24&lt;&gt;"",Matches!H24&lt;&gt;""),Matches!I24,0),1)</f>
        <v>0</v>
      </c>
      <c r="DC19" s="319" t="str">
        <f>Matches!J24</f>
        <v>England</v>
      </c>
      <c r="DD19" s="319" t="str">
        <f>IF(AND(Matches!H24&lt;&gt;"",Matches!I24&lt;&gt;""),IF(DA19&gt;DB19,"W",IF(DA19=DB19,"D","L")),"")</f>
        <v/>
      </c>
      <c r="DE19" s="319" t="str">
        <f t="shared" si="162"/>
        <v/>
      </c>
      <c r="DF19" s="319"/>
      <c r="DG19" s="319"/>
      <c r="DH19" s="324" t="s">
        <v>105</v>
      </c>
      <c r="DI19" s="325" t="s">
        <v>107</v>
      </c>
      <c r="DJ19" s="325" t="s">
        <v>108</v>
      </c>
      <c r="DK19" s="325" t="s">
        <v>109</v>
      </c>
      <c r="DL19" s="324" t="s">
        <v>109</v>
      </c>
      <c r="DM19" s="324" t="s">
        <v>108</v>
      </c>
      <c r="DN19" s="324" t="s">
        <v>107</v>
      </c>
      <c r="DO19" s="324" t="s">
        <v>105</v>
      </c>
      <c r="DP19" s="325"/>
      <c r="DQ19" s="326">
        <f>IFERROR(MATCH(DQ12,DH19:DK19,0),0)</f>
        <v>2</v>
      </c>
      <c r="DR19" s="326">
        <f>IFERROR(MATCH(DR12,DH19:DK19,0),0)</f>
        <v>0</v>
      </c>
      <c r="DS19" s="326">
        <f>IFERROR(MATCH(DS12,DH19:DK19,0),0)</f>
        <v>1</v>
      </c>
      <c r="DT19" s="326">
        <f>IFERROR(MATCH(DT12,DH19:DK19,0),0)</f>
        <v>0</v>
      </c>
      <c r="DU19" s="326">
        <f t="shared" si="3541"/>
        <v>3</v>
      </c>
      <c r="DV19" s="325" t="s">
        <v>357</v>
      </c>
      <c r="DW19" s="325" t="str">
        <f>INDEX(DH3:DH8,MATCH(INDEX(DM13:DM27,MATCH(10,DU13:DU27,0),0),DV3:DV8,0),0)</f>
        <v>Czechia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1</v>
      </c>
      <c r="E20" s="319">
        <f>SUMPRODUCT((CZ3:CZ42=B20)*(DD3:DD42="L"))+SUMPRODUCT((DC3:DC42=B20)*(DE3:DE42="L"))</f>
        <v>0</v>
      </c>
      <c r="F20" s="319">
        <f>SUMIF(CZ3:CZ60,B20,DA3:DA60)+SUMIF(DC3:DC60,B20,DB3:DB60)</f>
        <v>1</v>
      </c>
      <c r="G20" s="319">
        <f>SUMIF(DC3:DC60,B20,DA3:DA60)+SUMIF(CZ3:CZ60,B20,DB3:DB60)</f>
        <v>1</v>
      </c>
      <c r="H20" s="319">
        <f t="shared" si="5039"/>
        <v>1000</v>
      </c>
      <c r="I20" s="319">
        <f t="shared" si="5040"/>
        <v>1</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1</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0</v>
      </c>
      <c r="DB20" s="319">
        <f>IF(AND(Matches!I25&lt;&gt;"",Matches!H25&lt;&gt;""),Matches!I25,0)</f>
        <v>0</v>
      </c>
      <c r="DC20" s="319" t="str">
        <f>Matches!J25</f>
        <v>Serbia</v>
      </c>
      <c r="DD20" s="319" t="str">
        <f>IF(AND(Matches!H25&lt;&gt;"",Matches!I25&lt;&gt;""),IF(DA20&gt;DB20,"W",IF(DA20=DB20,"D","L")),"")</f>
        <v/>
      </c>
      <c r="DE20" s="319" t="str">
        <f t="shared" si="162"/>
        <v/>
      </c>
      <c r="DF20" s="319"/>
      <c r="DG20" s="319"/>
      <c r="DH20" s="324" t="s">
        <v>105</v>
      </c>
      <c r="DI20" s="325" t="s">
        <v>107</v>
      </c>
      <c r="DJ20" s="325" t="s">
        <v>108</v>
      </c>
      <c r="DK20" s="325" t="s">
        <v>110</v>
      </c>
      <c r="DL20" s="324" t="s">
        <v>110</v>
      </c>
      <c r="DM20" s="324" t="s">
        <v>108</v>
      </c>
      <c r="DN20" s="324" t="s">
        <v>107</v>
      </c>
      <c r="DO20" s="324" t="s">
        <v>105</v>
      </c>
      <c r="DP20" s="325"/>
      <c r="DQ20" s="326">
        <f>IFERROR(MATCH(DQ12,DH20:DK20,0),0)</f>
        <v>2</v>
      </c>
      <c r="DR20" s="326">
        <f>IFERROR(MATCH(DR12,DH20:DK20,0),0)</f>
        <v>0</v>
      </c>
      <c r="DS20" s="326">
        <f>IFERROR(MATCH(DS12,DH20:DK20,0),0)</f>
        <v>1</v>
      </c>
      <c r="DT20" s="326">
        <f>IFERROR(MATCH(DT12,DH20:DK20,0),0)</f>
        <v>4</v>
      </c>
      <c r="DU20" s="326">
        <f t="shared" si="3541"/>
        <v>7</v>
      </c>
      <c r="DV20" s="325" t="s">
        <v>358</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1</v>
      </c>
      <c r="E21" s="319">
        <f>SUMPRODUCT((CZ3:CZ42=B21)*(DD3:DD42="L"))+SUMPRODUCT((DC3:DC42=B21)*(DE3:DE42="L"))</f>
        <v>0</v>
      </c>
      <c r="F21" s="319">
        <f>SUMIF(CZ3:CZ60,B21,DA3:DA60)+SUMIF(DC3:DC60,B21,DB3:DB60)</f>
        <v>1</v>
      </c>
      <c r="G21" s="319">
        <f>SUMIF(DC3:DC60,B21,DA3:DA60)+SUMIF(CZ3:CZ60,B21,DB3:DB60)</f>
        <v>1</v>
      </c>
      <c r="H21" s="319">
        <f t="shared" si="5039"/>
        <v>1000</v>
      </c>
      <c r="I21" s="319">
        <f t="shared" si="5040"/>
        <v>1</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105</v>
      </c>
      <c r="DI21" s="325" t="s">
        <v>107</v>
      </c>
      <c r="DJ21" s="325" t="s">
        <v>109</v>
      </c>
      <c r="DK21" s="325" t="s">
        <v>110</v>
      </c>
      <c r="DL21" s="324" t="s">
        <v>109</v>
      </c>
      <c r="DM21" s="324" t="s">
        <v>110</v>
      </c>
      <c r="DN21" s="324" t="s">
        <v>107</v>
      </c>
      <c r="DO21" s="324" t="s">
        <v>105</v>
      </c>
      <c r="DP21" s="325"/>
      <c r="DQ21" s="326">
        <f>IFERROR(MATCH(DQ12,DH21:DK21,0),0)</f>
        <v>2</v>
      </c>
      <c r="DR21" s="326">
        <f>IFERROR(MATCH(DR12,DH21:DK21,0),0)</f>
        <v>0</v>
      </c>
      <c r="DS21" s="326">
        <f>IFERROR(MATCH(DS12,DH21:DK21,0),0)</f>
        <v>1</v>
      </c>
      <c r="DT21" s="326">
        <f>IFERROR(MATCH(DT12,DH21:DK21,0),0)</f>
        <v>4</v>
      </c>
      <c r="DU21" s="326">
        <f t="shared" si="3541"/>
        <v>7</v>
      </c>
      <c r="DV21" s="325" t="s">
        <v>363</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0</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105</v>
      </c>
      <c r="DI22" s="325" t="s">
        <v>108</v>
      </c>
      <c r="DJ22" s="325" t="s">
        <v>109</v>
      </c>
      <c r="DK22" s="325" t="s">
        <v>110</v>
      </c>
      <c r="DL22" s="324" t="s">
        <v>109</v>
      </c>
      <c r="DM22" s="324" t="s">
        <v>110</v>
      </c>
      <c r="DN22" s="324" t="s">
        <v>108</v>
      </c>
      <c r="DO22" s="324" t="s">
        <v>105</v>
      </c>
      <c r="DP22" s="325"/>
      <c r="DQ22" s="326">
        <f>IFERROR(MATCH(DQ12,DH22:DK22,0),0)</f>
        <v>0</v>
      </c>
      <c r="DR22" s="326">
        <f>IFERROR(MATCH(DR12,DH22:DK22,0),0)</f>
        <v>0</v>
      </c>
      <c r="DS22" s="326">
        <f>IFERROR(MATCH(DS12,DH22:DK22,0),0)</f>
        <v>1</v>
      </c>
      <c r="DT22" s="326">
        <f>IFERROR(MATCH(DT12,DH22:DK22,0),0)</f>
        <v>4</v>
      </c>
      <c r="DU22" s="326">
        <f t="shared" si="3541"/>
        <v>5</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106</v>
      </c>
      <c r="DI23" s="325" t="s">
        <v>107</v>
      </c>
      <c r="DJ23" s="325" t="s">
        <v>108</v>
      </c>
      <c r="DK23" s="325" t="s">
        <v>109</v>
      </c>
      <c r="DL23" s="324" t="s">
        <v>109</v>
      </c>
      <c r="DM23" s="324" t="s">
        <v>108</v>
      </c>
      <c r="DN23" s="324" t="s">
        <v>106</v>
      </c>
      <c r="DO23" s="324" t="s">
        <v>107</v>
      </c>
      <c r="DP23" s="325"/>
      <c r="DQ23" s="326">
        <f>IFERROR(MATCH(DQ12,DH23:DK23,0),0)</f>
        <v>2</v>
      </c>
      <c r="DR23" s="326">
        <f>IFERROR(MATCH(DR12,DH23:DK23,0),0)</f>
        <v>1</v>
      </c>
      <c r="DS23" s="326">
        <f>IFERROR(MATCH(DS12,DH23:DK23,0),0)</f>
        <v>0</v>
      </c>
      <c r="DT23" s="326">
        <f>IFERROR(MATCH(DT12,DH23:DK23,0),0)</f>
        <v>0</v>
      </c>
      <c r="DU23" s="326">
        <f t="shared" si="3541"/>
        <v>3</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106</v>
      </c>
      <c r="DI24" s="325" t="s">
        <v>107</v>
      </c>
      <c r="DJ24" s="325" t="s">
        <v>108</v>
      </c>
      <c r="DK24" s="325" t="s">
        <v>110</v>
      </c>
      <c r="DL24" s="324" t="s">
        <v>110</v>
      </c>
      <c r="DM24" s="324" t="s">
        <v>108</v>
      </c>
      <c r="DN24" s="324" t="s">
        <v>107</v>
      </c>
      <c r="DO24" s="324" t="s">
        <v>106</v>
      </c>
      <c r="DP24" s="325"/>
      <c r="DQ24" s="326">
        <f>IFERROR(MATCH(DQ12,DH24:DK24,0),0)</f>
        <v>2</v>
      </c>
      <c r="DR24" s="326">
        <f>IFERROR(MATCH(DR12,DH24:DK24,0),0)</f>
        <v>1</v>
      </c>
      <c r="DS24" s="326">
        <f>IFERROR(MATCH(DS12,DH24:DK24,0),0)</f>
        <v>0</v>
      </c>
      <c r="DT24" s="326">
        <f>IFERROR(MATCH(DT12,DH24:DK24,0),0)</f>
        <v>4</v>
      </c>
      <c r="DU24" s="326">
        <f t="shared" si="3541"/>
        <v>7</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106</v>
      </c>
      <c r="DI25" s="325" t="s">
        <v>107</v>
      </c>
      <c r="DJ25" s="325" t="s">
        <v>109</v>
      </c>
      <c r="DK25" s="325" t="s">
        <v>110</v>
      </c>
      <c r="DL25" s="324" t="s">
        <v>110</v>
      </c>
      <c r="DM25" s="324" t="s">
        <v>109</v>
      </c>
      <c r="DN25" s="324" t="s">
        <v>107</v>
      </c>
      <c r="DO25" s="324" t="s">
        <v>106</v>
      </c>
      <c r="DP25" s="325"/>
      <c r="DQ25" s="326">
        <f>IFERROR(MATCH(DQ12,DH25:DK25,0),0)</f>
        <v>2</v>
      </c>
      <c r="DR25" s="326">
        <f>IFERROR(MATCH(DR12,DH25:DK25,0),0)</f>
        <v>1</v>
      </c>
      <c r="DS25" s="326">
        <f>IFERROR(MATCH(DS12,DH25:DK25,0),0)</f>
        <v>0</v>
      </c>
      <c r="DT25" s="326">
        <f>IFERROR(MATCH(DT12,DH25:DK25,0),0)</f>
        <v>4</v>
      </c>
      <c r="DU25" s="326">
        <f t="shared" si="3541"/>
        <v>7</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106</v>
      </c>
      <c r="DI26" s="325" t="s">
        <v>108</v>
      </c>
      <c r="DJ26" s="325" t="s">
        <v>109</v>
      </c>
      <c r="DK26" s="325" t="s">
        <v>110</v>
      </c>
      <c r="DL26" s="324" t="s">
        <v>110</v>
      </c>
      <c r="DM26" s="324" t="s">
        <v>109</v>
      </c>
      <c r="DN26" s="324" t="s">
        <v>108</v>
      </c>
      <c r="DO26" s="324" t="s">
        <v>106</v>
      </c>
      <c r="DP26" s="325"/>
      <c r="DQ26" s="326">
        <f>IFERROR(MATCH(DQ12,DH26:DK26,0),0)</f>
        <v>0</v>
      </c>
      <c r="DR26" s="326">
        <f>IFERROR(MATCH(DR12,DH26:DK26,0),0)</f>
        <v>1</v>
      </c>
      <c r="DS26" s="326">
        <f>IFERROR(MATCH(DS12,DH26:DK26,0),0)</f>
        <v>0</v>
      </c>
      <c r="DT26" s="326">
        <f>IFERROR(MATCH(DT12,DH26:DK26,0),0)</f>
        <v>4</v>
      </c>
      <c r="DU26" s="326">
        <f t="shared" si="3541"/>
        <v>5</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107</v>
      </c>
      <c r="DI27" s="325" t="s">
        <v>108</v>
      </c>
      <c r="DJ27" s="325" t="s">
        <v>109</v>
      </c>
      <c r="DK27" s="325" t="s">
        <v>110</v>
      </c>
      <c r="DL27" s="324" t="s">
        <v>110</v>
      </c>
      <c r="DM27" s="324" t="s">
        <v>109</v>
      </c>
      <c r="DN27" s="324" t="s">
        <v>108</v>
      </c>
      <c r="DO27" s="324" t="s">
        <v>107</v>
      </c>
      <c r="DP27" s="325"/>
      <c r="DQ27" s="326">
        <f>IFERROR(MATCH(DQ12,DH27:DK27,0),0)</f>
        <v>1</v>
      </c>
      <c r="DR27" s="326">
        <f>IFERROR(MATCH(DR12,DH27:DK27,0),0)</f>
        <v>0</v>
      </c>
      <c r="DS27" s="326">
        <f>IFERROR(MATCH(DS12,DH27:DK27,0),0)</f>
        <v>0</v>
      </c>
      <c r="DT27" s="326">
        <f>IFERROR(MATCH(DT12,DH27:DK27,0),0)</f>
        <v>4</v>
      </c>
      <c r="DU27" s="326">
        <f t="shared" si="3541"/>
        <v>5</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0</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Türkiye</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1</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1</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f>IF(U11&lt;&gt;"",SUMPRODUCT((AB11:AB14=AB11)*(AA11:AA14=AA11)*(Y11:Y14=Y11)*(Z11:Z14=Z11)),"")</f>
        <v>2</v>
      </c>
      <c r="U51" s="321" t="str">
        <f>IF(AND(T51&lt;&gt;"",T51&gt;1),U11,"")</f>
        <v>Italy</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f t="shared" ref="AB51:AB54" si="14959">IF(U51&lt;&gt;"",V51*3+W51*1,"")</f>
        <v>0</v>
      </c>
      <c r="AC51" s="321">
        <f>IF(U51&lt;&gt;"",VLOOKUP(U51,B4:H40,7,FALSE),"")</f>
        <v>1001</v>
      </c>
      <c r="AD51" s="321">
        <f>IF(U51&lt;&gt;"",VLOOKUP(U51,B4:H40,5,FALSE),"")</f>
        <v>2</v>
      </c>
      <c r="AE51" s="321">
        <f>IF(U51&lt;&gt;"",VLOOKUP(U51,B4:J40,9,FALSE),"")</f>
        <v>36</v>
      </c>
      <c r="AF51" s="321">
        <f>AB51</f>
        <v>0</v>
      </c>
      <c r="AG51" s="321">
        <f>IF(U51&lt;&gt;"",RANK(AF51,AF51:AF54),"")</f>
        <v>1</v>
      </c>
      <c r="AH51" s="321">
        <f>IF(U51&lt;&gt;"",SUMPRODUCT((AF51:AF54=AF51)*(AA51:AA54&gt;AA51)),"")</f>
        <v>0</v>
      </c>
      <c r="AI51" s="321">
        <f>IF(U51&lt;&gt;"",SUMPRODUCT((AF51:AF54=AF51)*(AA51:AA54=AA51)*(Y51:Y54&gt;Y51)),"")</f>
        <v>0</v>
      </c>
      <c r="AJ51" s="321">
        <f>IF(U51&lt;&gt;"",SUMPRODUCT((AF51:AF54=AF51)*(AA51:AA54=AA51)*(Y51:Y54=Y51)*(AC51:AC54&gt;AC51)),"")</f>
        <v>1</v>
      </c>
      <c r="AK51" s="321">
        <f>IF(U51&lt;&gt;"",SUMPRODUCT((AF51:AF54=AF51)*(AA51:AA54=AA51)*(Y51:Y54=Y51)*(AC51:AC54=AC51)*(AD51:AD54&gt;AD51)),"")</f>
        <v>0</v>
      </c>
      <c r="AL51" s="321">
        <f>IF(U51&lt;&gt;"",SUMPRODUCT((AF51:AF54=AF51)*(AA51:AA54=AA51)*(Y51:Y54=Y51)*(AC51:AC54=AC51)*(AD51:AD54=AD51)*(AE51:AE54&gt;AE51)),"")</f>
        <v>0</v>
      </c>
      <c r="AM51" s="321">
        <f>IF(U51&lt;&gt;"",SUM(AG51:AL51),"")</f>
        <v>2</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f>IF(U12&lt;&gt;"",SUMPRODUCT((AB11:AB14=AB12)*(AA11:AA14=AA12)*(Y11:Y14=Y12)*(Z11:Z14=Z12)),"")</f>
        <v>2</v>
      </c>
      <c r="U52" s="321" t="str">
        <f t="shared" ref="U52:U54" si="15142">IF(AND(T52&lt;&gt;"",T52&gt;1),U12,"")</f>
        <v>Spain</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f t="shared" si="14959"/>
        <v>0</v>
      </c>
      <c r="AC52" s="321">
        <f>IF(U52&lt;&gt;"",VLOOKUP(U52,B4:H40,7,FALSE),"")</f>
        <v>1003</v>
      </c>
      <c r="AD52" s="321">
        <f>IF(U52&lt;&gt;"",VLOOKUP(U52,B4:H40,5,FALSE),"")</f>
        <v>3</v>
      </c>
      <c r="AE52" s="321">
        <f>IF(U52&lt;&gt;"",VLOOKUP(U52,B4:J40,9,FALSE),"")</f>
        <v>51</v>
      </c>
      <c r="AF52" s="321">
        <f t="shared" ref="AF52:AF54" si="15143">AB52</f>
        <v>0</v>
      </c>
      <c r="AG52" s="321">
        <f>IF(U52&lt;&gt;"",RANK(AF52,AF51:AF54),"")</f>
        <v>1</v>
      </c>
      <c r="AH52" s="321">
        <f>IF(U52&lt;&gt;"",SUMPRODUCT((AF51:AF54=AF52)*(AA51:AA54&gt;AA52)),"")</f>
        <v>0</v>
      </c>
      <c r="AI52" s="321">
        <f>IF(U52&lt;&gt;"",SUMPRODUCT((AF51:AF54=AF52)*(AA51:AA54=AA52)*(Y51:Y54&gt;Y52)),"")</f>
        <v>0</v>
      </c>
      <c r="AJ52" s="321">
        <f>IF(U52&lt;&gt;"",SUMPRODUCT((AF51:AF54=AF52)*(AA51:AA54=AA52)*(Y51:Y54=Y52)*(AC51:AC54&gt;AC52)),"")</f>
        <v>0</v>
      </c>
      <c r="AK52" s="321">
        <f>IF(U52&lt;&gt;"",SUMPRODUCT((AF51:AF54=AF52)*(AA51:AA54=AA52)*(Y51:Y54=Y52)*(AC51:AC54=AC52)*(AD51:AD54&gt;AD52)),"")</f>
        <v>0</v>
      </c>
      <c r="AL52" s="321">
        <f>IF(U52&lt;&gt;"",SUMPRODUCT((AF51:AF54=AF52)*(AA51:AA54=AA52)*(Y51:Y54=Y52)*(AC51:AC54=AC52)*(AD51:AD54=AD52)*(AE51:AE54&gt;AE52)),"")</f>
        <v>0</v>
      </c>
      <c r="AM52" s="321">
        <f t="shared" ref="AM52:AM54" si="15144">IF(U52&lt;&gt;"",SUM(AG52:AL52),"")</f>
        <v>1</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1</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1</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376</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377</v>
      </c>
      <c r="C6" s="143" t="s">
        <v>378</v>
      </c>
      <c r="D6" s="143" t="s">
        <v>379</v>
      </c>
      <c r="E6" s="143" t="s">
        <v>380</v>
      </c>
      <c r="F6" s="142" t="s">
        <v>274</v>
      </c>
      <c r="G6" s="142" t="s">
        <v>380</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Håvard (ChatGPT)</v>
      </c>
      <c r="G7" s="146">
        <f ca="1">E7</f>
        <v>1</v>
      </c>
    </row>
    <row r="8" spans="1:7" x14ac:dyDescent="0.3">
      <c r="A8" s="144">
        <f>IF('Player Scoreboard'!C11&lt;&gt;"",'Player Scoreboard'!B11,"")</f>
        <v>2</v>
      </c>
      <c r="B8" s="144">
        <f ca="1">IF('Player Scoreboard'!C11&lt;&gt;"",RANK('Player Scoreboard'!D11,'Player Scoreboard'!D10:D19),"")</f>
        <v>2</v>
      </c>
      <c r="C8" s="144">
        <f ca="1">SUMPRODUCT((B7:B16=B8)*('Player Scoreboard'!H10:H19&gt;'Player Scoreboard'!H11))</f>
        <v>0</v>
      </c>
      <c r="D8" s="144">
        <f ca="1">SUMPRODUCT((B7:B16=B8)*(C7:C16=C8)*(A7:A16&lt;A8))</f>
        <v>0</v>
      </c>
      <c r="E8" s="144">
        <f t="shared" ref="E8:E16" ca="1" si="0">B8+C8+D8</f>
        <v>2</v>
      </c>
      <c r="F8" s="145" t="str">
        <f>'Player Scoreboard'!C11</f>
        <v>Levi (happy go lucky)</v>
      </c>
      <c r="G8" s="146">
        <f t="shared" ref="G8:G16" ca="1" si="1">E8</f>
        <v>2</v>
      </c>
    </row>
    <row r="9" spans="1:7" x14ac:dyDescent="0.3">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0</v>
      </c>
      <c r="E10" s="144">
        <f t="shared" ca="1" si="0"/>
        <v>4</v>
      </c>
      <c r="F10" s="145" t="str">
        <f>'Player Scoreboard'!C13</f>
        <v>Joakim</v>
      </c>
      <c r="G10" s="146">
        <f t="shared" ca="1" si="1"/>
        <v>4</v>
      </c>
    </row>
    <row r="11" spans="1:7" x14ac:dyDescent="0.3">
      <c r="A11" s="144">
        <f>IF('Player Scoreboard'!C14&lt;&gt;"",'Player Scoreboard'!B14,"")</f>
        <v>5</v>
      </c>
      <c r="B11" s="144">
        <f ca="1">IF('Player Scoreboard'!C14&lt;&gt;"",RANK('Player Scoreboard'!D14,'Player Scoreboard'!D10:D19),"")</f>
        <v>8</v>
      </c>
      <c r="C11" s="144">
        <f ca="1">SUMPRODUCT((B7:B16=B11)*('Player Scoreboard'!H10:H19&gt;'Player Scoreboard'!H14))</f>
        <v>0</v>
      </c>
      <c r="D11" s="144">
        <f ca="1">SUMPRODUCT((B7:B16=B11)*(C7:C16=C11)*(A7:A16&lt;A11))</f>
        <v>0</v>
      </c>
      <c r="E11" s="144">
        <f t="shared" ca="1" si="0"/>
        <v>8</v>
      </c>
      <c r="F11" s="145" t="str">
        <f>'Player Scoreboard'!C14</f>
        <v>Kristoffer (Fasiten)</v>
      </c>
      <c r="G11" s="146">
        <f t="shared" ca="1" si="1"/>
        <v>8</v>
      </c>
    </row>
    <row r="12" spans="1:7" x14ac:dyDescent="0.3">
      <c r="A12" s="144">
        <f>IF('Player Scoreboard'!C15&lt;&gt;"",'Player Scoreboard'!B15,"")</f>
        <v>6</v>
      </c>
      <c r="B12" s="144">
        <f ca="1">IF('Player Scoreboard'!C15&lt;&gt;"",RANK('Player Scoreboard'!D15,'Player Scoreboard'!D10:D19),"")</f>
        <v>5</v>
      </c>
      <c r="C12" s="144">
        <f ca="1">SUMPRODUCT((B7:B16=B12)*('Player Scoreboard'!H10:H19&gt;'Player Scoreboard'!H15))</f>
        <v>0</v>
      </c>
      <c r="D12" s="144">
        <f ca="1">SUMPRODUCT((B7:B16=B12)*(C7:C16=C12)*(A7:A16&lt;A12))</f>
        <v>0</v>
      </c>
      <c r="E12" s="144">
        <f t="shared" ca="1" si="0"/>
        <v>5</v>
      </c>
      <c r="F12" s="145" t="str">
        <f>'Player Scoreboard'!C15</f>
        <v>George</v>
      </c>
      <c r="G12" s="146">
        <f t="shared" ca="1" si="1"/>
        <v>5</v>
      </c>
    </row>
    <row r="13" spans="1:7" x14ac:dyDescent="0.3">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Sverre</v>
      </c>
      <c r="G13" s="146">
        <f t="shared" ca="1" si="1"/>
        <v>3</v>
      </c>
    </row>
    <row r="14" spans="1:7" x14ac:dyDescent="0.3">
      <c r="A14" s="144">
        <f>IF('Player Scoreboard'!C17&lt;&gt;"",'Player Scoreboard'!B17,"")</f>
        <v>8</v>
      </c>
      <c r="B14" s="144">
        <f ca="1">IF('Player Scoreboard'!C17&lt;&gt;"",RANK('Player Scoreboard'!D17,'Player Scoreboard'!D10:D19),"")</f>
        <v>5</v>
      </c>
      <c r="C14" s="144">
        <f ca="1">SUMPRODUCT((B7:B16=B14)*('Player Scoreboard'!H10:H19&gt;'Player Scoreboard'!H17))</f>
        <v>1</v>
      </c>
      <c r="D14" s="144">
        <f ca="1">SUMPRODUCT((B7:B16=B14)*(C7:C16=C14)*(A7:A16&lt;A14))</f>
        <v>0</v>
      </c>
      <c r="E14" s="144">
        <f t="shared" ca="1" si="0"/>
        <v>6</v>
      </c>
      <c r="F14" s="145" t="str">
        <f>'Player Scoreboard'!C17</f>
        <v>Therese</v>
      </c>
      <c r="G14" s="146">
        <f t="shared" ca="1" si="1"/>
        <v>6</v>
      </c>
    </row>
    <row r="15" spans="1:7" x14ac:dyDescent="0.3">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3">
      <c r="A16" s="144">
        <f>IF('Player Scoreboard'!C19&lt;&gt;"",'Player Scoreboard'!B19,"")</f>
        <v>10</v>
      </c>
      <c r="B16" s="144">
        <f ca="1">IF('Player Scoreboard'!C19&lt;&gt;"",RANK('Player Scoreboard'!D19,'Player Scoreboard'!D10:D19),"")</f>
        <v>5</v>
      </c>
      <c r="C16" s="144">
        <f ca="1">SUMPRODUCT((B7:B16=B16)*('Player Scoreboard'!H10:H19&gt;'Player Scoreboard'!H19))</f>
        <v>1</v>
      </c>
      <c r="D16" s="144">
        <f ca="1">SUMPRODUCT((B7:B16=B16)*(C7:C16=C16)*(A7:A16&lt;A16))</f>
        <v>1</v>
      </c>
      <c r="E16" s="144">
        <f t="shared" ca="1" si="0"/>
        <v>7</v>
      </c>
      <c r="F16" s="145" t="str">
        <f>'Player Scoreboard'!C19</f>
        <v>Baptiste</v>
      </c>
      <c r="G16" s="146">
        <f t="shared" ca="1" si="1"/>
        <v>7</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51" t="s">
        <v>73</v>
      </c>
      <c r="D6" s="266">
        <v>0</v>
      </c>
      <c r="E6" s="267">
        <v>0</v>
      </c>
      <c r="F6" s="268"/>
      <c r="G6" s="268"/>
      <c r="K6" s="257" t="s">
        <v>74</v>
      </c>
      <c r="L6" s="1" t="s">
        <v>75</v>
      </c>
    </row>
    <row r="7" spans="2:14" ht="15" customHeight="1" x14ac:dyDescent="0.3">
      <c r="B7" s="271">
        <v>2</v>
      </c>
      <c r="C7" s="352" t="s">
        <v>76</v>
      </c>
      <c r="D7" s="266">
        <v>0</v>
      </c>
      <c r="E7" s="267">
        <v>0</v>
      </c>
      <c r="F7" s="269"/>
      <c r="G7" s="269"/>
      <c r="L7" s="2" t="s">
        <v>77</v>
      </c>
    </row>
    <row r="8" spans="2:14" ht="15" customHeight="1" x14ac:dyDescent="0.3">
      <c r="B8" s="271">
        <v>3</v>
      </c>
      <c r="C8" s="352" t="s">
        <v>78</v>
      </c>
      <c r="D8" s="266">
        <v>0</v>
      </c>
      <c r="E8" s="267">
        <v>0</v>
      </c>
      <c r="F8" s="269"/>
      <c r="G8" s="269"/>
      <c r="K8" s="257" t="s">
        <v>74</v>
      </c>
      <c r="L8" s="2" t="s">
        <v>79</v>
      </c>
    </row>
    <row r="9" spans="2:14" ht="15" customHeight="1" x14ac:dyDescent="0.3">
      <c r="B9" s="271">
        <v>4</v>
      </c>
      <c r="C9" s="352" t="s">
        <v>80</v>
      </c>
      <c r="D9" s="266">
        <v>0</v>
      </c>
      <c r="E9" s="267">
        <v>0</v>
      </c>
      <c r="F9" s="269"/>
      <c r="G9" s="269"/>
      <c r="K9" s="257" t="s">
        <v>74</v>
      </c>
      <c r="L9" s="2" t="s">
        <v>81</v>
      </c>
    </row>
    <row r="10" spans="2:14" ht="15" customHeight="1" x14ac:dyDescent="0.3">
      <c r="B10" s="271">
        <v>5</v>
      </c>
      <c r="C10" s="352" t="s">
        <v>82</v>
      </c>
      <c r="D10" s="266">
        <v>0</v>
      </c>
      <c r="E10" s="267">
        <v>0</v>
      </c>
      <c r="F10" s="269"/>
      <c r="G10" s="269"/>
      <c r="L10" s="2" t="s">
        <v>83</v>
      </c>
    </row>
    <row r="11" spans="2:14" ht="15" customHeight="1" x14ac:dyDescent="0.3">
      <c r="B11" s="271">
        <v>6</v>
      </c>
      <c r="C11" s="352" t="s">
        <v>84</v>
      </c>
      <c r="D11" s="266">
        <v>0</v>
      </c>
      <c r="E11" s="267">
        <v>0</v>
      </c>
      <c r="F11" s="269"/>
      <c r="G11" s="269"/>
      <c r="K11" s="257"/>
      <c r="L11" s="2" t="s">
        <v>85</v>
      </c>
    </row>
    <row r="12" spans="2:14" ht="15" customHeight="1" x14ac:dyDescent="0.3">
      <c r="B12" s="271">
        <v>7</v>
      </c>
      <c r="C12" s="352" t="s">
        <v>86</v>
      </c>
      <c r="D12" s="266">
        <v>0</v>
      </c>
      <c r="E12" s="267">
        <v>0</v>
      </c>
      <c r="F12" s="269"/>
      <c r="G12" s="269"/>
      <c r="L12" s="2" t="s">
        <v>87</v>
      </c>
    </row>
    <row r="13" spans="2:14" ht="15" customHeight="1" x14ac:dyDescent="0.3">
      <c r="B13" s="271">
        <v>8</v>
      </c>
      <c r="C13" s="352" t="s">
        <v>88</v>
      </c>
      <c r="D13" s="266">
        <v>0</v>
      </c>
      <c r="E13" s="267">
        <v>0</v>
      </c>
      <c r="F13" s="269"/>
      <c r="G13" s="269"/>
      <c r="L13" s="258" t="s">
        <v>89</v>
      </c>
      <c r="M13" s="2" t="s">
        <v>90</v>
      </c>
    </row>
    <row r="14" spans="2:14" ht="15" customHeight="1" x14ac:dyDescent="0.3">
      <c r="B14" s="271">
        <v>9</v>
      </c>
      <c r="C14" s="352" t="s">
        <v>91</v>
      </c>
      <c r="D14" s="266">
        <v>0</v>
      </c>
      <c r="E14" s="267">
        <v>0</v>
      </c>
      <c r="F14" s="269"/>
      <c r="G14" s="269"/>
      <c r="L14" s="258" t="s">
        <v>89</v>
      </c>
      <c r="M14" s="2" t="s">
        <v>92</v>
      </c>
    </row>
    <row r="15" spans="2:14" ht="15" customHeight="1" x14ac:dyDescent="0.3">
      <c r="B15" s="271">
        <v>10</v>
      </c>
      <c r="C15" s="352" t="s">
        <v>93</v>
      </c>
      <c r="D15" s="266">
        <v>0</v>
      </c>
      <c r="E15" s="267">
        <v>0</v>
      </c>
      <c r="F15" s="269"/>
      <c r="G15" s="269"/>
      <c r="L15" s="258" t="s">
        <v>89</v>
      </c>
      <c r="M15" s="2" t="s">
        <v>94</v>
      </c>
    </row>
    <row r="16" spans="2:14" ht="15" customHeight="1" x14ac:dyDescent="0.3">
      <c r="E16" s="255"/>
      <c r="F16" s="255"/>
      <c r="G16" s="255"/>
      <c r="K16" s="257" t="s">
        <v>74</v>
      </c>
      <c r="L16" s="259" t="s">
        <v>95</v>
      </c>
    </row>
    <row r="17" spans="5:13" ht="15" customHeight="1" x14ac:dyDescent="0.3">
      <c r="E17" s="255"/>
      <c r="F17" s="255"/>
      <c r="G17" s="255"/>
    </row>
    <row r="18" spans="5:13" ht="15" customHeight="1" x14ac:dyDescent="0.3">
      <c r="E18" s="255"/>
      <c r="F18" s="255"/>
      <c r="G18" s="255"/>
      <c r="K18" s="249" t="s">
        <v>74</v>
      </c>
      <c r="L18" s="250" t="s">
        <v>96</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BL17" activePane="bottomRight" state="frozen"/>
      <selection pane="topRight" activeCell="N1" sqref="N1"/>
      <selection pane="bottomLeft" activeCell="A9" sqref="A9"/>
      <selection pane="bottomRight" activeCell="H22" sqref="H22:I24"/>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97</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91" t="s">
        <v>98</v>
      </c>
      <c r="C3" s="391"/>
      <c r="D3" s="391"/>
      <c r="E3" s="391"/>
      <c r="F3" s="391"/>
      <c r="G3" s="391"/>
      <c r="H3" s="391"/>
      <c r="I3" s="391"/>
      <c r="J3" s="125"/>
      <c r="K3" s="125"/>
      <c r="L3" s="125"/>
      <c r="M3" s="125"/>
      <c r="N3" s="364" t="s">
        <v>99</v>
      </c>
      <c r="O3" s="365"/>
      <c r="P3" s="365"/>
      <c r="Q3" s="365"/>
      <c r="R3" s="365"/>
      <c r="S3" s="365"/>
      <c r="T3" s="365"/>
      <c r="U3" s="365"/>
      <c r="V3" s="365"/>
      <c r="W3" s="365"/>
      <c r="X3" s="365"/>
      <c r="Y3" s="365"/>
      <c r="Z3" s="365"/>
      <c r="AA3" s="365"/>
      <c r="AB3" s="365"/>
      <c r="AC3" s="365"/>
      <c r="AD3" s="365"/>
      <c r="AE3" s="44"/>
      <c r="AF3" s="44"/>
      <c r="AG3" s="44"/>
      <c r="AH3" s="400"/>
      <c r="AI3" s="401"/>
      <c r="AJ3" s="401"/>
      <c r="AK3" s="401"/>
      <c r="AL3" s="401"/>
      <c r="AM3" s="44"/>
      <c r="AN3" s="44"/>
      <c r="AO3" s="44"/>
      <c r="AP3" s="44"/>
      <c r="AQ3" s="44"/>
      <c r="AR3" s="400"/>
      <c r="AS3" s="401"/>
      <c r="AT3" s="401"/>
      <c r="AU3" s="401"/>
      <c r="AV3" s="401"/>
      <c r="AW3" s="44"/>
      <c r="AX3" s="44"/>
      <c r="AY3" s="44"/>
      <c r="AZ3" s="44"/>
      <c r="BA3" s="44"/>
      <c r="BB3" s="400"/>
      <c r="BC3" s="401"/>
      <c r="BD3" s="401"/>
      <c r="BE3" s="401"/>
      <c r="BF3" s="401"/>
      <c r="BG3" s="44"/>
      <c r="BH3" s="44"/>
      <c r="BI3" s="44"/>
      <c r="BJ3" s="44"/>
      <c r="BK3" s="44"/>
      <c r="BL3" s="400"/>
      <c r="BM3" s="401"/>
      <c r="BN3" s="401"/>
      <c r="BO3" s="401"/>
      <c r="BP3" s="401"/>
      <c r="BQ3" s="44"/>
      <c r="BR3" s="44"/>
      <c r="BS3" s="44"/>
      <c r="BT3" s="44"/>
      <c r="BU3" s="44"/>
      <c r="BV3" s="400"/>
      <c r="BW3" s="401"/>
      <c r="BX3" s="401"/>
      <c r="BY3" s="401"/>
      <c r="BZ3" s="401"/>
      <c r="CA3" s="44"/>
      <c r="CB3" s="44"/>
      <c r="CC3" s="44"/>
      <c r="CD3" s="44"/>
      <c r="CE3" s="44"/>
      <c r="CF3" s="400"/>
      <c r="CG3" s="401"/>
      <c r="CH3" s="401"/>
      <c r="CI3" s="401"/>
      <c r="CJ3" s="401"/>
      <c r="CK3" s="44"/>
      <c r="CL3" s="44"/>
      <c r="CM3" s="44"/>
      <c r="CN3" s="44"/>
      <c r="CO3" s="44"/>
      <c r="CP3" s="400"/>
      <c r="CQ3" s="401"/>
      <c r="CR3" s="401"/>
      <c r="CS3" s="401"/>
      <c r="CT3" s="401"/>
      <c r="CU3" s="44"/>
      <c r="CV3" s="44"/>
      <c r="CW3" s="44"/>
      <c r="CX3" s="44"/>
      <c r="CY3" s="44"/>
      <c r="CZ3" s="400"/>
      <c r="DA3" s="401"/>
      <c r="DB3" s="401"/>
      <c r="DC3" s="401"/>
      <c r="DD3" s="401"/>
      <c r="DE3" s="44"/>
      <c r="DF3" s="44"/>
      <c r="DG3" s="44"/>
      <c r="DH3" s="44"/>
      <c r="DI3" s="44"/>
    </row>
    <row r="4" spans="1:113" s="43" customFormat="1" ht="15" customHeight="1" x14ac:dyDescent="0.25">
      <c r="A4" s="41"/>
      <c r="B4" s="391"/>
      <c r="C4" s="391"/>
      <c r="D4" s="391"/>
      <c r="E4" s="391"/>
      <c r="F4" s="391"/>
      <c r="G4" s="391"/>
      <c r="H4" s="391"/>
      <c r="I4" s="391"/>
      <c r="J4" s="125"/>
      <c r="K4" s="125"/>
      <c r="L4" s="125"/>
      <c r="M4" s="125"/>
      <c r="N4" s="364"/>
      <c r="O4" s="365"/>
      <c r="P4" s="365"/>
      <c r="Q4" s="365"/>
      <c r="R4" s="365"/>
      <c r="S4" s="365"/>
      <c r="T4" s="365"/>
      <c r="U4" s="365"/>
      <c r="V4" s="365"/>
      <c r="W4" s="365"/>
      <c r="X4" s="365"/>
      <c r="Y4" s="365"/>
      <c r="Z4" s="365"/>
      <c r="AA4" s="365"/>
      <c r="AB4" s="365"/>
      <c r="AC4" s="365"/>
      <c r="AD4" s="365"/>
      <c r="AE4" s="46"/>
      <c r="AF4" s="45"/>
      <c r="AG4" s="45"/>
      <c r="AH4" s="400"/>
      <c r="AI4" s="401"/>
      <c r="AJ4" s="401"/>
      <c r="AK4" s="401"/>
      <c r="AL4" s="401"/>
      <c r="AM4" s="46"/>
      <c r="AN4" s="46"/>
      <c r="AO4" s="46"/>
      <c r="AP4" s="45"/>
      <c r="AQ4" s="45"/>
      <c r="AR4" s="400"/>
      <c r="AS4" s="401"/>
      <c r="AT4" s="401"/>
      <c r="AU4" s="401"/>
      <c r="AV4" s="401"/>
      <c r="AW4" s="46"/>
      <c r="AX4" s="46"/>
      <c r="AY4" s="46"/>
      <c r="AZ4" s="45"/>
      <c r="BA4" s="45"/>
      <c r="BB4" s="400"/>
      <c r="BC4" s="401"/>
      <c r="BD4" s="401"/>
      <c r="BE4" s="401"/>
      <c r="BF4" s="401"/>
      <c r="BG4" s="46"/>
      <c r="BH4" s="46"/>
      <c r="BI4" s="46"/>
      <c r="BJ4" s="45"/>
      <c r="BK4" s="45"/>
      <c r="BL4" s="400"/>
      <c r="BM4" s="401"/>
      <c r="BN4" s="401"/>
      <c r="BO4" s="401"/>
      <c r="BP4" s="401"/>
      <c r="BQ4" s="46"/>
      <c r="BR4" s="46"/>
      <c r="BS4" s="46"/>
      <c r="BT4" s="45"/>
      <c r="BU4" s="45"/>
      <c r="BV4" s="400"/>
      <c r="BW4" s="401"/>
      <c r="BX4" s="401"/>
      <c r="BY4" s="401"/>
      <c r="BZ4" s="401"/>
      <c r="CA4" s="46"/>
      <c r="CB4" s="46"/>
      <c r="CC4" s="46"/>
      <c r="CD4" s="45"/>
      <c r="CE4" s="45"/>
      <c r="CF4" s="400"/>
      <c r="CG4" s="401"/>
      <c r="CH4" s="401"/>
      <c r="CI4" s="401"/>
      <c r="CJ4" s="401"/>
      <c r="CK4" s="46"/>
      <c r="CL4" s="46"/>
      <c r="CM4" s="46"/>
      <c r="CN4" s="45"/>
      <c r="CO4" s="45"/>
      <c r="CP4" s="400"/>
      <c r="CQ4" s="401"/>
      <c r="CR4" s="401"/>
      <c r="CS4" s="401"/>
      <c r="CT4" s="401"/>
      <c r="CU4" s="46"/>
      <c r="CV4" s="46"/>
      <c r="CW4" s="46"/>
      <c r="CX4" s="45"/>
      <c r="CY4" s="45"/>
      <c r="CZ4" s="400"/>
      <c r="DA4" s="401"/>
      <c r="DB4" s="401"/>
      <c r="DC4" s="401"/>
      <c r="DD4" s="401"/>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7" t="str">
        <f>'Language Table'!C38</f>
        <v>Score</v>
      </c>
      <c r="I7" s="397"/>
      <c r="J7" s="123" t="str">
        <f>G7</f>
        <v>Country</v>
      </c>
      <c r="K7" s="56"/>
      <c r="L7" s="56"/>
      <c r="M7" s="55"/>
      <c r="N7" s="51"/>
      <c r="O7" s="52" t="s">
        <v>103</v>
      </c>
      <c r="P7" s="57">
        <f ca="1">VLOOKUP(P6,'Dummy Rank'!F7:G16,2,FALSE)</f>
        <v>1</v>
      </c>
      <c r="Q7" s="52"/>
      <c r="R7" s="52"/>
      <c r="S7" s="52"/>
      <c r="T7" s="52"/>
      <c r="U7" s="58">
        <f ca="1">V7+W7</f>
        <v>40</v>
      </c>
      <c r="V7" s="58">
        <f ca="1">SUM(V10:V75)</f>
        <v>40</v>
      </c>
      <c r="W7" s="59">
        <f ca="1">SUM(W10:W88)</f>
        <v>0</v>
      </c>
      <c r="X7" s="51"/>
      <c r="Y7" s="52" t="s">
        <v>103</v>
      </c>
      <c r="Z7" s="148">
        <f ca="1">VLOOKUP(Z6,'Dummy Rank'!F7:G16,2,FALSE)</f>
        <v>2</v>
      </c>
      <c r="AA7" s="52"/>
      <c r="AB7" s="52"/>
      <c r="AC7" s="52"/>
      <c r="AD7" s="52"/>
      <c r="AE7" s="58">
        <f ca="1">AF7+AG7</f>
        <v>38</v>
      </c>
      <c r="AF7" s="58">
        <f ca="1">SUM(AF10:AF75)</f>
        <v>38</v>
      </c>
      <c r="AG7" s="59">
        <f ca="1">SUM(AG10:AG88)</f>
        <v>0</v>
      </c>
      <c r="AH7" s="51"/>
      <c r="AI7" s="52" t="s">
        <v>103</v>
      </c>
      <c r="AJ7" s="148">
        <f ca="1">VLOOKUP(AJ6,'Dummy Rank'!F7:G16,2,FALSE)</f>
        <v>9</v>
      </c>
      <c r="AK7" s="52"/>
      <c r="AL7" s="52"/>
      <c r="AM7" s="52"/>
      <c r="AN7" s="52"/>
      <c r="AO7" s="58">
        <f t="shared" ref="AO7" ca="1" si="72">AP7+AQ7</f>
        <v>24</v>
      </c>
      <c r="AP7" s="58">
        <f t="shared" ref="AP7" ca="1" si="73">SUM(AP10:AP75)</f>
        <v>24</v>
      </c>
      <c r="AQ7" s="59">
        <f t="shared" ref="AQ7" ca="1" si="74">SUM(AQ10:AQ88)</f>
        <v>0</v>
      </c>
      <c r="AR7" s="51"/>
      <c r="AS7" s="52" t="s">
        <v>103</v>
      </c>
      <c r="AT7" s="148">
        <f ca="1">VLOOKUP(AT6,'Dummy Rank'!F7:G16,2,FALSE)</f>
        <v>4</v>
      </c>
      <c r="AU7" s="52"/>
      <c r="AV7" s="52"/>
      <c r="AW7" s="52"/>
      <c r="AX7" s="52"/>
      <c r="AY7" s="58">
        <f t="shared" ref="AY7" ca="1" si="75">AZ7+BA7</f>
        <v>32</v>
      </c>
      <c r="AZ7" s="58">
        <f t="shared" ref="AZ7" ca="1" si="76">SUM(AZ10:AZ75)</f>
        <v>32</v>
      </c>
      <c r="BA7" s="59">
        <f t="shared" ref="BA7" ca="1" si="77">SUM(BA10:BA88)</f>
        <v>0</v>
      </c>
      <c r="BB7" s="51"/>
      <c r="BC7" s="52" t="s">
        <v>103</v>
      </c>
      <c r="BD7" s="148">
        <f ca="1">VLOOKUP(BD6,'Dummy Rank'!F7:G16,2,FALSE)</f>
        <v>8</v>
      </c>
      <c r="BE7" s="52"/>
      <c r="BF7" s="52"/>
      <c r="BG7" s="52"/>
      <c r="BH7" s="52"/>
      <c r="BI7" s="58">
        <f t="shared" ref="BI7" ca="1" si="78">BJ7+BK7</f>
        <v>26</v>
      </c>
      <c r="BJ7" s="58">
        <f t="shared" ref="BJ7" ca="1" si="79">SUM(BJ10:BJ75)</f>
        <v>26</v>
      </c>
      <c r="BK7" s="59">
        <f t="shared" ref="BK7" ca="1" si="80">SUM(BK10:BK88)</f>
        <v>0</v>
      </c>
      <c r="BL7" s="51"/>
      <c r="BM7" s="52" t="s">
        <v>103</v>
      </c>
      <c r="BN7" s="148">
        <f ca="1">VLOOKUP(BN6,'Dummy Rank'!F7:G16,2,FALSE)</f>
        <v>5</v>
      </c>
      <c r="BO7" s="52"/>
      <c r="BP7" s="52"/>
      <c r="BQ7" s="52"/>
      <c r="BR7" s="52"/>
      <c r="BS7" s="58">
        <f t="shared" ref="BS7" ca="1" si="81">BT7+BU7</f>
        <v>28</v>
      </c>
      <c r="BT7" s="58">
        <f t="shared" ref="BT7" ca="1" si="82">SUM(BT10:BT75)</f>
        <v>28</v>
      </c>
      <c r="BU7" s="59">
        <f t="shared" ref="BU7" ca="1" si="83">SUM(BU10:BU88)</f>
        <v>0</v>
      </c>
      <c r="BV7" s="51"/>
      <c r="BW7" s="52" t="s">
        <v>103</v>
      </c>
      <c r="BX7" s="148">
        <f ca="1">VLOOKUP(BX6,'Dummy Rank'!F7:G16,2,FALSE)</f>
        <v>3</v>
      </c>
      <c r="BY7" s="52"/>
      <c r="BZ7" s="52"/>
      <c r="CA7" s="52"/>
      <c r="CB7" s="52"/>
      <c r="CC7" s="58">
        <f t="shared" ref="CC7" ca="1" si="84">CD7+CE7</f>
        <v>34</v>
      </c>
      <c r="CD7" s="58">
        <f t="shared" ref="CD7" ca="1" si="85">SUM(CD10:CD75)</f>
        <v>34</v>
      </c>
      <c r="CE7" s="59">
        <f t="shared" ref="CE7" ca="1" si="86">SUM(CE10:CE88)</f>
        <v>0</v>
      </c>
      <c r="CF7" s="51"/>
      <c r="CG7" s="52" t="s">
        <v>103</v>
      </c>
      <c r="CH7" s="148">
        <f ca="1">VLOOKUP(CH6,'Dummy Rank'!F7:G16,2,FALSE)</f>
        <v>6</v>
      </c>
      <c r="CI7" s="52"/>
      <c r="CJ7" s="52"/>
      <c r="CK7" s="52"/>
      <c r="CL7" s="52"/>
      <c r="CM7" s="58">
        <f t="shared" ref="CM7" ca="1" si="87">CN7+CO7</f>
        <v>28</v>
      </c>
      <c r="CN7" s="58">
        <f t="shared" ref="CN7" ca="1" si="88">SUM(CN10:CN75)</f>
        <v>28</v>
      </c>
      <c r="CO7" s="59">
        <f t="shared" ref="CO7" ca="1" si="89">SUM(CO10:CO88)</f>
        <v>0</v>
      </c>
      <c r="CP7" s="51"/>
      <c r="CQ7" s="52" t="s">
        <v>103</v>
      </c>
      <c r="CR7" s="148">
        <f ca="1">VLOOKUP(CR6,'Dummy Rank'!F7:G16,2,FALSE)</f>
        <v>10</v>
      </c>
      <c r="CS7" s="52"/>
      <c r="CT7" s="52"/>
      <c r="CU7" s="52"/>
      <c r="CV7" s="52"/>
      <c r="CW7" s="58">
        <f t="shared" ref="CW7" ca="1" si="90">CX7+CY7</f>
        <v>20</v>
      </c>
      <c r="CX7" s="58">
        <f t="shared" ref="CX7" ca="1" si="91">SUM(CX10:CX75)</f>
        <v>20</v>
      </c>
      <c r="CY7" s="59">
        <f t="shared" ref="CY7" ca="1" si="92">SUM(CY10:CY88)</f>
        <v>0</v>
      </c>
      <c r="CZ7" s="51"/>
      <c r="DA7" s="52" t="s">
        <v>103</v>
      </c>
      <c r="DB7" s="148">
        <f ca="1">VLOOKUP(DB6,'Dummy Rank'!F7:G16,2,FALSE)</f>
        <v>7</v>
      </c>
      <c r="DC7" s="52"/>
      <c r="DD7" s="52"/>
      <c r="DE7" s="52"/>
      <c r="DF7" s="52"/>
      <c r="DG7" s="58">
        <f t="shared" ref="DG7" ca="1" si="93">DH7+DI7</f>
        <v>28</v>
      </c>
      <c r="DH7" s="58">
        <f t="shared" ref="DH7" ca="1" si="94">SUM(DH10:DH75)</f>
        <v>28</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104</v>
      </c>
      <c r="AF9" s="68"/>
      <c r="AG9" s="69"/>
      <c r="AH9" s="126">
        <f t="shared" ref="AH9" si="96">SUM(AO10:AO45)</f>
        <v>1</v>
      </c>
      <c r="AJ9" s="43" t="s">
        <v>104</v>
      </c>
      <c r="AP9" s="68"/>
      <c r="AQ9" s="69"/>
      <c r="AR9" s="126">
        <f t="shared" ref="AR9" si="97">SUM(AY10:AY45)</f>
        <v>2</v>
      </c>
      <c r="AT9" s="43" t="s">
        <v>104</v>
      </c>
      <c r="AZ9" s="68"/>
      <c r="BA9" s="69"/>
      <c r="BB9" s="126">
        <f t="shared" ref="BB9" si="98">SUM(BI10:BI45)</f>
        <v>3</v>
      </c>
      <c r="BD9" s="43" t="s">
        <v>104</v>
      </c>
      <c r="BJ9" s="68"/>
      <c r="BK9" s="69"/>
      <c r="BL9" s="126">
        <f t="shared" ref="BL9" si="99">SUM(BS10:BS45)</f>
        <v>3</v>
      </c>
      <c r="BN9" s="43" t="s">
        <v>104</v>
      </c>
      <c r="BT9" s="68"/>
      <c r="BU9" s="69"/>
      <c r="BV9" s="126">
        <f t="shared" ref="BV9" si="100">SUM(CC10:CC45)</f>
        <v>1</v>
      </c>
      <c r="BX9" s="43" t="s">
        <v>104</v>
      </c>
      <c r="CD9" s="68"/>
      <c r="CE9" s="69"/>
      <c r="CF9" s="126">
        <f t="shared" ref="CF9" si="101">SUM(CM10:CM45)</f>
        <v>2</v>
      </c>
      <c r="CH9" s="43" t="s">
        <v>104</v>
      </c>
      <c r="CN9" s="68"/>
      <c r="CO9" s="69"/>
      <c r="CP9" s="126">
        <f t="shared" ref="CP9" si="102">SUM(CW10:CW45)</f>
        <v>0</v>
      </c>
      <c r="CR9" s="43" t="s">
        <v>104</v>
      </c>
      <c r="CX9" s="68"/>
      <c r="CY9" s="69"/>
      <c r="CZ9" s="126">
        <f t="shared" ref="CZ9" si="103">SUM(DG10:DG45)</f>
        <v>2</v>
      </c>
      <c r="DB9" s="43" t="s">
        <v>104</v>
      </c>
      <c r="DH9" s="68"/>
      <c r="DI9" s="69"/>
    </row>
    <row r="10" spans="1:113" s="43" customFormat="1" ht="15" customHeight="1" x14ac:dyDescent="0.25">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106</v>
      </c>
      <c r="E25" s="157">
        <f t="shared" si="144"/>
        <v>45463.875</v>
      </c>
      <c r="F25" s="158">
        <v>45463.875</v>
      </c>
      <c r="G25" s="72" t="str">
        <f>Matches!G23</f>
        <v>Spain</v>
      </c>
      <c r="H25" s="75"/>
      <c r="I25" s="75"/>
      <c r="J25" s="73" t="str">
        <f>Matches!J23</f>
        <v>Italy</v>
      </c>
      <c r="K25" s="55"/>
      <c r="L25" s="55"/>
      <c r="M25" s="67"/>
      <c r="N25" s="127"/>
      <c r="O25" s="74" t="str">
        <f t="shared" si="104"/>
        <v>Spain</v>
      </c>
      <c r="P25" s="75">
        <v>1</v>
      </c>
      <c r="Q25" s="75">
        <v>1</v>
      </c>
      <c r="R25" s="76" t="str">
        <f t="shared" si="105"/>
        <v>Italy</v>
      </c>
      <c r="U25" s="77">
        <f t="shared" si="106"/>
        <v>0</v>
      </c>
      <c r="V25" s="78" t="str">
        <f t="shared" si="107"/>
        <v/>
      </c>
      <c r="W25" s="69"/>
      <c r="X25" s="127"/>
      <c r="Y25" s="74" t="str">
        <f t="shared" si="108"/>
        <v>Spain</v>
      </c>
      <c r="Z25" s="75">
        <v>2</v>
      </c>
      <c r="AA25" s="75">
        <v>2</v>
      </c>
      <c r="AB25" s="76" t="str">
        <f t="shared" si="109"/>
        <v>Italy</v>
      </c>
      <c r="AE25" s="77">
        <f t="shared" si="110"/>
        <v>0</v>
      </c>
      <c r="AF25" s="78" t="str">
        <f t="shared" si="111"/>
        <v/>
      </c>
      <c r="AG25" s="69"/>
      <c r="AH25" s="127"/>
      <c r="AI25" s="74" t="str">
        <f t="shared" si="112"/>
        <v>Spain</v>
      </c>
      <c r="AJ25" s="75">
        <v>1</v>
      </c>
      <c r="AK25" s="75">
        <v>1</v>
      </c>
      <c r="AL25" s="76" t="str">
        <f t="shared" si="113"/>
        <v>Italy</v>
      </c>
      <c r="AO25" s="77">
        <f t="shared" si="114"/>
        <v>0</v>
      </c>
      <c r="AP25" s="78" t="str">
        <f t="shared" si="115"/>
        <v/>
      </c>
      <c r="AQ25" s="69"/>
      <c r="AR25" s="127"/>
      <c r="AS25" s="74" t="str">
        <f t="shared" si="116"/>
        <v>Spain</v>
      </c>
      <c r="AT25" s="75">
        <v>2</v>
      </c>
      <c r="AU25" s="75">
        <v>0</v>
      </c>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t="str">
        <f t="shared" si="123"/>
        <v/>
      </c>
      <c r="BK25" s="69"/>
      <c r="BL25" s="127"/>
      <c r="BM25" s="74" t="str">
        <f t="shared" si="124"/>
        <v>Spain</v>
      </c>
      <c r="BN25" s="75">
        <v>2</v>
      </c>
      <c r="BO25" s="75">
        <v>1</v>
      </c>
      <c r="BP25" s="76" t="str">
        <f t="shared" si="125"/>
        <v>Italy</v>
      </c>
      <c r="BS25" s="77">
        <f t="shared" si="126"/>
        <v>0</v>
      </c>
      <c r="BT25" s="78" t="str">
        <f t="shared" si="127"/>
        <v/>
      </c>
      <c r="BU25" s="69"/>
      <c r="BV25" s="127"/>
      <c r="BW25" s="74" t="str">
        <f t="shared" si="128"/>
        <v>Spain</v>
      </c>
      <c r="BX25" s="75">
        <v>2</v>
      </c>
      <c r="BY25" s="75">
        <v>2</v>
      </c>
      <c r="BZ25" s="76" t="str">
        <f t="shared" si="129"/>
        <v>Italy</v>
      </c>
      <c r="CC25" s="77">
        <f t="shared" si="130"/>
        <v>0</v>
      </c>
      <c r="CD25" s="78" t="str">
        <f t="shared" si="131"/>
        <v/>
      </c>
      <c r="CE25" s="69"/>
      <c r="CF25" s="127"/>
      <c r="CG25" s="74" t="str">
        <f t="shared" si="132"/>
        <v>Spain</v>
      </c>
      <c r="CH25" s="75">
        <v>2</v>
      </c>
      <c r="CI25" s="75">
        <v>1</v>
      </c>
      <c r="CJ25" s="76" t="str">
        <f t="shared" si="133"/>
        <v>Italy</v>
      </c>
      <c r="CM25" s="77">
        <f t="shared" si="134"/>
        <v>0</v>
      </c>
      <c r="CN25" s="78" t="str">
        <f t="shared" si="135"/>
        <v/>
      </c>
      <c r="CO25" s="69"/>
      <c r="CP25" s="127"/>
      <c r="CQ25" s="74" t="str">
        <f t="shared" si="136"/>
        <v>Spain</v>
      </c>
      <c r="CR25" s="75">
        <v>3</v>
      </c>
      <c r="CS25" s="75">
        <v>3</v>
      </c>
      <c r="CT25" s="76" t="str">
        <f t="shared" si="137"/>
        <v>Italy</v>
      </c>
      <c r="CW25" s="77">
        <f t="shared" si="138"/>
        <v>0</v>
      </c>
      <c r="CX25" s="78" t="str">
        <f t="shared" si="139"/>
        <v/>
      </c>
      <c r="CY25" s="69"/>
      <c r="CZ25" s="127"/>
      <c r="DA25" s="74" t="str">
        <f t="shared" si="140"/>
        <v>Spain</v>
      </c>
      <c r="DB25" s="75">
        <v>1</v>
      </c>
      <c r="DC25" s="75">
        <v>3</v>
      </c>
      <c r="DD25" s="76" t="str">
        <f t="shared" si="141"/>
        <v>Italy</v>
      </c>
      <c r="DG25" s="77">
        <f t="shared" si="142"/>
        <v>0</v>
      </c>
      <c r="DH25" s="78" t="str">
        <f t="shared" si="143"/>
        <v/>
      </c>
      <c r="DI25" s="69"/>
    </row>
    <row r="26" spans="1:113" s="43" customFormat="1" ht="15" customHeight="1" x14ac:dyDescent="0.25">
      <c r="A26" s="41">
        <v>31</v>
      </c>
      <c r="B26" s="65"/>
      <c r="C26" s="55">
        <v>17</v>
      </c>
      <c r="D26" s="20" t="s">
        <v>107</v>
      </c>
      <c r="E26" s="157">
        <f t="shared" si="144"/>
        <v>45463.75</v>
      </c>
      <c r="F26" s="158">
        <v>45463.75</v>
      </c>
      <c r="G26" s="72" t="str">
        <f>Matches!G24</f>
        <v>Denmark</v>
      </c>
      <c r="H26" s="75"/>
      <c r="I26" s="75"/>
      <c r="J26" s="73" t="str">
        <f>Matches!J24</f>
        <v>England</v>
      </c>
      <c r="K26" s="55"/>
      <c r="L26" s="55"/>
      <c r="M26" s="67"/>
      <c r="N26" s="127"/>
      <c r="O26" s="74" t="str">
        <f t="shared" si="104"/>
        <v>Denmark</v>
      </c>
      <c r="P26" s="75">
        <v>1</v>
      </c>
      <c r="Q26" s="75">
        <v>2</v>
      </c>
      <c r="R26" s="76" t="str">
        <f t="shared" si="105"/>
        <v>England</v>
      </c>
      <c r="U26" s="77">
        <f t="shared" si="106"/>
        <v>0</v>
      </c>
      <c r="V26" s="78" t="str">
        <f t="shared" si="107"/>
        <v/>
      </c>
      <c r="W26" s="69"/>
      <c r="X26" s="127"/>
      <c r="Y26" s="74" t="str">
        <f t="shared" si="108"/>
        <v>Denmark</v>
      </c>
      <c r="Z26" s="75">
        <v>1</v>
      </c>
      <c r="AA26" s="75">
        <v>3</v>
      </c>
      <c r="AB26" s="76" t="str">
        <f t="shared" si="109"/>
        <v>England</v>
      </c>
      <c r="AE26" s="77">
        <f t="shared" si="110"/>
        <v>0</v>
      </c>
      <c r="AF26" s="78" t="str">
        <f t="shared" si="111"/>
        <v/>
      </c>
      <c r="AG26" s="69"/>
      <c r="AH26" s="127"/>
      <c r="AI26" s="74" t="str">
        <f t="shared" si="112"/>
        <v>Denmark</v>
      </c>
      <c r="AJ26" s="75">
        <v>2</v>
      </c>
      <c r="AK26" s="75">
        <v>1</v>
      </c>
      <c r="AL26" s="76" t="str">
        <f t="shared" si="113"/>
        <v>England</v>
      </c>
      <c r="AO26" s="77">
        <f t="shared" si="114"/>
        <v>0</v>
      </c>
      <c r="AP26" s="78" t="str">
        <f t="shared" si="115"/>
        <v/>
      </c>
      <c r="AQ26" s="69"/>
      <c r="AR26" s="127"/>
      <c r="AS26" s="74" t="str">
        <f t="shared" si="116"/>
        <v>Denmark</v>
      </c>
      <c r="AT26" s="75">
        <v>1</v>
      </c>
      <c r="AU26" s="75">
        <v>1</v>
      </c>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t="str">
        <f t="shared" si="123"/>
        <v/>
      </c>
      <c r="BK26" s="69"/>
      <c r="BL26" s="127"/>
      <c r="BM26" s="74" t="str">
        <f t="shared" si="124"/>
        <v>Denmark</v>
      </c>
      <c r="BN26" s="75">
        <v>0</v>
      </c>
      <c r="BO26" s="75">
        <v>2</v>
      </c>
      <c r="BP26" s="76" t="str">
        <f t="shared" si="125"/>
        <v>England</v>
      </c>
      <c r="BS26" s="77">
        <f t="shared" si="126"/>
        <v>0</v>
      </c>
      <c r="BT26" s="78" t="str">
        <f t="shared" si="127"/>
        <v/>
      </c>
      <c r="BU26" s="69"/>
      <c r="BV26" s="127"/>
      <c r="BW26" s="74" t="str">
        <f t="shared" si="128"/>
        <v>Denmark</v>
      </c>
      <c r="BX26" s="75">
        <v>1</v>
      </c>
      <c r="BY26" s="75">
        <v>2</v>
      </c>
      <c r="BZ26" s="76" t="str">
        <f t="shared" si="129"/>
        <v>England</v>
      </c>
      <c r="CC26" s="77">
        <f t="shared" si="130"/>
        <v>0</v>
      </c>
      <c r="CD26" s="78" t="str">
        <f t="shared" si="131"/>
        <v/>
      </c>
      <c r="CE26" s="69"/>
      <c r="CF26" s="127"/>
      <c r="CG26" s="74" t="str">
        <f t="shared" si="132"/>
        <v>Denmark</v>
      </c>
      <c r="CH26" s="75">
        <v>1</v>
      </c>
      <c r="CI26" s="75">
        <v>1</v>
      </c>
      <c r="CJ26" s="76" t="str">
        <f t="shared" si="133"/>
        <v>England</v>
      </c>
      <c r="CM26" s="77">
        <f t="shared" si="134"/>
        <v>0</v>
      </c>
      <c r="CN26" s="78" t="str">
        <f t="shared" si="135"/>
        <v/>
      </c>
      <c r="CO26" s="69"/>
      <c r="CP26" s="127"/>
      <c r="CQ26" s="74" t="str">
        <f t="shared" si="136"/>
        <v>Denmark</v>
      </c>
      <c r="CR26" s="75">
        <v>1</v>
      </c>
      <c r="CS26" s="75">
        <v>2</v>
      </c>
      <c r="CT26" s="76" t="str">
        <f t="shared" si="137"/>
        <v>England</v>
      </c>
      <c r="CW26" s="77">
        <f t="shared" si="138"/>
        <v>0</v>
      </c>
      <c r="CX26" s="78" t="str">
        <f t="shared" si="139"/>
        <v/>
      </c>
      <c r="CY26" s="69"/>
      <c r="CZ26" s="127"/>
      <c r="DA26" s="74" t="str">
        <f t="shared" si="140"/>
        <v>Denmark</v>
      </c>
      <c r="DB26" s="75">
        <v>1</v>
      </c>
      <c r="DC26" s="75">
        <v>2</v>
      </c>
      <c r="DD26" s="76" t="str">
        <f t="shared" si="141"/>
        <v>England</v>
      </c>
      <c r="DG26" s="77">
        <f t="shared" si="142"/>
        <v>0</v>
      </c>
      <c r="DH26" s="78" t="str">
        <f t="shared" si="143"/>
        <v/>
      </c>
      <c r="DI26" s="69"/>
    </row>
    <row r="27" spans="1:113" s="43" customFormat="1" ht="15" customHeight="1" x14ac:dyDescent="0.25">
      <c r="A27" s="41">
        <v>32</v>
      </c>
      <c r="B27" s="65"/>
      <c r="C27" s="55">
        <v>18</v>
      </c>
      <c r="D27" s="20" t="s">
        <v>107</v>
      </c>
      <c r="E27" s="157">
        <f t="shared" si="144"/>
        <v>45463.625</v>
      </c>
      <c r="F27" s="158">
        <v>45463.625</v>
      </c>
      <c r="G27" s="72" t="str">
        <f>Matches!G25</f>
        <v>Slovenia</v>
      </c>
      <c r="H27" s="75"/>
      <c r="I27" s="75"/>
      <c r="J27" s="73" t="str">
        <f>Matches!J25</f>
        <v>Serbia</v>
      </c>
      <c r="K27" s="55"/>
      <c r="L27" s="55"/>
      <c r="M27" s="67"/>
      <c r="N27" s="127"/>
      <c r="O27" s="74" t="str">
        <f t="shared" si="104"/>
        <v>Slovenia</v>
      </c>
      <c r="P27" s="75">
        <v>0</v>
      </c>
      <c r="Q27" s="75">
        <v>1</v>
      </c>
      <c r="R27" s="76" t="str">
        <f t="shared" si="105"/>
        <v>Serbia</v>
      </c>
      <c r="U27" s="77">
        <f t="shared" si="106"/>
        <v>0</v>
      </c>
      <c r="V27" s="78" t="str">
        <f t="shared" si="107"/>
        <v/>
      </c>
      <c r="W27" s="69"/>
      <c r="X27" s="127"/>
      <c r="Y27" s="74" t="str">
        <f t="shared" si="108"/>
        <v>Slovenia</v>
      </c>
      <c r="Z27" s="75">
        <v>2</v>
      </c>
      <c r="AA27" s="75">
        <v>2</v>
      </c>
      <c r="AB27" s="76" t="str">
        <f t="shared" si="109"/>
        <v>Serbia</v>
      </c>
      <c r="AE27" s="77">
        <f t="shared" si="110"/>
        <v>0</v>
      </c>
      <c r="AF27" s="78" t="str">
        <f t="shared" si="111"/>
        <v/>
      </c>
      <c r="AG27" s="69"/>
      <c r="AH27" s="127"/>
      <c r="AI27" s="74" t="str">
        <f t="shared" si="112"/>
        <v>Slovenia</v>
      </c>
      <c r="AJ27" s="75">
        <v>1</v>
      </c>
      <c r="AK27" s="75">
        <v>0</v>
      </c>
      <c r="AL27" s="76" t="str">
        <f t="shared" si="113"/>
        <v>Serbia</v>
      </c>
      <c r="AO27" s="77">
        <f t="shared" si="114"/>
        <v>0</v>
      </c>
      <c r="AP27" s="78" t="str">
        <f t="shared" si="115"/>
        <v/>
      </c>
      <c r="AQ27" s="69"/>
      <c r="AR27" s="127"/>
      <c r="AS27" s="74" t="str">
        <f t="shared" si="116"/>
        <v>Slovenia</v>
      </c>
      <c r="AT27" s="75">
        <v>1</v>
      </c>
      <c r="AU27" s="75">
        <v>2</v>
      </c>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t="str">
        <f t="shared" si="123"/>
        <v/>
      </c>
      <c r="BK27" s="69"/>
      <c r="BL27" s="127"/>
      <c r="BM27" s="74" t="str">
        <f t="shared" si="124"/>
        <v>Slovenia</v>
      </c>
      <c r="BN27" s="75">
        <v>2</v>
      </c>
      <c r="BO27" s="75">
        <v>2</v>
      </c>
      <c r="BP27" s="76" t="str">
        <f t="shared" si="125"/>
        <v>Serbia</v>
      </c>
      <c r="BS27" s="77">
        <f t="shared" si="126"/>
        <v>0</v>
      </c>
      <c r="BT27" s="78" t="str">
        <f t="shared" si="127"/>
        <v/>
      </c>
      <c r="BU27" s="69"/>
      <c r="BV27" s="127"/>
      <c r="BW27" s="74" t="str">
        <f t="shared" si="128"/>
        <v>Slovenia</v>
      </c>
      <c r="BX27" s="75">
        <v>0</v>
      </c>
      <c r="BY27" s="75">
        <v>0</v>
      </c>
      <c r="BZ27" s="76" t="str">
        <f t="shared" si="129"/>
        <v>Serbia</v>
      </c>
      <c r="CC27" s="77">
        <f t="shared" si="130"/>
        <v>0</v>
      </c>
      <c r="CD27" s="78" t="str">
        <f t="shared" si="131"/>
        <v/>
      </c>
      <c r="CE27" s="69"/>
      <c r="CF27" s="127"/>
      <c r="CG27" s="74" t="str">
        <f t="shared" si="132"/>
        <v>Slovenia</v>
      </c>
      <c r="CH27" s="75">
        <v>0</v>
      </c>
      <c r="CI27" s="75">
        <v>0</v>
      </c>
      <c r="CJ27" s="76" t="str">
        <f t="shared" si="133"/>
        <v>Serbia</v>
      </c>
      <c r="CM27" s="77">
        <f t="shared" si="134"/>
        <v>0</v>
      </c>
      <c r="CN27" s="78" t="str">
        <f t="shared" si="135"/>
        <v/>
      </c>
      <c r="CO27" s="69"/>
      <c r="CP27" s="127"/>
      <c r="CQ27" s="74" t="str">
        <f t="shared" si="136"/>
        <v>Slovenia</v>
      </c>
      <c r="CR27" s="75">
        <v>1</v>
      </c>
      <c r="CS27" s="75">
        <v>1</v>
      </c>
      <c r="CT27" s="76" t="str">
        <f t="shared" si="137"/>
        <v>Serbia</v>
      </c>
      <c r="CW27" s="77">
        <f t="shared" si="138"/>
        <v>0</v>
      </c>
      <c r="CX27" s="78" t="str">
        <f t="shared" si="139"/>
        <v/>
      </c>
      <c r="CY27" s="69"/>
      <c r="CZ27" s="127"/>
      <c r="DA27" s="74" t="str">
        <f t="shared" si="140"/>
        <v>Slovenia</v>
      </c>
      <c r="DB27" s="75">
        <v>1</v>
      </c>
      <c r="DC27" s="75">
        <v>2</v>
      </c>
      <c r="DD27" s="76" t="str">
        <f t="shared" si="141"/>
        <v>Serbia</v>
      </c>
      <c r="DG27" s="77">
        <f t="shared" si="142"/>
        <v>0</v>
      </c>
      <c r="DH27" s="78" t="str">
        <f t="shared" si="143"/>
        <v/>
      </c>
      <c r="DI27" s="69"/>
    </row>
    <row r="28" spans="1:113" s="43" customFormat="1" ht="15" customHeight="1" x14ac:dyDescent="0.25">
      <c r="A28" s="41">
        <v>33</v>
      </c>
      <c r="B28" s="65"/>
      <c r="C28" s="55">
        <v>19</v>
      </c>
      <c r="D28" s="20" t="s">
        <v>108</v>
      </c>
      <c r="E28" s="157">
        <f t="shared" si="144"/>
        <v>45464.75</v>
      </c>
      <c r="F28" s="158">
        <v>45464.75</v>
      </c>
      <c r="G28" s="72" t="str">
        <f>Matches!G26</f>
        <v>Poland</v>
      </c>
      <c r="H28" s="75"/>
      <c r="I28" s="75"/>
      <c r="J28" s="73" t="str">
        <f>Matches!J26</f>
        <v>Austria</v>
      </c>
      <c r="K28" s="55"/>
      <c r="L28" s="55"/>
      <c r="M28" s="67"/>
      <c r="N28" s="127"/>
      <c r="O28" s="74" t="str">
        <f t="shared" si="104"/>
        <v>Poland</v>
      </c>
      <c r="P28" s="75">
        <v>2</v>
      </c>
      <c r="Q28" s="75">
        <v>1</v>
      </c>
      <c r="R28" s="76" t="str">
        <f t="shared" si="105"/>
        <v>Austria</v>
      </c>
      <c r="U28" s="77">
        <f t="shared" si="106"/>
        <v>0</v>
      </c>
      <c r="V28" s="78" t="str">
        <f t="shared" si="107"/>
        <v/>
      </c>
      <c r="W28" s="69"/>
      <c r="X28" s="127"/>
      <c r="Y28" s="74" t="str">
        <f t="shared" si="108"/>
        <v>Poland</v>
      </c>
      <c r="Z28" s="75">
        <v>2</v>
      </c>
      <c r="AA28" s="75">
        <v>1</v>
      </c>
      <c r="AB28" s="76" t="str">
        <f t="shared" si="109"/>
        <v>Austria</v>
      </c>
      <c r="AE28" s="77">
        <f t="shared" si="110"/>
        <v>0</v>
      </c>
      <c r="AF28" s="78" t="str">
        <f t="shared" si="111"/>
        <v/>
      </c>
      <c r="AG28" s="69"/>
      <c r="AH28" s="127"/>
      <c r="AI28" s="74" t="str">
        <f t="shared" si="112"/>
        <v>Poland</v>
      </c>
      <c r="AJ28" s="75">
        <v>0</v>
      </c>
      <c r="AK28" s="75">
        <v>1</v>
      </c>
      <c r="AL28" s="76" t="str">
        <f t="shared" si="113"/>
        <v>Austria</v>
      </c>
      <c r="AO28" s="77">
        <f t="shared" si="114"/>
        <v>0</v>
      </c>
      <c r="AP28" s="78" t="str">
        <f t="shared" si="115"/>
        <v/>
      </c>
      <c r="AQ28" s="69"/>
      <c r="AR28" s="127"/>
      <c r="AS28" s="74" t="str">
        <f t="shared" si="116"/>
        <v>Poland</v>
      </c>
      <c r="AT28" s="75">
        <v>2</v>
      </c>
      <c r="AU28" s="75">
        <v>1</v>
      </c>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v>3</v>
      </c>
      <c r="BO28" s="75">
        <v>2</v>
      </c>
      <c r="BP28" s="76" t="str">
        <f t="shared" si="125"/>
        <v>Austria</v>
      </c>
      <c r="BS28" s="77">
        <f t="shared" si="126"/>
        <v>0</v>
      </c>
      <c r="BT28" s="78" t="str">
        <f t="shared" si="127"/>
        <v/>
      </c>
      <c r="BU28" s="69"/>
      <c r="BV28" s="127"/>
      <c r="BW28" s="74" t="str">
        <f t="shared" si="128"/>
        <v>Poland</v>
      </c>
      <c r="BX28" s="75">
        <v>0</v>
      </c>
      <c r="BY28" s="75">
        <v>1</v>
      </c>
      <c r="BZ28" s="76" t="str">
        <f t="shared" si="129"/>
        <v>Austria</v>
      </c>
      <c r="CC28" s="77">
        <f t="shared" si="130"/>
        <v>0</v>
      </c>
      <c r="CD28" s="78" t="str">
        <f t="shared" si="131"/>
        <v/>
      </c>
      <c r="CE28" s="69"/>
      <c r="CF28" s="127"/>
      <c r="CG28" s="74" t="str">
        <f t="shared" si="132"/>
        <v>Poland</v>
      </c>
      <c r="CH28" s="75">
        <v>1</v>
      </c>
      <c r="CI28" s="75">
        <v>1</v>
      </c>
      <c r="CJ28" s="76" t="str">
        <f t="shared" si="133"/>
        <v>Austria</v>
      </c>
      <c r="CM28" s="77">
        <f t="shared" si="134"/>
        <v>0</v>
      </c>
      <c r="CN28" s="78" t="str">
        <f t="shared" si="135"/>
        <v/>
      </c>
      <c r="CO28" s="69"/>
      <c r="CP28" s="127"/>
      <c r="CQ28" s="74" t="str">
        <f t="shared" si="136"/>
        <v>Poland</v>
      </c>
      <c r="CR28" s="75">
        <v>2</v>
      </c>
      <c r="CS28" s="75">
        <v>1</v>
      </c>
      <c r="CT28" s="76" t="str">
        <f t="shared" si="137"/>
        <v>Austria</v>
      </c>
      <c r="CW28" s="77">
        <f t="shared" si="138"/>
        <v>0</v>
      </c>
      <c r="CX28" s="78" t="str">
        <f t="shared" si="139"/>
        <v/>
      </c>
      <c r="CY28" s="69"/>
      <c r="CZ28" s="127"/>
      <c r="DA28" s="74" t="str">
        <f t="shared" si="140"/>
        <v>Poland</v>
      </c>
      <c r="DB28" s="75">
        <v>2</v>
      </c>
      <c r="DC28" s="75">
        <v>1</v>
      </c>
      <c r="DD28" s="76" t="str">
        <f t="shared" si="141"/>
        <v>Austria</v>
      </c>
      <c r="DG28" s="77">
        <f t="shared" si="142"/>
        <v>0</v>
      </c>
      <c r="DH28" s="78" t="str">
        <f t="shared" si="143"/>
        <v/>
      </c>
      <c r="DI28" s="69"/>
    </row>
    <row r="29" spans="1:113" s="43" customFormat="1" ht="15" customHeight="1" x14ac:dyDescent="0.25">
      <c r="A29" s="41">
        <v>34</v>
      </c>
      <c r="B29" s="65"/>
      <c r="C29" s="55">
        <v>20</v>
      </c>
      <c r="D29" s="20" t="s">
        <v>108</v>
      </c>
      <c r="E29" s="157">
        <f t="shared" si="144"/>
        <v>45464.875</v>
      </c>
      <c r="F29" s="158">
        <v>45464.875</v>
      </c>
      <c r="G29" s="72" t="str">
        <f>Matches!G27</f>
        <v>Netherlands</v>
      </c>
      <c r="H29" s="75"/>
      <c r="I29" s="75"/>
      <c r="J29" s="73" t="str">
        <f>Matches!J27</f>
        <v>France</v>
      </c>
      <c r="K29" s="55"/>
      <c r="L29" s="55"/>
      <c r="M29" s="67"/>
      <c r="N29" s="127"/>
      <c r="O29" s="74" t="str">
        <f t="shared" si="104"/>
        <v>Netherlands</v>
      </c>
      <c r="P29" s="75">
        <v>1</v>
      </c>
      <c r="Q29" s="75">
        <v>2</v>
      </c>
      <c r="R29" s="76" t="str">
        <f t="shared" si="105"/>
        <v>France</v>
      </c>
      <c r="U29" s="77">
        <f t="shared" si="106"/>
        <v>0</v>
      </c>
      <c r="V29" s="78" t="str">
        <f t="shared" si="107"/>
        <v/>
      </c>
      <c r="W29" s="69"/>
      <c r="X29" s="127"/>
      <c r="Y29" s="74" t="str">
        <f t="shared" si="108"/>
        <v>Netherlands</v>
      </c>
      <c r="Z29" s="75">
        <v>2</v>
      </c>
      <c r="AA29" s="75">
        <v>2</v>
      </c>
      <c r="AB29" s="76" t="str">
        <f t="shared" si="109"/>
        <v>France</v>
      </c>
      <c r="AE29" s="77">
        <f t="shared" si="110"/>
        <v>0</v>
      </c>
      <c r="AF29" s="78" t="str">
        <f t="shared" si="111"/>
        <v/>
      </c>
      <c r="AG29" s="69"/>
      <c r="AH29" s="127"/>
      <c r="AI29" s="74" t="str">
        <f t="shared" si="112"/>
        <v>Netherlands</v>
      </c>
      <c r="AJ29" s="75">
        <v>2</v>
      </c>
      <c r="AK29" s="75">
        <v>2</v>
      </c>
      <c r="AL29" s="76" t="str">
        <f t="shared" si="113"/>
        <v>France</v>
      </c>
      <c r="AO29" s="77">
        <f t="shared" si="114"/>
        <v>0</v>
      </c>
      <c r="AP29" s="78" t="str">
        <f t="shared" si="115"/>
        <v/>
      </c>
      <c r="AQ29" s="69"/>
      <c r="AR29" s="127"/>
      <c r="AS29" s="74" t="str">
        <f t="shared" si="116"/>
        <v>Netherlands</v>
      </c>
      <c r="AT29" s="75">
        <v>2</v>
      </c>
      <c r="AU29" s="75">
        <v>3</v>
      </c>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v>1</v>
      </c>
      <c r="BO29" s="75">
        <v>1</v>
      </c>
      <c r="BP29" s="76" t="str">
        <f t="shared" si="125"/>
        <v>France</v>
      </c>
      <c r="BS29" s="77">
        <f t="shared" si="126"/>
        <v>0</v>
      </c>
      <c r="BT29" s="78" t="str">
        <f t="shared" si="127"/>
        <v/>
      </c>
      <c r="BU29" s="69"/>
      <c r="BV29" s="127"/>
      <c r="BW29" s="74" t="str">
        <f t="shared" si="128"/>
        <v>Netherlands</v>
      </c>
      <c r="BX29" s="75">
        <v>2</v>
      </c>
      <c r="BY29" s="75">
        <v>2</v>
      </c>
      <c r="BZ29" s="76" t="str">
        <f t="shared" si="129"/>
        <v>France</v>
      </c>
      <c r="CC29" s="77">
        <f t="shared" si="130"/>
        <v>0</v>
      </c>
      <c r="CD29" s="78" t="str">
        <f t="shared" si="131"/>
        <v/>
      </c>
      <c r="CE29" s="69"/>
      <c r="CF29" s="127"/>
      <c r="CG29" s="74" t="str">
        <f t="shared" si="132"/>
        <v>Netherlands</v>
      </c>
      <c r="CH29" s="75">
        <v>2</v>
      </c>
      <c r="CI29" s="75">
        <v>3</v>
      </c>
      <c r="CJ29" s="76" t="str">
        <f t="shared" si="133"/>
        <v>France</v>
      </c>
      <c r="CM29" s="77">
        <f t="shared" si="134"/>
        <v>0</v>
      </c>
      <c r="CN29" s="78" t="str">
        <f t="shared" si="135"/>
        <v/>
      </c>
      <c r="CO29" s="69"/>
      <c r="CP29" s="127"/>
      <c r="CQ29" s="74" t="str">
        <f t="shared" si="136"/>
        <v>Netherlands</v>
      </c>
      <c r="CR29" s="75">
        <v>0</v>
      </c>
      <c r="CS29" s="75">
        <v>1</v>
      </c>
      <c r="CT29" s="76" t="str">
        <f t="shared" si="137"/>
        <v>France</v>
      </c>
      <c r="CW29" s="77">
        <f t="shared" si="138"/>
        <v>0</v>
      </c>
      <c r="CX29" s="78" t="str">
        <f t="shared" si="139"/>
        <v/>
      </c>
      <c r="CY29" s="69"/>
      <c r="CZ29" s="127"/>
      <c r="DA29" s="74" t="str">
        <f t="shared" si="140"/>
        <v>Netherlands</v>
      </c>
      <c r="DB29" s="75">
        <v>1</v>
      </c>
      <c r="DC29" s="75">
        <v>2</v>
      </c>
      <c r="DD29" s="76" t="str">
        <f t="shared" si="141"/>
        <v>France</v>
      </c>
      <c r="DG29" s="77">
        <f t="shared" si="142"/>
        <v>0</v>
      </c>
      <c r="DH29" s="78" t="str">
        <f t="shared" si="143"/>
        <v/>
      </c>
      <c r="DI29" s="69"/>
    </row>
    <row r="30" spans="1:113" s="43" customFormat="1" ht="15" customHeight="1" x14ac:dyDescent="0.25">
      <c r="A30" s="41">
        <v>35</v>
      </c>
      <c r="B30" s="65"/>
      <c r="C30" s="55">
        <v>21</v>
      </c>
      <c r="D30" s="20" t="s">
        <v>109</v>
      </c>
      <c r="E30" s="157">
        <f t="shared" si="144"/>
        <v>45464.625</v>
      </c>
      <c r="F30" s="158">
        <v>45464.625</v>
      </c>
      <c r="G30" s="72" t="str">
        <f>Matches!G28</f>
        <v>Slovakia</v>
      </c>
      <c r="H30" s="75"/>
      <c r="I30" s="75"/>
      <c r="J30" s="73" t="str">
        <f>Matches!J28</f>
        <v>Ukraine</v>
      </c>
      <c r="K30" s="55"/>
      <c r="L30" s="55"/>
      <c r="M30" s="67"/>
      <c r="N30" s="127"/>
      <c r="O30" s="74" t="str">
        <f t="shared" si="104"/>
        <v>Slovakia</v>
      </c>
      <c r="P30" s="75">
        <v>1</v>
      </c>
      <c r="Q30" s="75">
        <v>1</v>
      </c>
      <c r="R30" s="76" t="str">
        <f t="shared" si="105"/>
        <v>Ukraine</v>
      </c>
      <c r="U30" s="77">
        <f t="shared" si="106"/>
        <v>0</v>
      </c>
      <c r="V30" s="78" t="str">
        <f t="shared" si="107"/>
        <v/>
      </c>
      <c r="W30" s="69"/>
      <c r="X30" s="127"/>
      <c r="Y30" s="74" t="str">
        <f t="shared" si="108"/>
        <v>Slovakia</v>
      </c>
      <c r="Z30" s="75">
        <v>1</v>
      </c>
      <c r="AA30" s="75">
        <v>1</v>
      </c>
      <c r="AB30" s="76" t="str">
        <f t="shared" si="109"/>
        <v>Ukraine</v>
      </c>
      <c r="AE30" s="77">
        <f t="shared" si="110"/>
        <v>0</v>
      </c>
      <c r="AF30" s="78" t="str">
        <f t="shared" si="111"/>
        <v/>
      </c>
      <c r="AG30" s="69"/>
      <c r="AH30" s="127"/>
      <c r="AI30" s="74" t="str">
        <f t="shared" si="112"/>
        <v>Slovakia</v>
      </c>
      <c r="AJ30" s="75">
        <v>0</v>
      </c>
      <c r="AK30" s="75">
        <v>1</v>
      </c>
      <c r="AL30" s="76" t="str">
        <f t="shared" si="113"/>
        <v>Ukraine</v>
      </c>
      <c r="AO30" s="77">
        <f t="shared" si="114"/>
        <v>0</v>
      </c>
      <c r="AP30" s="78" t="str">
        <f t="shared" si="115"/>
        <v/>
      </c>
      <c r="AQ30" s="69"/>
      <c r="AR30" s="127"/>
      <c r="AS30" s="74" t="str">
        <f t="shared" si="116"/>
        <v>Slovakia</v>
      </c>
      <c r="AT30" s="75">
        <v>2</v>
      </c>
      <c r="AU30" s="75">
        <v>3</v>
      </c>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v>2</v>
      </c>
      <c r="BO30" s="75">
        <v>1</v>
      </c>
      <c r="BP30" s="76" t="str">
        <f t="shared" si="125"/>
        <v>Ukraine</v>
      </c>
      <c r="BS30" s="77">
        <f t="shared" si="126"/>
        <v>0</v>
      </c>
      <c r="BT30" s="78" t="str">
        <f t="shared" si="127"/>
        <v/>
      </c>
      <c r="BU30" s="69"/>
      <c r="BV30" s="127"/>
      <c r="BW30" s="74" t="str">
        <f t="shared" si="128"/>
        <v>Slovakia</v>
      </c>
      <c r="BX30" s="75">
        <v>0</v>
      </c>
      <c r="BY30" s="75">
        <v>0</v>
      </c>
      <c r="BZ30" s="76" t="str">
        <f t="shared" si="129"/>
        <v>Ukraine</v>
      </c>
      <c r="CC30" s="77">
        <f t="shared" si="130"/>
        <v>0</v>
      </c>
      <c r="CD30" s="78" t="str">
        <f t="shared" si="131"/>
        <v/>
      </c>
      <c r="CE30" s="69"/>
      <c r="CF30" s="127"/>
      <c r="CG30" s="74" t="str">
        <f t="shared" si="132"/>
        <v>Slovakia</v>
      </c>
      <c r="CH30" s="75">
        <v>1</v>
      </c>
      <c r="CI30" s="75">
        <v>1</v>
      </c>
      <c r="CJ30" s="76" t="str">
        <f t="shared" si="133"/>
        <v>Ukraine</v>
      </c>
      <c r="CM30" s="77">
        <f t="shared" si="134"/>
        <v>0</v>
      </c>
      <c r="CN30" s="78" t="str">
        <f t="shared" si="135"/>
        <v/>
      </c>
      <c r="CO30" s="69"/>
      <c r="CP30" s="127"/>
      <c r="CQ30" s="74" t="str">
        <f t="shared" si="136"/>
        <v>Slovakia</v>
      </c>
      <c r="CR30" s="75">
        <v>3</v>
      </c>
      <c r="CS30" s="75">
        <v>2</v>
      </c>
      <c r="CT30" s="76" t="str">
        <f t="shared" si="137"/>
        <v>Ukraine</v>
      </c>
      <c r="CW30" s="77">
        <f t="shared" si="138"/>
        <v>0</v>
      </c>
      <c r="CX30" s="78" t="str">
        <f t="shared" si="139"/>
        <v/>
      </c>
      <c r="CY30" s="69"/>
      <c r="CZ30" s="127"/>
      <c r="DA30" s="74" t="str">
        <f t="shared" si="140"/>
        <v>Slovakia</v>
      </c>
      <c r="DB30" s="75">
        <v>2</v>
      </c>
      <c r="DC30" s="75">
        <v>0</v>
      </c>
      <c r="DD30" s="76" t="str">
        <f t="shared" si="141"/>
        <v>Ukraine</v>
      </c>
      <c r="DG30" s="77">
        <f t="shared" si="142"/>
        <v>0</v>
      </c>
      <c r="DH30" s="78" t="str">
        <f t="shared" si="143"/>
        <v/>
      </c>
      <c r="DI30" s="69"/>
    </row>
    <row r="31" spans="1:113" s="43" customFormat="1" ht="15" customHeight="1" x14ac:dyDescent="0.25">
      <c r="A31" s="41">
        <v>36</v>
      </c>
      <c r="B31" s="65"/>
      <c r="C31" s="55">
        <v>22</v>
      </c>
      <c r="D31" s="20" t="s">
        <v>109</v>
      </c>
      <c r="E31" s="157">
        <f t="shared" si="144"/>
        <v>45465.875</v>
      </c>
      <c r="F31" s="158">
        <v>45465.875</v>
      </c>
      <c r="G31" s="72" t="str">
        <f>Matches!G29</f>
        <v>Belgium</v>
      </c>
      <c r="H31" s="75"/>
      <c r="I31" s="75"/>
      <c r="J31" s="73" t="str">
        <f>Matches!J29</f>
        <v>Romania</v>
      </c>
      <c r="K31" s="55"/>
      <c r="L31" s="55"/>
      <c r="M31" s="67"/>
      <c r="N31" s="127"/>
      <c r="O31" s="74" t="str">
        <f t="shared" si="104"/>
        <v>Belgium</v>
      </c>
      <c r="P31" s="75">
        <v>3</v>
      </c>
      <c r="Q31" s="75">
        <v>1</v>
      </c>
      <c r="R31" s="76" t="str">
        <f t="shared" si="105"/>
        <v>Romania</v>
      </c>
      <c r="U31" s="77">
        <f t="shared" si="106"/>
        <v>0</v>
      </c>
      <c r="V31" s="78" t="str">
        <f t="shared" si="107"/>
        <v/>
      </c>
      <c r="W31" s="69"/>
      <c r="X31" s="127"/>
      <c r="Y31" s="74" t="str">
        <f t="shared" si="108"/>
        <v>Belgium</v>
      </c>
      <c r="Z31" s="75">
        <v>3</v>
      </c>
      <c r="AA31" s="75">
        <v>0</v>
      </c>
      <c r="AB31" s="76" t="str">
        <f t="shared" si="109"/>
        <v>Romania</v>
      </c>
      <c r="AE31" s="77">
        <f t="shared" si="110"/>
        <v>0</v>
      </c>
      <c r="AF31" s="78" t="str">
        <f t="shared" si="111"/>
        <v/>
      </c>
      <c r="AG31" s="69"/>
      <c r="AH31" s="127"/>
      <c r="AI31" s="74" t="str">
        <f t="shared" si="112"/>
        <v>Belgium</v>
      </c>
      <c r="AJ31" s="75">
        <v>2</v>
      </c>
      <c r="AK31" s="75">
        <v>0</v>
      </c>
      <c r="AL31" s="76" t="str">
        <f t="shared" si="113"/>
        <v>Romania</v>
      </c>
      <c r="AO31" s="77">
        <f t="shared" si="114"/>
        <v>0</v>
      </c>
      <c r="AP31" s="78" t="str">
        <f t="shared" si="115"/>
        <v/>
      </c>
      <c r="AQ31" s="69"/>
      <c r="AR31" s="127"/>
      <c r="AS31" s="74" t="str">
        <f t="shared" si="116"/>
        <v>Belgium</v>
      </c>
      <c r="AT31" s="75">
        <v>4</v>
      </c>
      <c r="AU31" s="75">
        <v>1</v>
      </c>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v>2</v>
      </c>
      <c r="BO31" s="75">
        <v>0</v>
      </c>
      <c r="BP31" s="76" t="str">
        <f t="shared" si="125"/>
        <v>Romania</v>
      </c>
      <c r="BS31" s="77">
        <f t="shared" si="126"/>
        <v>0</v>
      </c>
      <c r="BT31" s="78" t="str">
        <f t="shared" si="127"/>
        <v/>
      </c>
      <c r="BU31" s="69"/>
      <c r="BV31" s="127"/>
      <c r="BW31" s="74" t="str">
        <f t="shared" si="128"/>
        <v>Belgium</v>
      </c>
      <c r="BX31" s="75">
        <v>1</v>
      </c>
      <c r="BY31" s="75">
        <v>0</v>
      </c>
      <c r="BZ31" s="76" t="str">
        <f t="shared" si="129"/>
        <v>Romania</v>
      </c>
      <c r="CC31" s="77">
        <f t="shared" si="130"/>
        <v>0</v>
      </c>
      <c r="CD31" s="78" t="str">
        <f t="shared" si="131"/>
        <v/>
      </c>
      <c r="CE31" s="69"/>
      <c r="CF31" s="127"/>
      <c r="CG31" s="74" t="str">
        <f t="shared" si="132"/>
        <v>Belgium</v>
      </c>
      <c r="CH31" s="75">
        <v>3</v>
      </c>
      <c r="CI31" s="75">
        <v>1</v>
      </c>
      <c r="CJ31" s="76" t="str">
        <f t="shared" si="133"/>
        <v>Romania</v>
      </c>
      <c r="CM31" s="77">
        <f t="shared" si="134"/>
        <v>0</v>
      </c>
      <c r="CN31" s="78" t="str">
        <f t="shared" si="135"/>
        <v/>
      </c>
      <c r="CO31" s="69"/>
      <c r="CP31" s="127"/>
      <c r="CQ31" s="74" t="str">
        <f t="shared" si="136"/>
        <v>Belgium</v>
      </c>
      <c r="CR31" s="75">
        <v>1</v>
      </c>
      <c r="CS31" s="75">
        <v>0</v>
      </c>
      <c r="CT31" s="76" t="str">
        <f t="shared" si="137"/>
        <v>Romania</v>
      </c>
      <c r="CW31" s="77">
        <f t="shared" si="138"/>
        <v>0</v>
      </c>
      <c r="CX31" s="78" t="str">
        <f t="shared" si="139"/>
        <v/>
      </c>
      <c r="CY31" s="69"/>
      <c r="CZ31" s="127"/>
      <c r="DA31" s="74" t="str">
        <f t="shared" si="140"/>
        <v>Belgium</v>
      </c>
      <c r="DB31" s="75">
        <v>4</v>
      </c>
      <c r="DC31" s="75">
        <v>2</v>
      </c>
      <c r="DD31" s="76" t="str">
        <f t="shared" si="141"/>
        <v>Romania</v>
      </c>
      <c r="DG31" s="77">
        <f t="shared" si="142"/>
        <v>0</v>
      </c>
      <c r="DH31" s="78" t="str">
        <f t="shared" si="143"/>
        <v/>
      </c>
      <c r="DI31" s="69"/>
    </row>
    <row r="32" spans="1:113" s="43" customFormat="1" ht="15" customHeight="1" x14ac:dyDescent="0.25">
      <c r="A32" s="41">
        <v>37</v>
      </c>
      <c r="B32" s="65"/>
      <c r="C32" s="55">
        <v>23</v>
      </c>
      <c r="D32" s="20" t="s">
        <v>110</v>
      </c>
      <c r="E32" s="157">
        <f t="shared" si="144"/>
        <v>45465.75</v>
      </c>
      <c r="F32" s="158">
        <v>45465.75</v>
      </c>
      <c r="G32" s="72" t="str">
        <f>Matches!G30</f>
        <v>Türkiye</v>
      </c>
      <c r="H32" s="75"/>
      <c r="I32" s="75"/>
      <c r="J32" s="73" t="str">
        <f>Matches!J30</f>
        <v>Portugal</v>
      </c>
      <c r="K32" s="55"/>
      <c r="L32" s="55"/>
      <c r="M32" s="67"/>
      <c r="N32" s="127"/>
      <c r="O32" s="74" t="str">
        <f t="shared" si="104"/>
        <v>Türkiye</v>
      </c>
      <c r="P32" s="75">
        <v>1</v>
      </c>
      <c r="Q32" s="75">
        <v>2</v>
      </c>
      <c r="R32" s="76" t="str">
        <f t="shared" si="105"/>
        <v>Portugal</v>
      </c>
      <c r="U32" s="77">
        <f t="shared" si="106"/>
        <v>0</v>
      </c>
      <c r="V32" s="78" t="str">
        <f t="shared" si="107"/>
        <v/>
      </c>
      <c r="W32" s="69"/>
      <c r="X32" s="127"/>
      <c r="Y32" s="74" t="str">
        <f t="shared" si="108"/>
        <v>Türkiye</v>
      </c>
      <c r="Z32" s="75">
        <v>1</v>
      </c>
      <c r="AA32" s="75">
        <v>2</v>
      </c>
      <c r="AB32" s="76" t="str">
        <f t="shared" si="109"/>
        <v>Portugal</v>
      </c>
      <c r="AE32" s="77">
        <f t="shared" si="110"/>
        <v>0</v>
      </c>
      <c r="AF32" s="78" t="str">
        <f t="shared" si="111"/>
        <v/>
      </c>
      <c r="AG32" s="69"/>
      <c r="AH32" s="127"/>
      <c r="AI32" s="74" t="str">
        <f t="shared" si="112"/>
        <v>Türkiye</v>
      </c>
      <c r="AJ32" s="75">
        <v>0</v>
      </c>
      <c r="AK32" s="75">
        <v>2</v>
      </c>
      <c r="AL32" s="76" t="str">
        <f t="shared" si="113"/>
        <v>Portugal</v>
      </c>
      <c r="AO32" s="77">
        <f t="shared" si="114"/>
        <v>0</v>
      </c>
      <c r="AP32" s="78" t="str">
        <f t="shared" si="115"/>
        <v/>
      </c>
      <c r="AQ32" s="69"/>
      <c r="AR32" s="127"/>
      <c r="AS32" s="74" t="str">
        <f t="shared" si="116"/>
        <v>Türkiye</v>
      </c>
      <c r="AT32" s="75">
        <v>1</v>
      </c>
      <c r="AU32" s="75">
        <v>3</v>
      </c>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v>2</v>
      </c>
      <c r="BO32" s="75">
        <v>1</v>
      </c>
      <c r="BP32" s="76" t="str">
        <f t="shared" si="125"/>
        <v>Portugal</v>
      </c>
      <c r="BS32" s="77">
        <f t="shared" si="126"/>
        <v>0</v>
      </c>
      <c r="BT32" s="78" t="str">
        <f t="shared" si="127"/>
        <v/>
      </c>
      <c r="BU32" s="69"/>
      <c r="BV32" s="127"/>
      <c r="BW32" s="74" t="str">
        <f t="shared" si="128"/>
        <v>Türkiye</v>
      </c>
      <c r="BX32" s="75">
        <v>0</v>
      </c>
      <c r="BY32" s="75">
        <v>2</v>
      </c>
      <c r="BZ32" s="76" t="str">
        <f t="shared" si="129"/>
        <v>Portugal</v>
      </c>
      <c r="CC32" s="77">
        <f t="shared" si="130"/>
        <v>0</v>
      </c>
      <c r="CD32" s="78" t="str">
        <f t="shared" si="131"/>
        <v/>
      </c>
      <c r="CE32" s="69"/>
      <c r="CF32" s="127"/>
      <c r="CG32" s="74" t="str">
        <f t="shared" si="132"/>
        <v>Türkiye</v>
      </c>
      <c r="CH32" s="75">
        <v>1</v>
      </c>
      <c r="CI32" s="75">
        <v>3</v>
      </c>
      <c r="CJ32" s="76" t="str">
        <f t="shared" si="133"/>
        <v>Portugal</v>
      </c>
      <c r="CM32" s="77">
        <f t="shared" si="134"/>
        <v>0</v>
      </c>
      <c r="CN32" s="78" t="str">
        <f t="shared" si="135"/>
        <v/>
      </c>
      <c r="CO32" s="69"/>
      <c r="CP32" s="127"/>
      <c r="CQ32" s="74" t="str">
        <f t="shared" si="136"/>
        <v>Türkiye</v>
      </c>
      <c r="CR32" s="75">
        <v>2</v>
      </c>
      <c r="CS32" s="75">
        <v>0</v>
      </c>
      <c r="CT32" s="76" t="str">
        <f t="shared" si="137"/>
        <v>Portugal</v>
      </c>
      <c r="CW32" s="77">
        <f t="shared" si="138"/>
        <v>0</v>
      </c>
      <c r="CX32" s="78" t="str">
        <f t="shared" si="139"/>
        <v/>
      </c>
      <c r="CY32" s="69"/>
      <c r="CZ32" s="127"/>
      <c r="DA32" s="74" t="str">
        <f t="shared" si="140"/>
        <v>Türkiye</v>
      </c>
      <c r="DB32" s="75">
        <v>1</v>
      </c>
      <c r="DC32" s="75">
        <v>3</v>
      </c>
      <c r="DD32" s="76" t="str">
        <f t="shared" si="141"/>
        <v>Portugal</v>
      </c>
      <c r="DG32" s="77">
        <f t="shared" si="142"/>
        <v>0</v>
      </c>
      <c r="DH32" s="78" t="str">
        <f t="shared" si="143"/>
        <v/>
      </c>
      <c r="DI32" s="69"/>
    </row>
    <row r="33" spans="1:113" s="43" customFormat="1" ht="15" customHeight="1" x14ac:dyDescent="0.25">
      <c r="A33" s="41">
        <v>38</v>
      </c>
      <c r="B33" s="65"/>
      <c r="C33" s="55">
        <v>24</v>
      </c>
      <c r="D33" s="20" t="s">
        <v>110</v>
      </c>
      <c r="E33" s="157">
        <f t="shared" si="144"/>
        <v>45465.625</v>
      </c>
      <c r="F33" s="158">
        <v>45465.625</v>
      </c>
      <c r="G33" s="72" t="str">
        <f>Matches!G31</f>
        <v>Georgia</v>
      </c>
      <c r="H33" s="75"/>
      <c r="I33" s="75"/>
      <c r="J33" s="73" t="str">
        <f>Matches!J31</f>
        <v>Czechia</v>
      </c>
      <c r="K33" s="55"/>
      <c r="L33" s="55"/>
      <c r="M33" s="67"/>
      <c r="N33" s="127"/>
      <c r="O33" s="74" t="str">
        <f t="shared" si="104"/>
        <v>Georgia</v>
      </c>
      <c r="P33" s="75">
        <v>0</v>
      </c>
      <c r="Q33" s="75">
        <v>2</v>
      </c>
      <c r="R33" s="76" t="str">
        <f t="shared" si="105"/>
        <v>Czechia</v>
      </c>
      <c r="U33" s="77">
        <f t="shared" si="106"/>
        <v>0</v>
      </c>
      <c r="V33" s="78" t="str">
        <f t="shared" si="107"/>
        <v/>
      </c>
      <c r="W33" s="69"/>
      <c r="X33" s="127"/>
      <c r="Y33" s="74" t="str">
        <f t="shared" si="108"/>
        <v>Georgia</v>
      </c>
      <c r="Z33" s="75">
        <v>1</v>
      </c>
      <c r="AA33" s="75">
        <v>1</v>
      </c>
      <c r="AB33" s="76" t="str">
        <f t="shared" si="109"/>
        <v>Czechia</v>
      </c>
      <c r="AE33" s="77">
        <f t="shared" si="110"/>
        <v>0</v>
      </c>
      <c r="AF33" s="78" t="str">
        <f t="shared" si="111"/>
        <v/>
      </c>
      <c r="AG33" s="69"/>
      <c r="AH33" s="127"/>
      <c r="AI33" s="74" t="str">
        <f t="shared" si="112"/>
        <v>Georgia</v>
      </c>
      <c r="AJ33" s="75">
        <v>0</v>
      </c>
      <c r="AK33" s="75">
        <v>0</v>
      </c>
      <c r="AL33" s="76" t="str">
        <f t="shared" si="113"/>
        <v>Czechia</v>
      </c>
      <c r="AO33" s="77">
        <f t="shared" si="114"/>
        <v>0</v>
      </c>
      <c r="AP33" s="78" t="str">
        <f t="shared" si="115"/>
        <v/>
      </c>
      <c r="AQ33" s="69"/>
      <c r="AR33" s="127"/>
      <c r="AS33" s="74" t="str">
        <f t="shared" si="116"/>
        <v>Georgia</v>
      </c>
      <c r="AT33" s="75">
        <v>1</v>
      </c>
      <c r="AU33" s="75">
        <v>2</v>
      </c>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v>0</v>
      </c>
      <c r="BO33" s="75">
        <v>2</v>
      </c>
      <c r="BP33" s="76" t="str">
        <f t="shared" si="125"/>
        <v>Czechia</v>
      </c>
      <c r="BS33" s="77">
        <f t="shared" si="126"/>
        <v>0</v>
      </c>
      <c r="BT33" s="78" t="str">
        <f t="shared" si="127"/>
        <v/>
      </c>
      <c r="BU33" s="69"/>
      <c r="BV33" s="127"/>
      <c r="BW33" s="74" t="str">
        <f t="shared" si="128"/>
        <v>Georgia</v>
      </c>
      <c r="BX33" s="75">
        <v>0</v>
      </c>
      <c r="BY33" s="75">
        <v>0</v>
      </c>
      <c r="BZ33" s="76" t="str">
        <f t="shared" si="129"/>
        <v>Czechia</v>
      </c>
      <c r="CC33" s="77">
        <f t="shared" si="130"/>
        <v>0</v>
      </c>
      <c r="CD33" s="78" t="str">
        <f t="shared" si="131"/>
        <v/>
      </c>
      <c r="CE33" s="69"/>
      <c r="CF33" s="127"/>
      <c r="CG33" s="74" t="str">
        <f t="shared" si="132"/>
        <v>Georgia</v>
      </c>
      <c r="CH33" s="75">
        <v>0</v>
      </c>
      <c r="CI33" s="75">
        <v>1</v>
      </c>
      <c r="CJ33" s="76" t="str">
        <f t="shared" si="133"/>
        <v>Czechia</v>
      </c>
      <c r="CM33" s="77">
        <f t="shared" si="134"/>
        <v>0</v>
      </c>
      <c r="CN33" s="78" t="str">
        <f t="shared" si="135"/>
        <v/>
      </c>
      <c r="CO33" s="69"/>
      <c r="CP33" s="127"/>
      <c r="CQ33" s="74" t="str">
        <f t="shared" si="136"/>
        <v>Georgia</v>
      </c>
      <c r="CR33" s="75">
        <v>3</v>
      </c>
      <c r="CS33" s="75">
        <v>3</v>
      </c>
      <c r="CT33" s="76" t="str">
        <f t="shared" si="137"/>
        <v>Czechia</v>
      </c>
      <c r="CW33" s="77">
        <f t="shared" si="138"/>
        <v>0</v>
      </c>
      <c r="CX33" s="78" t="str">
        <f t="shared" si="139"/>
        <v/>
      </c>
      <c r="CY33" s="69"/>
      <c r="CZ33" s="127"/>
      <c r="DA33" s="74" t="str">
        <f t="shared" si="140"/>
        <v>Georgia</v>
      </c>
      <c r="DB33" s="75">
        <v>2</v>
      </c>
      <c r="DC33" s="75">
        <v>1</v>
      </c>
      <c r="DD33" s="76" t="str">
        <f t="shared" si="141"/>
        <v>Czechia</v>
      </c>
      <c r="DG33" s="77">
        <f t="shared" si="142"/>
        <v>0</v>
      </c>
      <c r="DH33" s="78" t="str">
        <f t="shared" si="143"/>
        <v/>
      </c>
      <c r="DI33" s="69"/>
    </row>
    <row r="34" spans="1:113" s="43" customFormat="1" ht="15" customHeight="1" x14ac:dyDescent="0.25">
      <c r="A34" s="41">
        <v>39</v>
      </c>
      <c r="B34" s="65"/>
      <c r="C34" s="55">
        <v>25</v>
      </c>
      <c r="D34" s="20" t="s">
        <v>105</v>
      </c>
      <c r="E34" s="157">
        <f t="shared" si="144"/>
        <v>45466.875</v>
      </c>
      <c r="F34" s="158">
        <v>45466.875</v>
      </c>
      <c r="G34" s="72" t="str">
        <f>Matches!G32</f>
        <v>Switzerland</v>
      </c>
      <c r="H34" s="75"/>
      <c r="I34" s="75"/>
      <c r="J34" s="73" t="str">
        <f>Matches!J32</f>
        <v>Germany</v>
      </c>
      <c r="K34" s="55"/>
      <c r="L34" s="55"/>
      <c r="M34" s="67"/>
      <c r="N34" s="127"/>
      <c r="O34" s="74" t="str">
        <f t="shared" si="104"/>
        <v>Switzerland</v>
      </c>
      <c r="P34" s="75">
        <v>1</v>
      </c>
      <c r="Q34" s="75">
        <v>3</v>
      </c>
      <c r="R34" s="76" t="str">
        <f t="shared" si="105"/>
        <v>Germany</v>
      </c>
      <c r="U34" s="77">
        <f t="shared" si="106"/>
        <v>0</v>
      </c>
      <c r="V34" s="78" t="str">
        <f t="shared" si="107"/>
        <v/>
      </c>
      <c r="W34" s="69"/>
      <c r="X34" s="127"/>
      <c r="Y34" s="74" t="str">
        <f t="shared" si="108"/>
        <v>Switzerland</v>
      </c>
      <c r="Z34" s="75">
        <v>1</v>
      </c>
      <c r="AA34" s="75">
        <v>3</v>
      </c>
      <c r="AB34" s="76" t="str">
        <f t="shared" si="109"/>
        <v>Germany</v>
      </c>
      <c r="AE34" s="77">
        <f t="shared" si="110"/>
        <v>0</v>
      </c>
      <c r="AF34" s="78" t="str">
        <f t="shared" si="111"/>
        <v/>
      </c>
      <c r="AG34" s="69"/>
      <c r="AH34" s="127"/>
      <c r="AI34" s="74" t="str">
        <f t="shared" si="112"/>
        <v>Switzerland</v>
      </c>
      <c r="AJ34" s="75">
        <v>1</v>
      </c>
      <c r="AK34" s="75">
        <v>2</v>
      </c>
      <c r="AL34" s="76" t="str">
        <f t="shared" si="113"/>
        <v>Germany</v>
      </c>
      <c r="AO34" s="77">
        <f t="shared" si="114"/>
        <v>0</v>
      </c>
      <c r="AP34" s="78" t="str">
        <f t="shared" si="115"/>
        <v/>
      </c>
      <c r="AQ34" s="69"/>
      <c r="AR34" s="127"/>
      <c r="AS34" s="74" t="str">
        <f t="shared" si="116"/>
        <v>Switzerland</v>
      </c>
      <c r="AT34" s="75">
        <v>1</v>
      </c>
      <c r="AU34" s="75">
        <v>2</v>
      </c>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v>1</v>
      </c>
      <c r="BO34" s="75">
        <v>2</v>
      </c>
      <c r="BP34" s="76" t="str">
        <f t="shared" si="125"/>
        <v>Germany</v>
      </c>
      <c r="BS34" s="77">
        <f t="shared" si="126"/>
        <v>0</v>
      </c>
      <c r="BT34" s="78" t="str">
        <f t="shared" si="127"/>
        <v/>
      </c>
      <c r="BU34" s="69"/>
      <c r="BV34" s="127"/>
      <c r="BW34" s="74" t="str">
        <f t="shared" si="128"/>
        <v>Switzerland</v>
      </c>
      <c r="BX34" s="75">
        <v>0</v>
      </c>
      <c r="BY34" s="75">
        <v>1</v>
      </c>
      <c r="BZ34" s="76" t="str">
        <f t="shared" si="129"/>
        <v>Germany</v>
      </c>
      <c r="CC34" s="77">
        <f t="shared" si="130"/>
        <v>0</v>
      </c>
      <c r="CD34" s="78" t="str">
        <f t="shared" si="131"/>
        <v/>
      </c>
      <c r="CE34" s="69"/>
      <c r="CF34" s="127"/>
      <c r="CG34" s="74" t="str">
        <f t="shared" si="132"/>
        <v>Switzerland</v>
      </c>
      <c r="CH34" s="75">
        <v>1</v>
      </c>
      <c r="CI34" s="75">
        <v>1</v>
      </c>
      <c r="CJ34" s="76" t="str">
        <f t="shared" si="133"/>
        <v>Germany</v>
      </c>
      <c r="CM34" s="77">
        <f t="shared" si="134"/>
        <v>0</v>
      </c>
      <c r="CN34" s="78" t="str">
        <f t="shared" si="135"/>
        <v/>
      </c>
      <c r="CO34" s="69"/>
      <c r="CP34" s="127"/>
      <c r="CQ34" s="74" t="str">
        <f t="shared" si="136"/>
        <v>Switzerland</v>
      </c>
      <c r="CR34" s="75">
        <v>1</v>
      </c>
      <c r="CS34" s="75">
        <v>2</v>
      </c>
      <c r="CT34" s="76" t="str">
        <f t="shared" si="137"/>
        <v>Germany</v>
      </c>
      <c r="CW34" s="77">
        <f t="shared" si="138"/>
        <v>0</v>
      </c>
      <c r="CX34" s="78" t="str">
        <f t="shared" si="139"/>
        <v/>
      </c>
      <c r="CY34" s="69"/>
      <c r="CZ34" s="127"/>
      <c r="DA34" s="74" t="str">
        <f t="shared" si="140"/>
        <v>Switzerland</v>
      </c>
      <c r="DB34" s="75">
        <v>1</v>
      </c>
      <c r="DC34" s="75">
        <v>4</v>
      </c>
      <c r="DD34" s="76" t="str">
        <f t="shared" si="141"/>
        <v>Germany</v>
      </c>
      <c r="DG34" s="77">
        <f t="shared" si="142"/>
        <v>0</v>
      </c>
      <c r="DH34" s="78" t="str">
        <f t="shared" si="143"/>
        <v/>
      </c>
      <c r="DI34" s="69"/>
    </row>
    <row r="35" spans="1:113" s="43" customFormat="1" ht="15" customHeight="1" x14ac:dyDescent="0.25">
      <c r="A35" s="41">
        <v>40</v>
      </c>
      <c r="B35" s="65"/>
      <c r="C35" s="55">
        <v>26</v>
      </c>
      <c r="D35" s="20" t="s">
        <v>105</v>
      </c>
      <c r="E35" s="157">
        <f t="shared" si="144"/>
        <v>45466.875</v>
      </c>
      <c r="F35" s="158">
        <v>45466.875</v>
      </c>
      <c r="G35" s="72" t="str">
        <f>Matches!G33</f>
        <v>Scotland</v>
      </c>
      <c r="H35" s="75"/>
      <c r="I35" s="75"/>
      <c r="J35" s="73" t="str">
        <f>Matches!J33</f>
        <v>Hungary</v>
      </c>
      <c r="K35" s="55"/>
      <c r="L35" s="55"/>
      <c r="M35" s="67"/>
      <c r="N35" s="127"/>
      <c r="O35" s="74" t="str">
        <f t="shared" si="104"/>
        <v>Scotland</v>
      </c>
      <c r="P35" s="75">
        <v>2</v>
      </c>
      <c r="Q35" s="75">
        <v>1</v>
      </c>
      <c r="R35" s="76" t="str">
        <f t="shared" si="105"/>
        <v>Hungary</v>
      </c>
      <c r="U35" s="77">
        <f t="shared" si="106"/>
        <v>0</v>
      </c>
      <c r="V35" s="78" t="str">
        <f t="shared" si="107"/>
        <v/>
      </c>
      <c r="W35" s="69"/>
      <c r="X35" s="127"/>
      <c r="Y35" s="74" t="str">
        <f t="shared" si="108"/>
        <v>Scotland</v>
      </c>
      <c r="Z35" s="75">
        <v>2</v>
      </c>
      <c r="AA35" s="75">
        <v>1</v>
      </c>
      <c r="AB35" s="76" t="str">
        <f t="shared" si="109"/>
        <v>Hungary</v>
      </c>
      <c r="AE35" s="77">
        <f t="shared" si="110"/>
        <v>0</v>
      </c>
      <c r="AF35" s="78" t="str">
        <f t="shared" si="111"/>
        <v/>
      </c>
      <c r="AG35" s="69"/>
      <c r="AH35" s="127"/>
      <c r="AI35" s="74" t="str">
        <f t="shared" si="112"/>
        <v>Scotland</v>
      </c>
      <c r="AJ35" s="75">
        <v>1</v>
      </c>
      <c r="AK35" s="75">
        <v>0</v>
      </c>
      <c r="AL35" s="76" t="str">
        <f t="shared" si="113"/>
        <v>Hungary</v>
      </c>
      <c r="AO35" s="77">
        <f t="shared" si="114"/>
        <v>0</v>
      </c>
      <c r="AP35" s="78" t="str">
        <f t="shared" si="115"/>
        <v/>
      </c>
      <c r="AQ35" s="69"/>
      <c r="AR35" s="127"/>
      <c r="AS35" s="74" t="str">
        <f t="shared" si="116"/>
        <v>Scotland</v>
      </c>
      <c r="AT35" s="75">
        <v>2</v>
      </c>
      <c r="AU35" s="75">
        <v>2</v>
      </c>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v>1</v>
      </c>
      <c r="BO35" s="75">
        <v>1</v>
      </c>
      <c r="BP35" s="76" t="str">
        <f t="shared" si="125"/>
        <v>Hungary</v>
      </c>
      <c r="BS35" s="77">
        <f t="shared" si="126"/>
        <v>0</v>
      </c>
      <c r="BT35" s="78" t="str">
        <f t="shared" si="127"/>
        <v/>
      </c>
      <c r="BU35" s="69"/>
      <c r="BV35" s="127"/>
      <c r="BW35" s="74" t="str">
        <f t="shared" si="128"/>
        <v>Scotland</v>
      </c>
      <c r="BX35" s="75">
        <v>1</v>
      </c>
      <c r="BY35" s="75">
        <v>0</v>
      </c>
      <c r="BZ35" s="76" t="str">
        <f t="shared" si="129"/>
        <v>Hungary</v>
      </c>
      <c r="CC35" s="77">
        <f t="shared" si="130"/>
        <v>0</v>
      </c>
      <c r="CD35" s="78" t="str">
        <f t="shared" si="131"/>
        <v/>
      </c>
      <c r="CE35" s="69"/>
      <c r="CF35" s="127"/>
      <c r="CG35" s="74" t="str">
        <f t="shared" si="132"/>
        <v>Scotland</v>
      </c>
      <c r="CH35" s="75">
        <v>1</v>
      </c>
      <c r="CI35" s="75">
        <v>0</v>
      </c>
      <c r="CJ35" s="76" t="str">
        <f t="shared" si="133"/>
        <v>Hungary</v>
      </c>
      <c r="CM35" s="77">
        <f t="shared" si="134"/>
        <v>0</v>
      </c>
      <c r="CN35" s="78" t="str">
        <f t="shared" si="135"/>
        <v/>
      </c>
      <c r="CO35" s="69"/>
      <c r="CP35" s="127"/>
      <c r="CQ35" s="74" t="str">
        <f t="shared" si="136"/>
        <v>Scotland</v>
      </c>
      <c r="CR35" s="75">
        <v>2</v>
      </c>
      <c r="CS35" s="75">
        <v>1</v>
      </c>
      <c r="CT35" s="76" t="str">
        <f t="shared" si="137"/>
        <v>Hungary</v>
      </c>
      <c r="CW35" s="77">
        <f t="shared" si="138"/>
        <v>0</v>
      </c>
      <c r="CX35" s="78" t="str">
        <f t="shared" si="139"/>
        <v/>
      </c>
      <c r="CY35" s="69"/>
      <c r="CZ35" s="127"/>
      <c r="DA35" s="74" t="str">
        <f t="shared" si="140"/>
        <v>Scotland</v>
      </c>
      <c r="DB35" s="75">
        <v>3</v>
      </c>
      <c r="DC35" s="75">
        <v>2</v>
      </c>
      <c r="DD35" s="76" t="str">
        <f t="shared" si="141"/>
        <v>Hungary</v>
      </c>
      <c r="DG35" s="77">
        <f t="shared" si="142"/>
        <v>0</v>
      </c>
      <c r="DH35" s="78" t="str">
        <f t="shared" si="143"/>
        <v/>
      </c>
      <c r="DI35" s="69"/>
    </row>
    <row r="36" spans="1:113" s="43" customFormat="1" ht="15" customHeight="1" x14ac:dyDescent="0.25">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5">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5">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5">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5">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5">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5">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5">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5">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5">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6" t="s">
        <v>111</v>
      </c>
      <c r="E50" s="386"/>
      <c r="F50" s="386"/>
      <c r="G50" s="396" t="s">
        <v>112</v>
      </c>
      <c r="H50" s="386"/>
      <c r="I50" s="386" t="s">
        <v>113</v>
      </c>
      <c r="J50" s="386"/>
      <c r="K50" s="66"/>
      <c r="L50" s="66"/>
      <c r="M50" s="67"/>
      <c r="N50" s="86">
        <f ca="1">SUM(W51:W58)</f>
        <v>0</v>
      </c>
      <c r="O50" s="385" t="str">
        <f>D50</f>
        <v>Winner</v>
      </c>
      <c r="P50" s="385"/>
      <c r="Q50" s="385" t="str">
        <f>G50</f>
        <v>Runner Up</v>
      </c>
      <c r="R50" s="385"/>
      <c r="S50" s="385" t="str">
        <f>I50</f>
        <v>Third Place</v>
      </c>
      <c r="T50" s="385"/>
      <c r="U50" s="385"/>
      <c r="V50" s="68"/>
      <c r="W50" s="69"/>
      <c r="X50" s="86">
        <f ca="1">SUM(AG51:AG58)</f>
        <v>0</v>
      </c>
      <c r="Y50" s="385" t="str">
        <f>O50</f>
        <v>Winner</v>
      </c>
      <c r="Z50" s="385"/>
      <c r="AA50" s="385" t="str">
        <f>Q50</f>
        <v>Runner Up</v>
      </c>
      <c r="AB50" s="385"/>
      <c r="AC50" s="385" t="str">
        <f>S50</f>
        <v>Third Place</v>
      </c>
      <c r="AD50" s="385"/>
      <c r="AE50" s="385"/>
      <c r="AF50" s="68"/>
      <c r="AG50" s="69"/>
      <c r="AH50" s="86">
        <f t="shared" ref="AH50" ca="1" si="153">SUM(AQ51:AQ58)</f>
        <v>0</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0</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0</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0</v>
      </c>
      <c r="BW50" s="385" t="str">
        <f t="shared" si="149"/>
        <v>Winner</v>
      </c>
      <c r="BX50" s="385"/>
      <c r="BY50" s="385" t="str">
        <f t="shared" ref="BY50" si="166">BO50</f>
        <v>Runner Up</v>
      </c>
      <c r="BZ50" s="385"/>
      <c r="CA50" s="385" t="str">
        <f t="shared" ref="CA50" si="167">BQ50</f>
        <v>Third Place</v>
      </c>
      <c r="CB50" s="385"/>
      <c r="CC50" s="385"/>
      <c r="CD50" s="68"/>
      <c r="CE50" s="69"/>
      <c r="CF50" s="86">
        <f t="shared" ref="CF50" ca="1"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ca="1"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ca="1"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5">
      <c r="A51" s="41"/>
      <c r="B51" s="65"/>
      <c r="C51" s="87" t="s">
        <v>105</v>
      </c>
      <c r="D51" s="381" t="str">
        <f>Matches!P7</f>
        <v>Germany</v>
      </c>
      <c r="E51" s="381"/>
      <c r="F51" s="381"/>
      <c r="G51" s="381" t="str">
        <f>Matches!P8</f>
        <v>Switzerland</v>
      </c>
      <c r="H51" s="381"/>
      <c r="I51" s="394" t="str">
        <f>IF(ISNA(MATCH(Matches!P9,Qual3,0)),"",Matches!P9)</f>
        <v>Scotland</v>
      </c>
      <c r="J51" s="395"/>
      <c r="K51" s="66"/>
      <c r="L51" s="66"/>
      <c r="M51" s="67"/>
      <c r="N51" s="126">
        <v>0</v>
      </c>
      <c r="O51" s="371" t="str">
        <f ca="1">VLOOKUP(1,OFFSET('Dummy Table'!DY4:DZ7,0,N51),2,FALSE)</f>
        <v>Germany</v>
      </c>
      <c r="P51" s="371"/>
      <c r="Q51" s="371" t="str">
        <f ca="1">VLOOKUP(2,OFFSET('Dummy Table'!DY4:DZ7,0,N51),2,FALSE)</f>
        <v>Switzerland</v>
      </c>
      <c r="R51" s="371"/>
      <c r="S51" s="373" t="str">
        <f ca="1">IFERROR(IF(MATCH(VLOOKUP(3,OFFSET('Dummy Table'!DY4:DZ7,0,N51),2,FALSE),OFFSET('Dummy Table'!IU13:IU16,0,N51),0),VLOOKUP(3,OFFSET('Dummy Table'!DY4:DZ7,0,N51),2,FALSE),""),"")</f>
        <v>Scotland</v>
      </c>
      <c r="T51" s="373"/>
      <c r="U51" s="373"/>
      <c r="V51" s="68"/>
      <c r="W51" s="78">
        <f>IF(P45&lt;&gt;"",IF(SUM(Matches!T7:T10)=12,IF(O51=D51,Bonu1,0)+IF(Q51=G51,Bonu2,0)+IF(AND(S51&lt;&gt;"",I51&lt;&gt;"",S51=I51),Bonu3,0),0),"")</f>
        <v>0</v>
      </c>
      <c r="X51" s="126">
        <f>N51+128</f>
        <v>128</v>
      </c>
      <c r="Y51" s="371" t="str">
        <f ca="1">VLOOKUP(1,OFFSET('Dummy Table'!DY4:DZ7,0,X51),2,FALSE)</f>
        <v>Germany</v>
      </c>
      <c r="Z51" s="371"/>
      <c r="AA51" s="371" t="str">
        <f ca="1">VLOOKUP(2,OFFSET('Dummy Table'!DY4:DZ7,0,X51),2,FALSE)</f>
        <v>Scotland</v>
      </c>
      <c r="AB51" s="371"/>
      <c r="AC51" s="373" t="str">
        <f ca="1">IFERROR(IF(MATCH(VLOOKUP(3,OFFSET('Dummy Table'!DY4:DZ7,0,X51),2,FALSE),OFFSET('Dummy Table'!IU13:IU16,0,X51),0),VLOOKUP(3,OFFSET('Dummy Table'!DY4:DZ7,0,X51),2,FALSE),""),"")</f>
        <v>Hungary</v>
      </c>
      <c r="AD51" s="373"/>
      <c r="AE51" s="373"/>
      <c r="AF51" s="68"/>
      <c r="AG51" s="78">
        <f>IF(Z45&lt;&gt;"",IF(SUM(Matches!T7:T10)=12,IF(Y51=D51,Bonu1,0)+IF(AA51=G51,Bonu2,0)+IF(AND(AC51&lt;&gt;"",I51&lt;&gt;"",AC51=I51),Bonu3,0),0),"")</f>
        <v>0</v>
      </c>
      <c r="AH51" s="126">
        <f t="shared" ref="AH51" si="177">X51+128</f>
        <v>256</v>
      </c>
      <c r="AI51" s="371" t="str">
        <f ca="1">VLOOKUP(1,OFFSET('Dummy Table'!DY4:DZ7,0,AH51),2,FALSE)</f>
        <v>Germany</v>
      </c>
      <c r="AJ51" s="371"/>
      <c r="AK51" s="371" t="str">
        <f ca="1">VLOOKUP(2,OFFSET('Dummy Table'!DY4:DZ7,0,AH51),2,FALSE)</f>
        <v>Scotland</v>
      </c>
      <c r="AL51" s="371"/>
      <c r="AM51" s="373" t="str">
        <f ca="1">IFERROR(IF(MATCH(VLOOKUP(3,OFFSET('Dummy Table'!DY4:DZ7,0,AH51),2,FALSE),OFFSET('Dummy Table'!IU13:IU16,0,AH51),0),VLOOKUP(3,OFFSET('Dummy Table'!DY4:DZ7,0,AH51),2,FALSE),""),"")</f>
        <v/>
      </c>
      <c r="AN51" s="373"/>
      <c r="AO51" s="373"/>
      <c r="AP51" s="68"/>
      <c r="AQ51" s="78">
        <f>IF(AJ45&lt;&gt;"",IF(SUM(Matches!T7:T10)=12,IF(AI51=D51,Bonu1,0)+IF(AK51=G51,Bonu2,0)+IF(AND(AM51&lt;&gt;"",I51&lt;&gt;"",AM51=I51),Bonu3,0),0),"")</f>
        <v>0</v>
      </c>
      <c r="AR51" s="126">
        <f t="shared" ref="AR51" si="178">AH51+128</f>
        <v>384</v>
      </c>
      <c r="AS51" s="371" t="str">
        <f ca="1">VLOOKUP(1,OFFSET('Dummy Table'!DY4:DZ7,0,AR51),2,FALSE)</f>
        <v>Germany</v>
      </c>
      <c r="AT51" s="371"/>
      <c r="AU51" s="371" t="str">
        <f ca="1">VLOOKUP(2,OFFSET('Dummy Table'!DY4:DZ7,0,AR51),2,FALSE)</f>
        <v>Switzerland</v>
      </c>
      <c r="AV51" s="371"/>
      <c r="AW51" s="373" t="str">
        <f ca="1">IFERROR(IF(MATCH(VLOOKUP(3,OFFSET('Dummy Table'!DY4:DZ7,0,AR51),2,FALSE),OFFSET('Dummy Table'!IU13:IU16,0,AR51),0),VLOOKUP(3,OFFSET('Dummy Table'!DY4:DZ7,0,AR51),2,FALSE),""),"")</f>
        <v/>
      </c>
      <c r="AX51" s="373"/>
      <c r="AY51" s="373"/>
      <c r="AZ51" s="68"/>
      <c r="BA51" s="78">
        <f>IF(AT45&lt;&gt;"",IF(SUM(Matches!T7:T10)=12,IF(AS51=D51,Bonu1,0)+IF(AU51=G51,Bonu2,0)+IF(AND(AW51&lt;&gt;"",I51&lt;&gt;"",AW51=I51),Bonu3,0),0),"")</f>
        <v>0</v>
      </c>
      <c r="BB51" s="126">
        <f t="shared" ref="BB51" si="179">AR51+128</f>
        <v>512</v>
      </c>
      <c r="BC51" s="371" t="str">
        <f ca="1">VLOOKUP(1,OFFSET('Dummy Table'!DY4:DZ7,0,BB51),2,FALSE)</f>
        <v>Germany</v>
      </c>
      <c r="BD51" s="371"/>
      <c r="BE51" s="371" t="str">
        <f ca="1">VLOOKUP(2,OFFSET('Dummy Table'!DY4:DZ7,0,BB51),2,FALSE)</f>
        <v>Switzerland</v>
      </c>
      <c r="BF51" s="371"/>
      <c r="BG51" s="373" t="str">
        <f ca="1">IFERROR(IF(MATCH(VLOOKUP(3,OFFSET('Dummy Table'!DY4:DZ7,0,BB51),2,FALSE),OFFSET('Dummy Table'!IU13:IU16,0,BB51),0),VLOOKUP(3,OFFSET('Dummy Table'!DY4:DZ7,0,BB51),2,FALSE),""),"")</f>
        <v/>
      </c>
      <c r="BH51" s="373"/>
      <c r="BI51" s="373"/>
      <c r="BJ51" s="68"/>
      <c r="BK51" s="78">
        <f>IF(BD45&lt;&gt;"",IF(SUM(Matches!T7:T10)=12,IF(BC51=D51,Bonu1,0)+IF(BE51=G51,Bonu2,0)+IF(AND(BG51&lt;&gt;"",I51&lt;&gt;"",BG51=I51),Bonu3,0),0),"")</f>
        <v>0</v>
      </c>
      <c r="BL51" s="126">
        <f t="shared" ref="BL51" si="180">BB51+128</f>
        <v>640</v>
      </c>
      <c r="BM51" s="371" t="str">
        <f ca="1">VLOOKUP(1,OFFSET('Dummy Table'!DY4:DZ7,0,BL51),2,FALSE)</f>
        <v>Germany</v>
      </c>
      <c r="BN51" s="371"/>
      <c r="BO51" s="371" t="str">
        <f ca="1">VLOOKUP(2,OFFSET('Dummy Table'!DY4:DZ7,0,BL51),2,FALSE)</f>
        <v>Switzerland</v>
      </c>
      <c r="BP51" s="371"/>
      <c r="BQ51" s="373" t="str">
        <f ca="1">IFERROR(IF(MATCH(VLOOKUP(3,OFFSET('Dummy Table'!DY4:DZ7,0,BL51),2,FALSE),OFFSET('Dummy Table'!IU13:IU16,0,BL51),0),VLOOKUP(3,OFFSET('Dummy Table'!DY4:DZ7,0,BL51),2,FALSE),""),"")</f>
        <v/>
      </c>
      <c r="BR51" s="373"/>
      <c r="BS51" s="373"/>
      <c r="BT51" s="68"/>
      <c r="BU51" s="78">
        <f>IF(BN45&lt;&gt;"",IF(SUM(Matches!T7:T10)=12,IF(BM51=D51,Bonu1,0)+IF(BO51=G51,Bonu2,0)+IF(AND(BQ51&lt;&gt;"",I51&lt;&gt;"",BQ51=I51),Bonu3,0),0),"")</f>
        <v>0</v>
      </c>
      <c r="BV51" s="126">
        <f t="shared" ref="BV51" si="181">BL51+128</f>
        <v>768</v>
      </c>
      <c r="BW51" s="371" t="str">
        <f ca="1">VLOOKUP(1,OFFSET('Dummy Table'!DY4:DZ7,0,BV51),2,FALSE)</f>
        <v>Germany</v>
      </c>
      <c r="BX51" s="371"/>
      <c r="BY51" s="371" t="str">
        <f ca="1">VLOOKUP(2,OFFSET('Dummy Table'!DY4:DZ7,0,BV51),2,FALSE)</f>
        <v>Scotland</v>
      </c>
      <c r="BZ51" s="371"/>
      <c r="CA51" s="373" t="str">
        <f ca="1">IFERROR(IF(MATCH(VLOOKUP(3,OFFSET('Dummy Table'!DY4:DZ7,0,BV51),2,FALSE),OFFSET('Dummy Table'!IU13:IU16,0,BV51),0),VLOOKUP(3,OFFSET('Dummy Table'!DY4:DZ7,0,BV51),2,FALSE),""),"")</f>
        <v/>
      </c>
      <c r="CB51" s="373"/>
      <c r="CC51" s="373"/>
      <c r="CD51" s="68"/>
      <c r="CE51" s="78">
        <f>IF(BX45&lt;&gt;"",IF(SUM(Matches!T7:T10)=12,IF(BW51=D51,Bonu1,0)+IF(BY51=G51,Bonu2,0)+IF(AND(CA51&lt;&gt;"",I51&lt;&gt;"",CA51=I51),Bonu3,0),0),"")</f>
        <v>0</v>
      </c>
      <c r="CF51" s="126">
        <f t="shared" ref="CF51" si="182">BV51+128</f>
        <v>896</v>
      </c>
      <c r="CG51" s="371" t="str">
        <f ca="1">VLOOKUP(1,OFFSET('Dummy Table'!DY4:DZ7,0,CF51),2,FALSE)</f>
        <v>Germany</v>
      </c>
      <c r="CH51" s="371"/>
      <c r="CI51" s="371" t="str">
        <f ca="1">VLOOKUP(2,OFFSET('Dummy Table'!DY4:DZ7,0,CF51),2,FALSE)</f>
        <v>Scotland</v>
      </c>
      <c r="CJ51" s="371"/>
      <c r="CK51" s="373" t="str">
        <f ca="1">IFERROR(IF(MATCH(VLOOKUP(3,OFFSET('Dummy Table'!DY4:DZ7,0,CF51),2,FALSE),OFFSET('Dummy Table'!IU13:IU16,0,CF51),0),VLOOKUP(3,OFFSET('Dummy Table'!DY4:DZ7,0,CF51),2,FALSE),""),"")</f>
        <v>Switzerland</v>
      </c>
      <c r="CL51" s="373"/>
      <c r="CM51" s="373"/>
      <c r="CN51" s="68"/>
      <c r="CO51" s="78">
        <f>IF(CH45&lt;&gt;"",IF(SUM(Matches!T7:T10)=12,IF(CG51=D51,Bonu1,0)+IF(CI51=G51,Bonu2,0)+IF(AND(CK51&lt;&gt;"",I51&lt;&gt;"",CK51=I51),Bonu3,0),0),"")</f>
        <v>0</v>
      </c>
      <c r="CP51" s="126">
        <f t="shared" ref="CP51" si="183">CF51+128</f>
        <v>1024</v>
      </c>
      <c r="CQ51" s="371" t="str">
        <f ca="1">VLOOKUP(1,OFFSET('Dummy Table'!DY4:DZ7,0,CP51),2,FALSE)</f>
        <v>Germany</v>
      </c>
      <c r="CR51" s="371"/>
      <c r="CS51" s="371" t="str">
        <f ca="1">VLOOKUP(2,OFFSET('Dummy Table'!DY4:DZ7,0,CP51),2,FALSE)</f>
        <v>Switzerland</v>
      </c>
      <c r="CT51" s="371"/>
      <c r="CU51" s="373" t="str">
        <f ca="1">IFERROR(IF(MATCH(VLOOKUP(3,OFFSET('Dummy Table'!DY4:DZ7,0,CP51),2,FALSE),OFFSET('Dummy Table'!IU13:IU16,0,CP51),0),VLOOKUP(3,OFFSET('Dummy Table'!DY4:DZ7,0,CP51),2,FALSE),""),"")</f>
        <v>Scotland</v>
      </c>
      <c r="CV51" s="373"/>
      <c r="CW51" s="373"/>
      <c r="CX51" s="68"/>
      <c r="CY51" s="78">
        <f>IF(CR45&lt;&gt;"",IF(SUM(Matches!T7:T10)=12,IF(CQ51=D51,Bonu1,0)+IF(CS51=G51,Bonu2,0)+IF(AND(CU51&lt;&gt;"",I51&lt;&gt;"",CU51=I51),Bonu3,0),0),"")</f>
        <v>0</v>
      </c>
      <c r="CZ51" s="126">
        <f t="shared" ref="CZ51" si="184">CP51+128</f>
        <v>1152</v>
      </c>
      <c r="DA51" s="371" t="str">
        <f ca="1">VLOOKUP(1,OFFSET('Dummy Table'!DY4:DZ7,0,CZ51),2,FALSE)</f>
        <v>Germany</v>
      </c>
      <c r="DB51" s="371"/>
      <c r="DC51" s="371" t="str">
        <f ca="1">VLOOKUP(2,OFFSET('Dummy Table'!DY4:DZ7,0,CZ51),2,FALSE)</f>
        <v>Scotland</v>
      </c>
      <c r="DD51" s="371"/>
      <c r="DE51" s="373" t="str">
        <f ca="1">IFERROR(IF(MATCH(VLOOKUP(3,OFFSET('Dummy Table'!DY4:DZ7,0,CZ51),2,FALSE),OFFSET('Dummy Table'!IU13:IU16,0,CZ51),0),VLOOKUP(3,OFFSET('Dummy Table'!DY4:DZ7,0,CZ51),2,FALSE),""),"")</f>
        <v>Hungary</v>
      </c>
      <c r="DF51" s="373"/>
      <c r="DG51" s="373"/>
      <c r="DH51" s="68"/>
      <c r="DI51" s="78">
        <f>IF(DB45&lt;&gt;"",IF(SUM(Matches!T7:T10)=12,IF(DA51=D51,Bonu1,0)+IF(DC51=G51,Bonu2,0)+IF(AND(DE51&lt;&gt;"",I51&lt;&gt;"",DE51=I51),Bonu3,0),0),"")</f>
        <v>0</v>
      </c>
    </row>
    <row r="52" spans="1:113" s="43" customFormat="1" ht="15" customHeight="1" x14ac:dyDescent="0.25">
      <c r="A52" s="41"/>
      <c r="B52" s="65"/>
      <c r="C52" s="87" t="s">
        <v>106</v>
      </c>
      <c r="D52" s="381" t="str">
        <f>Matches!P12</f>
        <v>Spain</v>
      </c>
      <c r="E52" s="381"/>
      <c r="F52" s="381"/>
      <c r="G52" s="381" t="str">
        <f>Matches!P13</f>
        <v>Italy</v>
      </c>
      <c r="H52" s="381"/>
      <c r="I52" s="394" t="str">
        <f>IF(ISNA(MATCH(Matches!P14,Qual3,0)),"",Matches!P14)</f>
        <v>Albania</v>
      </c>
      <c r="J52" s="395"/>
      <c r="K52" s="66"/>
      <c r="L52" s="66"/>
      <c r="M52" s="67"/>
      <c r="N52" s="126">
        <f ca="1">SUM(U61:U75)</f>
        <v>0</v>
      </c>
      <c r="O52" s="371" t="str">
        <f ca="1">VLOOKUP(1,OFFSET('Dummy Table'!DY11:DZ14,0,N51),2,FALSE)</f>
        <v>Spain</v>
      </c>
      <c r="P52" s="371"/>
      <c r="Q52" s="371" t="str">
        <f ca="1">VLOOKUP(2,OFFSET('Dummy Table'!DY11:DZ14,0,N51),2,FALSE)</f>
        <v>Italy</v>
      </c>
      <c r="R52" s="371"/>
      <c r="S52" s="373" t="str">
        <f ca="1">IFERROR(IF(MATCH(VLOOKUP(3,OFFSET('Dummy Table'!DY11:DZ14,0,N51),2,FALSE),OFFSET('Dummy Table'!IU13:IU16,0,N51),0),VLOOKUP(3,OFFSET('Dummy Table'!DY11:DZ14,0,N51),2,FALSE),""),"")</f>
        <v>Croatia</v>
      </c>
      <c r="T52" s="373"/>
      <c r="U52" s="373"/>
      <c r="V52" s="68"/>
      <c r="W52" s="78">
        <f>IF(P45&lt;&gt;"",IF(SUM(Matches!T12:T15)=12,IF(O52=D52,Bonu1,0)+IF(Q52=G52,Bonu2,0)+IF(AND(S52&lt;&gt;"",I52&lt;&gt;"",S52=I52),Bonu3,0),0),"")</f>
        <v>0</v>
      </c>
      <c r="X52" s="126">
        <f ca="1">SUM(AE61:AE75)</f>
        <v>0</v>
      </c>
      <c r="Y52" s="371" t="str">
        <f ca="1">VLOOKUP(1,OFFSET('Dummy Table'!DY11:DZ14,0,X51),2,FALSE)</f>
        <v>Spain</v>
      </c>
      <c r="Z52" s="371"/>
      <c r="AA52" s="371" t="str">
        <f ca="1">VLOOKUP(2,OFFSET('Dummy Table'!DY11:DZ14,0,X51),2,FALSE)</f>
        <v>Croatia</v>
      </c>
      <c r="AB52" s="371"/>
      <c r="AC52" s="373" t="str">
        <f ca="1">IFERROR(IF(MATCH(VLOOKUP(3,OFFSET('Dummy Table'!DY11:DZ14,0,X51),2,FALSE),OFFSET('Dummy Table'!IU13:IU16,0,X51),0),VLOOKUP(3,OFFSET('Dummy Table'!DY11:DZ14,0,X51),2,FALSE),""),"")</f>
        <v>Italy</v>
      </c>
      <c r="AD52" s="373"/>
      <c r="AE52" s="373"/>
      <c r="AF52" s="68"/>
      <c r="AG52" s="78">
        <f>IF(Z45&lt;&gt;"",IF(SUM(Matches!T12:T15)=12,IF(Y52=D52,Bonu1,0)+IF(AA52=G52,Bonu2,0)+IF(AND(AC52&lt;&gt;"",I52&lt;&gt;"",AC52=I52),Bonu3,0),0),"")</f>
        <v>0</v>
      </c>
      <c r="AH52" s="126">
        <f t="shared" ref="AH52" ca="1" si="185">SUM(AO61:AO75)</f>
        <v>0</v>
      </c>
      <c r="AI52" s="371" t="str">
        <f ca="1">VLOOKUP(1,OFFSET('Dummy Table'!DY11:DZ14,0,AH51),2,FALSE)</f>
        <v>Spain</v>
      </c>
      <c r="AJ52" s="371"/>
      <c r="AK52" s="371" t="str">
        <f ca="1">VLOOKUP(2,OFFSET('Dummy Table'!DY11:DZ14,0,AH51),2,FALSE)</f>
        <v>Italy</v>
      </c>
      <c r="AL52" s="371"/>
      <c r="AM52" s="373" t="str">
        <f ca="1">IFERROR(IF(MATCH(VLOOKUP(3,OFFSET('Dummy Table'!DY11:DZ14,0,AH51),2,FALSE),OFFSET('Dummy Table'!IU13:IU16,0,AH51),0),VLOOKUP(3,OFFSET('Dummy Table'!DY11:DZ14,0,AH51),2,FALSE),""),"")</f>
        <v>Croatia</v>
      </c>
      <c r="AN52" s="373"/>
      <c r="AO52" s="373"/>
      <c r="AP52" s="68"/>
      <c r="AQ52" s="78">
        <f>IF(AJ45&lt;&gt;"",IF(SUM(Matches!T12:T15)=12,IF(AI52=D52,Bonu1,0)+IF(AK52=G52,Bonu2,0)+IF(AND(AM52&lt;&gt;"",I52&lt;&gt;"",AM52=I52),Bonu3,0),0),"")</f>
        <v>0</v>
      </c>
      <c r="AR52" s="126">
        <f t="shared" ref="AR52" ca="1" si="186">SUM(AY61:AY75)</f>
        <v>0</v>
      </c>
      <c r="AS52" s="371" t="str">
        <f ca="1">VLOOKUP(1,OFFSET('Dummy Table'!DY11:DZ14,0,AR51),2,FALSE)</f>
        <v>Spain</v>
      </c>
      <c r="AT52" s="371"/>
      <c r="AU52" s="371" t="str">
        <f ca="1">VLOOKUP(2,OFFSET('Dummy Table'!DY11:DZ14,0,AR51),2,FALSE)</f>
        <v>Croatia</v>
      </c>
      <c r="AV52" s="371"/>
      <c r="AW52" s="373" t="str">
        <f ca="1">IFERROR(IF(MATCH(VLOOKUP(3,OFFSET('Dummy Table'!DY11:DZ14,0,AR51),2,FALSE),OFFSET('Dummy Table'!IU13:IU16,0,AR51),0),VLOOKUP(3,OFFSET('Dummy Table'!DY11:DZ14,0,AR51),2,FALSE),""),"")</f>
        <v>Italy</v>
      </c>
      <c r="AX52" s="373"/>
      <c r="AY52" s="373"/>
      <c r="AZ52" s="68"/>
      <c r="BA52" s="78">
        <f>IF(AT45&lt;&gt;"",IF(SUM(Matches!T12:T15)=12,IF(AS52=D52,Bonu1,0)+IF(AU52=G52,Bonu2,0)+IF(AND(AW52&lt;&gt;"",I52&lt;&gt;"",AW52=I52),Bonu3,0),0),"")</f>
        <v>0</v>
      </c>
      <c r="BB52" s="126">
        <f t="shared" ref="BB52" ca="1" si="187">SUM(BI61:BI75)</f>
        <v>0</v>
      </c>
      <c r="BC52" s="371" t="str">
        <f ca="1">VLOOKUP(1,OFFSET('Dummy Table'!DY11:DZ14,0,BB51),2,FALSE)</f>
        <v>Croatia</v>
      </c>
      <c r="BD52" s="371"/>
      <c r="BE52" s="371" t="str">
        <f ca="1">VLOOKUP(2,OFFSET('Dummy Table'!DY11:DZ14,0,BB51),2,FALSE)</f>
        <v>Spain</v>
      </c>
      <c r="BF52" s="371"/>
      <c r="BG52" s="373" t="str">
        <f ca="1">IFERROR(IF(MATCH(VLOOKUP(3,OFFSET('Dummy Table'!DY11:DZ14,0,BB51),2,FALSE),OFFSET('Dummy Table'!IU13:IU16,0,BB51),0),VLOOKUP(3,OFFSET('Dummy Table'!DY11:DZ14,0,BB51),2,FALSE),""),"")</f>
        <v>Italy</v>
      </c>
      <c r="BH52" s="373"/>
      <c r="BI52" s="373"/>
      <c r="BJ52" s="68"/>
      <c r="BK52" s="78">
        <f>IF(BD45&lt;&gt;"",IF(SUM(Matches!T12:T15)=12,IF(BC52=D52,Bonu1,0)+IF(BE52=G52,Bonu2,0)+IF(AND(BG52&lt;&gt;"",I52&lt;&gt;"",BG52=I52),Bonu3,0),0),"")</f>
        <v>0</v>
      </c>
      <c r="BL52" s="126">
        <f t="shared" ref="BL52" ca="1" si="188">SUM(BS61:BS75)</f>
        <v>0</v>
      </c>
      <c r="BM52" s="371" t="str">
        <f ca="1">VLOOKUP(1,OFFSET('Dummy Table'!DY11:DZ14,0,BL51),2,FALSE)</f>
        <v>Croatia</v>
      </c>
      <c r="BN52" s="371"/>
      <c r="BO52" s="371" t="str">
        <f ca="1">VLOOKUP(2,OFFSET('Dummy Table'!DY11:DZ14,0,BL51),2,FALSE)</f>
        <v>Spain</v>
      </c>
      <c r="BP52" s="371"/>
      <c r="BQ52" s="373" t="str">
        <f ca="1">IFERROR(IF(MATCH(VLOOKUP(3,OFFSET('Dummy Table'!DY11:DZ14,0,BL51),2,FALSE),OFFSET('Dummy Table'!IU13:IU16,0,BL51),0),VLOOKUP(3,OFFSET('Dummy Table'!DY11:DZ14,0,BL51),2,FALSE),""),"")</f>
        <v>Italy</v>
      </c>
      <c r="BR52" s="373"/>
      <c r="BS52" s="373"/>
      <c r="BT52" s="68"/>
      <c r="BU52" s="78">
        <f>IF(BN45&lt;&gt;"",IF(SUM(Matches!T12:T15)=12,IF(BM52=D52,Bonu1,0)+IF(BO52=G52,Bonu2,0)+IF(AND(BQ52&lt;&gt;"",I52&lt;&gt;"",BQ52=I52),Bonu3,0),0),"")</f>
        <v>0</v>
      </c>
      <c r="BV52" s="126">
        <f t="shared" ref="BV52" ca="1" si="189">SUM(CC61:CC75)</f>
        <v>0</v>
      </c>
      <c r="BW52" s="371" t="str">
        <f ca="1">VLOOKUP(1,OFFSET('Dummy Table'!DY11:DZ14,0,BV51),2,FALSE)</f>
        <v>Italy</v>
      </c>
      <c r="BX52" s="371"/>
      <c r="BY52" s="371" t="str">
        <f ca="1">VLOOKUP(2,OFFSET('Dummy Table'!DY11:DZ14,0,BV51),2,FALSE)</f>
        <v>Spain</v>
      </c>
      <c r="BZ52" s="371"/>
      <c r="CA52" s="373" t="str">
        <f ca="1">IFERROR(IF(MATCH(VLOOKUP(3,OFFSET('Dummy Table'!DY11:DZ14,0,BV51),2,FALSE),OFFSET('Dummy Table'!IU13:IU16,0,BV51),0),VLOOKUP(3,OFFSET('Dummy Table'!DY11:DZ14,0,BV51),2,FALSE),""),"")</f>
        <v>Croatia</v>
      </c>
      <c r="CB52" s="373"/>
      <c r="CC52" s="373"/>
      <c r="CD52" s="68"/>
      <c r="CE52" s="78">
        <f>IF(BX45&lt;&gt;"",IF(SUM(Matches!T12:T15)=12,IF(BW52=D52,Bonu1,0)+IF(BY52=G52,Bonu2,0)+IF(AND(CA52&lt;&gt;"",I52&lt;&gt;"",CA52=I52),Bonu3,0),0),"")</f>
        <v>0</v>
      </c>
      <c r="CF52" s="126">
        <f t="shared" ref="CF52" ca="1" si="190">SUM(CM61:CM75)</f>
        <v>0</v>
      </c>
      <c r="CG52" s="371" t="str">
        <f ca="1">VLOOKUP(1,OFFSET('Dummy Table'!DY11:DZ14,0,CF51),2,FALSE)</f>
        <v>Spain</v>
      </c>
      <c r="CH52" s="371"/>
      <c r="CI52" s="371" t="str">
        <f ca="1">VLOOKUP(2,OFFSET('Dummy Table'!DY11:DZ14,0,CF51),2,FALSE)</f>
        <v>Italy</v>
      </c>
      <c r="CJ52" s="371"/>
      <c r="CK52" s="373" t="str">
        <f ca="1">IFERROR(IF(MATCH(VLOOKUP(3,OFFSET('Dummy Table'!DY11:DZ14,0,CF51),2,FALSE),OFFSET('Dummy Table'!IU13:IU16,0,CF51),0),VLOOKUP(3,OFFSET('Dummy Table'!DY11:DZ14,0,CF51),2,FALSE),""),"")</f>
        <v>Croatia</v>
      </c>
      <c r="CL52" s="373"/>
      <c r="CM52" s="373"/>
      <c r="CN52" s="68"/>
      <c r="CO52" s="78">
        <f>IF(CH45&lt;&gt;"",IF(SUM(Matches!T12:T15)=12,IF(CG52=D52,Bonu1,0)+IF(CI52=G52,Bonu2,0)+IF(AND(CK52&lt;&gt;"",I52&lt;&gt;"",CK52=I52),Bonu3,0),0),"")</f>
        <v>0</v>
      </c>
      <c r="CP52" s="126">
        <f t="shared" ref="CP52" ca="1" si="191">SUM(CW61:CW75)</f>
        <v>0</v>
      </c>
      <c r="CQ52" s="371" t="str">
        <f ca="1">VLOOKUP(1,OFFSET('Dummy Table'!DY11:DZ14,0,CP51),2,FALSE)</f>
        <v>Italy</v>
      </c>
      <c r="CR52" s="371"/>
      <c r="CS52" s="371" t="str">
        <f ca="1">VLOOKUP(2,OFFSET('Dummy Table'!DY11:DZ14,0,CP51),2,FALSE)</f>
        <v>Spain</v>
      </c>
      <c r="CT52" s="371"/>
      <c r="CU52" s="373" t="str">
        <f ca="1">IFERROR(IF(MATCH(VLOOKUP(3,OFFSET('Dummy Table'!DY11:DZ14,0,CP51),2,FALSE),OFFSET('Dummy Table'!IU13:IU16,0,CP51),0),VLOOKUP(3,OFFSET('Dummy Table'!DY11:DZ14,0,CP51),2,FALSE),""),"")</f>
        <v>Croatia</v>
      </c>
      <c r="CV52" s="373"/>
      <c r="CW52" s="373"/>
      <c r="CX52" s="68"/>
      <c r="CY52" s="78">
        <f>IF(CR45&lt;&gt;"",IF(SUM(Matches!T12:T15)=12,IF(CQ52=D52,Bonu1,0)+IF(CS52=G52,Bonu2,0)+IF(AND(CU52&lt;&gt;"",I52&lt;&gt;"",CU52=I52),Bonu3,0),0),"")</f>
        <v>0</v>
      </c>
      <c r="CZ52" s="126">
        <f t="shared" ref="CZ52" ca="1" si="192">SUM(DG61:DG75)</f>
        <v>0</v>
      </c>
      <c r="DA52" s="371" t="str">
        <f ca="1">VLOOKUP(1,OFFSET('Dummy Table'!DY11:DZ14,0,CZ51),2,FALSE)</f>
        <v>Italy</v>
      </c>
      <c r="DB52" s="371"/>
      <c r="DC52" s="371" t="str">
        <f ca="1">VLOOKUP(2,OFFSET('Dummy Table'!DY11:DZ14,0,CZ51),2,FALSE)</f>
        <v>Spain</v>
      </c>
      <c r="DD52" s="371"/>
      <c r="DE52" s="373" t="str">
        <f ca="1">IFERROR(IF(MATCH(VLOOKUP(3,OFFSET('Dummy Table'!DY11:DZ14,0,CZ51),2,FALSE),OFFSET('Dummy Table'!IU13:IU16,0,CZ51),0),VLOOKUP(3,OFFSET('Dummy Table'!DY11:DZ14,0,CZ51),2,FALSE),""),"")</f>
        <v>Croatia</v>
      </c>
      <c r="DF52" s="373"/>
      <c r="DG52" s="373"/>
      <c r="DH52" s="68"/>
      <c r="DI52" s="78">
        <f>IF(DB45&lt;&gt;"",IF(SUM(Matches!T12:T15)=12,IF(DA52=D52,Bonu1,0)+IF(DC52=G52,Bonu2,0)+IF(AND(DE52&lt;&gt;"",I52&lt;&gt;"",DE52=I52),Bonu3,0),0),"")</f>
        <v>0</v>
      </c>
    </row>
    <row r="53" spans="1:113" s="43" customFormat="1" ht="15" customHeight="1" x14ac:dyDescent="0.25">
      <c r="A53" s="41"/>
      <c r="B53" s="65"/>
      <c r="C53" s="87" t="s">
        <v>107</v>
      </c>
      <c r="D53" s="381" t="str">
        <f>Matches!P17</f>
        <v>England</v>
      </c>
      <c r="E53" s="381"/>
      <c r="F53" s="381"/>
      <c r="G53" s="381" t="str">
        <f>Matches!P18</f>
        <v>Denmark</v>
      </c>
      <c r="H53" s="381"/>
      <c r="I53" s="394" t="str">
        <f>IF(ISNA(MATCH(Matches!P19,Qual3,0)),"",Matches!P19)</f>
        <v>Slovenia</v>
      </c>
      <c r="J53" s="395"/>
      <c r="K53" s="66"/>
      <c r="L53" s="66"/>
      <c r="M53" s="67"/>
      <c r="N53" s="86">
        <f ca="1">SUM(W61:W88)</f>
        <v>0</v>
      </c>
      <c r="O53" s="371" t="str">
        <f ca="1">VLOOKUP(1,OFFSET('Dummy Table'!DY18:DZ21,0,N51),2,FALSE)</f>
        <v>England</v>
      </c>
      <c r="P53" s="371"/>
      <c r="Q53" s="371" t="str">
        <f ca="1">VLOOKUP(2,OFFSET('Dummy Table'!DY18:DZ21,0,N51),2,FALSE)</f>
        <v>Denmark</v>
      </c>
      <c r="R53" s="371"/>
      <c r="S53" s="373" t="str">
        <f ca="1">IFERROR(IF(MATCH(VLOOKUP(3,OFFSET('Dummy Table'!DY18:DZ21,0,N51),2,FALSE),OFFSET('Dummy Table'!IU13:IU16,0,N51),0),VLOOKUP(3,OFFSET('Dummy Table'!DY18:DZ21,0,N51),2,FALSE),""),"")</f>
        <v>Serbia</v>
      </c>
      <c r="T53" s="373"/>
      <c r="U53" s="373"/>
      <c r="V53" s="68"/>
      <c r="W53" s="78">
        <f>IF(P45&lt;&gt;"",IF(SUM(Matches!T17:T20)=12,IF(O53=D53,Bonu1,0)+IF(Q53=G53,Bonu2,0)+IF(AND(S53&lt;&gt;"",I53&lt;&gt;"",S53=I53),Bonu3,0),0),"")</f>
        <v>0</v>
      </c>
      <c r="X53" s="86">
        <f ca="1">SUM(AG61:AG88)</f>
        <v>0</v>
      </c>
      <c r="Y53" s="371" t="str">
        <f ca="1">VLOOKUP(1,OFFSET('Dummy Table'!DY18:DZ21,0,X51),2,FALSE)</f>
        <v>England</v>
      </c>
      <c r="Z53" s="371"/>
      <c r="AA53" s="371" t="str">
        <f ca="1">VLOOKUP(2,OFFSET('Dummy Table'!DY18:DZ21,0,X51),2,FALSE)</f>
        <v>Denmark</v>
      </c>
      <c r="AB53" s="371"/>
      <c r="AC53" s="373" t="str">
        <f ca="1">IFERROR(IF(MATCH(VLOOKUP(3,OFFSET('Dummy Table'!DY18:DZ21,0,X51),2,FALSE),OFFSET('Dummy Table'!IU13:IU16,0,X51),0),VLOOKUP(3,OFFSET('Dummy Table'!DY18:DZ21,0,X51),2,FALSE),""),"")</f>
        <v/>
      </c>
      <c r="AD53" s="373"/>
      <c r="AE53" s="373"/>
      <c r="AF53" s="68"/>
      <c r="AG53" s="78">
        <f>IF(Z45&lt;&gt;"",IF(SUM(Matches!T17:T20)=12,IF(Y53=D53,Bonu1,0)+IF(AA53=G53,Bonu2,0)+IF(AND(AC53&lt;&gt;"",I53&lt;&gt;"",AC53=I53),Bonu3,0),0),"")</f>
        <v>0</v>
      </c>
      <c r="AH53" s="86">
        <f t="shared" ref="AH53" ca="1" si="193">SUM(AQ61:AQ88)</f>
        <v>0</v>
      </c>
      <c r="AI53" s="371" t="str">
        <f ca="1">VLOOKUP(1,OFFSET('Dummy Table'!DY18:DZ21,0,AH51),2,FALSE)</f>
        <v>Denmark</v>
      </c>
      <c r="AJ53" s="371"/>
      <c r="AK53" s="371" t="str">
        <f ca="1">VLOOKUP(2,OFFSET('Dummy Table'!DY18:DZ21,0,AH51),2,FALSE)</f>
        <v>England</v>
      </c>
      <c r="AL53" s="371"/>
      <c r="AM53" s="373" t="str">
        <f ca="1">IFERROR(IF(MATCH(VLOOKUP(3,OFFSET('Dummy Table'!DY18:DZ21,0,AH51),2,FALSE),OFFSET('Dummy Table'!IU13:IU16,0,AH51),0),VLOOKUP(3,OFFSET('Dummy Table'!DY18:DZ21,0,AH51),2,FALSE),""),"")</f>
        <v>Slovenia</v>
      </c>
      <c r="AN53" s="373"/>
      <c r="AO53" s="373"/>
      <c r="AP53" s="68"/>
      <c r="AQ53" s="78">
        <f>IF(AJ45&lt;&gt;"",IF(SUM(Matches!T17:T20)=12,IF(AI53=D53,Bonu1,0)+IF(AK53=G53,Bonu2,0)+IF(AND(AM53&lt;&gt;"",I53&lt;&gt;"",AM53=I53),Bonu3,0),0),"")</f>
        <v>0</v>
      </c>
      <c r="AR53" s="86">
        <f t="shared" ref="AR53" ca="1" si="194">SUM(BA61:BA88)</f>
        <v>0</v>
      </c>
      <c r="AS53" s="371" t="str">
        <f ca="1">VLOOKUP(1,OFFSET('Dummy Table'!DY18:DZ21,0,AR51),2,FALSE)</f>
        <v>England</v>
      </c>
      <c r="AT53" s="371"/>
      <c r="AU53" s="371" t="str">
        <f ca="1">VLOOKUP(2,OFFSET('Dummy Table'!DY18:DZ21,0,AR51),2,FALSE)</f>
        <v>Denmark</v>
      </c>
      <c r="AV53" s="371"/>
      <c r="AW53" s="373" t="str">
        <f ca="1">IFERROR(IF(MATCH(VLOOKUP(3,OFFSET('Dummy Table'!DY18:DZ21,0,AR51),2,FALSE),OFFSET('Dummy Table'!IU13:IU16,0,AR51),0),VLOOKUP(3,OFFSET('Dummy Table'!DY18:DZ21,0,AR51),2,FALSE),""),"")</f>
        <v>Serbia</v>
      </c>
      <c r="AX53" s="373"/>
      <c r="AY53" s="373"/>
      <c r="AZ53" s="68"/>
      <c r="BA53" s="78">
        <f>IF(AT45&lt;&gt;"",IF(SUM(Matches!T17:T20)=12,IF(AS53=D53,Bonu1,0)+IF(AU53=G53,Bonu2,0)+IF(AND(AW53&lt;&gt;"",I53&lt;&gt;"",AW53=I53),Bonu3,0),0),"")</f>
        <v>0</v>
      </c>
      <c r="BB53" s="86">
        <f t="shared" ref="BB53" ca="1" si="195">SUM(BK61:BK88)</f>
        <v>0</v>
      </c>
      <c r="BC53" s="371" t="str">
        <f ca="1">VLOOKUP(1,OFFSET('Dummy Table'!DY18:DZ21,0,BB51),2,FALSE)</f>
        <v>England</v>
      </c>
      <c r="BD53" s="371"/>
      <c r="BE53" s="371" t="str">
        <f ca="1">VLOOKUP(2,OFFSET('Dummy Table'!DY18:DZ21,0,BB51),2,FALSE)</f>
        <v>Denmark</v>
      </c>
      <c r="BF53" s="371"/>
      <c r="BG53" s="373" t="str">
        <f ca="1">IFERROR(IF(MATCH(VLOOKUP(3,OFFSET('Dummy Table'!DY18:DZ21,0,BB51),2,FALSE),OFFSET('Dummy Table'!IU13:IU16,0,BB51),0),VLOOKUP(3,OFFSET('Dummy Table'!DY18:DZ21,0,BB51),2,FALSE),""),"")</f>
        <v/>
      </c>
      <c r="BH53" s="373"/>
      <c r="BI53" s="373"/>
      <c r="BJ53" s="68"/>
      <c r="BK53" s="78">
        <f>IF(BD45&lt;&gt;"",IF(SUM(Matches!T17:T20)=12,IF(BC53=D53,Bonu1,0)+IF(BE53=G53,Bonu2,0)+IF(AND(BG53&lt;&gt;"",I53&lt;&gt;"",BG53=I53),Bonu3,0),0),"")</f>
        <v>0</v>
      </c>
      <c r="BL53" s="86">
        <f t="shared" ref="BL53" ca="1" si="196">SUM(BU61:BU88)</f>
        <v>0</v>
      </c>
      <c r="BM53" s="371" t="str">
        <f ca="1">VLOOKUP(1,OFFSET('Dummy Table'!DY18:DZ21,0,BL51),2,FALSE)</f>
        <v>England</v>
      </c>
      <c r="BN53" s="371"/>
      <c r="BO53" s="371" t="str">
        <f ca="1">VLOOKUP(2,OFFSET('Dummy Table'!DY18:DZ21,0,BL51),2,FALSE)</f>
        <v>Denmark</v>
      </c>
      <c r="BP53" s="371"/>
      <c r="BQ53" s="373" t="str">
        <f ca="1">IFERROR(IF(MATCH(VLOOKUP(3,OFFSET('Dummy Table'!DY18:DZ21,0,BL51),2,FALSE),OFFSET('Dummy Table'!IU13:IU16,0,BL51),0),VLOOKUP(3,OFFSET('Dummy Table'!DY18:DZ21,0,BL51),2,FALSE),""),"")</f>
        <v>Slovenia</v>
      </c>
      <c r="BR53" s="373"/>
      <c r="BS53" s="373"/>
      <c r="BT53" s="68"/>
      <c r="BU53" s="78">
        <f>IF(BN45&lt;&gt;"",IF(SUM(Matches!T17:T20)=12,IF(BM53=D53,Bonu1,0)+IF(BO53=G53,Bonu2,0)+IF(AND(BQ53&lt;&gt;"",I53&lt;&gt;"",BQ53=I53),Bonu3,0),0),"")</f>
        <v>0</v>
      </c>
      <c r="BV53" s="86">
        <f t="shared" ref="BV53" ca="1" si="197">SUM(CE61:CE88)</f>
        <v>0</v>
      </c>
      <c r="BW53" s="371" t="str">
        <f ca="1">VLOOKUP(1,OFFSET('Dummy Table'!DY18:DZ21,0,BV51),2,FALSE)</f>
        <v>England</v>
      </c>
      <c r="BX53" s="371"/>
      <c r="BY53" s="371" t="str">
        <f ca="1">VLOOKUP(2,OFFSET('Dummy Table'!DY18:DZ21,0,BV51),2,FALSE)</f>
        <v>Denmark</v>
      </c>
      <c r="BZ53" s="371"/>
      <c r="CA53" s="373" t="str">
        <f ca="1">IFERROR(IF(MATCH(VLOOKUP(3,OFFSET('Dummy Table'!DY18:DZ21,0,BV51),2,FALSE),OFFSET('Dummy Table'!IU13:IU16,0,BV51),0),VLOOKUP(3,OFFSET('Dummy Table'!DY18:DZ21,0,BV51),2,FALSE),""),"")</f>
        <v>Slovenia</v>
      </c>
      <c r="CB53" s="373"/>
      <c r="CC53" s="373"/>
      <c r="CD53" s="68"/>
      <c r="CE53" s="78">
        <f>IF(BX45&lt;&gt;"",IF(SUM(Matches!T17:T20)=12,IF(BW53=D53,Bonu1,0)+IF(BY53=G53,Bonu2,0)+IF(AND(CA53&lt;&gt;"",I53&lt;&gt;"",CA53=I53),Bonu3,0),0),"")</f>
        <v>0</v>
      </c>
      <c r="CF53" s="86">
        <f t="shared" ref="CF53" ca="1" si="198">SUM(CO61:CO88)</f>
        <v>0</v>
      </c>
      <c r="CG53" s="371" t="str">
        <f ca="1">VLOOKUP(1,OFFSET('Dummy Table'!DY18:DZ21,0,CF51),2,FALSE)</f>
        <v>England</v>
      </c>
      <c r="CH53" s="371"/>
      <c r="CI53" s="371" t="str">
        <f ca="1">VLOOKUP(2,OFFSET('Dummy Table'!DY18:DZ21,0,CF51),2,FALSE)</f>
        <v>Denmark</v>
      </c>
      <c r="CJ53" s="371"/>
      <c r="CK53" s="373" t="str">
        <f ca="1">IFERROR(IF(MATCH(VLOOKUP(3,OFFSET('Dummy Table'!DY18:DZ21,0,CF51),2,FALSE),OFFSET('Dummy Table'!IU13:IU16,0,CF51),0),VLOOKUP(3,OFFSET('Dummy Table'!DY18:DZ21,0,CF51),2,FALSE),""),"")</f>
        <v/>
      </c>
      <c r="CL53" s="373"/>
      <c r="CM53" s="373"/>
      <c r="CN53" s="68"/>
      <c r="CO53" s="78">
        <f>IF(CH45&lt;&gt;"",IF(SUM(Matches!T17:T20)=12,IF(CG53=D53,Bonu1,0)+IF(CI53=G53,Bonu2,0)+IF(AND(CK53&lt;&gt;"",I53&lt;&gt;"",CK53=I53),Bonu3,0),0),"")</f>
        <v>0</v>
      </c>
      <c r="CP53" s="86">
        <f t="shared" ref="CP53" ca="1" si="199">SUM(CY61:CY88)</f>
        <v>0</v>
      </c>
      <c r="CQ53" s="371" t="str">
        <f ca="1">VLOOKUP(1,OFFSET('Dummy Table'!DY18:DZ21,0,CP51),2,FALSE)</f>
        <v>Slovenia</v>
      </c>
      <c r="CR53" s="371"/>
      <c r="CS53" s="371" t="str">
        <f ca="1">VLOOKUP(2,OFFSET('Dummy Table'!DY18:DZ21,0,CP51),2,FALSE)</f>
        <v>Serbia</v>
      </c>
      <c r="CT53" s="371"/>
      <c r="CU53" s="373" t="str">
        <f ca="1">IFERROR(IF(MATCH(VLOOKUP(3,OFFSET('Dummy Table'!DY18:DZ21,0,CP51),2,FALSE),OFFSET('Dummy Table'!IU13:IU16,0,CP51),0),VLOOKUP(3,OFFSET('Dummy Table'!DY18:DZ21,0,CP51),2,FALSE),""),"")</f>
        <v>England</v>
      </c>
      <c r="CV53" s="373"/>
      <c r="CW53" s="373"/>
      <c r="CX53" s="68"/>
      <c r="CY53" s="78">
        <f>IF(CR45&lt;&gt;"",IF(SUM(Matches!T17:T20)=12,IF(CQ53=D53,Bonu1,0)+IF(CS53=G53,Bonu2,0)+IF(AND(CU53&lt;&gt;"",I53&lt;&gt;"",CU53=I53),Bonu3,0),0),"")</f>
        <v>0</v>
      </c>
      <c r="CZ53" s="86">
        <f t="shared" ref="CZ53" ca="1" si="200">SUM(DI61:DI88)</f>
        <v>0</v>
      </c>
      <c r="DA53" s="371" t="str">
        <f ca="1">VLOOKUP(1,OFFSET('Dummy Table'!DY18:DZ21,0,CZ51),2,FALSE)</f>
        <v>England</v>
      </c>
      <c r="DB53" s="371"/>
      <c r="DC53" s="371" t="str">
        <f ca="1">VLOOKUP(2,OFFSET('Dummy Table'!DY18:DZ21,0,CZ51),2,FALSE)</f>
        <v>Denmark</v>
      </c>
      <c r="DD53" s="371"/>
      <c r="DE53" s="373" t="str">
        <f ca="1">IFERROR(IF(MATCH(VLOOKUP(3,OFFSET('Dummy Table'!DY18:DZ21,0,CZ51),2,FALSE),OFFSET('Dummy Table'!IU13:IU16,0,CZ51),0),VLOOKUP(3,OFFSET('Dummy Table'!DY18:DZ21,0,CZ51),2,FALSE),""),"")</f>
        <v/>
      </c>
      <c r="DF53" s="373"/>
      <c r="DG53" s="373"/>
      <c r="DH53" s="68"/>
      <c r="DI53" s="78">
        <f>IF(DB45&lt;&gt;"",IF(SUM(Matches!T17:T20)=12,IF(DA53=D53,Bonu1,0)+IF(DC53=G53,Bonu2,0)+IF(AND(DE53&lt;&gt;"",I53&lt;&gt;"",DE53=I53),Bonu3,0),0),"")</f>
        <v>0</v>
      </c>
    </row>
    <row r="54" spans="1:113" s="43" customFormat="1" ht="15" customHeight="1" x14ac:dyDescent="0.25">
      <c r="A54" s="41"/>
      <c r="B54" s="65"/>
      <c r="C54" s="87" t="s">
        <v>108</v>
      </c>
      <c r="D54" s="381" t="str">
        <f>Matches!P22</f>
        <v>Netherlands</v>
      </c>
      <c r="E54" s="381"/>
      <c r="F54" s="381"/>
      <c r="G54" s="381" t="str">
        <f>Matches!P23</f>
        <v>France</v>
      </c>
      <c r="H54" s="381"/>
      <c r="I54" s="394" t="str">
        <f>IF(ISNA(MATCH(Matches!P24,Qual3,0)),"",Matches!P24)</f>
        <v/>
      </c>
      <c r="J54" s="395"/>
      <c r="K54" s="66"/>
      <c r="L54" s="66"/>
      <c r="M54" s="67"/>
      <c r="N54" s="126"/>
      <c r="O54" s="371" t="str">
        <f ca="1">VLOOKUP(1,OFFSET('Dummy Table'!DY25:DZ28,0,N51),2,FALSE)</f>
        <v>France</v>
      </c>
      <c r="P54" s="371"/>
      <c r="Q54" s="371" t="str">
        <f ca="1">VLOOKUP(2,OFFSET('Dummy Table'!DY25:DZ28,0,N51),2,FALSE)</f>
        <v>Netherlands</v>
      </c>
      <c r="R54" s="371"/>
      <c r="S54" s="373" t="str">
        <f ca="1">IFERROR(IF(MATCH(VLOOKUP(3,OFFSET('Dummy Table'!DY25:DZ28,0,N51),2,FALSE),OFFSET('Dummy Table'!IU13:IU16,0,N51),0),VLOOKUP(3,OFFSET('Dummy Table'!DY25:DZ28,0,N51),2,FALSE),""),"")</f>
        <v/>
      </c>
      <c r="T54" s="373"/>
      <c r="U54" s="373"/>
      <c r="V54" s="68"/>
      <c r="W54" s="78">
        <f>IF(P45&lt;&gt;"",IF(SUM(Matches!T22:T25)=12,IF(O54=D54,Bonu1,0)+IF(Q54=G54,Bonu2,0)+IF(AND(S54&lt;&gt;"",I54&lt;&gt;"",S54=I54),Bonu3,0),0),"")</f>
        <v>0</v>
      </c>
      <c r="X54" s="126"/>
      <c r="Y54" s="371" t="str">
        <f ca="1">VLOOKUP(1,OFFSET('Dummy Table'!DY25:DZ28,0,X51),2,FALSE)</f>
        <v>Netherlands</v>
      </c>
      <c r="Z54" s="371"/>
      <c r="AA54" s="371" t="str">
        <f ca="1">VLOOKUP(2,OFFSET('Dummy Table'!DY25:DZ28,0,X51),2,FALSE)</f>
        <v>France</v>
      </c>
      <c r="AB54" s="371"/>
      <c r="AC54" s="373" t="str">
        <f ca="1">IFERROR(IF(MATCH(VLOOKUP(3,OFFSET('Dummy Table'!DY25:DZ28,0,X51),2,FALSE),OFFSET('Dummy Table'!IU13:IU16,0,X51),0),VLOOKUP(3,OFFSET('Dummy Table'!DY25:DZ28,0,X51),2,FALSE),""),"")</f>
        <v>Poland</v>
      </c>
      <c r="AD54" s="373"/>
      <c r="AE54" s="373"/>
      <c r="AF54" s="68"/>
      <c r="AG54" s="78">
        <f>IF(Z45&lt;&gt;"",IF(SUM(Matches!T22:T25)=12,IF(Y54=D54,Bonu1,0)+IF(AA54=G54,Bonu2,0)+IF(AND(AC54&lt;&gt;"",I54&lt;&gt;"",AC54=I54),Bonu3,0),0),"")</f>
        <v>0</v>
      </c>
      <c r="AH54" s="126"/>
      <c r="AI54" s="371" t="str">
        <f ca="1">VLOOKUP(1,OFFSET('Dummy Table'!DY25:DZ28,0,AH51),2,FALSE)</f>
        <v>France</v>
      </c>
      <c r="AJ54" s="371"/>
      <c r="AK54" s="371" t="str">
        <f ca="1">VLOOKUP(2,OFFSET('Dummy Table'!DY25:DZ28,0,AH51),2,FALSE)</f>
        <v>Netherlands</v>
      </c>
      <c r="AL54" s="371"/>
      <c r="AM54" s="373" t="str">
        <f ca="1">IFERROR(IF(MATCH(VLOOKUP(3,OFFSET('Dummy Table'!DY25:DZ28,0,AH51),2,FALSE),OFFSET('Dummy Table'!IU13:IU16,0,AH51),0),VLOOKUP(3,OFFSET('Dummy Table'!DY25:DZ28,0,AH51),2,FALSE),""),"")</f>
        <v>Austria</v>
      </c>
      <c r="AN54" s="373"/>
      <c r="AO54" s="373"/>
      <c r="AP54" s="68"/>
      <c r="AQ54" s="78">
        <f>IF(AJ45&lt;&gt;"",IF(SUM(Matches!T22:T25)=12,IF(AI54=D54,Bonu1,0)+IF(AK54=G54,Bonu2,0)+IF(AND(AM54&lt;&gt;"",I54&lt;&gt;"",AM54=I54),Bonu3,0),0),"")</f>
        <v>0</v>
      </c>
      <c r="AR54" s="126"/>
      <c r="AS54" s="371" t="str">
        <f ca="1">VLOOKUP(1,OFFSET('Dummy Table'!DY25:DZ28,0,AR51),2,FALSE)</f>
        <v>France</v>
      </c>
      <c r="AT54" s="371"/>
      <c r="AU54" s="371" t="str">
        <f ca="1">VLOOKUP(2,OFFSET('Dummy Table'!DY25:DZ28,0,AR51),2,FALSE)</f>
        <v>Netherlands</v>
      </c>
      <c r="AV54" s="371"/>
      <c r="AW54" s="373" t="str">
        <f ca="1">IFERROR(IF(MATCH(VLOOKUP(3,OFFSET('Dummy Table'!DY25:DZ28,0,AR51),2,FALSE),OFFSET('Dummy Table'!IU13:IU16,0,AR51),0),VLOOKUP(3,OFFSET('Dummy Table'!DY25:DZ28,0,AR51),2,FALSE),""),"")</f>
        <v>Poland</v>
      </c>
      <c r="AX54" s="373"/>
      <c r="AY54" s="373"/>
      <c r="AZ54" s="68"/>
      <c r="BA54" s="78">
        <f>IF(AT45&lt;&gt;"",IF(SUM(Matches!T22:T25)=12,IF(AS54=D54,Bonu1,0)+IF(AU54=G54,Bonu2,0)+IF(AND(AW54&lt;&gt;"",I54&lt;&gt;"",AW54=I54),Bonu3,0),0),"")</f>
        <v>0</v>
      </c>
      <c r="BB54" s="126"/>
      <c r="BC54" s="371" t="str">
        <f ca="1">VLOOKUP(1,OFFSET('Dummy Table'!DY25:DZ28,0,BB51),2,FALSE)</f>
        <v>France</v>
      </c>
      <c r="BD54" s="371"/>
      <c r="BE54" s="371" t="str">
        <f ca="1">VLOOKUP(2,OFFSET('Dummy Table'!DY25:DZ28,0,BB51),2,FALSE)</f>
        <v>Netherlands</v>
      </c>
      <c r="BF54" s="371"/>
      <c r="BG54" s="373" t="str">
        <f ca="1">IFERROR(IF(MATCH(VLOOKUP(3,OFFSET('Dummy Table'!DY25:DZ28,0,BB51),2,FALSE),OFFSET('Dummy Table'!IU13:IU16,0,BB51),0),VLOOKUP(3,OFFSET('Dummy Table'!DY25:DZ28,0,BB51),2,FALSE),""),"")</f>
        <v>Poland</v>
      </c>
      <c r="BH54" s="373"/>
      <c r="BI54" s="373"/>
      <c r="BJ54" s="68"/>
      <c r="BK54" s="78">
        <f>IF(BD45&lt;&gt;"",IF(SUM(Matches!T22:T25)=12,IF(BC54=D54,Bonu1,0)+IF(BE54=G54,Bonu2,0)+IF(AND(BG54&lt;&gt;"",I54&lt;&gt;"",BG54=I54),Bonu3,0),0),"")</f>
        <v>0</v>
      </c>
      <c r="BL54" s="126"/>
      <c r="BM54" s="371" t="str">
        <f ca="1">VLOOKUP(1,OFFSET('Dummy Table'!DY25:DZ28,0,BL51),2,FALSE)</f>
        <v>Netherlands</v>
      </c>
      <c r="BN54" s="371"/>
      <c r="BO54" s="371" t="str">
        <f ca="1">VLOOKUP(2,OFFSET('Dummy Table'!DY25:DZ28,0,BL51),2,FALSE)</f>
        <v>France</v>
      </c>
      <c r="BP54" s="371"/>
      <c r="BQ54" s="373" t="str">
        <f ca="1">IFERROR(IF(MATCH(VLOOKUP(3,OFFSET('Dummy Table'!DY25:DZ28,0,BL51),2,FALSE),OFFSET('Dummy Table'!IU13:IU16,0,BL51),0),VLOOKUP(3,OFFSET('Dummy Table'!DY25:DZ28,0,BL51),2,FALSE),""),"")</f>
        <v>Poland</v>
      </c>
      <c r="BR54" s="373"/>
      <c r="BS54" s="373"/>
      <c r="BT54" s="68"/>
      <c r="BU54" s="78">
        <f>IF(BN45&lt;&gt;"",IF(SUM(Matches!T22:T25)=12,IF(BM54=D54,Bonu1,0)+IF(BO54=G54,Bonu2,0)+IF(AND(BQ54&lt;&gt;"",I54&lt;&gt;"",BQ54=I54),Bonu3,0),0),"")</f>
        <v>0</v>
      </c>
      <c r="BV54" s="126"/>
      <c r="BW54" s="371" t="str">
        <f ca="1">VLOOKUP(1,OFFSET('Dummy Table'!DY25:DZ28,0,BV51),2,FALSE)</f>
        <v>France</v>
      </c>
      <c r="BX54" s="371"/>
      <c r="BY54" s="371" t="str">
        <f ca="1">VLOOKUP(2,OFFSET('Dummy Table'!DY25:DZ28,0,BV51),2,FALSE)</f>
        <v>Netherlands</v>
      </c>
      <c r="BZ54" s="371"/>
      <c r="CA54" s="373" t="str">
        <f ca="1">IFERROR(IF(MATCH(VLOOKUP(3,OFFSET('Dummy Table'!DY25:DZ28,0,BV51),2,FALSE),OFFSET('Dummy Table'!IU13:IU16,0,BV51),0),VLOOKUP(3,OFFSET('Dummy Table'!DY25:DZ28,0,BV51),2,FALSE),""),"")</f>
        <v>Austria</v>
      </c>
      <c r="CB54" s="373"/>
      <c r="CC54" s="373"/>
      <c r="CD54" s="68"/>
      <c r="CE54" s="78">
        <f>IF(BX45&lt;&gt;"",IF(SUM(Matches!T22:T25)=12,IF(BW54=D54,Bonu1,0)+IF(BY54=G54,Bonu2,0)+IF(AND(CA54&lt;&gt;"",I54&lt;&gt;"",CA54=I54),Bonu3,0),0),"")</f>
        <v>0</v>
      </c>
      <c r="CF54" s="126"/>
      <c r="CG54" s="371" t="str">
        <f ca="1">VLOOKUP(1,OFFSET('Dummy Table'!DY25:DZ28,0,CF51),2,FALSE)</f>
        <v>France</v>
      </c>
      <c r="CH54" s="371"/>
      <c r="CI54" s="371" t="str">
        <f ca="1">VLOOKUP(2,OFFSET('Dummy Table'!DY25:DZ28,0,CF51),2,FALSE)</f>
        <v>Netherlands</v>
      </c>
      <c r="CJ54" s="371"/>
      <c r="CK54" s="373" t="str">
        <f ca="1">IFERROR(IF(MATCH(VLOOKUP(3,OFFSET('Dummy Table'!DY25:DZ28,0,CF51),2,FALSE),OFFSET('Dummy Table'!IU13:IU16,0,CF51),0),VLOOKUP(3,OFFSET('Dummy Table'!DY25:DZ28,0,CF51),2,FALSE),""),"")</f>
        <v/>
      </c>
      <c r="CL54" s="373"/>
      <c r="CM54" s="373"/>
      <c r="CN54" s="68"/>
      <c r="CO54" s="78">
        <f>IF(CH45&lt;&gt;"",IF(SUM(Matches!T22:T25)=12,IF(CG54=D54,Bonu1,0)+IF(CI54=G54,Bonu2,0)+IF(AND(CK54&lt;&gt;"",I54&lt;&gt;"",CK54=I54),Bonu3,0),0),"")</f>
        <v>0</v>
      </c>
      <c r="CP54" s="126"/>
      <c r="CQ54" s="371" t="str">
        <f ca="1">VLOOKUP(1,OFFSET('Dummy Table'!DY25:DZ28,0,CP51),2,FALSE)</f>
        <v>France</v>
      </c>
      <c r="CR54" s="371"/>
      <c r="CS54" s="371" t="str">
        <f ca="1">VLOOKUP(2,OFFSET('Dummy Table'!DY25:DZ28,0,CP51),2,FALSE)</f>
        <v>Netherlands</v>
      </c>
      <c r="CT54" s="371"/>
      <c r="CU54" s="373" t="str">
        <f ca="1">IFERROR(IF(MATCH(VLOOKUP(3,OFFSET('Dummy Table'!DY25:DZ28,0,CP51),2,FALSE),OFFSET('Dummy Table'!IU13:IU16,0,CP51),0),VLOOKUP(3,OFFSET('Dummy Table'!DY25:DZ28,0,CP51),2,FALSE),""),"")</f>
        <v/>
      </c>
      <c r="CV54" s="373"/>
      <c r="CW54" s="373"/>
      <c r="CX54" s="68"/>
      <c r="CY54" s="78">
        <f>IF(CR45&lt;&gt;"",IF(SUM(Matches!T22:T25)=12,IF(CQ54=D54,Bonu1,0)+IF(CS54=G54,Bonu2,0)+IF(AND(CU54&lt;&gt;"",I54&lt;&gt;"",CU54=I54),Bonu3,0),0),"")</f>
        <v>0</v>
      </c>
      <c r="CZ54" s="126"/>
      <c r="DA54" s="371" t="str">
        <f ca="1">VLOOKUP(1,OFFSET('Dummy Table'!DY25:DZ28,0,CZ51),2,FALSE)</f>
        <v>France</v>
      </c>
      <c r="DB54" s="371"/>
      <c r="DC54" s="371" t="str">
        <f ca="1">VLOOKUP(2,OFFSET('Dummy Table'!DY25:DZ28,0,CZ51),2,FALSE)</f>
        <v>Netherlands</v>
      </c>
      <c r="DD54" s="371"/>
      <c r="DE54" s="373" t="str">
        <f ca="1">IFERROR(IF(MATCH(VLOOKUP(3,OFFSET('Dummy Table'!DY25:DZ28,0,CZ51),2,FALSE),OFFSET('Dummy Table'!IU13:IU16,0,CZ51),0),VLOOKUP(3,OFFSET('Dummy Table'!DY25:DZ28,0,CZ51),2,FALSE),""),"")</f>
        <v/>
      </c>
      <c r="DF54" s="373"/>
      <c r="DG54" s="373"/>
      <c r="DH54" s="68"/>
      <c r="DI54" s="78">
        <f>IF(DB45&lt;&gt;"",IF(SUM(Matches!T22:T25)=12,IF(DA54=D54,Bonu1,0)+IF(DC54=G54,Bonu2,0)+IF(AND(DE54&lt;&gt;"",I54&lt;&gt;"",DE54=I54),Bonu3,0),0),"")</f>
        <v>0</v>
      </c>
    </row>
    <row r="55" spans="1:113" s="43" customFormat="1" ht="15" customHeight="1" x14ac:dyDescent="0.25">
      <c r="A55" s="41"/>
      <c r="B55" s="65"/>
      <c r="C55" s="87" t="s">
        <v>109</v>
      </c>
      <c r="D55" s="381" t="str">
        <f>Matches!P27</f>
        <v>Romania</v>
      </c>
      <c r="E55" s="381"/>
      <c r="F55" s="381"/>
      <c r="G55" s="381" t="str">
        <f>Matches!P28</f>
        <v>Slovakia</v>
      </c>
      <c r="H55" s="381"/>
      <c r="I55" s="394" t="str">
        <f>IF(ISNA(MATCH(Matches!P29,Qual3,0)),"",Matches!P29)</f>
        <v/>
      </c>
      <c r="J55" s="395"/>
      <c r="K55" s="66"/>
      <c r="L55" s="66"/>
      <c r="M55" s="67"/>
      <c r="N55" s="126"/>
      <c r="O55" s="371" t="str">
        <f ca="1">VLOOKUP(1,OFFSET('Dummy Table'!DY31:DZ34,0,N51),2,FALSE)</f>
        <v>Belgium</v>
      </c>
      <c r="P55" s="371"/>
      <c r="Q55" s="371" t="str">
        <f ca="1">VLOOKUP(2,OFFSET('Dummy Table'!DY31:DZ34,0,N51),2,FALSE)</f>
        <v>Slovakia</v>
      </c>
      <c r="R55" s="371"/>
      <c r="S55" s="373" t="str">
        <f ca="1">IFERROR(IF(MATCH(VLOOKUP(3,OFFSET('Dummy Table'!DY31:DZ34,0,N51),2,FALSE),OFFSET('Dummy Table'!IU13:IU16,0,N51),0),VLOOKUP(3,OFFSET('Dummy Table'!DY31:DZ34,0,N51),2,FALSE),""),"")</f>
        <v/>
      </c>
      <c r="T55" s="373"/>
      <c r="U55" s="373"/>
      <c r="V55" s="68"/>
      <c r="W55" s="78">
        <f>IF(P45&lt;&gt;"",IF(SUM(Matches!T27:T30)=12,IF(O55=D55,Bonu1,0)+IF(Q55=G55,Bonu2,0)+IF(AND(S55&lt;&gt;"",I55&lt;&gt;"",S55=I55),Bonu3,0),0),"")</f>
        <v>0</v>
      </c>
      <c r="X55" s="126"/>
      <c r="Y55" s="371" t="str">
        <f ca="1">VLOOKUP(1,OFFSET('Dummy Table'!DY31:DZ34,0,X51),2,FALSE)</f>
        <v>Belgium</v>
      </c>
      <c r="Z55" s="371"/>
      <c r="AA55" s="371" t="str">
        <f ca="1">VLOOKUP(2,OFFSET('Dummy Table'!DY31:DZ34,0,X51),2,FALSE)</f>
        <v>Ukraine</v>
      </c>
      <c r="AB55" s="371"/>
      <c r="AC55" s="373" t="str">
        <f ca="1">IFERROR(IF(MATCH(VLOOKUP(3,OFFSET('Dummy Table'!DY31:DZ34,0,X51),2,FALSE),OFFSET('Dummy Table'!IU13:IU16,0,X51),0),VLOOKUP(3,OFFSET('Dummy Table'!DY31:DZ34,0,X51),2,FALSE),""),"")</f>
        <v>Slovakia</v>
      </c>
      <c r="AD55" s="373"/>
      <c r="AE55" s="373"/>
      <c r="AF55" s="68"/>
      <c r="AG55" s="78">
        <f>IF(Z45&lt;&gt;"",IF(SUM(Matches!T27:T30)=12,IF(Y55=D55,Bonu1,0)+IF(AA55=G55,Bonu2,0)+IF(AND(AC55&lt;&gt;"",I55&lt;&gt;"",AC55=I55),Bonu3,0),0),"")</f>
        <v>0</v>
      </c>
      <c r="AH55" s="126"/>
      <c r="AI55" s="371" t="str">
        <f ca="1">VLOOKUP(1,OFFSET('Dummy Table'!DY31:DZ34,0,AH51),2,FALSE)</f>
        <v>Belgium</v>
      </c>
      <c r="AJ55" s="371"/>
      <c r="AK55" s="371" t="str">
        <f ca="1">VLOOKUP(2,OFFSET('Dummy Table'!DY31:DZ34,0,AH51),2,FALSE)</f>
        <v>Ukraine</v>
      </c>
      <c r="AL55" s="371"/>
      <c r="AM55" s="373" t="str">
        <f ca="1">IFERROR(IF(MATCH(VLOOKUP(3,OFFSET('Dummy Table'!DY31:DZ34,0,AH51),2,FALSE),OFFSET('Dummy Table'!IU13:IU16,0,AH51),0),VLOOKUP(3,OFFSET('Dummy Table'!DY31:DZ34,0,AH51),2,FALSE),""),"")</f>
        <v>Slovakia</v>
      </c>
      <c r="AN55" s="373"/>
      <c r="AO55" s="373"/>
      <c r="AP55" s="68"/>
      <c r="AQ55" s="78">
        <f>IF(AJ45&lt;&gt;"",IF(SUM(Matches!T27:T30)=12,IF(AI55=D55,Bonu1,0)+IF(AK55=G55,Bonu2,0)+IF(AND(AM55&lt;&gt;"",I55&lt;&gt;"",AM55=I55),Bonu3,0),0),"")</f>
        <v>0</v>
      </c>
      <c r="AR55" s="126"/>
      <c r="AS55" s="371" t="str">
        <f ca="1">VLOOKUP(1,OFFSET('Dummy Table'!DY31:DZ34,0,AR51),2,FALSE)</f>
        <v>Belgium</v>
      </c>
      <c r="AT55" s="371"/>
      <c r="AU55" s="371" t="str">
        <f ca="1">VLOOKUP(2,OFFSET('Dummy Table'!DY31:DZ34,0,AR51),2,FALSE)</f>
        <v>Ukraine</v>
      </c>
      <c r="AV55" s="371"/>
      <c r="AW55" s="373" t="str">
        <f ca="1">IFERROR(IF(MATCH(VLOOKUP(3,OFFSET('Dummy Table'!DY31:DZ34,0,AR51),2,FALSE),OFFSET('Dummy Table'!IU13:IU16,0,AR51),0),VLOOKUP(3,OFFSET('Dummy Table'!DY31:DZ34,0,AR51),2,FALSE),""),"")</f>
        <v/>
      </c>
      <c r="AX55" s="373"/>
      <c r="AY55" s="373"/>
      <c r="AZ55" s="68"/>
      <c r="BA55" s="78">
        <f>IF(AT45&lt;&gt;"",IF(SUM(Matches!T27:T30)=12,IF(AS55=D55,Bonu1,0)+IF(AU55=G55,Bonu2,0)+IF(AND(AW55&lt;&gt;"",I55&lt;&gt;"",AW55=I55),Bonu3,0),0),"")</f>
        <v>0</v>
      </c>
      <c r="BB55" s="126"/>
      <c r="BC55" s="371" t="str">
        <f ca="1">VLOOKUP(1,OFFSET('Dummy Table'!DY31:DZ34,0,BB51),2,FALSE)</f>
        <v>Belgium</v>
      </c>
      <c r="BD55" s="371"/>
      <c r="BE55" s="371" t="str">
        <f ca="1">VLOOKUP(2,OFFSET('Dummy Table'!DY31:DZ34,0,BB51),2,FALSE)</f>
        <v>Ukraine</v>
      </c>
      <c r="BF55" s="371"/>
      <c r="BG55" s="373" t="str">
        <f ca="1">IFERROR(IF(MATCH(VLOOKUP(3,OFFSET('Dummy Table'!DY31:DZ34,0,BB51),2,FALSE),OFFSET('Dummy Table'!IU13:IU16,0,BB51),0),VLOOKUP(3,OFFSET('Dummy Table'!DY31:DZ34,0,BB51),2,FALSE),""),"")</f>
        <v>Slovakia</v>
      </c>
      <c r="BH55" s="373"/>
      <c r="BI55" s="373"/>
      <c r="BJ55" s="68"/>
      <c r="BK55" s="78">
        <f>IF(BD45&lt;&gt;"",IF(SUM(Matches!T27:T30)=12,IF(BC55=D55,Bonu1,0)+IF(BE55=G55,Bonu2,0)+IF(AND(BG55&lt;&gt;"",I55&lt;&gt;"",BG55=I55),Bonu3,0),0),"")</f>
        <v>0</v>
      </c>
      <c r="BL55" s="126"/>
      <c r="BM55" s="371" t="str">
        <f ca="1">VLOOKUP(1,OFFSET('Dummy Table'!DY31:DZ34,0,BL51),2,FALSE)</f>
        <v>Belgium</v>
      </c>
      <c r="BN55" s="371"/>
      <c r="BO55" s="371" t="str">
        <f ca="1">VLOOKUP(2,OFFSET('Dummy Table'!DY31:DZ34,0,BL51),2,FALSE)</f>
        <v>Slovakia</v>
      </c>
      <c r="BP55" s="371"/>
      <c r="BQ55" s="373" t="str">
        <f ca="1">IFERROR(IF(MATCH(VLOOKUP(3,OFFSET('Dummy Table'!DY31:DZ34,0,BL51),2,FALSE),OFFSET('Dummy Table'!IU13:IU16,0,BL51),0),VLOOKUP(3,OFFSET('Dummy Table'!DY31:DZ34,0,BL51),2,FALSE),""),"")</f>
        <v/>
      </c>
      <c r="BR55" s="373"/>
      <c r="BS55" s="373"/>
      <c r="BT55" s="68"/>
      <c r="BU55" s="78">
        <f>IF(BN45&lt;&gt;"",IF(SUM(Matches!T27:T30)=12,IF(BM55=D55,Bonu1,0)+IF(BO55=G55,Bonu2,0)+IF(AND(BQ55&lt;&gt;"",I55&lt;&gt;"",BQ55=I55),Bonu3,0),0),"")</f>
        <v>0</v>
      </c>
      <c r="BV55" s="126"/>
      <c r="BW55" s="371" t="str">
        <f ca="1">VLOOKUP(1,OFFSET('Dummy Table'!DY31:DZ34,0,BV51),2,FALSE)</f>
        <v>Belgium</v>
      </c>
      <c r="BX55" s="371"/>
      <c r="BY55" s="371" t="str">
        <f ca="1">VLOOKUP(2,OFFSET('Dummy Table'!DY31:DZ34,0,BV51),2,FALSE)</f>
        <v>Romania</v>
      </c>
      <c r="BZ55" s="371"/>
      <c r="CA55" s="373" t="str">
        <f ca="1">IFERROR(IF(MATCH(VLOOKUP(3,OFFSET('Dummy Table'!DY31:DZ34,0,BV51),2,FALSE),OFFSET('Dummy Table'!IU13:IU16,0,BV51),0),VLOOKUP(3,OFFSET('Dummy Table'!DY31:DZ34,0,BV51),2,FALSE),""),"")</f>
        <v>Slovakia</v>
      </c>
      <c r="CB55" s="373"/>
      <c r="CC55" s="373"/>
      <c r="CD55" s="68"/>
      <c r="CE55" s="78">
        <f>IF(BX45&lt;&gt;"",IF(SUM(Matches!T27:T30)=12,IF(BW55=D55,Bonu1,0)+IF(BY55=G55,Bonu2,0)+IF(AND(CA55&lt;&gt;"",I55&lt;&gt;"",CA55=I55),Bonu3,0),0),"")</f>
        <v>0</v>
      </c>
      <c r="CF55" s="126"/>
      <c r="CG55" s="371" t="str">
        <f ca="1">VLOOKUP(1,OFFSET('Dummy Table'!DY31:DZ34,0,CF51),2,FALSE)</f>
        <v>Belgium</v>
      </c>
      <c r="CH55" s="371"/>
      <c r="CI55" s="371" t="str">
        <f ca="1">VLOOKUP(2,OFFSET('Dummy Table'!DY31:DZ34,0,CF51),2,FALSE)</f>
        <v>Slovakia</v>
      </c>
      <c r="CJ55" s="371"/>
      <c r="CK55" s="373" t="str">
        <f ca="1">IFERROR(IF(MATCH(VLOOKUP(3,OFFSET('Dummy Table'!DY31:DZ34,0,CF51),2,FALSE),OFFSET('Dummy Table'!IU13:IU16,0,CF51),0),VLOOKUP(3,OFFSET('Dummy Table'!DY31:DZ34,0,CF51),2,FALSE),""),"")</f>
        <v>Ukraine</v>
      </c>
      <c r="CL55" s="373"/>
      <c r="CM55" s="373"/>
      <c r="CN55" s="68"/>
      <c r="CO55" s="78">
        <f>IF(CH45&lt;&gt;"",IF(SUM(Matches!T27:T30)=12,IF(CG55=D55,Bonu1,0)+IF(CI55=G55,Bonu2,0)+IF(AND(CK55&lt;&gt;"",I55&lt;&gt;"",CK55=I55),Bonu3,0),0),"")</f>
        <v>0</v>
      </c>
      <c r="CP55" s="126"/>
      <c r="CQ55" s="371" t="str">
        <f ca="1">VLOOKUP(1,OFFSET('Dummy Table'!DY31:DZ34,0,CP51),2,FALSE)</f>
        <v>Slovakia</v>
      </c>
      <c r="CR55" s="371"/>
      <c r="CS55" s="371" t="str">
        <f ca="1">VLOOKUP(2,OFFSET('Dummy Table'!DY31:DZ34,0,CP51),2,FALSE)</f>
        <v>Belgium</v>
      </c>
      <c r="CT55" s="371"/>
      <c r="CU55" s="373" t="str">
        <f ca="1">IFERROR(IF(MATCH(VLOOKUP(3,OFFSET('Dummy Table'!DY31:DZ34,0,CP51),2,FALSE),OFFSET('Dummy Table'!IU13:IU16,0,CP51),0),VLOOKUP(3,OFFSET('Dummy Table'!DY31:DZ34,0,CP51),2,FALSE),""),"")</f>
        <v>Romania</v>
      </c>
      <c r="CV55" s="373"/>
      <c r="CW55" s="373"/>
      <c r="CX55" s="68"/>
      <c r="CY55" s="78">
        <f>IF(CR45&lt;&gt;"",IF(SUM(Matches!T27:T30)=12,IF(CQ55=D55,Bonu1,0)+IF(CS55=G55,Bonu2,0)+IF(AND(CU55&lt;&gt;"",I55&lt;&gt;"",CU55=I55),Bonu3,0),0),"")</f>
        <v>0</v>
      </c>
      <c r="CZ55" s="126"/>
      <c r="DA55" s="371" t="str">
        <f ca="1">VLOOKUP(1,OFFSET('Dummy Table'!DY31:DZ34,0,CZ51),2,FALSE)</f>
        <v>Belgium</v>
      </c>
      <c r="DB55" s="371"/>
      <c r="DC55" s="371" t="str">
        <f ca="1">VLOOKUP(2,OFFSET('Dummy Table'!DY31:DZ34,0,CZ51),2,FALSE)</f>
        <v>Slovakia</v>
      </c>
      <c r="DD55" s="371"/>
      <c r="DE55" s="373" t="str">
        <f ca="1">IFERROR(IF(MATCH(VLOOKUP(3,OFFSET('Dummy Table'!DY31:DZ34,0,CZ51),2,FALSE),OFFSET('Dummy Table'!IU13:IU16,0,CZ51),0),VLOOKUP(3,OFFSET('Dummy Table'!DY31:DZ34,0,CZ51),2,FALSE),""),"")</f>
        <v>Romania</v>
      </c>
      <c r="DF55" s="373"/>
      <c r="DG55" s="373"/>
      <c r="DH55" s="68"/>
      <c r="DI55" s="78">
        <f>IF(DB45&lt;&gt;"",IF(SUM(Matches!T27:T30)=12,IF(DA55=D55,Bonu1,0)+IF(DC55=G55,Bonu2,0)+IF(AND(DE55&lt;&gt;"",I55&lt;&gt;"",DE55=I55),Bonu3,0),0),"")</f>
        <v>0</v>
      </c>
    </row>
    <row r="56" spans="1:113" s="43" customFormat="1" ht="15" customHeight="1" x14ac:dyDescent="0.25">
      <c r="A56" s="41"/>
      <c r="B56" s="65"/>
      <c r="C56" s="87" t="s">
        <v>110</v>
      </c>
      <c r="D56" s="381" t="str">
        <f>Matches!P32</f>
        <v>Türkiye</v>
      </c>
      <c r="E56" s="381"/>
      <c r="F56" s="381"/>
      <c r="G56" s="381" t="str">
        <f>Matches!P33</f>
        <v>Portugal</v>
      </c>
      <c r="H56" s="381"/>
      <c r="I56" s="394" t="str">
        <f>IF(ISNA(MATCH(Matches!P34,Qual3,0)),"",Matches!P34)</f>
        <v>Czechia</v>
      </c>
      <c r="J56" s="395"/>
      <c r="K56" s="66"/>
      <c r="L56" s="66"/>
      <c r="M56" s="67"/>
      <c r="N56" s="126"/>
      <c r="O56" s="371" t="str">
        <f ca="1">VLOOKUP(1,OFFSET('Dummy Table'!DY37:DZ40,0,N51),2,FALSE)</f>
        <v>Portugal</v>
      </c>
      <c r="P56" s="371"/>
      <c r="Q56" s="371" t="str">
        <f ca="1">VLOOKUP(2,OFFSET('Dummy Table'!DY37:DZ40,0,N51),2,FALSE)</f>
        <v>Türkiye</v>
      </c>
      <c r="R56" s="371"/>
      <c r="S56" s="373" t="str">
        <f ca="1">IFERROR(IF(MATCH(VLOOKUP(3,OFFSET('Dummy Table'!DY37:DZ40,0,N51),2,FALSE),OFFSET('Dummy Table'!IU13:IU16,0,N51),0),VLOOKUP(3,OFFSET('Dummy Table'!DY37:DZ40,0,N51),2,FALSE),""),"")</f>
        <v>Czechia</v>
      </c>
      <c r="T56" s="373"/>
      <c r="U56" s="373"/>
      <c r="V56" s="68"/>
      <c r="W56" s="78">
        <f>IF(P45&lt;&gt;"",IF(SUM(Matches!T32:T35)=12,IF(O56=D56,Bonu1,0)+IF(Q56=G56,Bonu2,0)+IF(AND(S56&lt;&gt;"",I56&lt;&gt;"",S56=I56),Bonu3,0),0),"")</f>
        <v>0</v>
      </c>
      <c r="X56" s="126"/>
      <c r="Y56" s="371" t="str">
        <f ca="1">VLOOKUP(1,OFFSET('Dummy Table'!DY37:DZ40,0,X51),2,FALSE)</f>
        <v>Portugal</v>
      </c>
      <c r="Z56" s="371"/>
      <c r="AA56" s="371" t="str">
        <f ca="1">VLOOKUP(2,OFFSET('Dummy Table'!DY37:DZ40,0,X51),2,FALSE)</f>
        <v>Türkiye</v>
      </c>
      <c r="AB56" s="371"/>
      <c r="AC56" s="373" t="str">
        <f ca="1">IFERROR(IF(MATCH(VLOOKUP(3,OFFSET('Dummy Table'!DY37:DZ40,0,X51),2,FALSE),OFFSET('Dummy Table'!IU13:IU16,0,X51),0),VLOOKUP(3,OFFSET('Dummy Table'!DY37:DZ40,0,X51),2,FALSE),""),"")</f>
        <v/>
      </c>
      <c r="AD56" s="373"/>
      <c r="AE56" s="373"/>
      <c r="AF56" s="68"/>
      <c r="AG56" s="78">
        <f>IF(Z45&lt;&gt;"",IF(SUM(Matches!T32:T35)=12,IF(Y56=D56,Bonu1,0)+IF(AA56=G56,Bonu2,0)+IF(AND(AC56&lt;&gt;"",I56&lt;&gt;"",AC56=I56),Bonu3,0),0),"")</f>
        <v>0</v>
      </c>
      <c r="AH56" s="126"/>
      <c r="AI56" s="371" t="str">
        <f ca="1">VLOOKUP(1,OFFSET('Dummy Table'!DY37:DZ40,0,AH51),2,FALSE)</f>
        <v>Portugal</v>
      </c>
      <c r="AJ56" s="371"/>
      <c r="AK56" s="371" t="str">
        <f ca="1">VLOOKUP(2,OFFSET('Dummy Table'!DY37:DZ40,0,AH51),2,FALSE)</f>
        <v>Georgia</v>
      </c>
      <c r="AL56" s="371"/>
      <c r="AM56" s="373" t="str">
        <f ca="1">IFERROR(IF(MATCH(VLOOKUP(3,OFFSET('Dummy Table'!DY37:DZ40,0,AH51),2,FALSE),OFFSET('Dummy Table'!IU13:IU16,0,AH51),0),VLOOKUP(3,OFFSET('Dummy Table'!DY37:DZ40,0,AH51),2,FALSE),""),"")</f>
        <v/>
      </c>
      <c r="AN56" s="373"/>
      <c r="AO56" s="373"/>
      <c r="AP56" s="68"/>
      <c r="AQ56" s="78">
        <f>IF(AJ45&lt;&gt;"",IF(SUM(Matches!T32:T35)=12,IF(AI56=D56,Bonu1,0)+IF(AK56=G56,Bonu2,0)+IF(AND(AM56&lt;&gt;"",I56&lt;&gt;"",AM56=I56),Bonu3,0),0),"")</f>
        <v>0</v>
      </c>
      <c r="AR56" s="126"/>
      <c r="AS56" s="371" t="str">
        <f ca="1">VLOOKUP(1,OFFSET('Dummy Table'!DY37:DZ40,0,AR51),2,FALSE)</f>
        <v>Portugal</v>
      </c>
      <c r="AT56" s="371"/>
      <c r="AU56" s="371" t="str">
        <f ca="1">VLOOKUP(2,OFFSET('Dummy Table'!DY37:DZ40,0,AR51),2,FALSE)</f>
        <v>Czechia</v>
      </c>
      <c r="AV56" s="371"/>
      <c r="AW56" s="373" t="str">
        <f ca="1">IFERROR(IF(MATCH(VLOOKUP(3,OFFSET('Dummy Table'!DY37:DZ40,0,AR51),2,FALSE),OFFSET('Dummy Table'!IU13:IU16,0,AR51),0),VLOOKUP(3,OFFSET('Dummy Table'!DY37:DZ40,0,AR51),2,FALSE),""),"")</f>
        <v>Türkiye</v>
      </c>
      <c r="AX56" s="373"/>
      <c r="AY56" s="373"/>
      <c r="AZ56" s="68"/>
      <c r="BA56" s="78">
        <f>IF(AT45&lt;&gt;"",IF(SUM(Matches!T32:T35)=12,IF(AS56=D56,Bonu1,0)+IF(AU56=G56,Bonu2,0)+IF(AND(AW56&lt;&gt;"",I56&lt;&gt;"",AW56=I56),Bonu3,0),0),"")</f>
        <v>0</v>
      </c>
      <c r="BB56" s="126"/>
      <c r="BC56" s="371" t="str">
        <f ca="1">VLOOKUP(1,OFFSET('Dummy Table'!DY37:DZ40,0,BB51),2,FALSE)</f>
        <v>Türkiye</v>
      </c>
      <c r="BD56" s="371"/>
      <c r="BE56" s="371" t="str">
        <f ca="1">VLOOKUP(2,OFFSET('Dummy Table'!DY37:DZ40,0,BB51),2,FALSE)</f>
        <v>Portugal</v>
      </c>
      <c r="BF56" s="371"/>
      <c r="BG56" s="373" t="str">
        <f ca="1">IFERROR(IF(MATCH(VLOOKUP(3,OFFSET('Dummy Table'!DY37:DZ40,0,BB51),2,FALSE),OFFSET('Dummy Table'!IU13:IU16,0,BB51),0),VLOOKUP(3,OFFSET('Dummy Table'!DY37:DZ40,0,BB51),2,FALSE),""),"")</f>
        <v>Czechia</v>
      </c>
      <c r="BH56" s="373"/>
      <c r="BI56" s="373"/>
      <c r="BJ56" s="68"/>
      <c r="BK56" s="78">
        <f>IF(BD45&lt;&gt;"",IF(SUM(Matches!T32:T35)=12,IF(BC56=D56,Bonu1,0)+IF(BE56=G56,Bonu2,0)+IF(AND(BG56&lt;&gt;"",I56&lt;&gt;"",BG56=I56),Bonu3,0),0),"")</f>
        <v>0</v>
      </c>
      <c r="BL56" s="126"/>
      <c r="BM56" s="371" t="str">
        <f ca="1">VLOOKUP(1,OFFSET('Dummy Table'!DY37:DZ40,0,BL51),2,FALSE)</f>
        <v>Türkiye</v>
      </c>
      <c r="BN56" s="371"/>
      <c r="BO56" s="371" t="str">
        <f ca="1">VLOOKUP(2,OFFSET('Dummy Table'!DY37:DZ40,0,BL51),2,FALSE)</f>
        <v>Czechia</v>
      </c>
      <c r="BP56" s="371"/>
      <c r="BQ56" s="373" t="str">
        <f ca="1">IFERROR(IF(MATCH(VLOOKUP(3,OFFSET('Dummy Table'!DY37:DZ40,0,BL51),2,FALSE),OFFSET('Dummy Table'!IU13:IU16,0,BL51),0),VLOOKUP(3,OFFSET('Dummy Table'!DY37:DZ40,0,BL51),2,FALSE),""),"")</f>
        <v>Portugal</v>
      </c>
      <c r="BR56" s="373"/>
      <c r="BS56" s="373"/>
      <c r="BT56" s="68"/>
      <c r="BU56" s="78">
        <f>IF(BN45&lt;&gt;"",IF(SUM(Matches!T32:T35)=12,IF(BM56=D56,Bonu1,0)+IF(BO56=G56,Bonu2,0)+IF(AND(BQ56&lt;&gt;"",I56&lt;&gt;"",BQ56=I56),Bonu3,0),0),"")</f>
        <v>0</v>
      </c>
      <c r="BV56" s="126"/>
      <c r="BW56" s="371" t="str">
        <f ca="1">VLOOKUP(1,OFFSET('Dummy Table'!DY37:DZ40,0,BV51),2,FALSE)</f>
        <v>Portugal</v>
      </c>
      <c r="BX56" s="371"/>
      <c r="BY56" s="371" t="str">
        <f ca="1">VLOOKUP(2,OFFSET('Dummy Table'!DY37:DZ40,0,BV51),2,FALSE)</f>
        <v>Türkiye</v>
      </c>
      <c r="BZ56" s="371"/>
      <c r="CA56" s="373" t="str">
        <f ca="1">IFERROR(IF(MATCH(VLOOKUP(3,OFFSET('Dummy Table'!DY37:DZ40,0,BV51),2,FALSE),OFFSET('Dummy Table'!IU13:IU16,0,BV51),0),VLOOKUP(3,OFFSET('Dummy Table'!DY37:DZ40,0,BV51),2,FALSE),""),"")</f>
        <v/>
      </c>
      <c r="CB56" s="373"/>
      <c r="CC56" s="373"/>
      <c r="CD56" s="68"/>
      <c r="CE56" s="78">
        <f>IF(BX45&lt;&gt;"",IF(SUM(Matches!T32:T35)=12,IF(BW56=D56,Bonu1,0)+IF(BY56=G56,Bonu2,0)+IF(AND(CA56&lt;&gt;"",I56&lt;&gt;"",CA56=I56),Bonu3,0),0),"")</f>
        <v>0</v>
      </c>
      <c r="CF56" s="126"/>
      <c r="CG56" s="371" t="str">
        <f ca="1">VLOOKUP(1,OFFSET('Dummy Table'!DY37:DZ40,0,CF51),2,FALSE)</f>
        <v>Portugal</v>
      </c>
      <c r="CH56" s="371"/>
      <c r="CI56" s="371" t="str">
        <f ca="1">VLOOKUP(2,OFFSET('Dummy Table'!DY37:DZ40,0,CF51),2,FALSE)</f>
        <v>Czechia</v>
      </c>
      <c r="CJ56" s="371"/>
      <c r="CK56" s="373" t="str">
        <f ca="1">IFERROR(IF(MATCH(VLOOKUP(3,OFFSET('Dummy Table'!DY37:DZ40,0,CF51),2,FALSE),OFFSET('Dummy Table'!IU13:IU16,0,CF51),0),VLOOKUP(3,OFFSET('Dummy Table'!DY37:DZ40,0,CF51),2,FALSE),""),"")</f>
        <v>Türkiye</v>
      </c>
      <c r="CL56" s="373"/>
      <c r="CM56" s="373"/>
      <c r="CN56" s="68"/>
      <c r="CO56" s="78">
        <f>IF(CH45&lt;&gt;"",IF(SUM(Matches!T32:T35)=12,IF(CG56=D56,Bonu1,0)+IF(CI56=G56,Bonu2,0)+IF(AND(CK56&lt;&gt;"",I56&lt;&gt;"",CK56=I56),Bonu3,0),0),"")</f>
        <v>0</v>
      </c>
      <c r="CP56" s="126"/>
      <c r="CQ56" s="371" t="str">
        <f ca="1">VLOOKUP(1,OFFSET('Dummy Table'!DY37:DZ40,0,CP51),2,FALSE)</f>
        <v>Türkiye</v>
      </c>
      <c r="CR56" s="371"/>
      <c r="CS56" s="371" t="str">
        <f ca="1">VLOOKUP(2,OFFSET('Dummy Table'!DY37:DZ40,0,CP51),2,FALSE)</f>
        <v>Czechia</v>
      </c>
      <c r="CT56" s="371"/>
      <c r="CU56" s="373" t="str">
        <f ca="1">IFERROR(IF(MATCH(VLOOKUP(3,OFFSET('Dummy Table'!DY37:DZ40,0,CP51),2,FALSE),OFFSET('Dummy Table'!IU13:IU16,0,CP51),0),VLOOKUP(3,OFFSET('Dummy Table'!DY37:DZ40,0,CP51),2,FALSE),""),"")</f>
        <v/>
      </c>
      <c r="CV56" s="373"/>
      <c r="CW56" s="373"/>
      <c r="CX56" s="68"/>
      <c r="CY56" s="78">
        <f>IF(CR45&lt;&gt;"",IF(SUM(Matches!T32:T35)=12,IF(CQ56=D56,Bonu1,0)+IF(CS56=G56,Bonu2,0)+IF(AND(CU56&lt;&gt;"",I56&lt;&gt;"",CU56=I56),Bonu3,0),0),"")</f>
        <v>0</v>
      </c>
      <c r="CZ56" s="126"/>
      <c r="DA56" s="371" t="str">
        <f ca="1">VLOOKUP(1,OFFSET('Dummy Table'!DY37:DZ40,0,CZ51),2,FALSE)</f>
        <v>Portugal</v>
      </c>
      <c r="DB56" s="371"/>
      <c r="DC56" s="371" t="str">
        <f ca="1">VLOOKUP(2,OFFSET('Dummy Table'!DY37:DZ40,0,CZ51),2,FALSE)</f>
        <v>Türkiye</v>
      </c>
      <c r="DD56" s="371"/>
      <c r="DE56" s="373" t="str">
        <f ca="1">IFERROR(IF(MATCH(VLOOKUP(3,OFFSET('Dummy Table'!DY37:DZ40,0,CZ51),2,FALSE),OFFSET('Dummy Table'!IU13:IU16,0,CZ51),0),VLOOKUP(3,OFFSET('Dummy Table'!DY37:DZ40,0,CZ51),2,FALSE),""),"")</f>
        <v>Georgia</v>
      </c>
      <c r="DF56" s="373"/>
      <c r="DG56" s="373"/>
      <c r="DH56" s="68"/>
      <c r="DI56" s="78">
        <f>IF(DB45&lt;&gt;"",IF(SUM(Matches!T32:T35)=12,IF(DA56=D56,Bonu1,0)+IF(DC56=G56,Bonu2,0)+IF(AND(DE56&lt;&gt;"",I56&lt;&gt;"",DE56=I56),Bonu3,0),0),"")</f>
        <v>0</v>
      </c>
    </row>
    <row r="57" spans="1:113" s="43" customFormat="1" ht="15" customHeight="1" x14ac:dyDescent="0.25">
      <c r="A57" s="41"/>
      <c r="B57" s="65"/>
      <c r="C57" s="88">
        <f>SUM(Matches!T7:T35)</f>
        <v>30</v>
      </c>
      <c r="D57" s="66"/>
      <c r="E57" s="66"/>
      <c r="F57" s="66"/>
      <c r="G57" s="66"/>
      <c r="H57" s="66"/>
      <c r="I57" s="66"/>
      <c r="J57" s="66"/>
      <c r="K57" s="66"/>
      <c r="L57" s="66"/>
      <c r="M57" s="67"/>
      <c r="N57" s="126"/>
      <c r="O57" s="382" t="s">
        <v>114</v>
      </c>
      <c r="P57" s="383"/>
      <c r="Q57" s="383"/>
      <c r="R57" s="384"/>
      <c r="S57" s="372">
        <f ca="1">IF(C57=72,OFFSET('Dummy Table'!IV34,0,N51),0)</f>
        <v>0</v>
      </c>
      <c r="T57" s="372"/>
      <c r="U57" s="372"/>
      <c r="V57" s="68"/>
      <c r="W57" s="78">
        <f ca="1">IF(P45&lt;&gt;"",IF(S57=16,Bonu4,IF(S57&gt;11,Bonu5,IF(S57&gt;7,Bonu7,0))),"")</f>
        <v>0</v>
      </c>
      <c r="X57" s="126"/>
      <c r="Y57" s="382" t="s">
        <v>114</v>
      </c>
      <c r="Z57" s="383"/>
      <c r="AA57" s="383"/>
      <c r="AB57" s="384"/>
      <c r="AC57" s="372">
        <f ca="1">IF(C57=72,OFFSET('Dummy Table'!IV34,0,X51),0)</f>
        <v>0</v>
      </c>
      <c r="AD57" s="372"/>
      <c r="AE57" s="372"/>
      <c r="AF57" s="68"/>
      <c r="AG57" s="78">
        <f ca="1">IF(Z45&lt;&gt;"",IF(AC57=16,Bonu4,IF(AC57&gt;11,Bonu5,IF(AC57&gt;7,Bonu7,0))),"")</f>
        <v>0</v>
      </c>
      <c r="AH57" s="126"/>
      <c r="AI57" s="382" t="s">
        <v>114</v>
      </c>
      <c r="AJ57" s="383"/>
      <c r="AK57" s="383"/>
      <c r="AL57" s="384"/>
      <c r="AM57" s="372">
        <f ca="1">IF(C57=72,OFFSET('Dummy Table'!IV34,0,AH51),0)</f>
        <v>0</v>
      </c>
      <c r="AN57" s="372"/>
      <c r="AO57" s="372"/>
      <c r="AP57" s="68"/>
      <c r="AQ57" s="78">
        <f ca="1">IF(AJ45&lt;&gt;"",IF(AM57=16,Bonu4,IF(AM57&gt;11,Bonu5,IF(AM57&gt;7,Bonu7,0))),"")</f>
        <v>0</v>
      </c>
      <c r="AR57" s="126"/>
      <c r="AS57" s="382" t="s">
        <v>114</v>
      </c>
      <c r="AT57" s="383"/>
      <c r="AU57" s="383"/>
      <c r="AV57" s="384"/>
      <c r="AW57" s="372">
        <f ca="1">IF(C57=72,OFFSET('Dummy Table'!IV34,0,AR51),0)</f>
        <v>0</v>
      </c>
      <c r="AX57" s="372"/>
      <c r="AY57" s="372"/>
      <c r="AZ57" s="68"/>
      <c r="BA57" s="78">
        <f ca="1">IF(AT45&lt;&gt;"",IF(AW57=16,Bonu4,IF(AW57&gt;11,Bonu5,IF(AW57&gt;7,Bonu7,0))),"")</f>
        <v>0</v>
      </c>
      <c r="BB57" s="126"/>
      <c r="BC57" s="382" t="s">
        <v>114</v>
      </c>
      <c r="BD57" s="383"/>
      <c r="BE57" s="383"/>
      <c r="BF57" s="384"/>
      <c r="BG57" s="372">
        <f ca="1">IF(C57=72,OFFSET('Dummy Table'!IV34,0,BB51),0)</f>
        <v>0</v>
      </c>
      <c r="BH57" s="372"/>
      <c r="BI57" s="372"/>
      <c r="BJ57" s="68"/>
      <c r="BK57" s="78">
        <f ca="1">IF(BD45&lt;&gt;"",IF(BG57=16,Bonu4,IF(BG57&gt;11,Bonu5,IF(BG57&gt;7,Bonu7,0))),"")</f>
        <v>0</v>
      </c>
      <c r="BL57" s="126"/>
      <c r="BM57" s="382" t="s">
        <v>114</v>
      </c>
      <c r="BN57" s="383"/>
      <c r="BO57" s="383"/>
      <c r="BP57" s="384"/>
      <c r="BQ57" s="372">
        <f ca="1">IF(C57=72,OFFSET('Dummy Table'!IV34,0,BL51),0)</f>
        <v>0</v>
      </c>
      <c r="BR57" s="372"/>
      <c r="BS57" s="372"/>
      <c r="BT57" s="68"/>
      <c r="BU57" s="78">
        <f ca="1">IF(BN45&lt;&gt;"",IF(BQ57=16,Bonu4,IF(BQ57&gt;11,Bonu5,IF(BQ57&gt;7,Bonu7,0))),"")</f>
        <v>0</v>
      </c>
      <c r="BV57" s="126"/>
      <c r="BW57" s="382" t="s">
        <v>114</v>
      </c>
      <c r="BX57" s="383"/>
      <c r="BY57" s="383"/>
      <c r="BZ57" s="384"/>
      <c r="CA57" s="372">
        <f ca="1">IF(C57=72,OFFSET('Dummy Table'!IV34,0,BV51),0)</f>
        <v>0</v>
      </c>
      <c r="CB57" s="372"/>
      <c r="CC57" s="372"/>
      <c r="CD57" s="68"/>
      <c r="CE57" s="78">
        <f ca="1">IF(BX45&lt;&gt;"",IF(CA57=16,Bonu4,IF(CA57&gt;11,Bonu5,IF(CA57&gt;7,Bonu7,0))),"")</f>
        <v>0</v>
      </c>
      <c r="CF57" s="126"/>
      <c r="CG57" s="382" t="s">
        <v>114</v>
      </c>
      <c r="CH57" s="383"/>
      <c r="CI57" s="383"/>
      <c r="CJ57" s="384"/>
      <c r="CK57" s="372">
        <f ca="1">IF(C57=72,OFFSET('Dummy Table'!IV34,0,CF51),0)</f>
        <v>0</v>
      </c>
      <c r="CL57" s="372"/>
      <c r="CM57" s="372"/>
      <c r="CN57" s="68"/>
      <c r="CO57" s="78">
        <f ca="1">IF(CH45&lt;&gt;"",IF(CK57=16,Bonu4,IF(CK57&gt;11,Bonu5,IF(CK57&gt;7,Bonu7,0))),"")</f>
        <v>0</v>
      </c>
      <c r="CP57" s="126"/>
      <c r="CQ57" s="382" t="s">
        <v>114</v>
      </c>
      <c r="CR57" s="383"/>
      <c r="CS57" s="383"/>
      <c r="CT57" s="384"/>
      <c r="CU57" s="372">
        <f ca="1">IF(C57=72,OFFSET('Dummy Table'!IV34,0,CP51),0)</f>
        <v>0</v>
      </c>
      <c r="CV57" s="372"/>
      <c r="CW57" s="372"/>
      <c r="CX57" s="68"/>
      <c r="CY57" s="78">
        <f ca="1">IF(CR45&lt;&gt;"",IF(CU57=16,Bonu4,IF(CU57&gt;11,Bonu5,IF(CU57&gt;7,Bonu7,0))),"")</f>
        <v>0</v>
      </c>
      <c r="CZ57" s="126"/>
      <c r="DA57" s="382" t="s">
        <v>114</v>
      </c>
      <c r="DB57" s="383"/>
      <c r="DC57" s="383"/>
      <c r="DD57" s="384"/>
      <c r="DE57" s="372">
        <f ca="1">IF(C57=72,OFFSET('Dummy Table'!IV34,0,CZ51),0)</f>
        <v>0</v>
      </c>
      <c r="DF57" s="372"/>
      <c r="DG57" s="372"/>
      <c r="DH57" s="68"/>
      <c r="DI57" s="78">
        <f ca="1">IF(DB45&lt;&gt;"",IF(DE57=16,Bonu4,IF(DE57&gt;11,Bonu5,IF(DE57&gt;7,Bonu7,0))),"")</f>
        <v>0</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386" t="str">
        <f>H7</f>
        <v>Score</v>
      </c>
      <c r="I60" s="386"/>
      <c r="J60" s="66"/>
      <c r="K60" s="386" t="s">
        <v>115</v>
      </c>
      <c r="L60" s="386"/>
      <c r="M60" s="89"/>
      <c r="N60" s="126" t="str">
        <f t="shared" ca="1" si="209"/>
        <v>England</v>
      </c>
      <c r="O60" s="129"/>
      <c r="P60" s="368" t="str">
        <f>H60</f>
        <v>Score</v>
      </c>
      <c r="Q60" s="368"/>
      <c r="R60" s="130" t="str">
        <f ca="1">IF(KOGameRule=0,Q56,J67)</f>
        <v>Türkiye</v>
      </c>
      <c r="S60" s="368" t="str">
        <f>K60</f>
        <v>PK</v>
      </c>
      <c r="T60" s="368"/>
      <c r="V60" s="90"/>
      <c r="W60" s="91"/>
      <c r="X60" s="126" t="str">
        <f t="shared" ca="1" si="210"/>
        <v>England</v>
      </c>
      <c r="Y60" s="129"/>
      <c r="Z60" s="368" t="str">
        <f>P60</f>
        <v>Score</v>
      </c>
      <c r="AA60" s="368"/>
      <c r="AB60" s="130"/>
      <c r="AC60" s="368" t="str">
        <f>S60</f>
        <v>PK</v>
      </c>
      <c r="AD60" s="368"/>
      <c r="AF60" s="90"/>
      <c r="AG60" s="91"/>
      <c r="AH60" s="126" t="str">
        <f t="shared" ca="1" si="201"/>
        <v>Denmark</v>
      </c>
      <c r="AI60" s="129"/>
      <c r="AJ60" s="368" t="str">
        <f t="shared" ref="AJ60" si="211">Z60</f>
        <v>Score</v>
      </c>
      <c r="AK60" s="368"/>
      <c r="AL60" s="130"/>
      <c r="AM60" s="368" t="str">
        <f t="shared" ref="AM60" si="212">AC60</f>
        <v>PK</v>
      </c>
      <c r="AN60" s="368"/>
      <c r="AP60" s="90"/>
      <c r="AQ60" s="91"/>
      <c r="AR60" s="126" t="str">
        <f t="shared" ca="1" si="202"/>
        <v>England</v>
      </c>
      <c r="AS60" s="129"/>
      <c r="AT60" s="368" t="str">
        <f t="shared" ref="AT60" si="213">AJ60</f>
        <v>Score</v>
      </c>
      <c r="AU60" s="368"/>
      <c r="AV60" s="130"/>
      <c r="AW60" s="368" t="str">
        <f t="shared" ref="AW60" si="214">AM60</f>
        <v>PK</v>
      </c>
      <c r="AX60" s="368"/>
      <c r="AZ60" s="90"/>
      <c r="BA60" s="91"/>
      <c r="BB60" s="126" t="str">
        <f t="shared" ca="1" si="203"/>
        <v>England</v>
      </c>
      <c r="BC60" s="129"/>
      <c r="BD60" s="368" t="str">
        <f t="shared" ref="BD60" si="215">AT60</f>
        <v>Score</v>
      </c>
      <c r="BE60" s="368"/>
      <c r="BF60" s="130"/>
      <c r="BG60" s="368" t="str">
        <f t="shared" ref="BG60" si="216">AW60</f>
        <v>PK</v>
      </c>
      <c r="BH60" s="368"/>
      <c r="BJ60" s="90"/>
      <c r="BK60" s="91"/>
      <c r="BL60" s="126" t="str">
        <f t="shared" ca="1" si="204"/>
        <v>England</v>
      </c>
      <c r="BM60" s="129"/>
      <c r="BN60" s="368" t="str">
        <f t="shared" ref="BN60" si="217">BD60</f>
        <v>Score</v>
      </c>
      <c r="BO60" s="368"/>
      <c r="BP60" s="130"/>
      <c r="BQ60" s="368" t="str">
        <f t="shared" ref="BQ60" si="218">BG60</f>
        <v>PK</v>
      </c>
      <c r="BR60" s="368"/>
      <c r="BT60" s="90"/>
      <c r="BU60" s="91"/>
      <c r="BV60" s="126" t="str">
        <f t="shared" ca="1" si="205"/>
        <v>England</v>
      </c>
      <c r="BW60" s="129"/>
      <c r="BX60" s="368" t="str">
        <f t="shared" ref="BX60" si="219">BN60</f>
        <v>Score</v>
      </c>
      <c r="BY60" s="368"/>
      <c r="BZ60" s="130"/>
      <c r="CA60" s="368" t="str">
        <f t="shared" ref="CA60" si="220">BQ60</f>
        <v>PK</v>
      </c>
      <c r="CB60" s="368"/>
      <c r="CD60" s="90"/>
      <c r="CE60" s="91"/>
      <c r="CF60" s="126" t="str">
        <f t="shared" ca="1" si="206"/>
        <v>England</v>
      </c>
      <c r="CG60" s="129"/>
      <c r="CH60" s="368" t="str">
        <f t="shared" ref="CH60" si="221">BX60</f>
        <v>Score</v>
      </c>
      <c r="CI60" s="368"/>
      <c r="CJ60" s="130"/>
      <c r="CK60" s="368" t="str">
        <f t="shared" ref="CK60" si="222">CA60</f>
        <v>PK</v>
      </c>
      <c r="CL60" s="368"/>
      <c r="CN60" s="90"/>
      <c r="CO60" s="91"/>
      <c r="CP60" s="126" t="str">
        <f t="shared" ca="1" si="207"/>
        <v>Slovenia</v>
      </c>
      <c r="CQ60" s="129"/>
      <c r="CR60" s="368" t="str">
        <f t="shared" ref="CR60" si="223">CH60</f>
        <v>Score</v>
      </c>
      <c r="CS60" s="368"/>
      <c r="CT60" s="130"/>
      <c r="CU60" s="368" t="str">
        <f t="shared" ref="CU60" si="224">CK60</f>
        <v>PK</v>
      </c>
      <c r="CV60" s="368"/>
      <c r="CX60" s="90"/>
      <c r="CY60" s="91"/>
      <c r="CZ60" s="126" t="str">
        <f t="shared" ca="1" si="208"/>
        <v>England</v>
      </c>
      <c r="DA60" s="129"/>
      <c r="DB60" s="368" t="str">
        <f t="shared" ref="DB60" si="225">CR60</f>
        <v>Score</v>
      </c>
      <c r="DC60" s="368"/>
      <c r="DD60" s="130"/>
      <c r="DE60" s="368" t="str">
        <f t="shared" ref="DE60" si="226">CU60</f>
        <v>PK</v>
      </c>
      <c r="DF60" s="368"/>
      <c r="DH60" s="90"/>
      <c r="DI60" s="91"/>
    </row>
    <row r="61" spans="1:113" s="43" customFormat="1" ht="15" customHeight="1" x14ac:dyDescent="0.25">
      <c r="A61" s="41"/>
      <c r="B61" s="65"/>
      <c r="C61" s="92">
        <v>37</v>
      </c>
      <c r="D61" s="95" t="s">
        <v>116</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116</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75"/>
      <c r="AA62" s="75"/>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c r="CI62" s="75"/>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c r="AA64" s="75"/>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c r="CI64" s="75"/>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75"/>
      <c r="CI65" s="75"/>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c r="CI68" s="75"/>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407" t="s">
        <v>119</v>
      </c>
      <c r="D78" s="408"/>
      <c r="E78" s="408"/>
      <c r="F78" s="408"/>
      <c r="G78" s="389" t="str">
        <f>UPPER(IF(AND(H75&lt;&gt;"",I75&lt;&gt;""),IF((H75+K75)&gt;(I75+L75),G75,IF((H75+K75)&lt;(I75+L75),J75,'Language Table'!C77)),'Language Table'!C77))</f>
        <v>MATCH 51 WINNER</v>
      </c>
      <c r="H78" s="389"/>
      <c r="I78" s="389"/>
      <c r="J78" s="389"/>
      <c r="K78" s="389"/>
      <c r="L78" s="390"/>
      <c r="M78" s="89"/>
      <c r="N78" s="193"/>
      <c r="O78" s="122" t="str">
        <f>C78</f>
        <v>CHAMPION</v>
      </c>
      <c r="P78" s="369" t="str">
        <f>UPPER(IF(KOGameRule=1,G78,IF(AND(P75&lt;&gt;"",Q75&lt;&gt;""),IF(P75&gt;Q75,O75,IF(P75&lt;Q75,R75,IF(S75&gt;T75,O75,IF(S75&lt;T75,R75,"Match 51 Winner")))),"Match 51 Winner")))</f>
        <v>MATCH 51 WINNER</v>
      </c>
      <c r="Q78" s="369"/>
      <c r="R78" s="369"/>
      <c r="S78" s="369"/>
      <c r="T78" s="369"/>
      <c r="U78" s="370"/>
      <c r="V78" s="374" t="s">
        <v>120</v>
      </c>
      <c r="W78" s="375"/>
      <c r="X78" s="273"/>
      <c r="Y78" s="122" t="str">
        <f>O78</f>
        <v>CHAMPION</v>
      </c>
      <c r="Z78" s="369" t="str">
        <f>UPPER(IF(KOGameRule=1,G78,IF(AND(Z75&lt;&gt;"",AA75&lt;&gt;""),IF(Z75&gt;AA75,Y75,IF(Z75&lt;AA75,AB75,IF(AC75&gt;AD75,Y75,IF(AC75&lt;AD75,AB75,"Match 51 Winner")))),"Match 51 Winner")))</f>
        <v>MATCH 51 WINNER</v>
      </c>
      <c r="AA78" s="369"/>
      <c r="AB78" s="369"/>
      <c r="AC78" s="369"/>
      <c r="AD78" s="369"/>
      <c r="AE78" s="369"/>
      <c r="AF78" s="374" t="s">
        <v>120</v>
      </c>
      <c r="AG78" s="375"/>
      <c r="AH78" s="193"/>
      <c r="AI78" s="122" t="str">
        <f t="shared" ref="AI78:AI81" si="269">Y78</f>
        <v>CHAMPION</v>
      </c>
      <c r="AJ78" s="369" t="str">
        <f ca="1">UPPER(IF(KOGameRule=1,G78,IF(AND(AJ75&lt;&gt;"",AK75&lt;&gt;""),IF(AJ75&gt;AK75,AI75,IF(AJ75&lt;AK75,AL75,IF(AM75&gt;AN75,AI75,IF(AM75&lt;AN75,AL75,"Match 51 Winner")))),"Match 51 Winner")))</f>
        <v>SPAIN</v>
      </c>
      <c r="AK78" s="369"/>
      <c r="AL78" s="369"/>
      <c r="AM78" s="369"/>
      <c r="AN78" s="369"/>
      <c r="AO78" s="369"/>
      <c r="AP78" s="374" t="s">
        <v>120</v>
      </c>
      <c r="AQ78" s="375"/>
      <c r="AR78" s="193"/>
      <c r="AS78" s="122" t="str">
        <f t="shared" ref="AS78:AS81" si="270">AI78</f>
        <v>CHAMPION</v>
      </c>
      <c r="AT78" s="369" t="str">
        <f ca="1">UPPER(IF(KOGameRule=1,G78,IF(AND(AT75&lt;&gt;"",AU75&lt;&gt;""),IF(AT75&gt;AU75,AS75,IF(AT75&lt;AU75,AV75,IF(AW75&gt;AX75,AS75,IF(AW75&lt;AX75,AV75,"Match 51 Winner")))),"Match 51 Winner")))</f>
        <v>ENGLAND</v>
      </c>
      <c r="AU78" s="369"/>
      <c r="AV78" s="369"/>
      <c r="AW78" s="369"/>
      <c r="AX78" s="369"/>
      <c r="AY78" s="369"/>
      <c r="AZ78" s="374" t="s">
        <v>120</v>
      </c>
      <c r="BA78" s="375"/>
      <c r="BB78" s="193"/>
      <c r="BC78" s="122" t="str">
        <f t="shared" ref="BC78:BC81" si="271">AS78</f>
        <v>CHAMPION</v>
      </c>
      <c r="BD78" s="369" t="str">
        <f ca="1">UPPER(IF(KOGameRule=1,G78,IF(AND(BD75&lt;&gt;"",BE75&lt;&gt;""),IF(BD75&gt;BE75,BC75,IF(BD75&lt;BE75,BF75,IF(BG75&gt;BH75,BC75,IF(BG75&lt;BH75,BF75,"Match 51 Winner")))),"Match 51 Winner")))</f>
        <v>GERMANY</v>
      </c>
      <c r="BE78" s="369"/>
      <c r="BF78" s="369"/>
      <c r="BG78" s="369"/>
      <c r="BH78" s="369"/>
      <c r="BI78" s="369"/>
      <c r="BJ78" s="374" t="s">
        <v>120</v>
      </c>
      <c r="BK78" s="375"/>
      <c r="BL78" s="193"/>
      <c r="BM78" s="122" t="str">
        <f t="shared" ref="BM78:BM81" si="272">BC78</f>
        <v>CHAMPION</v>
      </c>
      <c r="BN78" s="369" t="str">
        <f ca="1">UPPER(IF(KOGameRule=1,G78,IF(AND(BN75&lt;&gt;"",BO75&lt;&gt;""),IF(BN75&gt;BO75,BM75,IF(BN75&lt;BO75,BP75,IF(BQ75&gt;BR75,BM75,IF(BQ75&lt;BR75,BP75,"Match 51 Winner")))),"Match 51 Winner")))</f>
        <v>GERMANY</v>
      </c>
      <c r="BO78" s="369"/>
      <c r="BP78" s="369"/>
      <c r="BQ78" s="369"/>
      <c r="BR78" s="369"/>
      <c r="BS78" s="369"/>
      <c r="BT78" s="374" t="s">
        <v>120</v>
      </c>
      <c r="BU78" s="375"/>
      <c r="BV78" s="193"/>
      <c r="BW78" s="122" t="str">
        <f t="shared" ref="BW78:BW81" si="273">BM78</f>
        <v>CHAMPION</v>
      </c>
      <c r="BX78" s="369" t="str">
        <f ca="1">UPPER(IF(KOGameRule=1,G78,IF(AND(BX75&lt;&gt;"",BY75&lt;&gt;""),IF(BX75&gt;BY75,BW75,IF(BX75&lt;BY75,BZ75,IF(CA75&gt;CB75,BW75,IF(CA75&lt;CB75,BZ75,"Match 51 Winner")))),"Match 51 Winner")))</f>
        <v>SPAIN</v>
      </c>
      <c r="BY78" s="369"/>
      <c r="BZ78" s="369"/>
      <c r="CA78" s="369"/>
      <c r="CB78" s="369"/>
      <c r="CC78" s="369"/>
      <c r="CD78" s="374" t="s">
        <v>120</v>
      </c>
      <c r="CE78" s="375"/>
      <c r="CF78" s="193"/>
      <c r="CG78" s="122" t="str">
        <f t="shared" ref="CG78:CG81" si="274">BW78</f>
        <v>CHAMPION</v>
      </c>
      <c r="CH78" s="369" t="str">
        <f>UPPER(IF(KOGameRule=1,G78,IF(AND(CH75&lt;&gt;"",CI75&lt;&gt;""),IF(CH75&gt;CI75,CG75,IF(CH75&lt;CI75,CJ75,IF(CK75&gt;CL75,CG75,IF(CK75&lt;CL75,CJ75,"Match 51 Winner")))),"Match 51 Winner")))</f>
        <v>MATCH 51 WINNER</v>
      </c>
      <c r="CI78" s="369"/>
      <c r="CJ78" s="369"/>
      <c r="CK78" s="369"/>
      <c r="CL78" s="369"/>
      <c r="CM78" s="369"/>
      <c r="CN78" s="374" t="s">
        <v>120</v>
      </c>
      <c r="CO78" s="375"/>
      <c r="CP78" s="193"/>
      <c r="CQ78" s="122" t="str">
        <f t="shared" ref="CQ78:CQ81" si="275">CG78</f>
        <v>CHAMPION</v>
      </c>
      <c r="CR78" s="369" t="str">
        <f>UPPER(IF(KOGameRule=1,G78,IF(AND(CR75&lt;&gt;"",CS75&lt;&gt;""),IF(CR75&gt;CS75,CQ75,IF(CR75&lt;CS75,CT75,IF(CU75&gt;CV75,CQ75,IF(CU75&lt;CV75,CT75,"Match 51 Winner")))),"Match 51 Winner")))</f>
        <v>MATCH 51 WINNER</v>
      </c>
      <c r="CS78" s="369"/>
      <c r="CT78" s="369"/>
      <c r="CU78" s="369"/>
      <c r="CV78" s="369"/>
      <c r="CW78" s="369"/>
      <c r="CX78" s="374" t="s">
        <v>120</v>
      </c>
      <c r="CY78" s="375"/>
      <c r="CZ78" s="193"/>
      <c r="DA78" s="122" t="str">
        <f t="shared" ref="DA78:DA81" si="276">CQ78</f>
        <v>CHAMPION</v>
      </c>
      <c r="DB78" s="369" t="str">
        <f>UPPER(IF(KOGameRule=1,G78,IF(AND(DB75&lt;&gt;"",DC75&lt;&gt;""),IF(DB75&gt;DC75,DA75,IF(DB75&lt;DC75,DD75,IF(DE75&gt;DF75,DA75,IF(DE75&lt;DF75,DD75,"Match 51 Winner")))),"Match 51 Winner")))</f>
        <v>MATCH 51 WINNER</v>
      </c>
      <c r="DC78" s="369"/>
      <c r="DD78" s="369"/>
      <c r="DE78" s="369"/>
      <c r="DF78" s="369"/>
      <c r="DG78" s="369"/>
      <c r="DH78" s="374" t="s">
        <v>120</v>
      </c>
      <c r="DI78" s="375"/>
    </row>
    <row r="79" spans="1:113" s="43" customFormat="1" ht="15" customHeight="1" x14ac:dyDescent="0.25">
      <c r="A79" s="41"/>
      <c r="B79" s="65"/>
      <c r="C79" s="398" t="s">
        <v>121</v>
      </c>
      <c r="D79" s="399"/>
      <c r="E79" s="399"/>
      <c r="F79" s="399"/>
      <c r="G79" s="389" t="str">
        <f>UPPER(IF(AND(H75&lt;&gt;"",I75&lt;&gt;""),IF((H75+K75)&gt;(I75+L75),J75,IF((H75+K75)&lt;(I75+L75),G75,"Match 51 Loser")),"Match 51 Loser"))</f>
        <v>MATCH 51 LOSER</v>
      </c>
      <c r="H79" s="389"/>
      <c r="I79" s="389"/>
      <c r="J79" s="389"/>
      <c r="K79" s="389"/>
      <c r="L79" s="390"/>
      <c r="M79" s="89"/>
      <c r="O79" s="122" t="str">
        <f t="shared" ref="O79:O81" si="277">C79</f>
        <v>RUNNER UP</v>
      </c>
      <c r="P79" s="380" t="str">
        <f>UPPER(IF(KOGameRule=1,G79,IF(AND(P75&lt;&gt;"",Q75&lt;&gt;""),IF(P75&gt;Q75,R75,IF(P75&lt;Q75,O75,IF(S75&gt;T75,R75,IF(S75&lt;T75,O75,"Match 51 Loser")))),"Match 51 Loser")))</f>
        <v>MATCH 51 LOSER</v>
      </c>
      <c r="Q79" s="380"/>
      <c r="R79" s="380"/>
      <c r="S79" s="380"/>
      <c r="T79" s="380"/>
      <c r="U79" s="406"/>
      <c r="V79" s="376"/>
      <c r="W79" s="377"/>
      <c r="Y79" s="122" t="str">
        <f t="shared" ref="Y79:Y81" si="278">O79</f>
        <v>RUNNER UP</v>
      </c>
      <c r="Z79" s="380" t="str">
        <f>UPPER(IF(KOGameRule=1,G79,IF(AND(Z75&lt;&gt;"",AA75&lt;&gt;""),IF(Z75&gt;AA75,AB75,IF(Z75&lt;AA75,Y75,IF(AC75&gt;AD75,AB75,IF(AC75&lt;AD75,Y75,"Match 51 Loser")))),"Match 51 Loser")))</f>
        <v>MATCH 51 LOSER</v>
      </c>
      <c r="AA79" s="380"/>
      <c r="AB79" s="380"/>
      <c r="AC79" s="380"/>
      <c r="AD79" s="380"/>
      <c r="AE79" s="380"/>
      <c r="AF79" s="376"/>
      <c r="AG79" s="377"/>
      <c r="AI79" s="122" t="str">
        <f t="shared" si="269"/>
        <v>RUNNER UP</v>
      </c>
      <c r="AJ79" s="380" t="str">
        <f ca="1">UPPER(IF(KOGameRule=1,G79,IF(AND(AJ75&lt;&gt;"",AK75&lt;&gt;""),IF(AJ75&gt;AK75,AL75,IF(AJ75&lt;AK75,AI75,IF(AM75&gt;AN75,AL75,IF(AM75&lt;AN75,AI75,"Match 51 Loser")))),"Match 51 Loser")))</f>
        <v>CROATIA</v>
      </c>
      <c r="AK79" s="380"/>
      <c r="AL79" s="380"/>
      <c r="AM79" s="380"/>
      <c r="AN79" s="380"/>
      <c r="AO79" s="380"/>
      <c r="AP79" s="376"/>
      <c r="AQ79" s="377"/>
      <c r="AS79" s="122" t="str">
        <f t="shared" si="270"/>
        <v>RUNNER UP</v>
      </c>
      <c r="AT79" s="380" t="str">
        <f ca="1">UPPER(IF(KOGameRule=1,G79,IF(AND(AT75&lt;&gt;"",AU75&lt;&gt;""),IF(AT75&gt;AU75,AV75,IF(AT75&lt;AU75,AS75,IF(AW75&gt;AX75,AV75,IF(AW75&lt;AX75,AS75,"Match 51 Loser")))),"Match 51 Loser")))</f>
        <v>GERMANY</v>
      </c>
      <c r="AU79" s="380"/>
      <c r="AV79" s="380"/>
      <c r="AW79" s="380"/>
      <c r="AX79" s="380"/>
      <c r="AY79" s="380"/>
      <c r="AZ79" s="376"/>
      <c r="BA79" s="377"/>
      <c r="BC79" s="122" t="str">
        <f t="shared" si="271"/>
        <v>RUNNER UP</v>
      </c>
      <c r="BD79" s="380" t="str">
        <f ca="1">UPPER(IF(KOGameRule=1,G79,IF(AND(BD75&lt;&gt;"",BE75&lt;&gt;""),IF(BD75&gt;BE75,BF75,IF(BD75&lt;BE75,BC75,IF(BG75&gt;BH75,BF75,IF(BG75&lt;BH75,BC75,"Match 51 Loser")))),"Match 51 Loser")))</f>
        <v>FRANCE</v>
      </c>
      <c r="BE79" s="380"/>
      <c r="BF79" s="380"/>
      <c r="BG79" s="380"/>
      <c r="BH79" s="380"/>
      <c r="BI79" s="380"/>
      <c r="BJ79" s="376"/>
      <c r="BK79" s="377"/>
      <c r="BM79" s="122" t="str">
        <f t="shared" si="272"/>
        <v>RUNNER UP</v>
      </c>
      <c r="BN79" s="380" t="str">
        <f ca="1">UPPER(IF(KOGameRule=1,G79,IF(AND(BN75&lt;&gt;"",BO75&lt;&gt;""),IF(BN75&gt;BO75,BP75,IF(BN75&lt;BO75,BM75,IF(BQ75&gt;BR75,BP75,IF(BQ75&lt;BR75,BM75,"Match 51 Loser")))),"Match 51 Loser")))</f>
        <v>SPAIN</v>
      </c>
      <c r="BO79" s="380"/>
      <c r="BP79" s="380"/>
      <c r="BQ79" s="380"/>
      <c r="BR79" s="380"/>
      <c r="BS79" s="380"/>
      <c r="BT79" s="376"/>
      <c r="BU79" s="377"/>
      <c r="BW79" s="122" t="str">
        <f t="shared" si="273"/>
        <v>RUNNER UP</v>
      </c>
      <c r="BX79" s="380" t="str">
        <f ca="1">UPPER(IF(KOGameRule=1,G79,IF(AND(BX75&lt;&gt;"",BY75&lt;&gt;""),IF(BX75&gt;BY75,BZ75,IF(BX75&lt;BY75,BW75,IF(CA75&gt;CB75,BZ75,IF(CA75&lt;CB75,BW75,"Match 51 Loser")))),"Match 51 Loser")))</f>
        <v>ITALY</v>
      </c>
      <c r="BY79" s="380"/>
      <c r="BZ79" s="380"/>
      <c r="CA79" s="380"/>
      <c r="CB79" s="380"/>
      <c r="CC79" s="380"/>
      <c r="CD79" s="376"/>
      <c r="CE79" s="377"/>
      <c r="CG79" s="122" t="str">
        <f t="shared" si="274"/>
        <v>RUNNER UP</v>
      </c>
      <c r="CH79" s="380" t="str">
        <f>UPPER(IF(KOGameRule=1,G79,IF(AND(CH75&lt;&gt;"",CI75&lt;&gt;""),IF(CH75&gt;CI75,CJ75,IF(CH75&lt;CI75,CG75,IF(CK75&gt;CL75,CJ75,IF(CK75&lt;CL75,CG75,"Match 51 Loser")))),"Match 51 Loser")))</f>
        <v>MATCH 51 LOSER</v>
      </c>
      <c r="CI79" s="380"/>
      <c r="CJ79" s="380"/>
      <c r="CK79" s="380"/>
      <c r="CL79" s="380"/>
      <c r="CM79" s="380"/>
      <c r="CN79" s="376"/>
      <c r="CO79" s="377"/>
      <c r="CQ79" s="122" t="str">
        <f t="shared" si="275"/>
        <v>RUNNER UP</v>
      </c>
      <c r="CR79" s="380" t="str">
        <f>UPPER(IF(KOGameRule=1,G79,IF(AND(CR75&lt;&gt;"",CS75&lt;&gt;""),IF(CR75&gt;CS75,CT75,IF(CR75&lt;CS75,CQ75,IF(CU75&gt;CV75,CT75,IF(CU75&lt;CV75,CQ75,"Match 51 Loser")))),"Match 51 Loser")))</f>
        <v>MATCH 51 LOSER</v>
      </c>
      <c r="CS79" s="380"/>
      <c r="CT79" s="380"/>
      <c r="CU79" s="380"/>
      <c r="CV79" s="380"/>
      <c r="CW79" s="380"/>
      <c r="CX79" s="376"/>
      <c r="CY79" s="377"/>
      <c r="DA79" s="122" t="str">
        <f t="shared" si="276"/>
        <v>RUNNER UP</v>
      </c>
      <c r="DB79" s="380" t="str">
        <f>UPPER(IF(KOGameRule=1,G79,IF(AND(DB75&lt;&gt;"",DC75&lt;&gt;""),IF(DB75&gt;DC75,DD75,IF(DB75&lt;DC75,DA75,IF(DE75&gt;DF75,DD75,IF(DE75&lt;DF75,DA75,"Match 51 Loser")))),"Match 51 Loser")))</f>
        <v>MATCH 51 LOSER</v>
      </c>
      <c r="DC79" s="380"/>
      <c r="DD79" s="380"/>
      <c r="DE79" s="380"/>
      <c r="DF79" s="380"/>
      <c r="DG79" s="380"/>
      <c r="DH79" s="376"/>
      <c r="DI79" s="377"/>
    </row>
    <row r="80" spans="1:113" s="43" customFormat="1" ht="15" customHeight="1" x14ac:dyDescent="0.25">
      <c r="A80" s="41"/>
      <c r="B80" s="65"/>
      <c r="C80" s="398" t="s">
        <v>122</v>
      </c>
      <c r="D80" s="399"/>
      <c r="E80" s="399"/>
      <c r="F80" s="399"/>
      <c r="G80" s="389" t="str">
        <f>IF(AND(H73&lt;&gt;"",I73&lt;&gt;""),IF((H73+K73)&gt;(I73+L73),J73,IF((H73+K73)&lt;(I73+L73),G73,"Match 49 Loser")),"Match 49 Loser")</f>
        <v>Match 49 Loser</v>
      </c>
      <c r="H80" s="389"/>
      <c r="I80" s="389"/>
      <c r="J80" s="389"/>
      <c r="K80" s="389"/>
      <c r="L80" s="390"/>
      <c r="M80" s="89"/>
      <c r="O80" s="122" t="str">
        <f t="shared" si="277"/>
        <v>SEMIFINALIST 1</v>
      </c>
      <c r="P80" s="380" t="str">
        <f>IF(KOGameRule=1,G80,IF(AND(P73&lt;&gt;"",Q73&lt;&gt;""),IF((P73+S73)&gt;(Q73+T73),R73,IF((P73+S73)&lt;(Q73+T73),O73,"Match 49 Loser")),"Match 49 Loser"))</f>
        <v>Match 49 Loser</v>
      </c>
      <c r="Q80" s="380"/>
      <c r="R80" s="380"/>
      <c r="S80" s="380"/>
      <c r="T80" s="380"/>
      <c r="U80" s="406"/>
      <c r="V80" s="376"/>
      <c r="W80" s="377"/>
      <c r="Y80" s="122" t="str">
        <f t="shared" si="278"/>
        <v>SEMIFINALIST 1</v>
      </c>
      <c r="Z80" s="380" t="str">
        <f>IF(KOGameRule=1,G80,IF(AND(Z73&lt;&gt;"",AA73&lt;&gt;""),IF((Z73+AC73)&gt;(AA73+AD73),AB73,IF((Z73+AC73)&lt;(AA73+AD73),Y73,"Match 49 Loser")),"Match 49 Loser"))</f>
        <v>Match 49 Loser</v>
      </c>
      <c r="AA80" s="380"/>
      <c r="AB80" s="380"/>
      <c r="AC80" s="380"/>
      <c r="AD80" s="380"/>
      <c r="AE80" s="380"/>
      <c r="AF80" s="376"/>
      <c r="AG80" s="377"/>
      <c r="AI80" s="122" t="str">
        <f t="shared" si="269"/>
        <v>SEMIFINALIST 1</v>
      </c>
      <c r="AJ80" s="380" t="str">
        <f ca="1">IF(KOGameRule=1,G80,IF(AND(AJ73&lt;&gt;"",AK73&lt;&gt;""),IF((AJ73+AM73)&gt;(AK73+AN73),AL73,IF((AJ73+AM73)&lt;(AK73+AN73),AI73,"Match 49 Loser")),"Match 49 Loser"))</f>
        <v>Portugal</v>
      </c>
      <c r="AK80" s="380"/>
      <c r="AL80" s="380"/>
      <c r="AM80" s="380"/>
      <c r="AN80" s="380"/>
      <c r="AO80" s="380"/>
      <c r="AP80" s="376"/>
      <c r="AQ80" s="377"/>
      <c r="AS80" s="122" t="str">
        <f t="shared" si="270"/>
        <v>SEMIFINALIST 1</v>
      </c>
      <c r="AT80" s="380" t="str">
        <f ca="1">IF(KOGameRule=1,G80,IF(AND(AT73&lt;&gt;"",AU73&lt;&gt;""),IF((AT73+AW73)&gt;(AU73+AX73),AV73,IF((AT73+AW73)&lt;(AU73+AX73),AS73,"Match 49 Loser")),"Match 49 Loser"))</f>
        <v>Italy</v>
      </c>
      <c r="AU80" s="380"/>
      <c r="AV80" s="380"/>
      <c r="AW80" s="380"/>
      <c r="AX80" s="380"/>
      <c r="AY80" s="380"/>
      <c r="AZ80" s="376"/>
      <c r="BA80" s="377"/>
      <c r="BC80" s="122" t="str">
        <f t="shared" si="271"/>
        <v>SEMIFINALIST 1</v>
      </c>
      <c r="BD80" s="380" t="str">
        <f ca="1">IF(KOGameRule=1,G80,IF(AND(BD73&lt;&gt;"",BE73&lt;&gt;""),IF((BD73+BG73)&gt;(BE73+BH73),BF73,IF((BD73+BG73)&lt;(BE73+BH73),BC73,"Match 49 Loser")),"Match 49 Loser"))</f>
        <v>Italy</v>
      </c>
      <c r="BE80" s="380"/>
      <c r="BF80" s="380"/>
      <c r="BG80" s="380"/>
      <c r="BH80" s="380"/>
      <c r="BI80" s="380"/>
      <c r="BJ80" s="376"/>
      <c r="BK80" s="377"/>
      <c r="BM80" s="122" t="str">
        <f t="shared" si="272"/>
        <v>SEMIFINALIST 1</v>
      </c>
      <c r="BN80" s="380" t="str">
        <f ca="1">IF(KOGameRule=1,G80,IF(AND(BN73&lt;&gt;"",BO73&lt;&gt;""),IF((BN73+BQ73)&gt;(BO73+BR73),BP73,IF((BN73+BQ73)&lt;(BO73+BR73),BM73,"Match 49 Loser")),"Match 49 Loser"))</f>
        <v>Italy</v>
      </c>
      <c r="BO80" s="380"/>
      <c r="BP80" s="380"/>
      <c r="BQ80" s="380"/>
      <c r="BR80" s="380"/>
      <c r="BS80" s="380"/>
      <c r="BT80" s="376"/>
      <c r="BU80" s="377"/>
      <c r="BW80" s="122" t="str">
        <f t="shared" si="273"/>
        <v>SEMIFINALIST 1</v>
      </c>
      <c r="BX80" s="380" t="str">
        <f ca="1">IF(KOGameRule=1,G80,IF(AND(BX73&lt;&gt;"",BY73&lt;&gt;""),IF((BX73+CA73)&gt;(BY73+CB73),BZ73,IF((BX73+CA73)&lt;(BY73+CB73),BW73,"Match 49 Loser")),"Match 49 Loser"))</f>
        <v>Portugal</v>
      </c>
      <c r="BY80" s="380"/>
      <c r="BZ80" s="380"/>
      <c r="CA80" s="380"/>
      <c r="CB80" s="380"/>
      <c r="CC80" s="380"/>
      <c r="CD80" s="376"/>
      <c r="CE80" s="377"/>
      <c r="CG80" s="122" t="str">
        <f t="shared" si="274"/>
        <v>SEMIFINALIST 1</v>
      </c>
      <c r="CH80" s="380" t="str">
        <f>IF(KOGameRule=1,G80,IF(AND(CH73&lt;&gt;"",CI73&lt;&gt;""),IF((CH73+CK73)&gt;(CI73+CL73),CJ73,IF((CH73+CK73)&lt;(CI73+CL73),CG73,"Match 49 Loser")),"Match 49 Loser"))</f>
        <v>Match 49 Loser</v>
      </c>
      <c r="CI80" s="380"/>
      <c r="CJ80" s="380"/>
      <c r="CK80" s="380"/>
      <c r="CL80" s="380"/>
      <c r="CM80" s="380"/>
      <c r="CN80" s="376"/>
      <c r="CO80" s="377"/>
      <c r="CQ80" s="122" t="str">
        <f t="shared" si="275"/>
        <v>SEMIFINALIST 1</v>
      </c>
      <c r="CR80" s="380" t="str">
        <f>IF(KOGameRule=1,G80,IF(AND(CR73&lt;&gt;"",CS73&lt;&gt;""),IF((CR73+CU73)&gt;(CS73+CV73),CT73,IF((CR73+CU73)&lt;(CS73+CV73),CQ73,"Match 49 Loser")),"Match 49 Loser"))</f>
        <v>Match 49 Loser</v>
      </c>
      <c r="CS80" s="380"/>
      <c r="CT80" s="380"/>
      <c r="CU80" s="380"/>
      <c r="CV80" s="380"/>
      <c r="CW80" s="380"/>
      <c r="CX80" s="376"/>
      <c r="CY80" s="377"/>
      <c r="DA80" s="122" t="str">
        <f t="shared" si="276"/>
        <v>SEMIFINALIST 1</v>
      </c>
      <c r="DB80" s="380" t="str">
        <f>IF(KOGameRule=1,G80,IF(AND(DB73&lt;&gt;"",DC73&lt;&gt;""),IF((DB73+DE73)&gt;(DC73+DF73),DD73,IF((DB73+DE73)&lt;(DC73+DF73),DA73,"Match 49 Loser")),"Match 49 Loser"))</f>
        <v>Match 49 Loser</v>
      </c>
      <c r="DC80" s="380"/>
      <c r="DD80" s="380"/>
      <c r="DE80" s="380"/>
      <c r="DF80" s="380"/>
      <c r="DG80" s="380"/>
      <c r="DH80" s="376"/>
      <c r="DI80" s="377"/>
    </row>
    <row r="81" spans="1:113" s="43" customFormat="1" ht="15" customHeight="1" x14ac:dyDescent="0.25">
      <c r="A81" s="41"/>
      <c r="B81" s="65"/>
      <c r="C81" s="398" t="s">
        <v>123</v>
      </c>
      <c r="D81" s="399"/>
      <c r="E81" s="399"/>
      <c r="F81" s="399"/>
      <c r="G81" s="389" t="str">
        <f>IF(AND(H74&lt;&gt;"",I74&lt;&gt;""),IF((H74+K74)&gt;(I74+L74),J74,IF((H74+K74)&lt;(I74+L74),G74,"Match 50 Loser")),"Match 50 Loser")</f>
        <v>Match 50 Loser</v>
      </c>
      <c r="H81" s="389"/>
      <c r="I81" s="389"/>
      <c r="J81" s="389"/>
      <c r="K81" s="389"/>
      <c r="L81" s="390"/>
      <c r="M81" s="89"/>
      <c r="O81" s="122" t="str">
        <f t="shared" si="277"/>
        <v>SEMIFINALIST 2</v>
      </c>
      <c r="P81" s="380" t="str">
        <f>IF(KOGameRule=1,G81,IF(AND(P74&lt;&gt;"",Q74&lt;&gt;""),IF((P74+S74)&gt;(Q74+T74),R74,IF((P74+S74)&lt;(Q74+T74),O74,"Match 50 Loser")),"Match 50 Loser"))</f>
        <v>Match 50 Loser</v>
      </c>
      <c r="Q81" s="380"/>
      <c r="R81" s="380"/>
      <c r="S81" s="380"/>
      <c r="T81" s="380"/>
      <c r="U81" s="406"/>
      <c r="V81" s="376"/>
      <c r="W81" s="377"/>
      <c r="Y81" s="122" t="str">
        <f t="shared" si="278"/>
        <v>SEMIFINALIST 2</v>
      </c>
      <c r="Z81" s="380" t="str">
        <f>IF(KOGameRule=1,G81,IF(AND(Z74&lt;&gt;"",AA74&lt;&gt;""),IF((Z74+AC74)&gt;(AA74+AD74),AB74,IF((Z74+AC74)&lt;(AA74+AD74),Y74,"Match 50 Loser")),"Match 50 Loser"))</f>
        <v>Match 50 Loser</v>
      </c>
      <c r="AA81" s="380"/>
      <c r="AB81" s="380"/>
      <c r="AC81" s="380"/>
      <c r="AD81" s="380"/>
      <c r="AE81" s="380"/>
      <c r="AF81" s="376"/>
      <c r="AG81" s="377"/>
      <c r="AI81" s="122" t="str">
        <f t="shared" si="269"/>
        <v>SEMIFINALIST 2</v>
      </c>
      <c r="AJ81" s="380" t="str">
        <f ca="1">IF(KOGameRule=1,G81,IF(AND(AJ74&lt;&gt;"",AK74&lt;&gt;""),IF((AJ74+AM74)&gt;(AK74+AN74),AL74,IF((AJ74+AM74)&lt;(AK74+AN74),AI74,"Match 50 Loser")),"Match 50 Loser"))</f>
        <v>Scotland</v>
      </c>
      <c r="AK81" s="380"/>
      <c r="AL81" s="380"/>
      <c r="AM81" s="380"/>
      <c r="AN81" s="380"/>
      <c r="AO81" s="380"/>
      <c r="AP81" s="376"/>
      <c r="AQ81" s="377"/>
      <c r="AS81" s="122" t="str">
        <f t="shared" si="270"/>
        <v>SEMIFINALIST 2</v>
      </c>
      <c r="AT81" s="380" t="str">
        <f ca="1">IF(KOGameRule=1,G81,IF(AND(AT74&lt;&gt;"",AU74&lt;&gt;""),IF((AT74+AW74)&gt;(AU74+AX74),AV74,IF((AT74+AW74)&lt;(AU74+AX74),AS74,"Match 50 Loser")),"Match 50 Loser"))</f>
        <v>France</v>
      </c>
      <c r="AU81" s="380"/>
      <c r="AV81" s="380"/>
      <c r="AW81" s="380"/>
      <c r="AX81" s="380"/>
      <c r="AY81" s="380"/>
      <c r="AZ81" s="376"/>
      <c r="BA81" s="377"/>
      <c r="BC81" s="122" t="str">
        <f t="shared" si="271"/>
        <v>SEMIFINALIST 2</v>
      </c>
      <c r="BD81" s="380" t="str">
        <f ca="1">IF(KOGameRule=1,G81,IF(AND(BD74&lt;&gt;"",BE74&lt;&gt;""),IF((BD74+BG74)&gt;(BE74+BH74),BF74,IF((BD74+BG74)&lt;(BE74+BH74),BC74,"Match 50 Loser")),"Match 50 Loser"))</f>
        <v>England</v>
      </c>
      <c r="BE81" s="380"/>
      <c r="BF81" s="380"/>
      <c r="BG81" s="380"/>
      <c r="BH81" s="380"/>
      <c r="BI81" s="380"/>
      <c r="BJ81" s="376"/>
      <c r="BK81" s="377"/>
      <c r="BM81" s="122" t="str">
        <f t="shared" si="272"/>
        <v>SEMIFINALIST 2</v>
      </c>
      <c r="BN81" s="380" t="str">
        <f ca="1">IF(KOGameRule=1,G81,IF(AND(BN74&lt;&gt;"",BO74&lt;&gt;""),IF((BN74+BQ74)&gt;(BO74+BR74),BP74,IF((BN74+BQ74)&lt;(BO74+BR74),BM74,"Match 50 Loser")),"Match 50 Loser"))</f>
        <v>Belgium</v>
      </c>
      <c r="BO81" s="380"/>
      <c r="BP81" s="380"/>
      <c r="BQ81" s="380"/>
      <c r="BR81" s="380"/>
      <c r="BS81" s="380"/>
      <c r="BT81" s="376"/>
      <c r="BU81" s="377"/>
      <c r="BW81" s="122" t="str">
        <f t="shared" si="273"/>
        <v>SEMIFINALIST 2</v>
      </c>
      <c r="BX81" s="380" t="str">
        <f ca="1">IF(KOGameRule=1,G81,IF(AND(BX74&lt;&gt;"",BY74&lt;&gt;""),IF((BX74+CA74)&gt;(BY74+CB74),BZ74,IF((BX74+CA74)&lt;(BY74+CB74),BW74,"Match 50 Loser")),"Match 50 Loser"))</f>
        <v>France</v>
      </c>
      <c r="BY81" s="380"/>
      <c r="BZ81" s="380"/>
      <c r="CA81" s="380"/>
      <c r="CB81" s="380"/>
      <c r="CC81" s="380"/>
      <c r="CD81" s="376"/>
      <c r="CE81" s="377"/>
      <c r="CG81" s="122" t="str">
        <f t="shared" si="274"/>
        <v>SEMIFINALIST 2</v>
      </c>
      <c r="CH81" s="380" t="str">
        <f>IF(KOGameRule=1,G81,IF(AND(CH74&lt;&gt;"",CI74&lt;&gt;""),IF((CH74+CK74)&gt;(CI74+CL74),CJ74,IF((CH74+CK74)&lt;(CI74+CL74),CG74,"Match 50 Loser")),"Match 50 Loser"))</f>
        <v>Match 50 Loser</v>
      </c>
      <c r="CI81" s="380"/>
      <c r="CJ81" s="380"/>
      <c r="CK81" s="380"/>
      <c r="CL81" s="380"/>
      <c r="CM81" s="380"/>
      <c r="CN81" s="376"/>
      <c r="CO81" s="377"/>
      <c r="CQ81" s="122" t="str">
        <f t="shared" si="275"/>
        <v>SEMIFINALIST 2</v>
      </c>
      <c r="CR81" s="380" t="str">
        <f>IF(KOGameRule=1,G81,IF(AND(CR74&lt;&gt;"",CS74&lt;&gt;""),IF((CR74+CU74)&gt;(CS74+CV74),CT74,IF((CR74+CU74)&lt;(CS74+CV74),CQ74,"Match 50 Loser")),"Match 50 Loser"))</f>
        <v>Match 50 Loser</v>
      </c>
      <c r="CS81" s="380"/>
      <c r="CT81" s="380"/>
      <c r="CU81" s="380"/>
      <c r="CV81" s="380"/>
      <c r="CW81" s="380"/>
      <c r="CX81" s="376"/>
      <c r="CY81" s="377"/>
      <c r="DA81" s="122" t="str">
        <f t="shared" si="276"/>
        <v>SEMIFINALIST 2</v>
      </c>
      <c r="DB81" s="380" t="str">
        <f>IF(KOGameRule=1,G81,IF(AND(DB74&lt;&gt;"",DC74&lt;&gt;""),IF((DB74+DE74)&gt;(DC74+DF74),DD74,IF((DB74+DE74)&lt;(DC74+DF74),DA74,"Match 50 Loser")),"Match 50 Loser"))</f>
        <v>Match 50 Loser</v>
      </c>
      <c r="DC81" s="380"/>
      <c r="DD81" s="380"/>
      <c r="DE81" s="380"/>
      <c r="DF81" s="380"/>
      <c r="DG81" s="380"/>
      <c r="DH81" s="376"/>
      <c r="DI81" s="377"/>
    </row>
    <row r="82" spans="1:113" s="43" customFormat="1" ht="15" customHeight="1" x14ac:dyDescent="0.25">
      <c r="A82" s="41"/>
      <c r="B82" s="65"/>
      <c r="C82" s="66"/>
      <c r="D82" s="66"/>
      <c r="E82" s="66"/>
      <c r="F82" s="66"/>
      <c r="G82" s="66"/>
      <c r="H82" s="66"/>
      <c r="I82" s="66"/>
      <c r="J82" s="66"/>
      <c r="K82" s="66"/>
      <c r="L82" s="66"/>
      <c r="M82" s="89"/>
      <c r="V82" s="376"/>
      <c r="W82" s="377"/>
      <c r="AF82" s="376"/>
      <c r="AG82" s="377"/>
      <c r="AP82" s="376"/>
      <c r="AQ82" s="377"/>
      <c r="AZ82" s="376"/>
      <c r="BA82" s="377"/>
      <c r="BJ82" s="376"/>
      <c r="BK82" s="377"/>
      <c r="BT82" s="376"/>
      <c r="BU82" s="377"/>
      <c r="CD82" s="376"/>
      <c r="CE82" s="377"/>
      <c r="CN82" s="376"/>
      <c r="CO82" s="377"/>
      <c r="CX82" s="376"/>
      <c r="CY82" s="377"/>
      <c r="DH82" s="376"/>
      <c r="DI82" s="377"/>
    </row>
    <row r="83" spans="1:113" s="43" customFormat="1" ht="15" customHeight="1" x14ac:dyDescent="0.25">
      <c r="A83" s="41"/>
      <c r="B83" s="65"/>
      <c r="C83" s="66"/>
      <c r="D83" s="66"/>
      <c r="E83" s="66"/>
      <c r="F83" s="66"/>
      <c r="G83" s="66"/>
      <c r="H83" s="66"/>
      <c r="I83" s="66"/>
      <c r="J83" s="66"/>
      <c r="K83" s="66"/>
      <c r="L83" s="66"/>
      <c r="M83" s="89"/>
      <c r="O83" s="204" t="s">
        <v>124</v>
      </c>
      <c r="P83" s="44"/>
      <c r="Q83" s="44"/>
      <c r="R83" s="44"/>
      <c r="S83" s="402">
        <v>0</v>
      </c>
      <c r="T83" s="402"/>
      <c r="U83" s="403"/>
      <c r="V83" s="376"/>
      <c r="W83" s="377"/>
      <c r="Y83" s="204" t="s">
        <v>124</v>
      </c>
      <c r="Z83" s="44"/>
      <c r="AA83" s="44"/>
      <c r="AB83" s="44"/>
      <c r="AC83" s="402">
        <v>0</v>
      </c>
      <c r="AD83" s="402"/>
      <c r="AE83" s="403"/>
      <c r="AF83" s="376"/>
      <c r="AG83" s="377"/>
      <c r="AI83" s="204" t="s">
        <v>124</v>
      </c>
      <c r="AJ83" s="44"/>
      <c r="AK83" s="44"/>
      <c r="AL83" s="44"/>
      <c r="AM83" s="402">
        <v>0</v>
      </c>
      <c r="AN83" s="402"/>
      <c r="AO83" s="403"/>
      <c r="AP83" s="376"/>
      <c r="AQ83" s="377"/>
      <c r="AS83" s="204" t="s">
        <v>124</v>
      </c>
      <c r="AT83" s="44"/>
      <c r="AU83" s="44"/>
      <c r="AV83" s="44"/>
      <c r="AW83" s="402">
        <v>0</v>
      </c>
      <c r="AX83" s="402"/>
      <c r="AY83" s="403"/>
      <c r="AZ83" s="376"/>
      <c r="BA83" s="377"/>
      <c r="BC83" s="204" t="s">
        <v>124</v>
      </c>
      <c r="BD83" s="44"/>
      <c r="BE83" s="44"/>
      <c r="BF83" s="44"/>
      <c r="BG83" s="402">
        <v>0</v>
      </c>
      <c r="BH83" s="402"/>
      <c r="BI83" s="403"/>
      <c r="BJ83" s="376"/>
      <c r="BK83" s="377"/>
      <c r="BM83" s="204" t="s">
        <v>124</v>
      </c>
      <c r="BN83" s="44"/>
      <c r="BO83" s="44"/>
      <c r="BP83" s="44"/>
      <c r="BQ83" s="402">
        <v>0</v>
      </c>
      <c r="BR83" s="402"/>
      <c r="BS83" s="403"/>
      <c r="BT83" s="376"/>
      <c r="BU83" s="377"/>
      <c r="BW83" s="204" t="s">
        <v>124</v>
      </c>
      <c r="BX83" s="44"/>
      <c r="BY83" s="44"/>
      <c r="BZ83" s="44"/>
      <c r="CA83" s="402">
        <v>0</v>
      </c>
      <c r="CB83" s="402"/>
      <c r="CC83" s="403"/>
      <c r="CD83" s="376"/>
      <c r="CE83" s="377"/>
      <c r="CG83" s="204" t="s">
        <v>124</v>
      </c>
      <c r="CH83" s="44"/>
      <c r="CI83" s="44"/>
      <c r="CJ83" s="44"/>
      <c r="CK83" s="402">
        <v>0</v>
      </c>
      <c r="CL83" s="402"/>
      <c r="CM83" s="403"/>
      <c r="CN83" s="376"/>
      <c r="CO83" s="377"/>
      <c r="CQ83" s="204" t="s">
        <v>124</v>
      </c>
      <c r="CR83" s="44"/>
      <c r="CS83" s="44"/>
      <c r="CT83" s="44"/>
      <c r="CU83" s="402">
        <v>0</v>
      </c>
      <c r="CV83" s="402"/>
      <c r="CW83" s="403"/>
      <c r="CX83" s="376"/>
      <c r="CY83" s="377"/>
      <c r="DA83" s="204" t="s">
        <v>124</v>
      </c>
      <c r="DB83" s="44"/>
      <c r="DC83" s="44"/>
      <c r="DD83" s="44"/>
      <c r="DE83" s="402">
        <v>0</v>
      </c>
      <c r="DF83" s="402"/>
      <c r="DG83" s="403"/>
      <c r="DH83" s="376"/>
      <c r="DI83" s="377"/>
    </row>
    <row r="84" spans="1:113" s="43" customFormat="1" ht="15" customHeight="1" x14ac:dyDescent="0.25">
      <c r="A84" s="41"/>
      <c r="B84" s="65"/>
      <c r="C84" s="66"/>
      <c r="D84" s="66"/>
      <c r="E84" s="66"/>
      <c r="F84" s="66"/>
      <c r="G84" s="66"/>
      <c r="H84" s="66"/>
      <c r="I84" s="66"/>
      <c r="J84" s="66"/>
      <c r="K84" s="66"/>
      <c r="L84" s="66"/>
      <c r="M84" s="89"/>
      <c r="O84" s="204" t="s">
        <v>125</v>
      </c>
      <c r="P84" s="44"/>
      <c r="Q84" s="44"/>
      <c r="R84" s="44"/>
      <c r="S84" s="402">
        <v>0</v>
      </c>
      <c r="T84" s="402"/>
      <c r="U84" s="403"/>
      <c r="V84" s="376"/>
      <c r="W84" s="377"/>
      <c r="Y84" s="204" t="s">
        <v>125</v>
      </c>
      <c r="Z84" s="44"/>
      <c r="AA84" s="44"/>
      <c r="AB84" s="44"/>
      <c r="AC84" s="402">
        <v>0</v>
      </c>
      <c r="AD84" s="402"/>
      <c r="AE84" s="403"/>
      <c r="AF84" s="376"/>
      <c r="AG84" s="377"/>
      <c r="AI84" s="204" t="s">
        <v>125</v>
      </c>
      <c r="AJ84" s="44"/>
      <c r="AK84" s="44"/>
      <c r="AL84" s="44"/>
      <c r="AM84" s="402">
        <v>0</v>
      </c>
      <c r="AN84" s="402"/>
      <c r="AO84" s="403"/>
      <c r="AP84" s="376"/>
      <c r="AQ84" s="377"/>
      <c r="AS84" s="204" t="s">
        <v>125</v>
      </c>
      <c r="AT84" s="44"/>
      <c r="AU84" s="44"/>
      <c r="AV84" s="44"/>
      <c r="AW84" s="402">
        <v>0</v>
      </c>
      <c r="AX84" s="402"/>
      <c r="AY84" s="403"/>
      <c r="AZ84" s="376"/>
      <c r="BA84" s="377"/>
      <c r="BC84" s="204" t="s">
        <v>125</v>
      </c>
      <c r="BD84" s="44"/>
      <c r="BE84" s="44"/>
      <c r="BF84" s="44"/>
      <c r="BG84" s="402">
        <v>0</v>
      </c>
      <c r="BH84" s="402"/>
      <c r="BI84" s="403"/>
      <c r="BJ84" s="376"/>
      <c r="BK84" s="377"/>
      <c r="BM84" s="204" t="s">
        <v>125</v>
      </c>
      <c r="BN84" s="44"/>
      <c r="BO84" s="44"/>
      <c r="BP84" s="44"/>
      <c r="BQ84" s="402">
        <v>0</v>
      </c>
      <c r="BR84" s="402"/>
      <c r="BS84" s="403"/>
      <c r="BT84" s="376"/>
      <c r="BU84" s="377"/>
      <c r="BW84" s="204" t="s">
        <v>125</v>
      </c>
      <c r="BX84" s="44"/>
      <c r="BY84" s="44"/>
      <c r="BZ84" s="44"/>
      <c r="CA84" s="402">
        <v>0</v>
      </c>
      <c r="CB84" s="402"/>
      <c r="CC84" s="403"/>
      <c r="CD84" s="376"/>
      <c r="CE84" s="377"/>
      <c r="CG84" s="204" t="s">
        <v>125</v>
      </c>
      <c r="CH84" s="44"/>
      <c r="CI84" s="44"/>
      <c r="CJ84" s="44"/>
      <c r="CK84" s="402">
        <v>0</v>
      </c>
      <c r="CL84" s="402"/>
      <c r="CM84" s="403"/>
      <c r="CN84" s="376"/>
      <c r="CO84" s="377"/>
      <c r="CQ84" s="204" t="s">
        <v>125</v>
      </c>
      <c r="CR84" s="44"/>
      <c r="CS84" s="44"/>
      <c r="CT84" s="44"/>
      <c r="CU84" s="402">
        <v>0</v>
      </c>
      <c r="CV84" s="402"/>
      <c r="CW84" s="403"/>
      <c r="CX84" s="376"/>
      <c r="CY84" s="377"/>
      <c r="DA84" s="204" t="s">
        <v>125</v>
      </c>
      <c r="DB84" s="44"/>
      <c r="DC84" s="44"/>
      <c r="DD84" s="44"/>
      <c r="DE84" s="402">
        <v>0</v>
      </c>
      <c r="DF84" s="402"/>
      <c r="DG84" s="403"/>
      <c r="DH84" s="376"/>
      <c r="DI84" s="377"/>
    </row>
    <row r="85" spans="1:113" s="43" customFormat="1" ht="15" customHeight="1" x14ac:dyDescent="0.25">
      <c r="A85" s="41"/>
      <c r="B85" s="65"/>
      <c r="C85" s="66"/>
      <c r="D85" s="66"/>
      <c r="E85" s="66"/>
      <c r="F85" s="66"/>
      <c r="G85" s="66"/>
      <c r="H85" s="66"/>
      <c r="I85" s="66"/>
      <c r="J85" s="66"/>
      <c r="K85" s="66"/>
      <c r="L85" s="66"/>
      <c r="M85" s="89"/>
      <c r="O85" s="204" t="s">
        <v>126</v>
      </c>
      <c r="P85" s="44"/>
      <c r="Q85" s="44"/>
      <c r="R85" s="44"/>
      <c r="S85" s="402">
        <v>0</v>
      </c>
      <c r="T85" s="402"/>
      <c r="U85" s="403"/>
      <c r="V85" s="376"/>
      <c r="W85" s="377"/>
      <c r="Y85" s="204" t="s">
        <v>126</v>
      </c>
      <c r="Z85" s="44"/>
      <c r="AA85" s="44"/>
      <c r="AB85" s="44"/>
      <c r="AC85" s="402">
        <v>0</v>
      </c>
      <c r="AD85" s="402"/>
      <c r="AE85" s="403"/>
      <c r="AF85" s="376"/>
      <c r="AG85" s="377"/>
      <c r="AI85" s="204" t="s">
        <v>126</v>
      </c>
      <c r="AJ85" s="44"/>
      <c r="AK85" s="44"/>
      <c r="AL85" s="44"/>
      <c r="AM85" s="402">
        <v>0</v>
      </c>
      <c r="AN85" s="402"/>
      <c r="AO85" s="403"/>
      <c r="AP85" s="376"/>
      <c r="AQ85" s="377"/>
      <c r="AS85" s="204" t="s">
        <v>126</v>
      </c>
      <c r="AT85" s="44"/>
      <c r="AU85" s="44"/>
      <c r="AV85" s="44"/>
      <c r="AW85" s="402">
        <v>0</v>
      </c>
      <c r="AX85" s="402"/>
      <c r="AY85" s="403"/>
      <c r="AZ85" s="376"/>
      <c r="BA85" s="377"/>
      <c r="BC85" s="204" t="s">
        <v>126</v>
      </c>
      <c r="BD85" s="44"/>
      <c r="BE85" s="44"/>
      <c r="BF85" s="44"/>
      <c r="BG85" s="402">
        <v>0</v>
      </c>
      <c r="BH85" s="402"/>
      <c r="BI85" s="403"/>
      <c r="BJ85" s="376"/>
      <c r="BK85" s="377"/>
      <c r="BM85" s="204" t="s">
        <v>126</v>
      </c>
      <c r="BN85" s="44"/>
      <c r="BO85" s="44"/>
      <c r="BP85" s="44"/>
      <c r="BQ85" s="402">
        <v>0</v>
      </c>
      <c r="BR85" s="402"/>
      <c r="BS85" s="403"/>
      <c r="BT85" s="376"/>
      <c r="BU85" s="377"/>
      <c r="BW85" s="204" t="s">
        <v>126</v>
      </c>
      <c r="BX85" s="44"/>
      <c r="BY85" s="44"/>
      <c r="BZ85" s="44"/>
      <c r="CA85" s="402">
        <v>0</v>
      </c>
      <c r="CB85" s="402"/>
      <c r="CC85" s="403"/>
      <c r="CD85" s="376"/>
      <c r="CE85" s="377"/>
      <c r="CG85" s="204" t="s">
        <v>126</v>
      </c>
      <c r="CH85" s="44"/>
      <c r="CI85" s="44"/>
      <c r="CJ85" s="44"/>
      <c r="CK85" s="402">
        <v>0</v>
      </c>
      <c r="CL85" s="402"/>
      <c r="CM85" s="403"/>
      <c r="CN85" s="376"/>
      <c r="CO85" s="377"/>
      <c r="CQ85" s="204" t="s">
        <v>126</v>
      </c>
      <c r="CR85" s="44"/>
      <c r="CS85" s="44"/>
      <c r="CT85" s="44"/>
      <c r="CU85" s="402">
        <v>0</v>
      </c>
      <c r="CV85" s="402"/>
      <c r="CW85" s="403"/>
      <c r="CX85" s="376"/>
      <c r="CY85" s="377"/>
      <c r="DA85" s="204" t="s">
        <v>126</v>
      </c>
      <c r="DB85" s="44"/>
      <c r="DC85" s="44"/>
      <c r="DD85" s="44"/>
      <c r="DE85" s="402">
        <v>0</v>
      </c>
      <c r="DF85" s="402"/>
      <c r="DG85" s="403"/>
      <c r="DH85" s="376"/>
      <c r="DI85" s="377"/>
    </row>
    <row r="86" spans="1:113" s="43" customFormat="1" ht="15" customHeight="1" x14ac:dyDescent="0.25">
      <c r="A86" s="41"/>
      <c r="B86" s="65"/>
      <c r="C86" s="66"/>
      <c r="D86" s="66"/>
      <c r="E86" s="66"/>
      <c r="F86" s="66"/>
      <c r="G86" s="66"/>
      <c r="H86" s="66"/>
      <c r="I86" s="66"/>
      <c r="J86" s="66"/>
      <c r="K86" s="66"/>
      <c r="L86" s="66"/>
      <c r="M86" s="89"/>
      <c r="V86" s="376"/>
      <c r="W86" s="377"/>
      <c r="AF86" s="376"/>
      <c r="AG86" s="377"/>
      <c r="AP86" s="376"/>
      <c r="AQ86" s="377"/>
      <c r="AZ86" s="376"/>
      <c r="BA86" s="377"/>
      <c r="BJ86" s="376"/>
      <c r="BK86" s="377"/>
      <c r="BT86" s="376"/>
      <c r="BU86" s="377"/>
      <c r="CD86" s="376"/>
      <c r="CE86" s="377"/>
      <c r="CN86" s="376"/>
      <c r="CO86" s="377"/>
      <c r="CX86" s="376"/>
      <c r="CY86" s="377"/>
      <c r="DH86" s="376"/>
      <c r="DI86" s="377"/>
    </row>
    <row r="87" spans="1:113" s="43" customFormat="1" ht="15" customHeight="1" x14ac:dyDescent="0.25">
      <c r="A87" s="41"/>
      <c r="B87" s="65"/>
      <c r="C87" s="407" t="s">
        <v>127</v>
      </c>
      <c r="D87" s="408"/>
      <c r="E87" s="408"/>
      <c r="F87" s="408"/>
      <c r="G87" s="409"/>
      <c r="H87" s="409"/>
      <c r="I87" s="409"/>
      <c r="J87" s="409"/>
      <c r="K87" s="409"/>
      <c r="L87" s="410"/>
      <c r="M87" s="89"/>
      <c r="N87" s="41"/>
      <c r="O87" s="122" t="str">
        <f t="shared" ref="O87:O88" si="279">C87</f>
        <v>BEST PLAYER</v>
      </c>
      <c r="P87" s="366"/>
      <c r="Q87" s="366"/>
      <c r="R87" s="366"/>
      <c r="S87" s="366"/>
      <c r="T87" s="366"/>
      <c r="U87" s="367"/>
      <c r="V87" s="376"/>
      <c r="W87" s="377"/>
      <c r="X87" s="41"/>
      <c r="Y87" s="122" t="str">
        <f>O87</f>
        <v>BEST PLAYER</v>
      </c>
      <c r="Z87" s="366"/>
      <c r="AA87" s="366"/>
      <c r="AB87" s="366"/>
      <c r="AC87" s="366"/>
      <c r="AD87" s="366"/>
      <c r="AE87" s="367"/>
      <c r="AF87" s="376"/>
      <c r="AG87" s="377"/>
      <c r="AH87" s="41"/>
      <c r="AI87" s="122" t="str">
        <f t="shared" ref="AI87:AI88" si="280">Y87</f>
        <v>BEST PLAYER</v>
      </c>
      <c r="AJ87" s="366"/>
      <c r="AK87" s="366"/>
      <c r="AL87" s="366"/>
      <c r="AM87" s="366"/>
      <c r="AN87" s="366"/>
      <c r="AO87" s="367"/>
      <c r="AP87" s="376"/>
      <c r="AQ87" s="377"/>
      <c r="AR87" s="41"/>
      <c r="AS87" s="122" t="str">
        <f t="shared" ref="AS87:AS88" si="281">AI87</f>
        <v>BEST PLAYER</v>
      </c>
      <c r="AT87" s="366"/>
      <c r="AU87" s="366"/>
      <c r="AV87" s="366"/>
      <c r="AW87" s="366"/>
      <c r="AX87" s="366"/>
      <c r="AY87" s="367"/>
      <c r="AZ87" s="376"/>
      <c r="BA87" s="377"/>
      <c r="BB87" s="41"/>
      <c r="BC87" s="122" t="str">
        <f t="shared" ref="BC87:BC88" si="282">AS87</f>
        <v>BEST PLAYER</v>
      </c>
      <c r="BD87" s="366"/>
      <c r="BE87" s="366"/>
      <c r="BF87" s="366"/>
      <c r="BG87" s="366"/>
      <c r="BH87" s="366"/>
      <c r="BI87" s="367"/>
      <c r="BJ87" s="376"/>
      <c r="BK87" s="377"/>
      <c r="BL87" s="41"/>
      <c r="BM87" s="122" t="str">
        <f t="shared" ref="BM87:BM88" si="283">BC87</f>
        <v>BEST PLAYER</v>
      </c>
      <c r="BN87" s="366"/>
      <c r="BO87" s="366"/>
      <c r="BP87" s="366"/>
      <c r="BQ87" s="366"/>
      <c r="BR87" s="366"/>
      <c r="BS87" s="367"/>
      <c r="BT87" s="376"/>
      <c r="BU87" s="377"/>
      <c r="BV87" s="41"/>
      <c r="BW87" s="122" t="str">
        <f t="shared" ref="BW87:BW88" si="284">BM87</f>
        <v>BEST PLAYER</v>
      </c>
      <c r="BX87" s="366"/>
      <c r="BY87" s="366"/>
      <c r="BZ87" s="366"/>
      <c r="CA87" s="366"/>
      <c r="CB87" s="366"/>
      <c r="CC87" s="367"/>
      <c r="CD87" s="376"/>
      <c r="CE87" s="377"/>
      <c r="CF87" s="41"/>
      <c r="CG87" s="122" t="str">
        <f t="shared" ref="CG87:CG88" si="285">BW87</f>
        <v>BEST PLAYER</v>
      </c>
      <c r="CH87" s="366"/>
      <c r="CI87" s="366"/>
      <c r="CJ87" s="366"/>
      <c r="CK87" s="366"/>
      <c r="CL87" s="366"/>
      <c r="CM87" s="367"/>
      <c r="CN87" s="376"/>
      <c r="CO87" s="377"/>
      <c r="CP87" s="41"/>
      <c r="CQ87" s="122" t="str">
        <f t="shared" ref="CQ87:CQ88" si="286">CG87</f>
        <v>BEST PLAYER</v>
      </c>
      <c r="CR87" s="366"/>
      <c r="CS87" s="366"/>
      <c r="CT87" s="366"/>
      <c r="CU87" s="366"/>
      <c r="CV87" s="366"/>
      <c r="CW87" s="367"/>
      <c r="CX87" s="376"/>
      <c r="CY87" s="377"/>
      <c r="CZ87" s="41"/>
      <c r="DA87" s="122" t="str">
        <f t="shared" ref="DA87:DA88" si="287">CQ87</f>
        <v>BEST PLAYER</v>
      </c>
      <c r="DB87" s="366"/>
      <c r="DC87" s="366"/>
      <c r="DD87" s="366"/>
      <c r="DE87" s="366"/>
      <c r="DF87" s="366"/>
      <c r="DG87" s="367"/>
      <c r="DH87" s="376"/>
      <c r="DI87" s="377"/>
    </row>
    <row r="88" spans="1:113" s="43" customFormat="1" ht="15" customHeight="1" x14ac:dyDescent="0.25">
      <c r="A88" s="41"/>
      <c r="B88" s="65"/>
      <c r="C88" s="392" t="s">
        <v>128</v>
      </c>
      <c r="D88" s="393"/>
      <c r="E88" s="393"/>
      <c r="F88" s="393"/>
      <c r="G88" s="387"/>
      <c r="H88" s="387"/>
      <c r="I88" s="387"/>
      <c r="J88" s="387"/>
      <c r="K88" s="387"/>
      <c r="L88" s="388"/>
      <c r="M88" s="89"/>
      <c r="N88" s="41"/>
      <c r="O88" s="122" t="str">
        <f t="shared" si="279"/>
        <v>TOP SCORER</v>
      </c>
      <c r="P88" s="366"/>
      <c r="Q88" s="366"/>
      <c r="R88" s="366"/>
      <c r="S88" s="366"/>
      <c r="T88" s="366"/>
      <c r="U88" s="367"/>
      <c r="V88" s="378"/>
      <c r="W88" s="379"/>
      <c r="X88" s="41"/>
      <c r="Y88" s="122" t="str">
        <f>O88</f>
        <v>TOP SCORER</v>
      </c>
      <c r="Z88" s="366"/>
      <c r="AA88" s="366"/>
      <c r="AB88" s="366"/>
      <c r="AC88" s="366"/>
      <c r="AD88" s="366"/>
      <c r="AE88" s="367"/>
      <c r="AF88" s="378"/>
      <c r="AG88" s="379"/>
      <c r="AH88" s="41"/>
      <c r="AI88" s="122" t="str">
        <f t="shared" si="280"/>
        <v>TOP SCORER</v>
      </c>
      <c r="AJ88" s="366"/>
      <c r="AK88" s="366"/>
      <c r="AL88" s="366"/>
      <c r="AM88" s="366"/>
      <c r="AN88" s="366"/>
      <c r="AO88" s="367"/>
      <c r="AP88" s="378"/>
      <c r="AQ88" s="379"/>
      <c r="AR88" s="41"/>
      <c r="AS88" s="122" t="str">
        <f t="shared" si="281"/>
        <v>TOP SCORER</v>
      </c>
      <c r="AT88" s="366"/>
      <c r="AU88" s="366"/>
      <c r="AV88" s="366"/>
      <c r="AW88" s="366"/>
      <c r="AX88" s="366"/>
      <c r="AY88" s="367"/>
      <c r="AZ88" s="378"/>
      <c r="BA88" s="379"/>
      <c r="BB88" s="41"/>
      <c r="BC88" s="122" t="str">
        <f t="shared" si="282"/>
        <v>TOP SCORER</v>
      </c>
      <c r="BD88" s="366"/>
      <c r="BE88" s="366"/>
      <c r="BF88" s="366"/>
      <c r="BG88" s="366"/>
      <c r="BH88" s="366"/>
      <c r="BI88" s="367"/>
      <c r="BJ88" s="378"/>
      <c r="BK88" s="379"/>
      <c r="BL88" s="41"/>
      <c r="BM88" s="122" t="str">
        <f t="shared" si="283"/>
        <v>TOP SCORER</v>
      </c>
      <c r="BN88" s="366"/>
      <c r="BO88" s="366"/>
      <c r="BP88" s="366"/>
      <c r="BQ88" s="366"/>
      <c r="BR88" s="366"/>
      <c r="BS88" s="367"/>
      <c r="BT88" s="378"/>
      <c r="BU88" s="379"/>
      <c r="BV88" s="41"/>
      <c r="BW88" s="122" t="str">
        <f t="shared" si="284"/>
        <v>TOP SCORER</v>
      </c>
      <c r="BX88" s="366"/>
      <c r="BY88" s="366"/>
      <c r="BZ88" s="366"/>
      <c r="CA88" s="366"/>
      <c r="CB88" s="366"/>
      <c r="CC88" s="367"/>
      <c r="CD88" s="378"/>
      <c r="CE88" s="379"/>
      <c r="CF88" s="41"/>
      <c r="CG88" s="122" t="str">
        <f t="shared" si="285"/>
        <v>TOP SCORER</v>
      </c>
      <c r="CH88" s="366"/>
      <c r="CI88" s="366"/>
      <c r="CJ88" s="366"/>
      <c r="CK88" s="366"/>
      <c r="CL88" s="366"/>
      <c r="CM88" s="367"/>
      <c r="CN88" s="378"/>
      <c r="CO88" s="379"/>
      <c r="CP88" s="41"/>
      <c r="CQ88" s="122" t="str">
        <f t="shared" si="286"/>
        <v>TOP SCORER</v>
      </c>
      <c r="CR88" s="366"/>
      <c r="CS88" s="366"/>
      <c r="CT88" s="366"/>
      <c r="CU88" s="366"/>
      <c r="CV88" s="366"/>
      <c r="CW88" s="367"/>
      <c r="CX88" s="378"/>
      <c r="CY88" s="379"/>
      <c r="CZ88" s="41"/>
      <c r="DA88" s="122" t="str">
        <f t="shared" si="287"/>
        <v>TOP SCORER</v>
      </c>
      <c r="DB88" s="366"/>
      <c r="DC88" s="366"/>
      <c r="DD88" s="366"/>
      <c r="DE88" s="366"/>
      <c r="DF88" s="366"/>
      <c r="DG88" s="367"/>
      <c r="DH88" s="378"/>
      <c r="DI88" s="379"/>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129</v>
      </c>
      <c r="N91" s="84" t="s">
        <v>130</v>
      </c>
      <c r="W91" s="41"/>
      <c r="AG91" s="41"/>
      <c r="AQ91" s="41"/>
      <c r="BA91" s="41"/>
      <c r="BK91" s="41"/>
      <c r="BU91" s="41"/>
      <c r="CE91" s="41"/>
      <c r="CO91" s="41"/>
      <c r="CY91" s="41"/>
      <c r="DI91" s="41"/>
    </row>
    <row r="92" spans="1:113" s="43" customFormat="1" ht="15" customHeight="1" x14ac:dyDescent="0.25">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5">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131</v>
      </c>
      <c r="C94" s="43" t="s">
        <v>136</v>
      </c>
      <c r="N94" s="199" t="s">
        <v>131</v>
      </c>
      <c r="O94" s="405" t="s">
        <v>137</v>
      </c>
      <c r="P94" s="405"/>
      <c r="Q94" s="405"/>
      <c r="R94" s="405"/>
      <c r="S94" s="405"/>
      <c r="T94" s="405"/>
      <c r="U94" s="405"/>
      <c r="V94" s="405"/>
      <c r="W94" s="405"/>
      <c r="AG94" s="41"/>
      <c r="AQ94" s="41"/>
      <c r="BA94" s="41"/>
      <c r="BK94" s="41"/>
      <c r="BU94" s="41"/>
      <c r="CE94" s="41"/>
      <c r="CO94" s="41"/>
      <c r="CY94" s="41"/>
      <c r="DI94" s="41"/>
    </row>
    <row r="95" spans="1:113" s="43" customFormat="1" ht="15" customHeight="1" x14ac:dyDescent="0.25">
      <c r="A95" s="41"/>
      <c r="C95" s="198"/>
      <c r="O95" s="405"/>
      <c r="P95" s="405"/>
      <c r="Q95" s="405"/>
      <c r="R95" s="405"/>
      <c r="S95" s="405"/>
      <c r="T95" s="405"/>
      <c r="U95" s="405"/>
      <c r="V95" s="405"/>
      <c r="W95" s="405"/>
      <c r="AG95" s="41"/>
      <c r="AQ95" s="41"/>
      <c r="BA95" s="41"/>
      <c r="BK95" s="41"/>
      <c r="BU95" s="41"/>
      <c r="CE95" s="41"/>
      <c r="CO95" s="41"/>
      <c r="CY95" s="41"/>
      <c r="DI95" s="41"/>
    </row>
    <row r="96" spans="1:113" s="43" customFormat="1" ht="15" customHeight="1" x14ac:dyDescent="0.25">
      <c r="A96" s="41"/>
      <c r="N96" s="199" t="s">
        <v>131</v>
      </c>
      <c r="O96" s="43" t="s">
        <v>138</v>
      </c>
      <c r="W96" s="41"/>
      <c r="AG96" s="41"/>
      <c r="AQ96" s="41"/>
      <c r="BA96" s="41"/>
      <c r="BK96" s="41"/>
      <c r="BU96" s="41"/>
      <c r="CE96" s="41"/>
      <c r="CO96" s="41"/>
      <c r="CY96" s="41"/>
      <c r="DI96" s="41"/>
    </row>
    <row r="97" spans="1:113" s="43" customFormat="1" ht="15" customHeight="1" x14ac:dyDescent="0.25">
      <c r="A97" s="41"/>
      <c r="B97" s="199" t="s">
        <v>131</v>
      </c>
      <c r="C97" s="404" t="s">
        <v>139</v>
      </c>
      <c r="D97" s="404"/>
      <c r="E97" s="404"/>
      <c r="F97" s="404"/>
      <c r="G97" s="404"/>
      <c r="H97" s="404"/>
      <c r="I97" s="404"/>
      <c r="J97" s="404"/>
      <c r="K97" s="404"/>
      <c r="L97" s="404"/>
      <c r="N97" s="199" t="s">
        <v>131</v>
      </c>
      <c r="O97" s="43" t="s">
        <v>140</v>
      </c>
      <c r="W97" s="41"/>
      <c r="AG97" s="41"/>
      <c r="AQ97" s="41"/>
      <c r="BA97" s="41"/>
      <c r="BK97" s="41"/>
      <c r="BU97" s="41"/>
      <c r="CE97" s="41"/>
      <c r="CO97" s="41"/>
      <c r="CY97" s="41"/>
      <c r="DI97" s="41"/>
    </row>
    <row r="98" spans="1:113" s="43" customFormat="1" ht="15" customHeight="1" x14ac:dyDescent="0.25">
      <c r="A98" s="41"/>
      <c r="C98" s="404"/>
      <c r="D98" s="404"/>
      <c r="E98" s="404"/>
      <c r="F98" s="404"/>
      <c r="G98" s="404"/>
      <c r="H98" s="404"/>
      <c r="I98" s="404"/>
      <c r="J98" s="404"/>
      <c r="K98" s="404"/>
      <c r="L98" s="404"/>
      <c r="N98" s="204" t="s">
        <v>141</v>
      </c>
      <c r="O98" s="44"/>
      <c r="P98" s="44"/>
      <c r="Q98" s="44"/>
      <c r="R98" s="44"/>
      <c r="W98" s="41"/>
      <c r="AG98" s="41"/>
      <c r="AQ98" s="41"/>
      <c r="BA98" s="41"/>
      <c r="BK98" s="41"/>
      <c r="BU98" s="41"/>
      <c r="CE98" s="41"/>
      <c r="CO98" s="41"/>
      <c r="CY98" s="41"/>
      <c r="DI98" s="41"/>
    </row>
    <row r="99" spans="1:113" s="43" customFormat="1" ht="15" customHeight="1" x14ac:dyDescent="0.25">
      <c r="A99" s="41"/>
      <c r="N99" s="199" t="s">
        <v>131</v>
      </c>
      <c r="O99" s="43" t="s">
        <v>142</v>
      </c>
      <c r="W99" s="41"/>
      <c r="AG99" s="41"/>
      <c r="AQ99" s="41"/>
      <c r="BA99" s="41"/>
      <c r="BK99" s="41"/>
      <c r="BU99" s="41"/>
      <c r="CE99" s="41"/>
      <c r="CO99" s="41"/>
      <c r="CY99" s="41"/>
      <c r="DI99" s="41"/>
    </row>
    <row r="100" spans="1:113" s="43" customFormat="1" ht="15" customHeight="1" x14ac:dyDescent="0.25">
      <c r="A100" s="41"/>
      <c r="N100" s="199" t="s">
        <v>131</v>
      </c>
      <c r="O100" s="405" t="s">
        <v>143</v>
      </c>
      <c r="P100" s="405"/>
      <c r="Q100" s="405"/>
      <c r="R100" s="405"/>
      <c r="S100" s="405"/>
      <c r="T100" s="405"/>
      <c r="U100" s="405"/>
      <c r="V100" s="405"/>
      <c r="W100" s="405"/>
      <c r="AG100" s="41"/>
      <c r="AQ100" s="41"/>
      <c r="BA100" s="41"/>
      <c r="BK100" s="41"/>
      <c r="BU100" s="41"/>
      <c r="CE100" s="41"/>
      <c r="CO100" s="41"/>
      <c r="CY100" s="41"/>
      <c r="DI100" s="41"/>
    </row>
    <row r="101" spans="1:113" s="43" customFormat="1" ht="15" customHeight="1" x14ac:dyDescent="0.25">
      <c r="A101" s="41"/>
      <c r="O101" s="405"/>
      <c r="P101" s="405"/>
      <c r="Q101" s="405"/>
      <c r="R101" s="405"/>
      <c r="S101" s="405"/>
      <c r="T101" s="405"/>
      <c r="U101" s="405"/>
      <c r="V101" s="405"/>
      <c r="W101" s="405"/>
      <c r="AG101" s="41"/>
      <c r="AQ101" s="41"/>
      <c r="BA101" s="41"/>
      <c r="BK101" s="41"/>
      <c r="BU101" s="41"/>
      <c r="CE101" s="41"/>
      <c r="CO101" s="41"/>
      <c r="CY101" s="41"/>
      <c r="DI101" s="41"/>
    </row>
    <row r="102" spans="1:113" s="43" customFormat="1" ht="15" customHeight="1" x14ac:dyDescent="0.25">
      <c r="A102" s="41"/>
      <c r="N102" s="199" t="s">
        <v>131</v>
      </c>
      <c r="O102" s="43" t="s">
        <v>144</v>
      </c>
      <c r="W102" s="41"/>
      <c r="AG102" s="41"/>
      <c r="AQ102" s="41"/>
      <c r="BA102" s="41"/>
      <c r="BK102" s="41"/>
      <c r="BU102" s="41"/>
      <c r="CE102" s="41"/>
      <c r="CO102" s="41"/>
      <c r="CY102" s="41"/>
      <c r="DI102" s="41"/>
    </row>
    <row r="103" spans="1:113" s="43" customFormat="1" ht="15" customHeight="1" x14ac:dyDescent="0.25">
      <c r="A103" s="41"/>
      <c r="N103" s="199" t="s">
        <v>131</v>
      </c>
      <c r="O103" s="43" t="s">
        <v>145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146</v>
      </c>
      <c r="N105" s="201" t="s">
        <v>146</v>
      </c>
      <c r="W105" s="41"/>
      <c r="AG105" s="41"/>
      <c r="AQ105" s="41"/>
      <c r="BA105" s="41"/>
      <c r="BK105" s="41"/>
      <c r="BU105" s="41"/>
      <c r="CE105" s="41"/>
      <c r="CO105" s="41"/>
      <c r="CY105" s="41"/>
      <c r="DI105" s="41"/>
    </row>
    <row r="106" spans="1:113" s="43" customFormat="1" ht="15" customHeight="1" x14ac:dyDescent="0.25">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5">
      <c r="A107" s="41"/>
      <c r="N107" s="170" t="s">
        <v>149</v>
      </c>
      <c r="O107" s="43" t="s">
        <v>150</v>
      </c>
      <c r="W107" s="41"/>
      <c r="AG107" s="41"/>
      <c r="AQ107" s="41"/>
      <c r="BA107" s="41"/>
      <c r="BK107" s="41"/>
      <c r="BU107" s="41"/>
      <c r="CE107" s="41"/>
      <c r="CO107" s="41"/>
      <c r="CY107" s="41"/>
      <c r="DI107" s="41"/>
    </row>
    <row r="108" spans="1:113" s="43" customFormat="1" ht="15" customHeight="1" x14ac:dyDescent="0.25">
      <c r="A108" s="41"/>
      <c r="N108" s="203" t="s">
        <v>149</v>
      </c>
      <c r="O108" s="43" t="s">
        <v>151</v>
      </c>
      <c r="W108" s="41"/>
      <c r="AG108" s="41"/>
      <c r="AQ108" s="41"/>
      <c r="BA108" s="41"/>
      <c r="BK108" s="41"/>
      <c r="BU108" s="41"/>
      <c r="CE108" s="41"/>
      <c r="CO108" s="41"/>
      <c r="CY108" s="41"/>
      <c r="DI108" s="41"/>
    </row>
    <row r="109" spans="1:113" s="43" customFormat="1" ht="15" customHeight="1" x14ac:dyDescent="0.25">
      <c r="A109" s="41"/>
      <c r="N109" s="170" t="s">
        <v>152</v>
      </c>
      <c r="O109" s="43" t="s">
        <v>153</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154</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160</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160</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160</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160</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 customHeight="1" x14ac:dyDescent="0.3">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1</v>
      </c>
      <c r="U12" s="307">
        <f>VLOOKUP(P12,'Dummy Table'!B4:C40,2,FALSE)</f>
        <v>1</v>
      </c>
      <c r="V12" s="307">
        <f>VLOOKUP(P12,'Dummy Table'!B4:D40,3,FALSE)</f>
        <v>0</v>
      </c>
      <c r="W12" s="307">
        <f>VLOOKUP(P12,'Dummy Table'!B4:E40,4,FALSE)</f>
        <v>0</v>
      </c>
      <c r="X12" s="307">
        <f>VLOOKUP(P12,'Dummy Table'!B4:F40,5,FALSE)</f>
        <v>3</v>
      </c>
      <c r="Y12" s="307" t="s">
        <v>160</v>
      </c>
      <c r="Z12" s="307">
        <f>VLOOKUP(P12,'Dummy Table'!B4:G40,6,FALSE)</f>
        <v>0</v>
      </c>
      <c r="AA12" s="307">
        <f>X12-Z12</f>
        <v>3</v>
      </c>
      <c r="AB12" s="307">
        <f>U12*3+V12*1</f>
        <v>3</v>
      </c>
      <c r="AE12" s="302"/>
      <c r="AH12" s="314" t="str">
        <f>Matches!G10</f>
        <v>Spain</v>
      </c>
      <c r="CY12" s="302"/>
    </row>
    <row r="13" spans="1:103" s="300" customFormat="1" ht="14.4" customHeight="1" x14ac:dyDescent="0.3">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1</v>
      </c>
      <c r="U13" s="307">
        <f>VLOOKUP(P13,'Dummy Table'!B4:C40,2,FALSE)</f>
        <v>1</v>
      </c>
      <c r="V13" s="307">
        <f>VLOOKUP(P13,'Dummy Table'!B4:D40,3,FALSE)</f>
        <v>0</v>
      </c>
      <c r="W13" s="307">
        <f>VLOOKUP(P13,'Dummy Table'!B4:E40,4,FALSE)</f>
        <v>0</v>
      </c>
      <c r="X13" s="307">
        <f>VLOOKUP(P13,'Dummy Table'!B4:F40,5,FALSE)</f>
        <v>2</v>
      </c>
      <c r="Y13" s="307" t="s">
        <v>160</v>
      </c>
      <c r="Z13" s="307">
        <f>VLOOKUP(P13,'Dummy Table'!B4:G40,6,FALSE)</f>
        <v>1</v>
      </c>
      <c r="AA13" s="307">
        <f t="shared" ref="AA13:AA15" si="4">X13-Z13</f>
        <v>1</v>
      </c>
      <c r="AB13" s="307">
        <f>U13*3+V13*1</f>
        <v>3</v>
      </c>
      <c r="AE13" s="302"/>
      <c r="AH13" s="314" t="str">
        <f>Matches!J10</f>
        <v>Croatia</v>
      </c>
      <c r="CY13" s="302"/>
    </row>
    <row r="14" spans="1:103" s="300" customFormat="1" ht="14.4" customHeight="1" x14ac:dyDescent="0.3">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160</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160</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 customHeight="1" x14ac:dyDescent="0.3">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1</v>
      </c>
      <c r="U17" s="307">
        <f>VLOOKUP(P17,'Dummy Table'!B4:C40,2,FALSE)</f>
        <v>1</v>
      </c>
      <c r="V17" s="307">
        <f>VLOOKUP(P17,'Dummy Table'!B4:D40,3,FALSE)</f>
        <v>0</v>
      </c>
      <c r="W17" s="307">
        <f>VLOOKUP(P17,'Dummy Table'!B4:E40,4,FALSE)</f>
        <v>0</v>
      </c>
      <c r="X17" s="307">
        <f>VLOOKUP(P17,'Dummy Table'!B4:F40,5,FALSE)</f>
        <v>1</v>
      </c>
      <c r="Y17" s="307" t="s">
        <v>160</v>
      </c>
      <c r="Z17" s="307">
        <f>VLOOKUP(P17,'Dummy Table'!B4:G40,6,FALSE)</f>
        <v>0</v>
      </c>
      <c r="AA17" s="307">
        <f>X17-Z17</f>
        <v>1</v>
      </c>
      <c r="AB17" s="307">
        <f>U17*3+V17*1</f>
        <v>3</v>
      </c>
      <c r="AE17" s="302"/>
      <c r="AH17" s="314" t="str">
        <f>Matches!J13</f>
        <v>Denmark</v>
      </c>
      <c r="CY17" s="302"/>
    </row>
    <row r="18" spans="2:103" s="300" customFormat="1" ht="14.4" customHeight="1" x14ac:dyDescent="0.3">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1</v>
      </c>
      <c r="U18" s="307">
        <f>VLOOKUP(P18,'Dummy Table'!B4:C40,2,FALSE)</f>
        <v>0</v>
      </c>
      <c r="V18" s="307">
        <f>VLOOKUP(P18,'Dummy Table'!B4:D40,3,FALSE)</f>
        <v>1</v>
      </c>
      <c r="W18" s="307">
        <f>VLOOKUP(P18,'Dummy Table'!B4:E40,4,FALSE)</f>
        <v>0</v>
      </c>
      <c r="X18" s="307">
        <f>VLOOKUP(P18,'Dummy Table'!B4:F40,5,FALSE)</f>
        <v>1</v>
      </c>
      <c r="Y18" s="307" t="s">
        <v>160</v>
      </c>
      <c r="Z18" s="307">
        <f>VLOOKUP(P18,'Dummy Table'!B4:G40,6,FALSE)</f>
        <v>1</v>
      </c>
      <c r="AA18" s="307">
        <f t="shared" ref="AA18:AA20" si="6">X18-Z18</f>
        <v>0</v>
      </c>
      <c r="AB18" s="307">
        <f>U18*3+V18*1</f>
        <v>1</v>
      </c>
      <c r="AE18" s="302"/>
      <c r="AH18" s="314" t="str">
        <f>Matches!G15</f>
        <v>Austria</v>
      </c>
      <c r="CY18" s="302"/>
    </row>
    <row r="19" spans="2:103" s="300" customFormat="1" ht="14.4" customHeight="1" x14ac:dyDescent="0.3">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1</v>
      </c>
      <c r="U19" s="307">
        <f>VLOOKUP(P19,'Dummy Table'!B4:C40,2,FALSE)</f>
        <v>0</v>
      </c>
      <c r="V19" s="307">
        <f>VLOOKUP(P19,'Dummy Table'!B4:D40,3,FALSE)</f>
        <v>1</v>
      </c>
      <c r="W19" s="307">
        <f>VLOOKUP(P19,'Dummy Table'!B4:E40,4,FALSE)</f>
        <v>0</v>
      </c>
      <c r="X19" s="307">
        <f>VLOOKUP(P19,'Dummy Table'!B4:F40,5,FALSE)</f>
        <v>1</v>
      </c>
      <c r="Y19" s="307" t="s">
        <v>160</v>
      </c>
      <c r="Z19" s="307">
        <f>VLOOKUP(P19,'Dummy Table'!B4:G40,6,FALSE)</f>
        <v>1</v>
      </c>
      <c r="AA19" s="307">
        <f t="shared" si="6"/>
        <v>0</v>
      </c>
      <c r="AB19" s="307">
        <f>U19*3+V19*1</f>
        <v>1</v>
      </c>
      <c r="AE19" s="302"/>
      <c r="AH19" s="314" t="str">
        <f>Matches!J15</f>
        <v>France</v>
      </c>
      <c r="CY19" s="302"/>
    </row>
    <row r="20" spans="2:103" s="300" customFormat="1" ht="14.4" customHeight="1" x14ac:dyDescent="0.3">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1</v>
      </c>
      <c r="U20" s="307">
        <f>VLOOKUP(P20,'Dummy Table'!B4:C40,2,FALSE)</f>
        <v>0</v>
      </c>
      <c r="V20" s="307">
        <f>VLOOKUP(P20,'Dummy Table'!B4:D40,3,FALSE)</f>
        <v>0</v>
      </c>
      <c r="W20" s="307">
        <f>VLOOKUP(P20,'Dummy Table'!B4:E40,4,FALSE)</f>
        <v>1</v>
      </c>
      <c r="X20" s="307">
        <f>VLOOKUP(P20,'Dummy Table'!B4:F40,5,FALSE)</f>
        <v>0</v>
      </c>
      <c r="Y20" s="307" t="s">
        <v>160</v>
      </c>
      <c r="Z20" s="307">
        <f>VLOOKUP(P20,'Dummy Table'!B4:G40,6,FALSE)</f>
        <v>1</v>
      </c>
      <c r="AA20" s="307">
        <f t="shared" si="6"/>
        <v>-1</v>
      </c>
      <c r="AB20" s="307">
        <f>U20*3+V20*1</f>
        <v>0</v>
      </c>
      <c r="AE20" s="302"/>
      <c r="AH20" s="314" t="str">
        <f>Matches!G12</f>
        <v>Serbia</v>
      </c>
      <c r="CY20" s="302"/>
    </row>
    <row r="21" spans="2:103" s="300" customFormat="1" ht="14.4" customHeight="1" x14ac:dyDescent="0.3">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 customHeight="1" x14ac:dyDescent="0.3">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160</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107</v>
      </c>
      <c r="E23" s="317">
        <f t="shared" si="2"/>
        <v>44364.625</v>
      </c>
      <c r="F23" s="316">
        <v>44364.625</v>
      </c>
      <c r="G23" s="311" t="str">
        <f>G10</f>
        <v>Spain</v>
      </c>
      <c r="H23" s="307" t="str">
        <f>IF('Player Game Board'!H25&lt;&gt;"",'Player Game Board'!H25,"")</f>
        <v/>
      </c>
      <c r="I23" s="307" t="str">
        <f>IF('Player Game Board'!I25&lt;&gt;"",'Player Game Board'!I25,"")</f>
        <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160</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106</v>
      </c>
      <c r="E24" s="317">
        <f t="shared" si="2"/>
        <v>44364.75</v>
      </c>
      <c r="F24" s="316">
        <v>44364.75</v>
      </c>
      <c r="G24" s="311" t="str">
        <f>J13</f>
        <v>Denmark</v>
      </c>
      <c r="H24" s="307" t="str">
        <f>IF('Player Game Board'!H26&lt;&gt;"",'Player Game Board'!H26,"")</f>
        <v/>
      </c>
      <c r="I24" s="307" t="str">
        <f>IF('Player Game Board'!I26&lt;&gt;"",'Player Game Board'!I26,"")</f>
        <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160</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107</v>
      </c>
      <c r="E25" s="317">
        <f t="shared" si="2"/>
        <v>44364.875</v>
      </c>
      <c r="F25" s="316">
        <v>44364.875</v>
      </c>
      <c r="G25" s="311" t="str">
        <f>G13</f>
        <v>Slovenia</v>
      </c>
      <c r="H25" s="307" t="str">
        <f>IF('Player Game Board'!H27&lt;&gt;"",'Player Game Board'!H27,"")</f>
        <v/>
      </c>
      <c r="I25" s="307" t="str">
        <f>IF('Player Game Board'!I27&lt;&gt;"",'Player Game Board'!I27,"")</f>
        <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160</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109</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 customHeight="1" x14ac:dyDescent="0.3">
      <c r="B27" s="300">
        <v>20</v>
      </c>
      <c r="C27" s="307">
        <v>20</v>
      </c>
      <c r="D27" s="307" t="s">
        <v>108</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160</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108</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160</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110</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160</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110</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160</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109</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 customHeight="1" x14ac:dyDescent="0.3">
      <c r="B32" s="300">
        <v>25</v>
      </c>
      <c r="C32" s="307">
        <v>25</v>
      </c>
      <c r="D32" s="307" t="s">
        <v>105</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160</v>
      </c>
      <c r="Z32" s="307">
        <f>VLOOKUP(P32,'Dummy Table'!B4:G40,6,FALSE)</f>
        <v>1</v>
      </c>
      <c r="AA32" s="307">
        <f>X32-Z32</f>
        <v>2</v>
      </c>
      <c r="AB32" s="307">
        <f>U32*3+V32*1</f>
        <v>3</v>
      </c>
      <c r="AE32" s="302"/>
      <c r="CY32" s="302"/>
    </row>
    <row r="33" spans="2:103" s="300" customFormat="1" ht="14.4" customHeight="1" x14ac:dyDescent="0.3">
      <c r="B33" s="300">
        <v>26</v>
      </c>
      <c r="C33" s="307">
        <v>26</v>
      </c>
      <c r="D33" s="307" t="s">
        <v>105</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160</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160</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160</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 customHeight="1" x14ac:dyDescent="0.3">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1</v>
      </c>
      <c r="U39" s="307">
        <f>VLOOKUP(P39,P7:AB35,6,FALSE)</f>
        <v>0</v>
      </c>
      <c r="V39" s="307">
        <f>VLOOKUP(P39,P7:AB35,7,FALSE)</f>
        <v>1</v>
      </c>
      <c r="W39" s="307">
        <f>VLOOKUP(P39,P7:AB35,8,FALSE)</f>
        <v>0</v>
      </c>
      <c r="X39" s="307">
        <f>VLOOKUP(P39,P7:AB35,9,FALSE)</f>
        <v>1</v>
      </c>
      <c r="Y39" s="307" t="s">
        <v>160</v>
      </c>
      <c r="Z39" s="307">
        <f>VLOOKUP(P39,P7:AB35,11,FALSE)</f>
        <v>1</v>
      </c>
      <c r="AA39" s="307">
        <f>VLOOKUP(P39,P7:AB35,12,FALSE)</f>
        <v>0</v>
      </c>
      <c r="AB39" s="307">
        <f>VLOOKUP(P39,P7:AB35,13,FALSE)</f>
        <v>1</v>
      </c>
      <c r="AC39" s="307" t="str">
        <f>INDEX('Dummy Table'!DV3:DV8,MATCH(Matches!O39,'Dummy Table'!DU3:DU8,0),0)</f>
        <v>C</v>
      </c>
      <c r="AE39" s="302"/>
      <c r="CY39" s="302"/>
    </row>
    <row r="40" spans="2:103" s="300" customFormat="1" ht="14.4" customHeight="1" x14ac:dyDescent="0.3">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2</v>
      </c>
      <c r="U40" s="307">
        <f>VLOOKUP(P40,P7:AB35,6,FALSE)</f>
        <v>0</v>
      </c>
      <c r="V40" s="307">
        <f>VLOOKUP(P40,P7:AB35,7,FALSE)</f>
        <v>1</v>
      </c>
      <c r="W40" s="307">
        <f>VLOOKUP(P40,P7:AB35,8,FALSE)</f>
        <v>1</v>
      </c>
      <c r="X40" s="307">
        <f>VLOOKUP(P40,P7:AB35,9,FALSE)</f>
        <v>3</v>
      </c>
      <c r="Y40" s="307" t="s">
        <v>160</v>
      </c>
      <c r="Z40" s="307">
        <f>VLOOKUP(P40,P7:AB35,11,FALSE)</f>
        <v>4</v>
      </c>
      <c r="AA40" s="307">
        <f>VLOOKUP(P40,P7:AB35,12,FALSE)</f>
        <v>-1</v>
      </c>
      <c r="AB40" s="307">
        <f>VLOOKUP(P40,P7:AB35,13,FALSE)</f>
        <v>1</v>
      </c>
      <c r="AC40" s="307" t="str">
        <f>INDEX('Dummy Table'!DV3:DV8,MATCH(Matches!O40,'Dummy Table'!DU3:DU8,0),0)</f>
        <v>B</v>
      </c>
      <c r="AE40" s="302"/>
      <c r="CY40" s="302"/>
    </row>
    <row r="41" spans="2:103" s="300" customFormat="1" ht="14.4" customHeight="1" x14ac:dyDescent="0.3">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Scotland</v>
      </c>
      <c r="Q41" s="312"/>
      <c r="R41" s="312"/>
      <c r="S41" s="312"/>
      <c r="T41" s="307">
        <f>VLOOKUP(P41,P7:AB35,5,FALSE)</f>
        <v>2</v>
      </c>
      <c r="U41" s="307">
        <f>VLOOKUP(P41,P7:AB35,6,FALSE)</f>
        <v>0</v>
      </c>
      <c r="V41" s="307">
        <f>VLOOKUP(P41,P7:AB35,7,FALSE)</f>
        <v>1</v>
      </c>
      <c r="W41" s="307">
        <f>VLOOKUP(P41,P7:AB35,8,FALSE)</f>
        <v>1</v>
      </c>
      <c r="X41" s="307">
        <f>VLOOKUP(P41,P7:AB35,9,FALSE)</f>
        <v>2</v>
      </c>
      <c r="Y41" s="307" t="s">
        <v>160</v>
      </c>
      <c r="Z41" s="307">
        <f>VLOOKUP(P41,P7:AB35,11,FALSE)</f>
        <v>6</v>
      </c>
      <c r="AA41" s="307">
        <f>VLOOKUP(P41,P7:AB35,12,FALSE)</f>
        <v>-4</v>
      </c>
      <c r="AB41" s="307">
        <f>VLOOKUP(P41,P7:AB35,13,FALSE)</f>
        <v>1</v>
      </c>
      <c r="AC41" s="307" t="str">
        <f>INDEX('Dummy Table'!DV3:DV8,MATCH(Matches!O41,'Dummy Table'!DU3:DU8,0),0)</f>
        <v>A</v>
      </c>
      <c r="AE41" s="302"/>
      <c r="CY41" s="302"/>
    </row>
    <row r="42" spans="2:103" s="300" customFormat="1" ht="14.4" customHeight="1" x14ac:dyDescent="0.3">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1</v>
      </c>
      <c r="U42" s="307">
        <f>VLOOKUP(P42,P7:AB35,6,FALSE)</f>
        <v>0</v>
      </c>
      <c r="V42" s="307">
        <f>VLOOKUP(P42,P7:AB35,7,FALSE)</f>
        <v>0</v>
      </c>
      <c r="W42" s="307">
        <f>VLOOKUP(P42,P7:AB35,8,FALSE)</f>
        <v>1</v>
      </c>
      <c r="X42" s="307">
        <f>VLOOKUP(P42,P7:AB35,9,FALSE)</f>
        <v>1</v>
      </c>
      <c r="Y42" s="307" t="s">
        <v>160</v>
      </c>
      <c r="Z42" s="307">
        <f>VLOOKUP(P42,P7:AB35,11,FALSE)</f>
        <v>2</v>
      </c>
      <c r="AA42" s="307">
        <f>VLOOKUP(P42,P7:AB35,12,FALSE)</f>
        <v>-1</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Poland</v>
      </c>
      <c r="Q43" s="312"/>
      <c r="R43" s="312"/>
      <c r="S43" s="312"/>
      <c r="T43" s="307">
        <f>VLOOKUP(P43,P7:AB35,5,FALSE)</f>
        <v>1</v>
      </c>
      <c r="U43" s="307">
        <f>VLOOKUP(P43,P7:AB35,6,FALSE)</f>
        <v>0</v>
      </c>
      <c r="V43" s="307">
        <f>VLOOKUP(P43,P7:AB35,7,FALSE)</f>
        <v>0</v>
      </c>
      <c r="W43" s="307">
        <f>VLOOKUP(P43,P7:AB35,8,FALSE)</f>
        <v>1</v>
      </c>
      <c r="X43" s="307">
        <f>VLOOKUP(P43,P7:AB35,9,FALSE)</f>
        <v>1</v>
      </c>
      <c r="Y43" s="307" t="s">
        <v>160</v>
      </c>
      <c r="Z43" s="307">
        <f>VLOOKUP(P43,P7:AB35,11,FALSE)</f>
        <v>2</v>
      </c>
      <c r="AA43" s="307">
        <f>VLOOKUP(P43,P7:AB35,12,FALSE)</f>
        <v>-1</v>
      </c>
      <c r="AB43" s="307">
        <f>VLOOKUP(P43,P7:AB35,13,FALSE)</f>
        <v>0</v>
      </c>
      <c r="AC43" s="307" t="str">
        <f>INDEX('Dummy Table'!DV3:DV8,MATCH(Matches!O43,'Dummy Table'!DU3:DU8,0),0)</f>
        <v>D</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Belgium</v>
      </c>
      <c r="T44" s="307">
        <f>VLOOKUP(P44,P7:AB35,5,FALSE)</f>
        <v>1</v>
      </c>
      <c r="U44" s="307">
        <f>VLOOKUP(P44,P7:AB35,6,FALSE)</f>
        <v>0</v>
      </c>
      <c r="V44" s="307">
        <f>VLOOKUP(P44,P7:AB35,7,FALSE)</f>
        <v>0</v>
      </c>
      <c r="W44" s="307">
        <f>VLOOKUP(P44,P7:AB35,8,FALSE)</f>
        <v>1</v>
      </c>
      <c r="X44" s="307">
        <f>VLOOKUP(P44,P7:AB35,9,FALSE)</f>
        <v>0</v>
      </c>
      <c r="Y44" s="307" t="s">
        <v>160</v>
      </c>
      <c r="Z44" s="307">
        <f>VLOOKUP(P44,P7:AB35,11,FALSE)</f>
        <v>1</v>
      </c>
      <c r="AA44" s="307">
        <f>VLOOKUP(P44,P7:AB35,12,FALSE)</f>
        <v>-1</v>
      </c>
      <c r="AB44" s="307">
        <f>VLOOKUP(P44,P7:AB35,13,FALSE)</f>
        <v>0</v>
      </c>
      <c r="AC44" s="307" t="str">
        <f>INDEX('Dummy Table'!DV3:DV8,MATCH(Matches!O44,'Dummy Table'!DU3:DU8,0),0)</f>
        <v>E</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162</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17" t="s">
        <v>163</v>
      </c>
      <c r="P5" s="417"/>
      <c r="Q5" s="417"/>
      <c r="R5" s="417"/>
      <c r="S5" s="417"/>
      <c r="T5" s="417"/>
      <c r="U5" s="417"/>
      <c r="V5" s="417"/>
      <c r="W5" s="417"/>
      <c r="X5" s="417"/>
      <c r="Y5" s="417"/>
      <c r="Z5" s="417"/>
      <c r="AA5" s="417"/>
      <c r="AB5" s="417"/>
      <c r="AC5" s="417"/>
      <c r="AD5" s="417"/>
      <c r="AE5" s="417"/>
      <c r="AF5" s="417"/>
      <c r="AG5" s="417"/>
      <c r="AH5" s="417"/>
      <c r="AI5" s="417"/>
      <c r="AJ5" s="417"/>
      <c r="AK5" s="417"/>
      <c r="AL5" s="417"/>
      <c r="AM5" s="417"/>
      <c r="AN5" s="417"/>
      <c r="AO5" s="417"/>
      <c r="AP5" s="417"/>
      <c r="AQ5" s="417"/>
      <c r="AR5" s="417"/>
      <c r="AS5" s="417"/>
      <c r="AT5" s="417"/>
      <c r="AU5" s="417"/>
      <c r="AV5" s="417"/>
      <c r="AW5" s="417"/>
      <c r="AX5" s="417"/>
      <c r="AY5" s="411" t="s">
        <v>164</v>
      </c>
      <c r="AZ5" s="411"/>
      <c r="BA5" s="411"/>
      <c r="BB5" s="411"/>
      <c r="BC5" s="411"/>
      <c r="BD5" s="411"/>
      <c r="BE5" s="411"/>
      <c r="BF5" s="411"/>
      <c r="BG5" s="411" t="s">
        <v>165</v>
      </c>
      <c r="BH5" s="411"/>
      <c r="BI5" s="411"/>
      <c r="BJ5" s="411"/>
      <c r="BK5" s="411" t="s">
        <v>166</v>
      </c>
      <c r="BL5" s="411"/>
      <c r="BM5" s="120" t="s">
        <v>24</v>
      </c>
    </row>
    <row r="6" spans="1:65" ht="15" customHeight="1" x14ac:dyDescent="0.3">
      <c r="B6" s="413" t="s">
        <v>67</v>
      </c>
      <c r="C6" s="414" t="s">
        <v>68</v>
      </c>
      <c r="D6" s="412" t="s">
        <v>167</v>
      </c>
      <c r="E6" s="412" t="s">
        <v>168</v>
      </c>
      <c r="F6" s="412" t="s">
        <v>169</v>
      </c>
      <c r="G6" s="412" t="s">
        <v>69</v>
      </c>
      <c r="H6" s="412" t="s">
        <v>170</v>
      </c>
      <c r="I6" s="413" t="s">
        <v>171</v>
      </c>
      <c r="J6" s="413"/>
      <c r="K6" s="412" t="s">
        <v>172</v>
      </c>
      <c r="L6" s="413" t="s">
        <v>173</v>
      </c>
      <c r="M6" s="413"/>
      <c r="N6" s="413"/>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13"/>
      <c r="C7" s="414"/>
      <c r="D7" s="412"/>
      <c r="E7" s="412"/>
      <c r="F7" s="412"/>
      <c r="G7" s="412"/>
      <c r="H7" s="412"/>
      <c r="I7" s="412" t="s">
        <v>168</v>
      </c>
      <c r="J7" s="416" t="s">
        <v>170</v>
      </c>
      <c r="K7" s="412"/>
      <c r="L7" s="412" t="s">
        <v>168</v>
      </c>
      <c r="M7" s="412" t="s">
        <v>174</v>
      </c>
      <c r="N7" s="412"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13"/>
      <c r="C8" s="414"/>
      <c r="D8" s="412"/>
      <c r="E8" s="412"/>
      <c r="F8" s="412"/>
      <c r="G8" s="412"/>
      <c r="H8" s="412"/>
      <c r="I8" s="412"/>
      <c r="J8" s="416"/>
      <c r="K8" s="412"/>
      <c r="L8" s="412"/>
      <c r="M8" s="412"/>
      <c r="N8" s="41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13"/>
      <c r="C9" s="415"/>
      <c r="D9" s="412"/>
      <c r="E9" s="412"/>
      <c r="F9" s="412"/>
      <c r="G9" s="412"/>
      <c r="H9" s="412"/>
      <c r="I9" s="412"/>
      <c r="J9" s="416"/>
      <c r="K9" s="412"/>
      <c r="L9" s="412"/>
      <c r="M9" s="412"/>
      <c r="N9" s="41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Håvard (ChatGPT)</v>
      </c>
      <c r="D10" s="30">
        <f ca="1">IFERROR(E10+F10+G10,"")</f>
        <v>40</v>
      </c>
      <c r="E10" s="23">
        <f t="shared" ref="E10" ca="1" si="3">IFERROR(I10+L10,"")</f>
        <v>40</v>
      </c>
      <c r="F10" s="23">
        <f ca="1">IFERROR(K10+M10,"")</f>
        <v>0</v>
      </c>
      <c r="G10" s="23">
        <f>IF(C10&lt;&gt;"",IF('Player Setup'!D6&lt;&gt;"",'Player Setup'!D6,0),"")</f>
        <v>0</v>
      </c>
      <c r="H10" s="23">
        <f t="shared" ref="H10" ca="1" si="4">IFERROR(J10+N10,"")</f>
        <v>3</v>
      </c>
      <c r="I10" s="24">
        <f ca="1">SUM(O10:AX10)</f>
        <v>40</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t="str">
        <f ca="1">IF(C10&lt;&gt;"",OFFSET('Player Game Board'!V10,AD6-1,A10),"")</f>
        <v/>
      </c>
      <c r="AE10" s="24" t="str">
        <f ca="1">IF(C10&lt;&gt;"",OFFSET('Player Game Board'!V10,AE6-1,A10),"")</f>
        <v/>
      </c>
      <c r="AF10" s="24" t="str">
        <f ca="1">IF(C10&lt;&gt;"",OFFSET('Player Game Board'!V10,AF6-1,A10),"")</f>
        <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Levi (happy go lucky)</v>
      </c>
      <c r="D11" s="30">
        <f t="shared" ref="D11:D19" ca="1" si="5">IFERROR(E11+F11+G11,"")</f>
        <v>38</v>
      </c>
      <c r="E11" s="23">
        <f t="shared" ref="E11:E19" ca="1" si="6">IFERROR(I11+L11,"")</f>
        <v>38</v>
      </c>
      <c r="F11" s="23">
        <f t="shared" ref="F11:F19" ca="1" si="7">IFERROR(K11+M11,"")</f>
        <v>0</v>
      </c>
      <c r="G11" s="23">
        <f>IF(C11&lt;&gt;"",IF('Player Setup'!D7&lt;&gt;"",'Player Setup'!D7,0),"")</f>
        <v>0</v>
      </c>
      <c r="H11" s="22">
        <f t="shared" ref="H11:H19" ca="1" si="8">IFERROR(J11+N11,"")</f>
        <v>3</v>
      </c>
      <c r="I11" s="23">
        <f t="shared" ref="I11:I19" ca="1" si="9">SUM(O11:AX11)</f>
        <v>38</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t="str">
        <f ca="1">IF(C11&lt;&gt;"",OFFSET('Player Game Board'!V10,AD6-1,A11),"")</f>
        <v/>
      </c>
      <c r="AE11" s="22" t="str">
        <f ca="1">IF(C11&lt;&gt;"",OFFSET('Player Game Board'!V10,AE6-1,A11),"")</f>
        <v/>
      </c>
      <c r="AF11" s="22" t="str">
        <f ca="1">IF(C11&lt;&gt;"",OFFSET('Player Game Board'!V10,AF6-1,A11),"")</f>
        <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Iben</v>
      </c>
      <c r="D12" s="30">
        <f t="shared" ca="1" si="5"/>
        <v>24</v>
      </c>
      <c r="E12" s="23">
        <f t="shared" ca="1" si="6"/>
        <v>24</v>
      </c>
      <c r="F12" s="23">
        <f t="shared" ca="1" si="7"/>
        <v>0</v>
      </c>
      <c r="G12" s="23">
        <f>IF(C12&lt;&gt;"",IF('Player Setup'!D8&lt;&gt;"",'Player Setup'!D8,0),"")</f>
        <v>0</v>
      </c>
      <c r="H12" s="22">
        <f t="shared" ca="1" si="8"/>
        <v>1</v>
      </c>
      <c r="I12" s="23">
        <f t="shared" ca="1" si="9"/>
        <v>24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Joakim</v>
      </c>
      <c r="D13" s="30">
        <f t="shared" ca="1" si="5"/>
        <v>32</v>
      </c>
      <c r="E13" s="23">
        <f t="shared" ca="1" si="6"/>
        <v>32</v>
      </c>
      <c r="F13" s="23">
        <f t="shared" ca="1" si="7"/>
        <v>0</v>
      </c>
      <c r="G13" s="23">
        <f>IF(C13&lt;&gt;"",IF('Player Setup'!D9&lt;&gt;"",'Player Setup'!D9,0),"")</f>
        <v>0</v>
      </c>
      <c r="H13" s="22">
        <f t="shared" ca="1" si="8"/>
        <v>2</v>
      </c>
      <c r="I13" s="23">
        <f t="shared" ca="1" si="9"/>
        <v>32</v>
      </c>
      <c r="J13" s="22">
        <f ca="1">IF(C13&lt;&gt;"",OFFSET('Player Game Board'!N9,O6-1,A13),0)</f>
        <v>2</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Kristoffer (Fasiten)</v>
      </c>
      <c r="D14" s="30">
        <f t="shared" ca="1" si="5"/>
        <v>26</v>
      </c>
      <c r="E14" s="23">
        <f t="shared" ca="1" si="6"/>
        <v>26</v>
      </c>
      <c r="F14" s="23">
        <f t="shared" ca="1" si="7"/>
        <v>0</v>
      </c>
      <c r="G14" s="23">
        <f>IF(C14&lt;&gt;"",IF('Player Setup'!D10&lt;&gt;"",'Player Setup'!D10,0),"")</f>
        <v>0</v>
      </c>
      <c r="H14" s="22">
        <f t="shared" ca="1" si="8"/>
        <v>3</v>
      </c>
      <c r="I14" s="23">
        <f t="shared" ca="1" si="9"/>
        <v>26</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George</v>
      </c>
      <c r="D15" s="30">
        <f t="shared" ca="1" si="5"/>
        <v>28</v>
      </c>
      <c r="E15" s="23">
        <f t="shared" ca="1" si="6"/>
        <v>28</v>
      </c>
      <c r="F15" s="23">
        <f t="shared" ca="1" si="7"/>
        <v>0</v>
      </c>
      <c r="G15" s="23">
        <f>IF(C15&lt;&gt;"",IF('Player Setup'!D11&lt;&gt;"",'Player Setup'!D11,0),"")</f>
        <v>0</v>
      </c>
      <c r="H15" s="22">
        <f t="shared" ca="1" si="8"/>
        <v>3</v>
      </c>
      <c r="I15" s="23">
        <f t="shared" ca="1" si="9"/>
        <v>28</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Sverre</v>
      </c>
      <c r="D16" s="30">
        <f t="shared" ca="1" si="5"/>
        <v>34</v>
      </c>
      <c r="E16" s="23">
        <f t="shared" ca="1" si="6"/>
        <v>34</v>
      </c>
      <c r="F16" s="23">
        <f t="shared" ca="1" si="7"/>
        <v>0</v>
      </c>
      <c r="G16" s="23">
        <f>IF(C16&lt;&gt;"",IF('Player Setup'!D12&lt;&gt;"",'Player Setup'!D12,0),"")</f>
        <v>0</v>
      </c>
      <c r="H16" s="22">
        <f t="shared" ca="1" si="8"/>
        <v>1</v>
      </c>
      <c r="I16" s="23">
        <f t="shared" ca="1" si="9"/>
        <v>34</v>
      </c>
      <c r="J16" s="22">
        <f ca="1">IF(C16&lt;&gt;"",OFFSET('Player Game Board'!N9,O6-1,A16),0)</f>
        <v>1</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Therese</v>
      </c>
      <c r="D17" s="30">
        <f t="shared" ca="1" si="5"/>
        <v>28</v>
      </c>
      <c r="E17" s="23">
        <f t="shared" ca="1" si="6"/>
        <v>28</v>
      </c>
      <c r="F17" s="23">
        <f t="shared" ca="1" si="7"/>
        <v>0</v>
      </c>
      <c r="G17" s="23">
        <f>IF(C17&lt;&gt;"",IF('Player Setup'!D13&lt;&gt;"",'Player Setup'!D13,0),"")</f>
        <v>0</v>
      </c>
      <c r="H17" s="22">
        <f t="shared" ca="1" si="8"/>
        <v>2</v>
      </c>
      <c r="I17" s="23">
        <f t="shared" ca="1" si="9"/>
        <v>28</v>
      </c>
      <c r="J17" s="22">
        <f ca="1">IF(C17&lt;&gt;"",OFFSET('Player Game Board'!N9,O6-1,A17),0)</f>
        <v>2</v>
      </c>
      <c r="K17" s="23">
        <f ca="1">IF(C17&lt;&gt;"",OFFSET('Player Game Board'!N50,O6-1,A17),0)</f>
        <v>0</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Wanja</v>
      </c>
      <c r="D18" s="30">
        <f t="shared" ca="1" si="5"/>
        <v>20</v>
      </c>
      <c r="E18" s="23">
        <f t="shared" ca="1" si="6"/>
        <v>20</v>
      </c>
      <c r="F18" s="23">
        <f t="shared" ca="1" si="7"/>
        <v>0</v>
      </c>
      <c r="G18" s="23">
        <f>IF(C18&lt;&gt;"",IF('Player Setup'!D14&lt;&gt;"",'Player Setup'!D14,0),"")</f>
        <v>0</v>
      </c>
      <c r="H18" s="22">
        <f t="shared" ca="1" si="8"/>
        <v>0</v>
      </c>
      <c r="I18" s="23">
        <f t="shared" ca="1" si="9"/>
        <v>20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Baptiste</v>
      </c>
      <c r="D19" s="30">
        <f t="shared" ca="1" si="5"/>
        <v>28</v>
      </c>
      <c r="E19" s="23">
        <f t="shared" ca="1" si="6"/>
        <v>28</v>
      </c>
      <c r="F19" s="23">
        <f t="shared" ca="1" si="7"/>
        <v>0</v>
      </c>
      <c r="G19" s="23">
        <f>IF(C19&lt;&gt;"",IF('Player Setup'!D15&lt;&gt;"",'Player Setup'!D15,0),"")</f>
        <v>0</v>
      </c>
      <c r="H19" s="22">
        <f t="shared" ca="1" si="8"/>
        <v>2</v>
      </c>
      <c r="I19" s="23">
        <f t="shared" ca="1" si="9"/>
        <v>28</v>
      </c>
      <c r="J19" s="22">
        <f ca="1">IF(C19&lt;&gt;"",OFFSET('Player Game Board'!N9,O6-1,A19),0)</f>
        <v>2</v>
      </c>
      <c r="K19" s="23">
        <f ca="1">IF(C19&lt;&gt;"",OFFSET('Player Game Board'!N50,O6-1,A19),0)</f>
        <v>0</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3" t="s">
        <v>67</v>
      </c>
      <c r="C5" s="413" t="s">
        <v>68</v>
      </c>
      <c r="D5" s="412" t="s">
        <v>167</v>
      </c>
      <c r="E5" s="412" t="s">
        <v>168</v>
      </c>
      <c r="F5" s="412" t="s">
        <v>169</v>
      </c>
      <c r="G5" s="412" t="s">
        <v>170</v>
      </c>
      <c r="H5" s="413" t="s">
        <v>171</v>
      </c>
      <c r="I5" s="413"/>
      <c r="J5" s="412" t="s">
        <v>176</v>
      </c>
      <c r="K5" s="413" t="s">
        <v>173</v>
      </c>
      <c r="L5" s="413"/>
      <c r="M5" s="413"/>
    </row>
    <row r="6" spans="2:13" ht="15" customHeight="1" x14ac:dyDescent="0.2">
      <c r="B6" s="413"/>
      <c r="C6" s="413"/>
      <c r="D6" s="412"/>
      <c r="E6" s="412"/>
      <c r="F6" s="412"/>
      <c r="G6" s="412"/>
      <c r="H6" s="412" t="s">
        <v>168</v>
      </c>
      <c r="I6" s="416" t="s">
        <v>170</v>
      </c>
      <c r="J6" s="412"/>
      <c r="K6" s="412" t="s">
        <v>168</v>
      </c>
      <c r="L6" s="412" t="s">
        <v>177</v>
      </c>
      <c r="M6" s="412" t="s">
        <v>170</v>
      </c>
    </row>
    <row r="7" spans="2:13" ht="15" customHeight="1" x14ac:dyDescent="0.2">
      <c r="B7" s="413"/>
      <c r="C7" s="413"/>
      <c r="D7" s="412"/>
      <c r="E7" s="412"/>
      <c r="F7" s="412"/>
      <c r="G7" s="412"/>
      <c r="H7" s="412"/>
      <c r="I7" s="416"/>
      <c r="J7" s="412"/>
      <c r="K7" s="412"/>
      <c r="L7" s="412"/>
      <c r="M7" s="412"/>
    </row>
    <row r="8" spans="2:13" ht="15" customHeight="1" x14ac:dyDescent="0.2">
      <c r="B8" s="413"/>
      <c r="C8" s="413"/>
      <c r="D8" s="412"/>
      <c r="E8" s="412"/>
      <c r="F8" s="412"/>
      <c r="G8" s="412"/>
      <c r="H8" s="412"/>
      <c r="I8" s="416"/>
      <c r="J8" s="412"/>
      <c r="K8" s="412"/>
      <c r="L8" s="412"/>
      <c r="M8" s="412"/>
    </row>
    <row r="9" spans="2:13" ht="15" customHeight="1" x14ac:dyDescent="0.2">
      <c r="B9" s="22">
        <v>1</v>
      </c>
      <c r="C9" s="35" t="str">
        <f ca="1">IFERROR(INDEX('Dummy Rank'!F7:F16,MATCH('Player Leaderboard'!B9,'Dummy Rank'!E7:E16,0),0),"")</f>
        <v>Håvard (ChatGPT)</v>
      </c>
      <c r="D9" s="23">
        <f ca="1">IFERROR(VLOOKUP(C9,'Player Scoreboard'!C10:N19,2,FALSE),"")</f>
        <v>40</v>
      </c>
      <c r="E9" s="23">
        <f ca="1">IFERROR(VLOOKUP(C9,'Player Scoreboard'!C10:N19,3,FALSE),"")</f>
        <v>40</v>
      </c>
      <c r="F9" s="23">
        <f ca="1">IFERROR(VLOOKUP(C9,'Player Scoreboard'!C10:N19,4,FALSE),"")</f>
        <v>0</v>
      </c>
      <c r="G9" s="23">
        <f ca="1">IFERROR(VLOOKUP(C9,'Player Scoreboard'!C$10:N$19,6,FALSE),"")</f>
        <v>3</v>
      </c>
      <c r="H9" s="23">
        <f ca="1">IFERROR(VLOOKUP(C9,'Player Scoreboard'!C$10:N$19,7,FALSE),"")</f>
        <v>40</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Levi (happy go lucky)</v>
      </c>
      <c r="D10" s="23">
        <f ca="1">IFERROR(VLOOKUP(C10,'Player Scoreboard'!C10:N19,2,FALSE),"")</f>
        <v>38</v>
      </c>
      <c r="E10" s="23">
        <f ca="1">IFERROR(VLOOKUP(C10,'Player Scoreboard'!C10:N19,3,FALSE),"")</f>
        <v>38</v>
      </c>
      <c r="F10" s="23">
        <f ca="1">IFERROR(VLOOKUP(C10,'Player Scoreboard'!C10:N19,4,FALSE),"")</f>
        <v>0</v>
      </c>
      <c r="G10" s="22">
        <f ca="1">IFERROR(VLOOKUP(C10,'Player Scoreboard'!C$10:N$19,6,FALSE),"")</f>
        <v>3</v>
      </c>
      <c r="H10" s="23">
        <f ca="1">IFERROR(VLOOKUP(C10,'Player Scoreboard'!C$10:N$19,7,FALSE),"")</f>
        <v>38</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Sverre</v>
      </c>
      <c r="D11" s="23">
        <f ca="1">IFERROR(VLOOKUP(C11,'Player Scoreboard'!C10:N19,2,FALSE),"")</f>
        <v>34</v>
      </c>
      <c r="E11" s="23">
        <f ca="1">IFERROR(VLOOKUP(C11,'Player Scoreboard'!C10:N19,3,FALSE),"")</f>
        <v>34</v>
      </c>
      <c r="F11" s="23">
        <f ca="1">IFERROR(VLOOKUP(C11,'Player Scoreboard'!C10:N19,4,FALSE),"")</f>
        <v>0</v>
      </c>
      <c r="G11" s="23">
        <f ca="1">IFERROR(VLOOKUP(C11,'Player Scoreboard'!C$10:N$19,6,FALSE),"")</f>
        <v>1</v>
      </c>
      <c r="H11" s="23">
        <f ca="1">IFERROR(VLOOKUP(C11,'Player Scoreboard'!C$10:N$19,7,FALSE),"")</f>
        <v>34</v>
      </c>
      <c r="I11" s="23">
        <f ca="1">IFERROR(VLOOKUP(C11,'Player Scoreboard'!C$10:N$19,8,FALSE),"")</f>
        <v>1</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Joakim</v>
      </c>
      <c r="D12" s="23">
        <f ca="1">IFERROR(VLOOKUP(C12,'Player Scoreboard'!C10:N19,2,FALSE),"")</f>
        <v>32</v>
      </c>
      <c r="E12" s="23">
        <f ca="1">IFERROR(VLOOKUP(C12,'Player Scoreboard'!C10:N19,3,FALSE),"")</f>
        <v>32</v>
      </c>
      <c r="F12" s="23">
        <f ca="1">IFERROR(VLOOKUP(C12,'Player Scoreboard'!C10:N19,4,FALSE),"")</f>
        <v>0</v>
      </c>
      <c r="G12" s="22">
        <f ca="1">IFERROR(VLOOKUP(C12,'Player Scoreboard'!C$10:N$19,6,FALSE),"")</f>
        <v>2</v>
      </c>
      <c r="H12" s="23">
        <f ca="1">IFERROR(VLOOKUP(C12,'Player Scoreboard'!C$10:N$19,7,FALSE),"")</f>
        <v>32</v>
      </c>
      <c r="I12" s="23">
        <f ca="1">IFERROR(VLOOKUP(C12,'Player Scoreboard'!C$10:N$19,8,FALSE),"")</f>
        <v>2</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George</v>
      </c>
      <c r="D13" s="23">
        <f ca="1">IFERROR(VLOOKUP(C13,'Player Scoreboard'!C10:N19,2,FALSE),"")</f>
        <v>28</v>
      </c>
      <c r="E13" s="23">
        <f ca="1">IFERROR(VLOOKUP(C13,'Player Scoreboard'!C10:N19,3,FALSE),"")</f>
        <v>28</v>
      </c>
      <c r="F13" s="23">
        <f ca="1">IFERROR(VLOOKUP(C13,'Player Scoreboard'!C10:N19,4,FALSE),"")</f>
        <v>0</v>
      </c>
      <c r="G13" s="23">
        <f ca="1">IFERROR(VLOOKUP(C13,'Player Scoreboard'!C$10:N$19,6,FALSE),"")</f>
        <v>3</v>
      </c>
      <c r="H13" s="23">
        <f ca="1">IFERROR(VLOOKUP(C13,'Player Scoreboard'!C$10:N$19,7,FALSE),"")</f>
        <v>28</v>
      </c>
      <c r="I13" s="23">
        <f ca="1">IFERROR(VLOOKUP(C13,'Player Scoreboard'!C$10:N$19,8,FALSE),"")</f>
        <v>3</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Therese</v>
      </c>
      <c r="D14" s="23">
        <f ca="1">IFERROR(VLOOKUP(C14,'Player Scoreboard'!C10:N19,2,FALSE),"")</f>
        <v>28</v>
      </c>
      <c r="E14" s="23">
        <f ca="1">IFERROR(VLOOKUP(C14,'Player Scoreboard'!C10:N19,3,FALSE),"")</f>
        <v>28</v>
      </c>
      <c r="F14" s="23">
        <f ca="1">IFERROR(VLOOKUP(C14,'Player Scoreboard'!C10:N19,4,FALSE),"")</f>
        <v>0</v>
      </c>
      <c r="G14" s="22">
        <f ca="1">IFERROR(VLOOKUP(C14,'Player Scoreboard'!C$10:N$19,6,FALSE),"")</f>
        <v>2</v>
      </c>
      <c r="H14" s="23">
        <f ca="1">IFERROR(VLOOKUP(C14,'Player Scoreboard'!C$10:N$19,7,FALSE),"")</f>
        <v>28</v>
      </c>
      <c r="I14" s="23">
        <f ca="1">IFERROR(VLOOKUP(C14,'Player Scoreboard'!C$10:N$19,8,FALSE),"")</f>
        <v>2</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Baptiste</v>
      </c>
      <c r="D15" s="23">
        <f ca="1">IFERROR(VLOOKUP(C15,'Player Scoreboard'!C10:N19,2,FALSE),"")</f>
        <v>28</v>
      </c>
      <c r="E15" s="23">
        <f ca="1">IFERROR(VLOOKUP(C15,'Player Scoreboard'!C10:N19,3,FALSE),"")</f>
        <v>28</v>
      </c>
      <c r="F15" s="23">
        <f ca="1">IFERROR(VLOOKUP(C15,'Player Scoreboard'!C10:N19,4,FALSE),"")</f>
        <v>0</v>
      </c>
      <c r="G15" s="23">
        <f ca="1">IFERROR(VLOOKUP(C15,'Player Scoreboard'!C$10:N$19,6,FALSE),"")</f>
        <v>2</v>
      </c>
      <c r="H15" s="23">
        <f ca="1">IFERROR(VLOOKUP(C15,'Player Scoreboard'!C$10:N$19,7,FALSE),"")</f>
        <v>28</v>
      </c>
      <c r="I15" s="23">
        <f ca="1">IFERROR(VLOOKUP(C15,'Player Scoreboard'!C$10:N$19,8,FALSE),"")</f>
        <v>2</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Kristoffer (Fasiten)</v>
      </c>
      <c r="D16" s="23">
        <f ca="1">IFERROR(VLOOKUP(C16,'Player Scoreboard'!C10:N19,2,FALSE),"")</f>
        <v>26</v>
      </c>
      <c r="E16" s="23">
        <f ca="1">IFERROR(VLOOKUP(C16,'Player Scoreboard'!C10:N19,3,FALSE),"")</f>
        <v>26</v>
      </c>
      <c r="F16" s="23">
        <f ca="1">IFERROR(VLOOKUP(C16,'Player Scoreboard'!C10:N19,4,FALSE),"")</f>
        <v>0</v>
      </c>
      <c r="G16" s="22">
        <f ca="1">IFERROR(VLOOKUP(C16,'Player Scoreboard'!C$10:N$19,6,FALSE),"")</f>
        <v>3</v>
      </c>
      <c r="H16" s="23">
        <f ca="1">IFERROR(VLOOKUP(C16,'Player Scoreboard'!C$10:N$19,7,FALSE),"")</f>
        <v>26</v>
      </c>
      <c r="I16" s="23">
        <f ca="1">IFERROR(VLOOKUP(C16,'Player Scoreboard'!C$10:N$19,8,FALSE),"")</f>
        <v>3</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24</v>
      </c>
      <c r="E17" s="23">
        <f ca="1">IFERROR(VLOOKUP(C17,'Player Scoreboard'!C10:N19,3,FALSE),"")</f>
        <v>24</v>
      </c>
      <c r="F17" s="23">
        <f ca="1">IFERROR(VLOOKUP(C17,'Player Scoreboard'!C10:N19,4,FALSE),"")</f>
        <v>0</v>
      </c>
      <c r="G17" s="23">
        <f ca="1">IFERROR(VLOOKUP(C17,'Player Scoreboard'!C$10:N$19,6,FALSE),"")</f>
        <v>1</v>
      </c>
      <c r="H17" s="23">
        <f ca="1">IFERROR(VLOOKUP(C17,'Player Scoreboard'!C$10:N$19,7,FALSE),"")</f>
        <v>24</v>
      </c>
      <c r="I17" s="23">
        <f ca="1">IFERROR(VLOOKUP(C17,'Player Scoreboard'!C$10:N$19,8,FALSE),"")</f>
        <v>1</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20</v>
      </c>
      <c r="E18" s="23">
        <f ca="1">IFERROR(VLOOKUP(C18,'Player Scoreboard'!C10:N19,3,FALSE),"")</f>
        <v>20</v>
      </c>
      <c r="F18" s="23">
        <f ca="1">IFERROR(VLOOKUP(C18,'Player Scoreboard'!C10:N19,4,FALSE),"")</f>
        <v>0</v>
      </c>
      <c r="G18" s="22">
        <f ca="1">IFERROR(VLOOKUP(C18,'Player Scoreboard'!C$10:N$19,6,FALSE),"")</f>
        <v>0</v>
      </c>
      <c r="H18" s="23">
        <f ca="1">IFERROR(VLOOKUP(C18,'Player Scoreboard'!C$10:N$19,7,FALSE),"")</f>
        <v>20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178</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17" t="s">
        <v>163</v>
      </c>
      <c r="H5" s="417"/>
      <c r="I5" s="417"/>
      <c r="J5" s="417"/>
      <c r="K5" s="417"/>
      <c r="L5" s="417"/>
      <c r="M5" s="417"/>
      <c r="N5" s="417"/>
      <c r="O5" s="417"/>
      <c r="P5" s="417"/>
      <c r="Q5" s="417"/>
      <c r="R5" s="417"/>
      <c r="S5" s="417"/>
      <c r="T5" s="417"/>
      <c r="U5" s="417"/>
      <c r="V5" s="417"/>
      <c r="W5" s="417"/>
      <c r="X5" s="417"/>
      <c r="Y5" s="417"/>
      <c r="Z5" s="417"/>
      <c r="AA5" s="417"/>
      <c r="AB5" s="417"/>
      <c r="AC5" s="417"/>
      <c r="AD5" s="417"/>
      <c r="AE5" s="417"/>
      <c r="AF5" s="417"/>
      <c r="AG5" s="417"/>
      <c r="AH5" s="417"/>
      <c r="AI5" s="417"/>
      <c r="AJ5" s="417"/>
      <c r="AK5" s="417"/>
      <c r="AL5" s="417"/>
      <c r="AM5" s="417"/>
      <c r="AN5" s="417"/>
      <c r="AO5" s="417"/>
      <c r="AP5" s="417"/>
      <c r="AQ5" s="411" t="s">
        <v>164</v>
      </c>
      <c r="AR5" s="411"/>
      <c r="AS5" s="411"/>
      <c r="AT5" s="411"/>
      <c r="AU5" s="411"/>
      <c r="AV5" s="411"/>
      <c r="AW5" s="411"/>
      <c r="AX5" s="411"/>
      <c r="AY5" s="411" t="s">
        <v>165</v>
      </c>
      <c r="AZ5" s="411"/>
      <c r="BA5" s="411"/>
      <c r="BB5" s="411"/>
      <c r="BC5" s="411" t="s">
        <v>166</v>
      </c>
      <c r="BD5" s="411"/>
      <c r="BE5" s="120" t="s">
        <v>24</v>
      </c>
    </row>
    <row r="6" spans="1:57" s="7" customFormat="1" ht="15" customHeight="1" x14ac:dyDescent="0.3">
      <c r="A6" s="133"/>
      <c r="B6" s="413" t="s">
        <v>67</v>
      </c>
      <c r="C6" s="414" t="s">
        <v>68</v>
      </c>
      <c r="D6" s="413" t="s">
        <v>179</v>
      </c>
      <c r="E6" s="413"/>
      <c r="F6" s="413"/>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13"/>
      <c r="C7" s="414"/>
      <c r="D7" s="412" t="s">
        <v>180</v>
      </c>
      <c r="E7" s="412" t="s">
        <v>181</v>
      </c>
      <c r="F7" s="412"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13"/>
      <c r="C8" s="414"/>
      <c r="D8" s="412"/>
      <c r="E8" s="412"/>
      <c r="F8" s="41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13"/>
      <c r="C9" s="415"/>
      <c r="D9" s="412"/>
      <c r="E9" s="412"/>
      <c r="F9" s="41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Håvard (ChatGPT)</v>
      </c>
      <c r="D10" s="24">
        <f ca="1">SUM(E10:F10)</f>
        <v>3</v>
      </c>
      <c r="E10" s="22">
        <f ca="1">IF(C10&lt;&gt;"",OFFSET('Player Game Board'!N9,G6-1,A10),0)</f>
        <v>3</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Levi (happy go lucky)</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Iben</v>
      </c>
      <c r="D12" s="22">
        <f t="shared" ca="1" si="3"/>
        <v>1</v>
      </c>
      <c r="E12" s="23">
        <f ca="1">IF(C12&lt;&gt;"",OFFSET('Player Game Board'!N9,G6-1,A12),0)</f>
        <v>1</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2" t="str">
        <f>IF('Player Setup'!C9&lt;&gt;"",'Player Setup'!C9,"")</f>
        <v>Joakim</v>
      </c>
      <c r="D13" s="22">
        <f t="shared" ca="1" si="3"/>
        <v>2</v>
      </c>
      <c r="E13" s="23">
        <f ca="1">IF(C13&lt;&gt;"",OFFSET('Player Game Board'!N9,G6-1,A13),0)</f>
        <v>2</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2" t="str">
        <f>IF('Player Setup'!C10&lt;&gt;"",'Player Setup'!C10,"")</f>
        <v>Kristoffer (Fasiten)</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2" t="str">
        <f>IF('Player Setup'!C11&lt;&gt;"",'Player Setup'!C11,"")</f>
        <v>George</v>
      </c>
      <c r="D15" s="22">
        <f t="shared" ca="1" si="3"/>
        <v>3</v>
      </c>
      <c r="E15" s="23">
        <f ca="1">IF(C15&lt;&gt;"",OFFSET('Player Game Board'!N9,G6-1,A15),0)</f>
        <v>3</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2" t="str">
        <f>IF('Player Setup'!C13&lt;&gt;"",'Player Setup'!C13,"")</f>
        <v>Therese</v>
      </c>
      <c r="D17" s="22">
        <f t="shared" ca="1" si="3"/>
        <v>2</v>
      </c>
      <c r="E17" s="23">
        <f ca="1">IF(C17&lt;&gt;"",OFFSET('Player Game Board'!N9,G6-1,A17),0)</f>
        <v>2</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Wanja</v>
      </c>
      <c r="D18" s="22">
        <f t="shared" ca="1" si="3"/>
        <v>0</v>
      </c>
      <c r="E18" s="23">
        <f ca="1">IF(C18&lt;&gt;"",OFFSET('Player Game Board'!N9,G6-1,A18),0)</f>
        <v>0</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183</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184</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185</v>
      </c>
      <c r="C5" s="138"/>
    </row>
    <row r="6" spans="2:8" ht="15" customHeight="1" x14ac:dyDescent="0.25">
      <c r="B6" s="137">
        <v>1</v>
      </c>
      <c r="C6" s="39" t="s">
        <v>186</v>
      </c>
      <c r="D6" s="188" t="s">
        <v>14</v>
      </c>
      <c r="E6" s="418" t="s">
        <v>187</v>
      </c>
    </row>
    <row r="7" spans="2:8" ht="15" customHeight="1" x14ac:dyDescent="0.25">
      <c r="B7" s="137">
        <v>2</v>
      </c>
      <c r="C7" s="39" t="s">
        <v>188</v>
      </c>
      <c r="E7" s="418"/>
    </row>
    <row r="8" spans="2:8" ht="15" customHeight="1" x14ac:dyDescent="0.25">
      <c r="B8" s="137">
        <v>3</v>
      </c>
      <c r="C8" s="39" t="s">
        <v>189</v>
      </c>
      <c r="E8" s="418"/>
    </row>
    <row r="9" spans="2:8" ht="15" customHeight="1" x14ac:dyDescent="0.25">
      <c r="B9" s="137">
        <v>4</v>
      </c>
      <c r="C9" s="39" t="s">
        <v>190</v>
      </c>
      <c r="E9" s="418"/>
    </row>
    <row r="10" spans="2:8" ht="15" customHeight="1" x14ac:dyDescent="0.25">
      <c r="B10" s="137">
        <v>5</v>
      </c>
      <c r="C10" s="39" t="s">
        <v>191</v>
      </c>
      <c r="E10" s="418"/>
    </row>
    <row r="11" spans="2:8" ht="15" customHeight="1" x14ac:dyDescent="0.25">
      <c r="B11" s="137">
        <v>6</v>
      </c>
      <c r="C11" s="39" t="s">
        <v>192</v>
      </c>
      <c r="E11" s="418"/>
    </row>
    <row r="12" spans="2:8" ht="15" customHeight="1" x14ac:dyDescent="0.25">
      <c r="B12" s="137">
        <v>7</v>
      </c>
      <c r="C12" s="39" t="s">
        <v>193</v>
      </c>
      <c r="E12" s="418"/>
    </row>
    <row r="13" spans="2:8" ht="15" customHeight="1" x14ac:dyDescent="0.25">
      <c r="B13" s="137">
        <v>8</v>
      </c>
      <c r="C13" s="39" t="s">
        <v>194</v>
      </c>
      <c r="E13" s="418"/>
    </row>
    <row r="14" spans="2:8" ht="15" customHeight="1" x14ac:dyDescent="0.25">
      <c r="B14" s="137">
        <v>9</v>
      </c>
      <c r="C14" s="39" t="s">
        <v>195</v>
      </c>
      <c r="E14" s="418"/>
    </row>
    <row r="15" spans="2:8" ht="15" customHeight="1" x14ac:dyDescent="0.25">
      <c r="B15" s="137">
        <v>10</v>
      </c>
      <c r="C15" s="39" t="s">
        <v>196</v>
      </c>
    </row>
    <row r="16" spans="2:8" ht="15" customHeight="1" x14ac:dyDescent="0.25">
      <c r="B16" s="137">
        <v>11</v>
      </c>
      <c r="C16" s="39" t="s">
        <v>197</v>
      </c>
    </row>
    <row r="17" spans="2:3" ht="15" customHeight="1" x14ac:dyDescent="0.25">
      <c r="B17" s="137">
        <v>12</v>
      </c>
      <c r="C17" s="39" t="s">
        <v>198</v>
      </c>
    </row>
    <row r="18" spans="2:3" ht="15" customHeight="1" x14ac:dyDescent="0.25">
      <c r="B18" s="137">
        <v>13</v>
      </c>
      <c r="C18" s="39" t="s">
        <v>199</v>
      </c>
    </row>
    <row r="19" spans="2:3" ht="15" customHeight="1" x14ac:dyDescent="0.25">
      <c r="B19" s="137">
        <v>14</v>
      </c>
      <c r="C19" s="39" t="s">
        <v>200</v>
      </c>
    </row>
    <row r="20" spans="2:3" ht="15" customHeight="1" x14ac:dyDescent="0.25">
      <c r="B20" s="137">
        <v>15</v>
      </c>
      <c r="C20" s="39" t="s">
        <v>201</v>
      </c>
    </row>
    <row r="21" spans="2:3" ht="15" customHeight="1" x14ac:dyDescent="0.25">
      <c r="B21" s="137">
        <v>16</v>
      </c>
      <c r="C21" s="39" t="s">
        <v>202</v>
      </c>
    </row>
    <row r="22" spans="2:3" ht="15" customHeight="1" x14ac:dyDescent="0.25">
      <c r="B22" s="137">
        <v>17</v>
      </c>
      <c r="C22" s="39" t="s">
        <v>203</v>
      </c>
    </row>
    <row r="23" spans="2:3" ht="15" customHeight="1" x14ac:dyDescent="0.25">
      <c r="B23" s="137">
        <v>18</v>
      </c>
      <c r="C23" s="39" t="s">
        <v>204</v>
      </c>
    </row>
    <row r="24" spans="2:3" ht="15" customHeight="1" x14ac:dyDescent="0.25">
      <c r="B24" s="137">
        <v>19</v>
      </c>
      <c r="C24" s="39" t="s">
        <v>205</v>
      </c>
    </row>
    <row r="25" spans="2:3" ht="15" customHeight="1" x14ac:dyDescent="0.25">
      <c r="B25" s="137">
        <v>20</v>
      </c>
      <c r="C25" s="39" t="s">
        <v>206</v>
      </c>
    </row>
    <row r="26" spans="2:3" ht="15" customHeight="1" x14ac:dyDescent="0.25">
      <c r="B26" s="137">
        <v>21</v>
      </c>
      <c r="C26" s="39" t="s">
        <v>207</v>
      </c>
    </row>
    <row r="27" spans="2:3" ht="15" customHeight="1" x14ac:dyDescent="0.25">
      <c r="B27" s="137">
        <v>22</v>
      </c>
      <c r="C27" s="39" t="s">
        <v>208</v>
      </c>
    </row>
    <row r="28" spans="2:3" ht="15" customHeight="1" x14ac:dyDescent="0.25">
      <c r="B28" s="137">
        <v>23</v>
      </c>
      <c r="C28" s="39" t="s">
        <v>209</v>
      </c>
    </row>
    <row r="29" spans="2:3" ht="15" customHeight="1" x14ac:dyDescent="0.25">
      <c r="B29" s="137">
        <v>24</v>
      </c>
      <c r="C29" s="39" t="s">
        <v>210</v>
      </c>
    </row>
    <row r="30" spans="2:3" ht="15" customHeight="1" x14ac:dyDescent="0.25">
      <c r="B30" s="137">
        <v>25</v>
      </c>
      <c r="C30" s="39" t="s">
        <v>185</v>
      </c>
    </row>
    <row r="31" spans="2:3" ht="15" customHeight="1" x14ac:dyDescent="0.25">
      <c r="B31" s="137">
        <v>26</v>
      </c>
      <c r="C31" s="39" t="s">
        <v>211</v>
      </c>
    </row>
    <row r="32" spans="2:3" ht="15" customHeight="1" x14ac:dyDescent="0.25">
      <c r="B32" s="137">
        <v>27</v>
      </c>
      <c r="C32" s="39" t="s">
        <v>171</v>
      </c>
    </row>
    <row r="33" spans="2:3" ht="15" customHeight="1" x14ac:dyDescent="0.25">
      <c r="B33" s="137">
        <v>28</v>
      </c>
      <c r="C33" s="39" t="s">
        <v>212</v>
      </c>
    </row>
    <row r="34" spans="2:3" ht="15" customHeight="1" x14ac:dyDescent="0.25">
      <c r="B34" s="137">
        <v>29</v>
      </c>
      <c r="C34" s="39" t="s">
        <v>213</v>
      </c>
    </row>
    <row r="35" spans="2:3" ht="15" customHeight="1" x14ac:dyDescent="0.25">
      <c r="B35" s="137">
        <v>30</v>
      </c>
      <c r="C35" s="39" t="s">
        <v>181</v>
      </c>
    </row>
    <row r="36" spans="2:3" ht="15" customHeight="1" x14ac:dyDescent="0.25">
      <c r="B36" s="137">
        <v>31</v>
      </c>
      <c r="C36" s="39" t="s">
        <v>214</v>
      </c>
    </row>
    <row r="37" spans="2:3" ht="15" customHeight="1" x14ac:dyDescent="0.25">
      <c r="B37" s="137">
        <v>32</v>
      </c>
      <c r="C37" s="39" t="s">
        <v>215</v>
      </c>
    </row>
    <row r="38" spans="2:3" ht="15" customHeight="1" x14ac:dyDescent="0.25">
      <c r="B38" s="137">
        <v>33</v>
      </c>
      <c r="C38" s="39" t="s">
        <v>104</v>
      </c>
    </row>
    <row r="39" spans="2:3" ht="15" customHeight="1" x14ac:dyDescent="0.25">
      <c r="B39" s="137">
        <v>34</v>
      </c>
      <c r="C39" s="39" t="s">
        <v>216</v>
      </c>
    </row>
    <row r="40" spans="2:3" ht="15" customHeight="1" x14ac:dyDescent="0.25">
      <c r="B40" s="137">
        <v>35</v>
      </c>
      <c r="C40" s="39" t="s">
        <v>164</v>
      </c>
    </row>
    <row r="41" spans="2:3" ht="15" customHeight="1" x14ac:dyDescent="0.25">
      <c r="B41" s="137">
        <v>36</v>
      </c>
      <c r="C41" s="39" t="s">
        <v>217</v>
      </c>
    </row>
    <row r="42" spans="2:3" ht="15" customHeight="1" x14ac:dyDescent="0.25">
      <c r="B42" s="137">
        <v>37</v>
      </c>
      <c r="C42" s="39" t="s">
        <v>218</v>
      </c>
    </row>
    <row r="43" spans="2:3" ht="15" customHeight="1" x14ac:dyDescent="0.25">
      <c r="B43" s="137">
        <v>38</v>
      </c>
      <c r="C43" s="39" t="s">
        <v>219</v>
      </c>
    </row>
    <row r="44" spans="2:3" ht="15" customHeight="1" x14ac:dyDescent="0.25">
      <c r="B44" s="137">
        <v>39</v>
      </c>
      <c r="C44" s="39" t="s">
        <v>111</v>
      </c>
    </row>
    <row r="45" spans="2:3" ht="15" customHeight="1" x14ac:dyDescent="0.25">
      <c r="B45" s="137">
        <v>40</v>
      </c>
      <c r="C45" s="39" t="s">
        <v>112</v>
      </c>
    </row>
    <row r="46" spans="2:3" ht="15" customHeight="1" x14ac:dyDescent="0.25">
      <c r="B46" s="137">
        <v>41</v>
      </c>
      <c r="C46" s="39" t="s">
        <v>220</v>
      </c>
    </row>
    <row r="47" spans="2:3" ht="15" customHeight="1" x14ac:dyDescent="0.25">
      <c r="B47" s="137">
        <v>42</v>
      </c>
      <c r="C47" s="39" t="s">
        <v>221</v>
      </c>
    </row>
    <row r="48" spans="2:3" ht="15" customHeight="1" x14ac:dyDescent="0.25">
      <c r="B48" s="137">
        <v>43</v>
      </c>
      <c r="C48" s="39" t="s">
        <v>222</v>
      </c>
    </row>
    <row r="49" spans="2:3" ht="15" customHeight="1" x14ac:dyDescent="0.25">
      <c r="B49" s="137">
        <v>44</v>
      </c>
      <c r="C49" s="39" t="s">
        <v>223</v>
      </c>
    </row>
    <row r="50" spans="2:3" ht="15" customHeight="1" x14ac:dyDescent="0.25">
      <c r="B50" s="137">
        <v>45</v>
      </c>
      <c r="C50" s="39" t="s">
        <v>224</v>
      </c>
    </row>
    <row r="51" spans="2:3" ht="15" customHeight="1" x14ac:dyDescent="0.25">
      <c r="B51" s="137">
        <v>46</v>
      </c>
      <c r="C51" s="39" t="s">
        <v>225</v>
      </c>
    </row>
    <row r="52" spans="2:3" ht="15" customHeight="1" x14ac:dyDescent="0.25">
      <c r="B52" s="137">
        <v>47</v>
      </c>
      <c r="C52" s="39" t="s">
        <v>226</v>
      </c>
    </row>
    <row r="53" spans="2:3" ht="15" customHeight="1" x14ac:dyDescent="0.25">
      <c r="B53" s="137">
        <v>48</v>
      </c>
      <c r="C53" s="39" t="s">
        <v>227</v>
      </c>
    </row>
    <row r="54" spans="2:3" ht="15" customHeight="1" x14ac:dyDescent="0.25">
      <c r="B54" s="137">
        <v>49</v>
      </c>
      <c r="C54" s="39" t="s">
        <v>228</v>
      </c>
    </row>
    <row r="55" spans="2:3" ht="15" customHeight="1" x14ac:dyDescent="0.25">
      <c r="B55" s="137">
        <v>50</v>
      </c>
      <c r="C55" s="39" t="s">
        <v>229</v>
      </c>
    </row>
    <row r="56" spans="2:3" ht="15" customHeight="1" x14ac:dyDescent="0.25">
      <c r="B56" s="137">
        <v>51</v>
      </c>
      <c r="C56" s="39" t="s">
        <v>230</v>
      </c>
    </row>
    <row r="57" spans="2:3" ht="15" customHeight="1" x14ac:dyDescent="0.25">
      <c r="B57" s="137">
        <v>52</v>
      </c>
      <c r="C57" s="39" t="s">
        <v>231</v>
      </c>
    </row>
    <row r="58" spans="2:3" ht="15" customHeight="1" x14ac:dyDescent="0.25">
      <c r="B58" s="137">
        <v>53</v>
      </c>
      <c r="C58" s="39" t="s">
        <v>232</v>
      </c>
    </row>
    <row r="59" spans="2:3" ht="15" customHeight="1" x14ac:dyDescent="0.25">
      <c r="B59" s="137">
        <v>54</v>
      </c>
      <c r="C59" s="39" t="s">
        <v>233</v>
      </c>
    </row>
    <row r="60" spans="2:3" ht="15" customHeight="1" x14ac:dyDescent="0.25">
      <c r="B60" s="137">
        <v>55</v>
      </c>
      <c r="C60" s="39" t="s">
        <v>234</v>
      </c>
    </row>
    <row r="61" spans="2:3" ht="15" customHeight="1" x14ac:dyDescent="0.25">
      <c r="B61" s="137">
        <v>56</v>
      </c>
      <c r="C61" s="39" t="s">
        <v>235</v>
      </c>
    </row>
    <row r="62" spans="2:3" ht="15" customHeight="1" x14ac:dyDescent="0.25">
      <c r="B62" s="137">
        <v>57</v>
      </c>
      <c r="C62" s="39" t="s">
        <v>236</v>
      </c>
    </row>
    <row r="63" spans="2:3" ht="15" customHeight="1" x14ac:dyDescent="0.25">
      <c r="B63" s="137">
        <v>58</v>
      </c>
      <c r="C63" s="39" t="s">
        <v>237</v>
      </c>
    </row>
    <row r="64" spans="2:3" ht="15" customHeight="1" x14ac:dyDescent="0.25">
      <c r="B64" s="137">
        <v>59</v>
      </c>
      <c r="C64" s="39" t="s">
        <v>238</v>
      </c>
    </row>
    <row r="65" spans="2:3" ht="15" customHeight="1" x14ac:dyDescent="0.25">
      <c r="B65" s="137">
        <v>60</v>
      </c>
      <c r="C65" s="39" t="s">
        <v>239</v>
      </c>
    </row>
    <row r="66" spans="2:3" ht="15" customHeight="1" x14ac:dyDescent="0.25">
      <c r="B66" s="137">
        <v>61</v>
      </c>
      <c r="C66" s="39" t="s">
        <v>240</v>
      </c>
    </row>
    <row r="67" spans="2:3" ht="15" customHeight="1" x14ac:dyDescent="0.25">
      <c r="B67" s="137">
        <v>62</v>
      </c>
      <c r="C67" s="39" t="s">
        <v>241</v>
      </c>
    </row>
    <row r="68" spans="2:3" ht="15" customHeight="1" x14ac:dyDescent="0.25">
      <c r="B68" s="137">
        <v>63</v>
      </c>
      <c r="C68" s="39" t="s">
        <v>242</v>
      </c>
    </row>
    <row r="69" spans="2:3" ht="15" customHeight="1" x14ac:dyDescent="0.25">
      <c r="B69" s="137">
        <v>64</v>
      </c>
      <c r="C69" s="39" t="s">
        <v>243</v>
      </c>
    </row>
    <row r="70" spans="2:3" ht="15" customHeight="1" x14ac:dyDescent="0.25">
      <c r="B70" s="137">
        <v>65</v>
      </c>
      <c r="C70" s="39" t="s">
        <v>244</v>
      </c>
    </row>
    <row r="71" spans="2:3" ht="15" customHeight="1" x14ac:dyDescent="0.25">
      <c r="B71" s="137">
        <v>66</v>
      </c>
      <c r="C71" s="39" t="s">
        <v>245</v>
      </c>
    </row>
    <row r="72" spans="2:3" ht="15" customHeight="1" x14ac:dyDescent="0.25">
      <c r="B72" s="137">
        <v>67</v>
      </c>
      <c r="C72" s="39" t="s">
        <v>246</v>
      </c>
    </row>
    <row r="73" spans="2:3" ht="15" customHeight="1" x14ac:dyDescent="0.25">
      <c r="B73" s="137">
        <v>68</v>
      </c>
      <c r="C73" s="39" t="s">
        <v>247</v>
      </c>
    </row>
    <row r="74" spans="2:3" ht="15" customHeight="1" x14ac:dyDescent="0.25">
      <c r="B74" s="137">
        <v>69</v>
      </c>
      <c r="C74" s="39" t="s">
        <v>248</v>
      </c>
    </row>
    <row r="75" spans="2:3" ht="15" customHeight="1" x14ac:dyDescent="0.25">
      <c r="B75" s="137">
        <v>70</v>
      </c>
      <c r="C75" s="39" t="s">
        <v>249</v>
      </c>
    </row>
    <row r="76" spans="2:3" ht="15" customHeight="1" x14ac:dyDescent="0.25">
      <c r="B76" s="137">
        <v>71</v>
      </c>
      <c r="C76" s="39" t="s">
        <v>250</v>
      </c>
    </row>
    <row r="77" spans="2:3" ht="15" customHeight="1" x14ac:dyDescent="0.25">
      <c r="B77" s="137">
        <v>72</v>
      </c>
      <c r="C77" s="39" t="s">
        <v>251</v>
      </c>
    </row>
    <row r="78" spans="2:3" ht="15" customHeight="1" x14ac:dyDescent="0.25">
      <c r="B78" s="137">
        <v>73</v>
      </c>
      <c r="C78" s="39" t="s">
        <v>252</v>
      </c>
    </row>
    <row r="79" spans="2:3" ht="15" customHeight="1" x14ac:dyDescent="0.25">
      <c r="B79" s="137">
        <v>74</v>
      </c>
      <c r="C79" s="39" t="s">
        <v>253</v>
      </c>
    </row>
    <row r="80" spans="2:3" ht="15" customHeight="1" x14ac:dyDescent="0.25">
      <c r="B80" s="137">
        <v>75</v>
      </c>
      <c r="C80" s="39" t="s">
        <v>254</v>
      </c>
    </row>
    <row r="81" spans="2:3" ht="15" customHeight="1" x14ac:dyDescent="0.25">
      <c r="B81" s="137">
        <v>76</v>
      </c>
      <c r="C81" s="39" t="s">
        <v>255</v>
      </c>
    </row>
    <row r="82" spans="2:3" ht="15" customHeight="1" x14ac:dyDescent="0.25">
      <c r="B82" s="137">
        <v>77</v>
      </c>
      <c r="C82" s="39" t="s">
        <v>256</v>
      </c>
    </row>
    <row r="83" spans="2:3" ht="15" customHeight="1" x14ac:dyDescent="0.25">
      <c r="B83" s="137">
        <v>78</v>
      </c>
      <c r="C83" s="39" t="s">
        <v>257</v>
      </c>
    </row>
    <row r="84" spans="2:3" ht="15" customHeight="1" x14ac:dyDescent="0.25">
      <c r="B84" s="137">
        <v>79</v>
      </c>
      <c r="C84" s="39" t="s">
        <v>258</v>
      </c>
    </row>
    <row r="85" spans="2:3" ht="15" customHeight="1" x14ac:dyDescent="0.25">
      <c r="B85" s="137">
        <v>80</v>
      </c>
      <c r="C85" s="39" t="s">
        <v>259</v>
      </c>
    </row>
    <row r="86" spans="2:3" ht="15" customHeight="1" x14ac:dyDescent="0.25">
      <c r="B86" s="137">
        <v>81</v>
      </c>
      <c r="C86" s="39" t="s">
        <v>260</v>
      </c>
    </row>
    <row r="87" spans="2:3" ht="15" customHeight="1" x14ac:dyDescent="0.25">
      <c r="B87" s="137">
        <v>82</v>
      </c>
      <c r="C87" s="39" t="s">
        <v>261</v>
      </c>
    </row>
    <row r="88" spans="2:3" ht="15" customHeight="1" x14ac:dyDescent="0.25">
      <c r="B88" s="137">
        <v>83</v>
      </c>
      <c r="C88" s="39" t="s">
        <v>262</v>
      </c>
    </row>
    <row r="89" spans="2:3" ht="15" customHeight="1" x14ac:dyDescent="0.25">
      <c r="B89" s="137">
        <v>84</v>
      </c>
      <c r="C89" s="39" t="s">
        <v>263</v>
      </c>
    </row>
    <row r="90" spans="2:3" ht="15" customHeight="1" x14ac:dyDescent="0.25">
      <c r="B90" s="137">
        <v>85</v>
      </c>
      <c r="C90" s="39" t="s">
        <v>264</v>
      </c>
    </row>
    <row r="91" spans="2:3" ht="15" customHeight="1" x14ac:dyDescent="0.25">
      <c r="B91" s="137">
        <v>86</v>
      </c>
      <c r="C91" s="39" t="s">
        <v>265</v>
      </c>
    </row>
    <row r="92" spans="2:3" ht="15" customHeight="1" x14ac:dyDescent="0.25">
      <c r="B92" s="137">
        <v>87</v>
      </c>
      <c r="C92" s="39" t="s">
        <v>266</v>
      </c>
    </row>
    <row r="93" spans="2:3" ht="15" customHeight="1" x14ac:dyDescent="0.25">
      <c r="B93" s="137">
        <v>88</v>
      </c>
      <c r="C93" s="39" t="s">
        <v>267</v>
      </c>
    </row>
    <row r="94" spans="2:3" ht="15" customHeight="1" x14ac:dyDescent="0.25">
      <c r="B94" s="137">
        <v>89</v>
      </c>
      <c r="C94" s="39" t="s">
        <v>268</v>
      </c>
    </row>
    <row r="95" spans="2:3" ht="15" customHeight="1" x14ac:dyDescent="0.25">
      <c r="B95" s="137">
        <v>90</v>
      </c>
      <c r="C95" s="39" t="s">
        <v>269</v>
      </c>
    </row>
    <row r="96" spans="2:3" ht="15" customHeight="1" x14ac:dyDescent="0.25">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271</v>
      </c>
    </row>
    <row r="4" spans="1:12" ht="5.0999999999999996" customHeight="1" x14ac:dyDescent="0.3"/>
    <row r="5" spans="1:12" x14ac:dyDescent="0.3">
      <c r="B5" s="419" t="s">
        <v>272</v>
      </c>
      <c r="C5" s="419"/>
      <c r="E5" s="419" t="s">
        <v>273</v>
      </c>
      <c r="F5" s="419"/>
    </row>
    <row r="6" spans="1:12" x14ac:dyDescent="0.3">
      <c r="B6" s="136"/>
      <c r="C6" s="136" t="s">
        <v>274</v>
      </c>
      <c r="E6" s="136"/>
      <c r="F6" s="136" t="s">
        <v>274</v>
      </c>
    </row>
    <row r="7" spans="1:12" x14ac:dyDescent="0.3">
      <c r="B7" s="134">
        <v>1</v>
      </c>
      <c r="C7" s="135" t="s">
        <v>275</v>
      </c>
      <c r="E7" s="134">
        <v>1</v>
      </c>
      <c r="F7" s="135" t="s">
        <v>275</v>
      </c>
      <c r="H7" s="190" t="s">
        <v>14</v>
      </c>
      <c r="I7" s="420" t="s">
        <v>276</v>
      </c>
      <c r="J7" s="420"/>
      <c r="K7" s="420"/>
      <c r="L7" s="420"/>
    </row>
    <row r="8" spans="1:12" x14ac:dyDescent="0.3">
      <c r="B8" s="38">
        <v>2</v>
      </c>
      <c r="C8" s="39" t="s">
        <v>277</v>
      </c>
      <c r="E8" s="38">
        <v>2</v>
      </c>
      <c r="F8" s="39" t="s">
        <v>277</v>
      </c>
      <c r="H8" s="191"/>
      <c r="I8" s="420"/>
      <c r="J8" s="420"/>
      <c r="K8" s="420"/>
      <c r="L8" s="420"/>
    </row>
    <row r="9" spans="1:12" x14ac:dyDescent="0.3">
      <c r="B9" s="38">
        <v>3</v>
      </c>
      <c r="C9" s="39" t="s">
        <v>278</v>
      </c>
      <c r="E9" s="38">
        <v>3</v>
      </c>
      <c r="F9" s="39" t="s">
        <v>278</v>
      </c>
      <c r="H9" s="191"/>
      <c r="I9" s="420"/>
      <c r="J9" s="420"/>
      <c r="K9" s="420"/>
      <c r="L9" s="420"/>
    </row>
    <row r="10" spans="1:12" x14ac:dyDescent="0.3">
      <c r="B10" s="38">
        <v>4</v>
      </c>
      <c r="C10" s="39" t="s">
        <v>279</v>
      </c>
      <c r="E10" s="38">
        <v>4</v>
      </c>
      <c r="F10" s="39" t="s">
        <v>279</v>
      </c>
      <c r="H10" s="192"/>
      <c r="I10" s="420"/>
      <c r="J10" s="420"/>
      <c r="K10" s="420"/>
      <c r="L10" s="420"/>
    </row>
    <row r="11" spans="1:12" x14ac:dyDescent="0.3">
      <c r="B11" s="38">
        <v>5</v>
      </c>
      <c r="C11" s="39" t="s">
        <v>280</v>
      </c>
      <c r="E11" s="38">
        <v>5</v>
      </c>
      <c r="F11" s="39" t="s">
        <v>280</v>
      </c>
      <c r="H11" s="191"/>
      <c r="I11" s="420"/>
      <c r="J11" s="420"/>
      <c r="K11" s="420"/>
      <c r="L11" s="420"/>
    </row>
    <row r="12" spans="1:12" x14ac:dyDescent="0.3">
      <c r="B12" s="38">
        <v>6</v>
      </c>
      <c r="C12" s="39" t="s">
        <v>281</v>
      </c>
      <c r="E12" s="38">
        <v>6</v>
      </c>
      <c r="F12" s="39" t="s">
        <v>281</v>
      </c>
      <c r="H12" s="191"/>
      <c r="I12" s="420"/>
      <c r="J12" s="420"/>
      <c r="K12" s="420"/>
      <c r="L12" s="420"/>
    </row>
    <row r="13" spans="1:12" x14ac:dyDescent="0.3">
      <c r="B13" s="38">
        <v>7</v>
      </c>
      <c r="C13" s="39" t="s">
        <v>282</v>
      </c>
      <c r="E13" s="38">
        <v>7</v>
      </c>
      <c r="F13" s="39" t="s">
        <v>282</v>
      </c>
      <c r="H13" s="191"/>
      <c r="I13" s="420"/>
      <c r="J13" s="420"/>
      <c r="K13" s="420"/>
      <c r="L13" s="420"/>
    </row>
    <row r="14" spans="1:12" x14ac:dyDescent="0.3">
      <c r="B14" s="38">
        <v>8</v>
      </c>
      <c r="C14" s="39" t="s">
        <v>283</v>
      </c>
      <c r="E14" s="38">
        <v>8</v>
      </c>
      <c r="F14" s="39" t="s">
        <v>283</v>
      </c>
      <c r="H14" s="191"/>
      <c r="I14" s="420"/>
      <c r="J14" s="420"/>
      <c r="K14" s="420"/>
      <c r="L14" s="420"/>
    </row>
    <row r="15" spans="1:12" x14ac:dyDescent="0.3">
      <c r="B15" s="38">
        <v>9</v>
      </c>
      <c r="C15" s="39"/>
      <c r="E15" s="38">
        <v>9</v>
      </c>
      <c r="F15" s="39"/>
      <c r="H15" s="191"/>
      <c r="I15" s="420"/>
      <c r="J15" s="420"/>
      <c r="K15" s="420"/>
      <c r="L15" s="420"/>
    </row>
    <row r="16" spans="1:12" x14ac:dyDescent="0.3">
      <c r="B16" s="38">
        <v>10</v>
      </c>
      <c r="C16" s="39"/>
      <c r="E16" s="38">
        <v>10</v>
      </c>
      <c r="F16" s="39"/>
      <c r="H16" s="190" t="s">
        <v>14</v>
      </c>
      <c r="I16" s="420" t="s">
        <v>284</v>
      </c>
      <c r="J16" s="420"/>
      <c r="K16" s="420"/>
      <c r="L16" s="420"/>
    </row>
    <row r="17" spans="2:12" x14ac:dyDescent="0.3">
      <c r="B17" s="38">
        <v>11</v>
      </c>
      <c r="C17" s="39"/>
      <c r="E17" s="38">
        <v>11</v>
      </c>
      <c r="F17" s="39"/>
      <c r="H17" s="191"/>
      <c r="I17" s="420"/>
      <c r="J17" s="420"/>
      <c r="K17" s="420"/>
      <c r="L17" s="420"/>
    </row>
    <row r="18" spans="2:12" x14ac:dyDescent="0.3">
      <c r="H18" s="191"/>
      <c r="I18" s="420"/>
      <c r="J18" s="420"/>
      <c r="K18" s="420"/>
      <c r="L18" s="420"/>
    </row>
    <row r="19" spans="2:12" x14ac:dyDescent="0.3">
      <c r="H19" s="191"/>
      <c r="I19" s="420"/>
      <c r="J19" s="420"/>
      <c r="K19" s="420"/>
      <c r="L19" s="420"/>
    </row>
    <row r="20" spans="2:12" x14ac:dyDescent="0.3">
      <c r="H20" s="191"/>
      <c r="I20" s="420"/>
      <c r="J20" s="420"/>
      <c r="K20" s="420"/>
      <c r="L20" s="420"/>
    </row>
    <row r="21" spans="2:12" x14ac:dyDescent="0.3">
      <c r="H21" s="191"/>
      <c r="I21" s="420"/>
      <c r="J21" s="420"/>
      <c r="K21" s="420"/>
      <c r="L21" s="420"/>
    </row>
    <row r="22" spans="2:12" x14ac:dyDescent="0.3">
      <c r="H22" s="191"/>
      <c r="I22" s="420"/>
      <c r="J22" s="420"/>
      <c r="K22" s="420"/>
      <c r="L22" s="420"/>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2024-06-19T21:01:32Z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