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https://avinor-my.sharepoint.com/personal/joakim_lund_avinor_no/Documents/Dokumenter/EuroPrediction/"/>
    </mc:Choice>
  </mc:AlternateContent>
  <xr:revisionPtr revIDLastSave="4" documentId="13_ncr:1_{5B0BA8E9-3A93-46DD-8A3A-946421113F67}" xr6:coauthVersionLast="47" xr6:coauthVersionMax="47" xr10:uidLastSave="{C5173CF8-7F41-4416-A390-44079078558E}"/>
  <workbookProtection workbookAlgorithmName="SHA-512" workbookHashValue="hCBMdfbWOkbA/VAq8+TdNnNn6yDZkrM9rj0MksObCHvCY7TT/LAWrr57exTZXhvv70BMSwUTbrrDEaKVnEviRw==" workbookSaltValue="959trsHucnJJG857LOUScQ==" workbookSpinCount="100000" lockStructure="1"/>
  <bookViews>
    <workbookView xWindow="3468" yWindow="1668" windowWidth="18432" windowHeight="9768" firstSheet="1"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CM27" i="28"/>
  <c r="AF29" i="28" l="1"/>
  <c r="AZ33" i="28"/>
  <c r="AY33" i="28" s="1"/>
  <c r="AZ37" i="28"/>
  <c r="AY37" i="28" s="1"/>
  <c r="AF17" i="28"/>
  <c r="V21" i="28"/>
  <c r="BJ15" i="28"/>
  <c r="BI15" i="28" s="1"/>
  <c r="BT33" i="28"/>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D12" i="28"/>
  <c r="CC12" i="28" s="1"/>
  <c r="CN14" i="28"/>
  <c r="CM14" i="28" s="1"/>
  <c r="CN22" i="28"/>
  <c r="CM22" i="28" s="1"/>
  <c r="CN32" i="28"/>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CM32" i="28"/>
  <c r="BS33"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CW10"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R24" i="2" s="1"/>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19" i="2" l="1"/>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P34" i="2" s="1"/>
  <c r="ALN29" i="2"/>
  <c r="ALN10" i="2"/>
  <c r="ALN35" i="2"/>
  <c r="ALN21" i="2"/>
  <c r="ALM4" i="2"/>
  <c r="ALN8" i="2"/>
  <c r="ALP8" i="2" s="1"/>
  <c r="ALN33" i="2"/>
  <c r="ALM20" i="2"/>
  <c r="ALM3" i="2"/>
  <c r="ALN20" i="2"/>
  <c r="ALN3" i="2"/>
  <c r="ALM33" i="2"/>
  <c r="ALN19" i="2"/>
  <c r="ALN11" i="2"/>
  <c r="ALM32" i="2"/>
  <c r="ALM19" i="2"/>
  <c r="ALN23" i="2"/>
  <c r="ALN18" i="2"/>
  <c r="ALN6" i="2"/>
  <c r="ALN31" i="2"/>
  <c r="ALM6" i="2"/>
  <c r="ALM31" i="2"/>
  <c r="ALM16" i="2"/>
  <c r="ALN9" i="2"/>
  <c r="ALM30" i="2"/>
  <c r="ALN15" i="2"/>
  <c r="ALM29" i="2"/>
  <c r="ALM15" i="2"/>
  <c r="ALP15" i="2" s="1"/>
  <c r="ALN32" i="2"/>
  <c r="ALN27" i="2"/>
  <c r="ALN13" i="2"/>
  <c r="ALN36" i="2"/>
  <c r="ALN28" i="2"/>
  <c r="ALN38" i="2"/>
  <c r="ALN14" i="2"/>
  <c r="ALM27" i="2"/>
  <c r="ALM14" i="2"/>
  <c r="ALM12" i="2"/>
  <c r="ALP12" i="2" s="1"/>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33" i="2" l="1"/>
  <c r="ALP37"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N33" i="2" s="1"/>
  <c r="AQL13" i="2"/>
  <c r="AQL18" i="2"/>
  <c r="AQL6" i="2"/>
  <c r="AQK32" i="2"/>
  <c r="AQK13" i="2"/>
  <c r="AQK18" i="2"/>
  <c r="AQK6" i="2"/>
  <c r="AQL31" i="2"/>
  <c r="AQL29" i="2"/>
  <c r="AQL11" i="2"/>
  <c r="AQL9" i="2"/>
  <c r="AQK29" i="2"/>
  <c r="AQN29" i="2" s="1"/>
  <c r="AQK11" i="2"/>
  <c r="AQL21" i="2"/>
  <c r="AQK28" i="2"/>
  <c r="AQK9" i="2"/>
  <c r="AQL38" i="2"/>
  <c r="AQL32" i="2"/>
  <c r="AQN32" i="2" s="1"/>
  <c r="AQL30" i="2"/>
  <c r="AQL16" i="2"/>
  <c r="AQL7" i="2"/>
  <c r="AQL25" i="2"/>
  <c r="AQK8" i="2"/>
  <c r="AQK38" i="2"/>
  <c r="AQK30" i="2"/>
  <c r="AQK16" i="2"/>
  <c r="AQN16" i="2" s="1"/>
  <c r="AQK24" i="2"/>
  <c r="AQN24" i="2" s="1"/>
  <c r="AQL26" i="2"/>
  <c r="AQL14" i="2"/>
  <c r="AQL12" i="2"/>
  <c r="AQK4" i="2"/>
  <c r="AQL23" i="2"/>
  <c r="AQK26" i="2"/>
  <c r="AQN26" i="2" s="1"/>
  <c r="AQK7" i="2"/>
  <c r="AQN7" i="2" s="1"/>
  <c r="AQL36" i="2"/>
  <c r="AQK12" i="2"/>
  <c r="AQL5" i="2"/>
  <c r="AQL28" i="2"/>
  <c r="AQL4" i="2"/>
  <c r="AQK25" i="2"/>
  <c r="AQK37" i="2"/>
  <c r="AQN15" i="2"/>
  <c r="AQK17" i="2"/>
  <c r="AQN17" i="2" s="1"/>
  <c r="AQK27" i="2"/>
  <c r="AQK35" i="2"/>
  <c r="AQK3" i="2"/>
  <c r="AQN3" i="2" s="1"/>
  <c r="AQK23" i="2"/>
  <c r="AQK19" i="2"/>
  <c r="AQN25"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4" i="2" l="1"/>
  <c r="AQN12" i="2"/>
  <c r="AQN28" i="2"/>
  <c r="AQN6" i="2"/>
  <c r="AQN18" i="2"/>
  <c r="AQN14" i="2"/>
  <c r="AQN8" i="2"/>
  <c r="AQN10"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L22" i="2" s="1"/>
  <c r="AVI10" i="2"/>
  <c r="AVL10" i="2" s="1"/>
  <c r="AVJ5" i="2"/>
  <c r="AVI23" i="2"/>
  <c r="AVJ20" i="2"/>
  <c r="AVJ8" i="2"/>
  <c r="AVI21" i="2"/>
  <c r="AVI20" i="2"/>
  <c r="AVJ13" i="2"/>
  <c r="AVI8" i="2"/>
  <c r="AVJ18" i="2"/>
  <c r="AVJ6" i="2"/>
  <c r="AVJ17" i="2"/>
  <c r="AVJ25" i="2"/>
  <c r="AVI18" i="2"/>
  <c r="AVI6" i="2"/>
  <c r="AVL6" i="2" s="1"/>
  <c r="AVI17" i="2"/>
  <c r="AVL17" i="2" s="1"/>
  <c r="AVJ15" i="2"/>
  <c r="AVJ37" i="2"/>
  <c r="AVI37" i="2"/>
  <c r="AVI13" i="2"/>
  <c r="AVJ38" i="2"/>
  <c r="AVJ32" i="2"/>
  <c r="AVJ30" i="2"/>
  <c r="AVJ21" i="2"/>
  <c r="AVJ16" i="2"/>
  <c r="AVJ35" i="2"/>
  <c r="AVJ11" i="2"/>
  <c r="AVI38" i="2"/>
  <c r="AVI32" i="2"/>
  <c r="AVI30" i="2"/>
  <c r="AVL30" i="2" s="1"/>
  <c r="AVI16" i="2"/>
  <c r="AVJ7" i="2"/>
  <c r="AVI33" i="2"/>
  <c r="AVI11" i="2"/>
  <c r="AVL11" i="2" s="1"/>
  <c r="AVJ36" i="2"/>
  <c r="AVJ28" i="2"/>
  <c r="AVJ19" i="2"/>
  <c r="AVJ4" i="2"/>
  <c r="AVJ29" i="2"/>
  <c r="AVJ9" i="2"/>
  <c r="AVI36" i="2"/>
  <c r="AVI28" i="2"/>
  <c r="AVJ26" i="2"/>
  <c r="AVJ14" i="2"/>
  <c r="AVJ12" i="2"/>
  <c r="AVI4" i="2"/>
  <c r="AVJ27" i="2"/>
  <c r="AVI7" i="2"/>
  <c r="AVJ34" i="2"/>
  <c r="AVJ24" i="2"/>
  <c r="AVI26" i="2"/>
  <c r="AVL26" i="2" s="1"/>
  <c r="AVI14" i="2"/>
  <c r="AVI12" i="2"/>
  <c r="AVL12" i="2" s="1"/>
  <c r="AVI24" i="2"/>
  <c r="AVI34" i="2"/>
  <c r="AVI29" i="2"/>
  <c r="AVL29" i="2" s="1"/>
  <c r="AVI5" i="2"/>
  <c r="AVI15" i="2"/>
  <c r="AVI9" i="2"/>
  <c r="AVI27" i="2"/>
  <c r="AVI19" i="2"/>
  <c r="AVI35" i="2"/>
  <c r="AVI31" i="2"/>
  <c r="AVL31" i="2" s="1"/>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4" i="2" l="1"/>
  <c r="AVL32" i="2"/>
  <c r="AVL20"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BQ13" i="2"/>
  <c r="AY39" i="2"/>
  <c r="AX39" i="2"/>
  <c r="AW39" i="2"/>
  <c r="AW33" i="2"/>
  <c r="AY33" i="2"/>
  <c r="GP6" i="2"/>
  <c r="GO6" i="2"/>
  <c r="GQ6" i="2"/>
  <c r="FA19" i="2"/>
  <c r="FC19" i="2"/>
  <c r="FB19" i="2"/>
  <c r="EN20" i="2"/>
  <c r="ES20" i="2" s="1"/>
  <c r="EP5" i="2"/>
  <c r="GG7" i="2" s="1"/>
  <c r="GL6" i="2" s="1"/>
  <c r="CI34" i="2"/>
  <c r="Q39" i="2"/>
  <c r="Q40" i="2" s="1"/>
  <c r="AO38" i="2"/>
  <c r="CI40" i="2"/>
  <c r="CJ28" i="2"/>
  <c r="CN28" i="2" s="1"/>
  <c r="CJ14" i="2"/>
  <c r="CN14" i="2" s="1"/>
  <c r="P13" i="2"/>
  <c r="P14" i="2" s="1"/>
  <c r="S12" i="2"/>
  <c r="Q6" i="2"/>
  <c r="Q7" i="2" s="1"/>
  <c r="CC7" i="2"/>
  <c r="AO5" i="2"/>
  <c r="S19" i="2"/>
  <c r="CC21" i="2"/>
  <c r="BR39" i="2" l="1"/>
  <c r="R38" i="2"/>
  <c r="R39" i="2" s="1"/>
  <c r="TJ25" i="2"/>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JN38" i="2"/>
  <c r="JN39" i="2" s="1"/>
  <c r="TJ18" i="2"/>
  <c r="VA20" i="2" s="1"/>
  <c r="VJ20" i="2" s="1"/>
  <c r="U11" i="2"/>
  <c r="BS39" i="2"/>
  <c r="PS5" i="2"/>
  <c r="PQ5" i="2"/>
  <c r="OK5" i="2"/>
  <c r="OK6" i="2" s="1"/>
  <c r="OK7" i="2" s="1"/>
  <c r="AO32" i="2"/>
  <c r="AY32" i="2" s="1"/>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21" i="2"/>
  <c r="U21" i="2" s="1"/>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R33" i="2"/>
  <c r="BM33" i="2"/>
  <c r="BJ33" i="2"/>
  <c r="BK33" i="2"/>
  <c r="BL33" i="2"/>
  <c r="AE20" i="2"/>
  <c r="AD20" i="2"/>
  <c r="AC20"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E11" i="2"/>
  <c r="AD11" i="2"/>
  <c r="AC11" i="2"/>
  <c r="AC31" i="2"/>
  <c r="AE31" i="2"/>
  <c r="AD31" i="2"/>
  <c r="AY38" i="2"/>
  <c r="AX38" i="2"/>
  <c r="AW38" i="2"/>
  <c r="BL14" i="2"/>
  <c r="AW34" i="2"/>
  <c r="BS34" i="2"/>
  <c r="BM34" i="2"/>
  <c r="BR34" i="2"/>
  <c r="BL34" i="2"/>
  <c r="BQ34" i="2"/>
  <c r="BK34" i="2"/>
  <c r="BN34" i="2"/>
  <c r="BJ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AX32" i="2" l="1"/>
  <c r="AW32" i="2"/>
  <c r="AT32" i="2"/>
  <c r="AR32" i="2"/>
  <c r="Q34" i="2"/>
  <c r="AR33" i="2"/>
  <c r="AP32" i="2"/>
  <c r="AQ34" i="2"/>
  <c r="LE40" i="2"/>
  <c r="LG39" i="2" s="1"/>
  <c r="AS32" i="2"/>
  <c r="BK14" i="2"/>
  <c r="AT33" i="2"/>
  <c r="AR34" i="2"/>
  <c r="BQ14" i="2"/>
  <c r="AX34" i="2"/>
  <c r="AS34" i="2"/>
  <c r="AU34" i="2" s="1"/>
  <c r="BJ13" i="2"/>
  <c r="BM14" i="2"/>
  <c r="AY34" i="2"/>
  <c r="AS33" i="2"/>
  <c r="AQ33" i="2"/>
  <c r="BS14" i="2"/>
  <c r="AP34" i="2"/>
  <c r="AT34" i="2"/>
  <c r="AP33" i="2"/>
  <c r="BN13" i="2"/>
  <c r="BN14" i="2"/>
  <c r="BR14" i="2"/>
  <c r="BK13" i="2"/>
  <c r="AQ32" i="2"/>
  <c r="BJ14" i="2"/>
  <c r="BM13" i="2"/>
  <c r="BO13" i="2" s="1"/>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O7" i="2" s="1"/>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JM33" i="2"/>
  <c r="KK34" i="2" s="1"/>
  <c r="P39" i="2"/>
  <c r="P40" i="2" s="1"/>
  <c r="U40" i="2" s="1"/>
  <c r="FN33" i="2"/>
  <c r="FR38" i="2"/>
  <c r="FN38" i="2"/>
  <c r="FU40" i="2"/>
  <c r="FQ32" i="2"/>
  <c r="KN19" i="2"/>
  <c r="KO21" i="2"/>
  <c r="KS21" i="2"/>
  <c r="KM20" i="2"/>
  <c r="JM21" i="2"/>
  <c r="KL19" i="2"/>
  <c r="KT21" i="2"/>
  <c r="KL21" i="2"/>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I28" i="2"/>
  <c r="OK28"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40" i="2"/>
  <c r="FX40" i="2" s="1"/>
  <c r="KT39" i="2"/>
  <c r="KU39" i="2"/>
  <c r="KS39" i="2"/>
  <c r="KT33" i="2"/>
  <c r="KS33" i="2"/>
  <c r="KU33" i="2"/>
  <c r="X20" i="2"/>
  <c r="LI20" i="2"/>
  <c r="LN21" i="2"/>
  <c r="LH21" i="2"/>
  <c r="LG20" i="2"/>
  <c r="LH20" i="2"/>
  <c r="LM21" i="2"/>
  <c r="LI21" i="2"/>
  <c r="LF20" i="2"/>
  <c r="LJ21" i="2"/>
  <c r="LF21" i="2"/>
  <c r="LO21" i="2"/>
  <c r="LG21" i="2"/>
  <c r="LJ20" i="2"/>
  <c r="EU19" i="2"/>
  <c r="AX14"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C6"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AC27"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AU32" i="2"/>
  <c r="CI21" i="2"/>
  <c r="CI7" i="2"/>
  <c r="BP21" i="2"/>
  <c r="BT21" i="2" s="1"/>
  <c r="BP20" i="2"/>
  <c r="BT20" i="2" s="1"/>
  <c r="BO34" i="2"/>
  <c r="BO33" i="2"/>
  <c r="AU33" i="2"/>
  <c r="U34" i="2"/>
  <c r="BO6" i="2" l="1"/>
  <c r="FT34" i="2"/>
  <c r="FX34" i="2" s="1"/>
  <c r="KR21" i="2"/>
  <c r="PR7" i="2"/>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YG7" i="2" s="1"/>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Q28" i="2"/>
  <c r="AP27" i="2"/>
  <c r="Y27" i="2"/>
  <c r="AS28" i="2"/>
  <c r="Z28" i="2"/>
  <c r="Z27" i="2"/>
  <c r="AE27" i="2"/>
  <c r="AX28" i="2"/>
  <c r="AT28" i="2"/>
  <c r="V28" i="2"/>
  <c r="AP26" i="2"/>
  <c r="AS26" i="2"/>
  <c r="X27" i="2"/>
  <c r="AY28" i="2"/>
  <c r="AW28" i="2"/>
  <c r="X28" i="2"/>
  <c r="AS27" i="2"/>
  <c r="X25" i="2"/>
  <c r="Z26" i="2"/>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U12" i="2" s="1"/>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AB26" i="2" s="1"/>
  <c r="AF26" i="2" s="1"/>
  <c r="BP39" i="2"/>
  <c r="BT39" i="2" s="1"/>
  <c r="BO28" i="2"/>
  <c r="UG40" i="2"/>
  <c r="UG21" i="2"/>
  <c r="AMW21" i="2"/>
  <c r="EW11" i="2"/>
  <c r="EX11" i="2"/>
  <c r="U39" i="2"/>
  <c r="W38" i="2" s="1"/>
  <c r="KQ21" i="2"/>
  <c r="KR20" i="2"/>
  <c r="KV20" i="2" s="1"/>
  <c r="AV40" i="2"/>
  <c r="AZ40" i="2" s="1"/>
  <c r="AV38" i="2"/>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ZZ21" i="2"/>
  <c r="AAI21" i="2"/>
  <c r="AAH21" i="2"/>
  <c r="AAG21" i="2"/>
  <c r="PJ12" i="2"/>
  <c r="PP12" i="2" s="1"/>
  <c r="PM39" i="2"/>
  <c r="ARQ53" i="2"/>
  <c r="ARS13" i="2" s="1"/>
  <c r="ARQ52" i="2"/>
  <c r="ARS12" i="2" s="1"/>
  <c r="ARQ51" i="2"/>
  <c r="ARS11" i="2" s="1"/>
  <c r="ARQ54" i="2"/>
  <c r="ARS14" i="2"/>
  <c r="AWN21" i="2"/>
  <c r="AWN13" i="2"/>
  <c r="AWO6" i="2"/>
  <c r="PM19" i="2"/>
  <c r="PJ13" i="2"/>
  <c r="PP13" i="2" s="1"/>
  <c r="AAB20" i="2"/>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ZE7" i="2"/>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AZ38" i="2"/>
  <c r="EZ19" i="2"/>
  <c r="FD19" i="2" s="1"/>
  <c r="W32" i="2"/>
  <c r="LL21" i="2"/>
  <c r="LP21" i="2" s="1"/>
  <c r="LQ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X4" i="2"/>
  <c r="V4" i="2"/>
  <c r="W4" i="2"/>
  <c r="W31" i="2"/>
  <c r="Z37" i="2"/>
  <c r="AT19" i="2"/>
  <c r="AR19" i="2"/>
  <c r="AP19" i="2"/>
  <c r="AR20" i="2"/>
  <c r="AP20" i="2"/>
  <c r="AQ19" i="2"/>
  <c r="AS20" i="2"/>
  <c r="AS19" i="2"/>
  <c r="AQ20" i="2"/>
  <c r="AT20" i="2"/>
  <c r="Y5" i="2"/>
  <c r="Z31" i="2"/>
  <c r="Z5" i="2"/>
  <c r="X31" i="2"/>
  <c r="V32" i="2"/>
  <c r="W33" i="2"/>
  <c r="V6" i="2"/>
  <c r="W6" i="2"/>
  <c r="X32" i="2"/>
  <c r="W5" i="2"/>
  <c r="V31" i="2"/>
  <c r="Z32" i="2"/>
  <c r="V33" i="2"/>
  <c r="Y33" i="2"/>
  <c r="Z6" i="2"/>
  <c r="Y32" i="2"/>
  <c r="CE34" i="2"/>
  <c r="CD34" i="2"/>
  <c r="CF34" i="2"/>
  <c r="AE34" i="2"/>
  <c r="AD34" i="2"/>
  <c r="AC34" i="2"/>
  <c r="X34" i="2"/>
  <c r="W34" i="2"/>
  <c r="Z34" i="2"/>
  <c r="V34" i="2"/>
  <c r="Y34" i="2"/>
  <c r="AD7" i="2"/>
  <c r="X7" i="2"/>
  <c r="AE7" i="2"/>
  <c r="W7" i="2"/>
  <c r="Z7" i="2"/>
  <c r="V7" i="2"/>
  <c r="Y7" i="2"/>
  <c r="AY21" i="2"/>
  <c r="AS21" i="2"/>
  <c r="AX21" i="2"/>
  <c r="AR21" i="2"/>
  <c r="AW21" i="2"/>
  <c r="AQ21" i="2"/>
  <c r="AT21" i="2"/>
  <c r="AP21" i="2"/>
  <c r="AE40" i="2"/>
  <c r="AD40" i="2"/>
  <c r="AC40" i="2"/>
  <c r="Y39" i="2"/>
  <c r="AD39" i="2"/>
  <c r="X39" i="2"/>
  <c r="W39" i="2"/>
  <c r="EZ18" i="2"/>
  <c r="EY20" i="2"/>
  <c r="GY33" i="2"/>
  <c r="EY18" i="2"/>
  <c r="BX21" i="2"/>
  <c r="BW21" i="2"/>
  <c r="BZ21" i="2"/>
  <c r="BV21" i="2"/>
  <c r="BY21" i="2"/>
  <c r="BU21" i="2"/>
  <c r="BX20" i="2"/>
  <c r="BW20" i="2"/>
  <c r="BZ20" i="2"/>
  <c r="BV20" i="2"/>
  <c r="BY20" i="2"/>
  <c r="BU20" i="2"/>
  <c r="BO40" i="2"/>
  <c r="BO39" i="2"/>
  <c r="AV39" i="2"/>
  <c r="BP40" i="2"/>
  <c r="BT40" i="2" s="1"/>
  <c r="AU26" i="2"/>
  <c r="AU39" i="2"/>
  <c r="AU38" i="2"/>
  <c r="BP14" i="2"/>
  <c r="BT14" i="2" s="1"/>
  <c r="AU40" i="2"/>
  <c r="BP6" i="2"/>
  <c r="BT6" i="2" s="1"/>
  <c r="AA27" i="2"/>
  <c r="AV28" i="2"/>
  <c r="AZ28" i="2" s="1"/>
  <c r="BP13" i="2"/>
  <c r="BT13" i="2" s="1"/>
  <c r="AA19" i="2"/>
  <c r="BP7" i="2"/>
  <c r="BT7" i="2" s="1"/>
  <c r="AV7" i="2"/>
  <c r="AB14" i="2"/>
  <c r="AF14" i="2" s="1"/>
  <c r="AB21" i="2"/>
  <c r="AF21" i="2" s="1"/>
  <c r="AB27" i="2"/>
  <c r="AF27" i="2" s="1"/>
  <c r="AA20" i="2"/>
  <c r="AV27" i="2"/>
  <c r="AB19" i="2"/>
  <c r="AF19" i="2" s="1"/>
  <c r="AB18" i="2"/>
  <c r="AB20" i="2"/>
  <c r="AF20" i="2" s="1"/>
  <c r="AB13" i="2"/>
  <c r="AF13" i="2" s="1"/>
  <c r="AU5" i="2"/>
  <c r="AU6" i="2"/>
  <c r="AV6" i="2"/>
  <c r="AV5" i="2"/>
  <c r="AU7" i="2"/>
  <c r="AB11" i="2"/>
  <c r="AA13" i="2"/>
  <c r="AB12" i="2"/>
  <c r="AF12" i="2" s="1"/>
  <c r="AA26" i="2"/>
  <c r="AA12" i="2"/>
  <c r="AA11" i="2"/>
  <c r="AV33" i="2"/>
  <c r="AA14" i="2"/>
  <c r="AA21" i="2"/>
  <c r="AA28" i="2"/>
  <c r="CU14" i="2"/>
  <c r="CV14" i="2"/>
  <c r="CC30" i="2"/>
  <c r="AA25" i="2" l="1"/>
  <c r="AU28" i="2"/>
  <c r="FL74" i="2"/>
  <c r="FM74" i="2" s="1"/>
  <c r="FV74" i="2" s="1"/>
  <c r="JX25" i="2"/>
  <c r="KB25" i="2" s="1"/>
  <c r="AID18" i="2"/>
  <c r="AJU20" i="2" s="1"/>
  <c r="LK39" i="2"/>
  <c r="ZE14" i="2"/>
  <c r="ZW14" i="2" s="1"/>
  <c r="LK40" i="2"/>
  <c r="AB28" i="2"/>
  <c r="AF28" i="2" s="1"/>
  <c r="AIB31" i="2"/>
  <c r="AE39" i="2"/>
  <c r="Z4" i="2"/>
  <c r="Y6" i="2"/>
  <c r="AC39" i="2"/>
  <c r="V40" i="2"/>
  <c r="V38" i="2"/>
  <c r="Y40" i="2"/>
  <c r="Z40" i="2"/>
  <c r="Y38" i="2"/>
  <c r="V37" i="2"/>
  <c r="W40" i="2"/>
  <c r="AC7" i="2"/>
  <c r="V5" i="2"/>
  <c r="X40" i="2"/>
  <c r="X37" i="2"/>
  <c r="Y37" i="2"/>
  <c r="AA37" i="2" s="1"/>
  <c r="V39" i="2"/>
  <c r="X38" i="2"/>
  <c r="Z39" i="2"/>
  <c r="W37" i="2"/>
  <c r="X6" i="2"/>
  <c r="X5" i="2"/>
  <c r="Z38" i="2"/>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ZG6" i="2"/>
  <c r="ZW7" i="2"/>
  <c r="OW6" i="2"/>
  <c r="ZM20" i="2"/>
  <c r="JR38" i="2"/>
  <c r="ZM12" i="2"/>
  <c r="LL27" i="2"/>
  <c r="LP27" i="2" s="1"/>
  <c r="UJ21" i="2"/>
  <c r="ZR40" i="2"/>
  <c r="ZW40" i="2"/>
  <c r="YT38" i="2"/>
  <c r="YU31" i="2"/>
  <c r="ZO26" i="2"/>
  <c r="JT21" i="2"/>
  <c r="PO7" i="2"/>
  <c r="PH47" i="2" s="1"/>
  <c r="PI47" i="2" s="1"/>
  <c r="PS47" i="2" s="1"/>
  <c r="ZJ13" i="2"/>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AF21" i="2" s="1"/>
  <c r="AAJ21" i="2" s="1"/>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AID19" i="2"/>
  <c r="AID20" i="2" s="1"/>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V19" i="2"/>
  <c r="AZ19"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Z26" i="2"/>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ZF12"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ZG12"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ZH13"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ZI12" i="2"/>
  <c r="AA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ZH12"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ZF13" i="2"/>
  <c r="ZO14" i="2"/>
  <c r="ZJ14" i="2"/>
  <c r="ZI14" i="2"/>
  <c r="ZG14" i="2"/>
  <c r="ZF14" i="2"/>
  <c r="ZH14" i="2"/>
  <c r="ZM14" i="2"/>
  <c r="ZN14" i="2"/>
  <c r="BBL34" i="2"/>
  <c r="AWO61" i="2"/>
  <c r="TV40" i="2"/>
  <c r="TU40" i="2"/>
  <c r="TP40" i="2"/>
  <c r="TN40" i="2"/>
  <c r="TO40" i="2"/>
  <c r="TQ40" i="2"/>
  <c r="TW40" i="2"/>
  <c r="TR40" i="2"/>
  <c r="ADD33" i="2"/>
  <c r="ADI32" i="2"/>
  <c r="ZJ12" i="2"/>
  <c r="YN27" i="2"/>
  <c r="YP27" i="2"/>
  <c r="YU27" i="2"/>
  <c r="YL27" i="2"/>
  <c r="YM27" i="2"/>
  <c r="YO27" i="2"/>
  <c r="YS27" i="2"/>
  <c r="YT27" i="2"/>
  <c r="YN25" i="2"/>
  <c r="YO25" i="2"/>
  <c r="YM25" i="2"/>
  <c r="YL25" i="2"/>
  <c r="YP25" i="2"/>
  <c r="ZI13" i="2"/>
  <c r="BBL40" i="2"/>
  <c r="BBL39" i="2"/>
  <c r="BBM38" i="2"/>
  <c r="BBL6" i="2"/>
  <c r="ADI12" i="2"/>
  <c r="ADD13" i="2"/>
  <c r="ARU39" i="2"/>
  <c r="ARU40" i="2"/>
  <c r="ARU38" i="2"/>
  <c r="ARU37" i="2"/>
  <c r="AWQ31" i="2"/>
  <c r="OQ38" i="2"/>
  <c r="TN37" i="2"/>
  <c r="PO20" i="2"/>
  <c r="BBM27" i="2"/>
  <c r="ADD27" i="2"/>
  <c r="ADI26" i="2"/>
  <c r="FU74"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ZG13"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AIG31" i="2"/>
  <c r="AIB32"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KQ33" i="2"/>
  <c r="FO80" i="2"/>
  <c r="KQ34" i="2"/>
  <c r="KQ32" i="2"/>
  <c r="KR39" i="2"/>
  <c r="LQ27" i="2"/>
  <c r="LQ28" i="2"/>
  <c r="FY34" i="2"/>
  <c r="GA39" i="2"/>
  <c r="GC39" i="2"/>
  <c r="GB39" i="2"/>
  <c r="GD39" i="2"/>
  <c r="FY39" i="2"/>
  <c r="FZ39" i="2"/>
  <c r="GB34" i="2"/>
  <c r="GD34" i="2"/>
  <c r="GA34" i="2"/>
  <c r="GC34" i="2"/>
  <c r="GC40" i="2"/>
  <c r="GA38" i="2"/>
  <c r="FY38" i="2"/>
  <c r="FN80" i="2"/>
  <c r="AY78" i="2"/>
  <c r="AZ39" i="2"/>
  <c r="BA40" i="2" s="1"/>
  <c r="AN79" i="2"/>
  <c r="AO79" i="2" s="1"/>
  <c r="AS80" i="2" s="1"/>
  <c r="AZ33" i="2"/>
  <c r="AF11" i="2"/>
  <c r="AK14" i="2" s="1"/>
  <c r="T52" i="2"/>
  <c r="U52" i="2" s="1"/>
  <c r="T51" i="2"/>
  <c r="U51" i="2" s="1"/>
  <c r="T54" i="2"/>
  <c r="U54" i="2" s="1"/>
  <c r="T53" i="2"/>
  <c r="U53" i="2" s="1"/>
  <c r="AF25" i="2"/>
  <c r="AK27" i="2" s="1"/>
  <c r="T66" i="2"/>
  <c r="U66" i="2" s="1"/>
  <c r="T65" i="2"/>
  <c r="U65"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BB26" i="2"/>
  <c r="BB27" i="2"/>
  <c r="BF27"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37" i="2"/>
  <c r="AB6" i="2"/>
  <c r="AF6" i="2" s="1"/>
  <c r="AB7" i="2"/>
  <c r="AF7" i="2" s="1"/>
  <c r="AA33" i="2"/>
  <c r="BP34" i="2"/>
  <c r="BT34" i="2" s="1"/>
  <c r="BP33" i="2"/>
  <c r="BT33" i="2" s="1"/>
  <c r="AV32" i="2"/>
  <c r="BP27" i="2"/>
  <c r="BT27" i="2" s="1"/>
  <c r="AA5" i="2"/>
  <c r="AA4" i="2"/>
  <c r="AA40" i="2"/>
  <c r="AA31" i="2"/>
  <c r="AB39" i="2"/>
  <c r="AF39" i="2" s="1"/>
  <c r="AB34" i="2"/>
  <c r="AF34" i="2" s="1"/>
  <c r="AB40" i="2"/>
  <c r="AF40" i="2" s="1"/>
  <c r="AB38" i="2"/>
  <c r="AF38" i="2" s="1"/>
  <c r="AB33" i="2"/>
  <c r="AF33" i="2" s="1"/>
  <c r="AV34" i="2"/>
  <c r="AB32" i="2"/>
  <c r="AF32" i="2" s="1"/>
  <c r="AB31" i="2"/>
  <c r="BP28" i="2"/>
  <c r="BT28" i="2" s="1"/>
  <c r="AU20" i="2"/>
  <c r="AU21" i="2"/>
  <c r="AU19" i="2"/>
  <c r="AA7" i="2"/>
  <c r="AA32" i="2"/>
  <c r="AB5" i="2"/>
  <c r="AF5" i="2" s="1"/>
  <c r="AB4" i="2"/>
  <c r="AA39" i="2"/>
  <c r="AA34" i="2"/>
  <c r="CU21" i="2"/>
  <c r="CV21" i="2"/>
  <c r="AA38" i="2" l="1"/>
  <c r="FN74" i="2"/>
  <c r="FP74" i="2"/>
  <c r="FO74" i="2"/>
  <c r="VH21" i="2"/>
  <c r="VL21" i="2" s="1"/>
  <c r="PW47" i="2"/>
  <c r="UN34" i="2"/>
  <c r="UR34" i="2" s="1"/>
  <c r="AAF7" i="2"/>
  <c r="AAJ7" i="2" s="1"/>
  <c r="AAE6" i="2"/>
  <c r="AY53" i="2"/>
  <c r="PZ47" i="2"/>
  <c r="PQ47" i="2"/>
  <c r="PX47" i="2"/>
  <c r="PR47" i="2"/>
  <c r="PU47" i="2"/>
  <c r="QA47" i="2" s="1"/>
  <c r="PV47" i="2"/>
  <c r="PY47" i="2"/>
  <c r="ZK13" i="2"/>
  <c r="VM21" i="2"/>
  <c r="VG20" i="2"/>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AJU21" i="2"/>
  <c r="AJX20" i="2" s="1"/>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K21"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VM20"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ZL13" i="2"/>
  <c r="ZL12" i="2"/>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UN12" i="2"/>
  <c r="UR12" i="2" s="1"/>
  <c r="UN13" i="2"/>
  <c r="UR13" i="2" s="1"/>
  <c r="QU20"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PJ45" i="2"/>
  <c r="ADR11" i="2"/>
  <c r="ANA31" i="2"/>
  <c r="ADQ31" i="2"/>
  <c r="FV59" i="2"/>
  <c r="UN20" i="2"/>
  <c r="UR20" i="2" s="1"/>
  <c r="KU59" i="2"/>
  <c r="KM59" i="2"/>
  <c r="KS59" i="2"/>
  <c r="KE25" i="2"/>
  <c r="ADQ11" i="2"/>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L70" i="2"/>
  <c r="AEY33"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ZK14"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C27" i="2" s="1"/>
  <c r="AFF28" i="2"/>
  <c r="AEZ28" i="2"/>
  <c r="AFB28" i="2"/>
  <c r="AFE28" i="2"/>
  <c r="AFG28" i="2"/>
  <c r="AEX28" i="2"/>
  <c r="AFA28" i="2"/>
  <c r="AEY28" i="2"/>
  <c r="TS39" i="2"/>
  <c r="YT6" i="2"/>
  <c r="YU6" i="2"/>
  <c r="YS6" i="2"/>
  <c r="ADE28" i="2"/>
  <c r="AEC28" i="2"/>
  <c r="ZK12"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KC7" i="2"/>
  <c r="AKE7" i="2"/>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AW73" i="2"/>
  <c r="AY73" i="2"/>
  <c r="AX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Y67" i="2"/>
  <c r="W67" i="2"/>
  <c r="Z67" i="2"/>
  <c r="AE67" i="2"/>
  <c r="X67" i="2"/>
  <c r="V67" i="2"/>
  <c r="Z52" i="2"/>
  <c r="X52" i="2"/>
  <c r="V52" i="2"/>
  <c r="AE52" i="2"/>
  <c r="AD52" i="2"/>
  <c r="AC52" i="2"/>
  <c r="W52" i="2"/>
  <c r="Y52" i="2"/>
  <c r="X61" i="2"/>
  <c r="V58" i="2"/>
  <c r="Y58" i="2"/>
  <c r="AC58" i="2"/>
  <c r="AE58" i="2"/>
  <c r="T57" i="2"/>
  <c r="Z58" i="2"/>
  <c r="W58" i="2"/>
  <c r="X58" i="2"/>
  <c r="AD58" i="2"/>
  <c r="Z68" i="2"/>
  <c r="AE68" i="2"/>
  <c r="AC68" i="2"/>
  <c r="X68" i="2"/>
  <c r="W68" i="2"/>
  <c r="Y68" i="2"/>
  <c r="V68" i="2"/>
  <c r="AD68" i="2"/>
  <c r="AD53" i="2"/>
  <c r="W53" i="2"/>
  <c r="AE53" i="2"/>
  <c r="V53" i="2"/>
  <c r="AC53" i="2"/>
  <c r="Y53" i="2"/>
  <c r="X53" i="2"/>
  <c r="Z53" i="2"/>
  <c r="AN43" i="2"/>
  <c r="V59" i="2"/>
  <c r="W59" i="2"/>
  <c r="AC59" i="2"/>
  <c r="X59" i="2"/>
  <c r="Z59" i="2"/>
  <c r="AD59" i="2"/>
  <c r="AE59" i="2"/>
  <c r="Y59" i="2"/>
  <c r="AD65" i="2"/>
  <c r="W65" i="2"/>
  <c r="X65" i="2"/>
  <c r="AE65" i="2"/>
  <c r="AC65" i="2"/>
  <c r="Y65" i="2"/>
  <c r="Z65" i="2"/>
  <c r="V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AF37" i="2"/>
  <c r="AH38" i="2" s="1"/>
  <c r="T77" i="2"/>
  <c r="U77" i="2" s="1"/>
  <c r="T78" i="2"/>
  <c r="U78" i="2" s="1"/>
  <c r="T80" i="2"/>
  <c r="U80" i="2" s="1"/>
  <c r="T79" i="2"/>
  <c r="U79" i="2" s="1"/>
  <c r="W61" i="2"/>
  <c r="AC61" i="2"/>
  <c r="Z61" i="2"/>
  <c r="AD61" i="2"/>
  <c r="V61" i="2"/>
  <c r="AE61" i="2"/>
  <c r="Y61" i="2"/>
  <c r="W66" i="2"/>
  <c r="AD66" i="2"/>
  <c r="V66" i="2"/>
  <c r="X66" i="2"/>
  <c r="Z66" i="2"/>
  <c r="AC66" i="2"/>
  <c r="Y66" i="2"/>
  <c r="AE66" i="2"/>
  <c r="X51" i="2"/>
  <c r="AD51" i="2"/>
  <c r="AC51" i="2"/>
  <c r="Y51" i="2"/>
  <c r="V51" i="2"/>
  <c r="Z51" i="2"/>
  <c r="W51" i="2"/>
  <c r="AE51" i="2"/>
  <c r="FI12" i="2"/>
  <c r="FF31" i="2"/>
  <c r="FJ32" i="2"/>
  <c r="FI34" i="2"/>
  <c r="FL64" i="2"/>
  <c r="FH11" i="2"/>
  <c r="FG14" i="2"/>
  <c r="FE28" i="2"/>
  <c r="FG12" i="2"/>
  <c r="LW20" i="2"/>
  <c r="LX20" i="2" s="1"/>
  <c r="FJ11" i="2"/>
  <c r="FE12" i="2"/>
  <c r="FF11" i="2"/>
  <c r="FI11" i="2"/>
  <c r="FJ12" i="2"/>
  <c r="FT67" i="2"/>
  <c r="FX67"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F34" i="2"/>
  <c r="BE34" i="2"/>
  <c r="BD34" i="2"/>
  <c r="BB34" i="2"/>
  <c r="BA34" i="2"/>
  <c r="BC34" i="2"/>
  <c r="BD33" i="2"/>
  <c r="BC21" i="2"/>
  <c r="BE21" i="2"/>
  <c r="BF21" i="2"/>
  <c r="BB21" i="2"/>
  <c r="BB19" i="2"/>
  <c r="BF20" i="2"/>
  <c r="BC20" i="2"/>
  <c r="BC33" i="2"/>
  <c r="BE19" i="2"/>
  <c r="BB20" i="2"/>
  <c r="BE33" i="2"/>
  <c r="BD19" i="2"/>
  <c r="BE20" i="2"/>
  <c r="BC19" i="2"/>
  <c r="BC32" i="2"/>
  <c r="BB32" i="2"/>
  <c r="BD20" i="2"/>
  <c r="BB33"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T50" i="2" l="1"/>
  <c r="FT72" i="2"/>
  <c r="FX72" i="2" s="1"/>
  <c r="FT73" i="2"/>
  <c r="FX73" i="2" s="1"/>
  <c r="VN21" i="2"/>
  <c r="VP20" i="2"/>
  <c r="VR21" i="2"/>
  <c r="VO21" i="2"/>
  <c r="VP21" i="2"/>
  <c r="VN20" i="2"/>
  <c r="KR61" i="2"/>
  <c r="KV61" i="2" s="1"/>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YM13" i="2"/>
  <c r="AJV21" i="2"/>
  <c r="YO11" i="2"/>
  <c r="YP13" i="2"/>
  <c r="AKC21"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AJV20" i="2"/>
  <c r="FC54" i="2"/>
  <c r="EX52" i="2"/>
  <c r="AJZ21" i="2"/>
  <c r="AOG12" i="2"/>
  <c r="AJW21" i="2"/>
  <c r="AJX21" i="2"/>
  <c r="AJY21" i="2"/>
  <c r="AJW20" i="2"/>
  <c r="AKD21" i="2"/>
  <c r="AJY20" i="2"/>
  <c r="AKE21" i="2"/>
  <c r="AJZ20"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KB7" i="2" s="1"/>
  <c r="AKF7" i="2" s="1"/>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ZP12" i="2"/>
  <c r="ZD52" i="2"/>
  <c r="ZE52" i="2" s="1"/>
  <c r="ZP13" i="2"/>
  <c r="ZD53" i="2"/>
  <c r="ZE53" i="2" s="1"/>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V60" i="2" s="1"/>
  <c r="AZ60" i="2" s="1"/>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BE78"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FY45" i="2"/>
  <c r="FY46"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AEJ39" i="2" s="1"/>
  <c r="YZ26" i="2"/>
  <c r="ADD7" i="2"/>
  <c r="ADI7" i="2" s="1"/>
  <c r="ADI6" i="2"/>
  <c r="BBQ19" i="2"/>
  <c r="BBQ18" i="2"/>
  <c r="BBQ21" i="2"/>
  <c r="BBQ20" i="2"/>
  <c r="YY27" i="2"/>
  <c r="AIL12" i="2"/>
  <c r="AEE33" i="2"/>
  <c r="TQ44" i="2"/>
  <c r="AEG6" i="2"/>
  <c r="PD14" i="2"/>
  <c r="PC14" i="2"/>
  <c r="ZA28" i="2"/>
  <c r="BBQ37" i="2"/>
  <c r="ZA26" i="2"/>
  <c r="AU79" i="2"/>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FY74" i="2"/>
  <c r="BE80" i="2"/>
  <c r="BF80" i="2"/>
  <c r="BB80" i="2"/>
  <c r="BF79" i="2"/>
  <c r="BD80" i="2"/>
  <c r="BF78" i="2"/>
  <c r="BC78" i="2"/>
  <c r="BA78" i="2"/>
  <c r="BA79" i="2"/>
  <c r="BD78" i="2"/>
  <c r="BC80" i="2"/>
  <c r="BA80" i="2"/>
  <c r="BC79" i="2"/>
  <c r="BD79" i="2"/>
  <c r="BB79" i="2"/>
  <c r="BB78" i="2"/>
  <c r="AA53" i="2"/>
  <c r="AQ72" i="2"/>
  <c r="AR72" i="2"/>
  <c r="AT72" i="2"/>
  <c r="AP72" i="2"/>
  <c r="AX72" i="2"/>
  <c r="AS72" i="2"/>
  <c r="AY72" i="2"/>
  <c r="AW72" i="2"/>
  <c r="AT73" i="2"/>
  <c r="AN57" i="2"/>
  <c r="AQ73" i="2"/>
  <c r="AR73" i="2"/>
  <c r="AS74" i="2"/>
  <c r="AR74" i="2"/>
  <c r="AT74" i="2"/>
  <c r="AX74" i="2"/>
  <c r="AQ74" i="2"/>
  <c r="AP74" i="2"/>
  <c r="AW74" i="2"/>
  <c r="AY74" i="2"/>
  <c r="AP73" i="2"/>
  <c r="W79" i="2"/>
  <c r="AC79" i="2"/>
  <c r="AD79" i="2"/>
  <c r="Y79" i="2"/>
  <c r="Z79" i="2"/>
  <c r="X79" i="2"/>
  <c r="AE79" i="2"/>
  <c r="V79" i="2"/>
  <c r="Y44" i="2"/>
  <c r="AD44" i="2"/>
  <c r="Z44" i="2"/>
  <c r="X44" i="2"/>
  <c r="V44"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Z77" i="2"/>
  <c r="Y77" i="2"/>
  <c r="AE77" i="2"/>
  <c r="V77" i="2"/>
  <c r="W77" i="2"/>
  <c r="T76" i="2"/>
  <c r="X77" i="2"/>
  <c r="AD77" i="2"/>
  <c r="AC77" i="2"/>
  <c r="AE45" i="2"/>
  <c r="AC45" i="2"/>
  <c r="Z45" i="2"/>
  <c r="W45" i="2"/>
  <c r="Y45" i="2"/>
  <c r="AD45" i="2"/>
  <c r="V45" i="2"/>
  <c r="X45" i="2"/>
  <c r="AE71" i="2"/>
  <c r="W71" i="2"/>
  <c r="Z71" i="2"/>
  <c r="X71" i="2"/>
  <c r="AC71" i="2"/>
  <c r="T70" i="2"/>
  <c r="Y71" i="2"/>
  <c r="V71" i="2"/>
  <c r="AD71" i="2"/>
  <c r="AB67" i="2"/>
  <c r="AF67" i="2" s="1"/>
  <c r="FY73" i="2"/>
  <c r="GD66" i="2"/>
  <c r="GC66" i="2"/>
  <c r="GB67" i="2"/>
  <c r="GB66" i="2"/>
  <c r="GA67" i="2"/>
  <c r="GA66" i="2"/>
  <c r="GD67" i="2"/>
  <c r="FZ66" i="2"/>
  <c r="GC67" i="2"/>
  <c r="EZ60" i="2"/>
  <c r="FD60" i="2" s="1"/>
  <c r="EZ61" i="2"/>
  <c r="FD61" i="2" s="1"/>
  <c r="EZ51" i="2"/>
  <c r="FD51" i="2" s="1"/>
  <c r="EZ44" i="2"/>
  <c r="FD44" i="2" s="1"/>
  <c r="EZ59" i="2"/>
  <c r="FD59" i="2" s="1"/>
  <c r="EY59" i="2"/>
  <c r="EZ65" i="2"/>
  <c r="FD65" i="2" s="1"/>
  <c r="EZ53" i="2"/>
  <c r="FD53"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BE79" i="2" l="1"/>
  <c r="AJC14" i="2"/>
  <c r="AJK14" i="2"/>
  <c r="AN70" i="2"/>
  <c r="T43" i="2"/>
  <c r="FZ74" i="2"/>
  <c r="GD74" i="2"/>
  <c r="UO79" i="2"/>
  <c r="UQ79" i="2"/>
  <c r="GC74" i="2"/>
  <c r="GC73" i="2"/>
  <c r="GC72" i="2"/>
  <c r="GB74" i="2"/>
  <c r="GA74" i="2"/>
  <c r="GD73" i="2"/>
  <c r="FZ72" i="2"/>
  <c r="GA73" i="2"/>
  <c r="GB72" i="2"/>
  <c r="FZ73" i="2"/>
  <c r="GA72" i="2"/>
  <c r="GB73" i="2"/>
  <c r="GD72" i="2"/>
  <c r="AEJ5" i="2"/>
  <c r="AEN5" i="2" s="1"/>
  <c r="VS20" i="2"/>
  <c r="KW59" i="2"/>
  <c r="LA61" i="2"/>
  <c r="AKB21" i="2"/>
  <c r="AKF21" i="2" s="1"/>
  <c r="AKB20" i="2"/>
  <c r="AKF20" i="2" s="1"/>
  <c r="AKG20" i="2" s="1"/>
  <c r="UJ74" i="2"/>
  <c r="UH74" i="2"/>
  <c r="UN74" i="2" s="1"/>
  <c r="UR74" i="2" s="1"/>
  <c r="UP74" i="2"/>
  <c r="UQ74" i="2"/>
  <c r="UO74" i="2"/>
  <c r="GA45" i="2"/>
  <c r="GB46" i="2"/>
  <c r="AFC34" i="2"/>
  <c r="AFK34" i="2" s="1"/>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FE51"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AKA21"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V21" i="2"/>
  <c r="YR7" i="2"/>
  <c r="YV7" i="2" s="1"/>
  <c r="OW72" i="2"/>
  <c r="OX72" i="2"/>
  <c r="YR21" i="2"/>
  <c r="YV21" i="2" s="1"/>
  <c r="AKA20" i="2"/>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VT20" i="2"/>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JY53" i="2"/>
  <c r="JZ79" i="2"/>
  <c r="UL66" i="2"/>
  <c r="AFM7" i="2"/>
  <c r="ADM39" i="2"/>
  <c r="OQ44" i="2"/>
  <c r="OT44" i="2"/>
  <c r="OT45"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UL52" i="2"/>
  <c r="UK52" i="2"/>
  <c r="UI52" i="2"/>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YQ4" i="2"/>
  <c r="AAQ14" i="2"/>
  <c r="AFI40" i="2"/>
  <c r="GA59" i="2"/>
  <c r="AFD13" i="2"/>
  <c r="AFH13" i="2" s="1"/>
  <c r="AFD14" i="2"/>
  <c r="AFH14" i="2" s="1"/>
  <c r="JV53" i="2"/>
  <c r="AKK34" i="2"/>
  <c r="JR51" i="2"/>
  <c r="JT51" i="2"/>
  <c r="JS52" i="2"/>
  <c r="JT52" i="2"/>
  <c r="JT53" i="2"/>
  <c r="FY60" i="2"/>
  <c r="EZ78" i="2"/>
  <c r="FD78" i="2" s="1"/>
  <c r="FE79"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OZ33" i="2"/>
  <c r="APD33" i="2" s="1"/>
  <c r="AFK40" i="2"/>
  <c r="AFJ40" i="2"/>
  <c r="AFM40" i="2"/>
  <c r="AFL40" i="2"/>
  <c r="AFJ33" i="2"/>
  <c r="AFL33" i="2"/>
  <c r="AFI33" i="2"/>
  <c r="AFN33" i="2"/>
  <c r="AFK33" i="2"/>
  <c r="AFM33" i="2"/>
  <c r="AFL39" i="2"/>
  <c r="AKH33" i="2"/>
  <c r="AKI34" i="2"/>
  <c r="AFI34" i="2"/>
  <c r="AFM39" i="2"/>
  <c r="AKL33" i="2"/>
  <c r="AKK33" i="2"/>
  <c r="AKJ34" i="2"/>
  <c r="AFM34" i="2"/>
  <c r="AFL34" i="2"/>
  <c r="AFN39" i="2"/>
  <c r="AFJ39" i="2"/>
  <c r="AKI33" i="2"/>
  <c r="AKH34" i="2"/>
  <c r="AFJ34" i="2"/>
  <c r="AFN34" i="2"/>
  <c r="UN66" i="2"/>
  <c r="UR66" i="2" s="1"/>
  <c r="AFN40" i="2"/>
  <c r="AFK39" i="2"/>
  <c r="AKL34"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GE74" i="2"/>
  <c r="GE34" i="2" s="1"/>
  <c r="BF74" i="2"/>
  <c r="BC74" i="2"/>
  <c r="BB74" i="2"/>
  <c r="BE74" i="2"/>
  <c r="BD74" i="2"/>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FE47" i="2"/>
  <c r="FE67" i="2"/>
  <c r="FE44" i="2"/>
  <c r="FE65" i="2"/>
  <c r="FE58" i="2"/>
  <c r="FE61" i="2"/>
  <c r="FE45" i="2"/>
  <c r="FE59"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GE72" i="2" l="1"/>
  <c r="GE32" i="2" s="1"/>
  <c r="AEB79" i="2"/>
  <c r="AEC79" i="2" s="1"/>
  <c r="AAQ39" i="2"/>
  <c r="PU59" i="2"/>
  <c r="FF52" i="2"/>
  <c r="AKL7" i="2"/>
  <c r="AKK6" i="2"/>
  <c r="AKI6" i="2"/>
  <c r="AKL6" i="2"/>
  <c r="AOZ21" i="2"/>
  <c r="APD21" i="2" s="1"/>
  <c r="AKG6" i="2"/>
  <c r="AKH7" i="2"/>
  <c r="AKH6" i="2"/>
  <c r="AKL39" i="2"/>
  <c r="AKH39" i="2"/>
  <c r="AKI7" i="2"/>
  <c r="AKK40" i="2"/>
  <c r="AJH13" i="2"/>
  <c r="AJL13" i="2" s="1"/>
  <c r="AJH12" i="2"/>
  <c r="AKI21" i="2"/>
  <c r="AKI20" i="2"/>
  <c r="AKH20" i="2"/>
  <c r="AKL20" i="2"/>
  <c r="AKK20" i="2"/>
  <c r="AKJ20" i="2"/>
  <c r="AKK21" i="2"/>
  <c r="AKH21" i="2"/>
  <c r="AKJ21" i="2"/>
  <c r="AKL21" i="2"/>
  <c r="AKL40" i="2"/>
  <c r="AKJ39" i="2"/>
  <c r="AKG40" i="2"/>
  <c r="AKI39" i="2"/>
  <c r="AKJ40" i="2"/>
  <c r="AKJ6" i="2"/>
  <c r="AKK39" i="2"/>
  <c r="AKH40" i="2"/>
  <c r="AKJ7" i="2"/>
  <c r="AKI40" i="2"/>
  <c r="AKG7" i="2"/>
  <c r="AKK7" i="2"/>
  <c r="GE45" i="2"/>
  <c r="GE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PE20" i="2"/>
  <c r="APE21" i="2"/>
  <c r="API21"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PH20" i="2"/>
  <c r="AEK52" i="2"/>
  <c r="AFP21" i="2"/>
  <c r="ZJ79" i="2"/>
  <c r="UU45" i="2"/>
  <c r="AEO12" i="2"/>
  <c r="ZI79" i="2"/>
  <c r="ZN79" i="2"/>
  <c r="ZM79" i="2"/>
  <c r="ZL53" i="2"/>
  <c r="ZP53" i="2" s="1"/>
  <c r="APJ20" i="2"/>
  <c r="APJ21" i="2"/>
  <c r="APG20" i="2"/>
  <c r="APH21" i="2"/>
  <c r="AKM6"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AJL12"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R39" i="2" s="1"/>
  <c r="AAQ34" i="2"/>
  <c r="BD73" i="2"/>
  <c r="BB73" i="2"/>
  <c r="BF73" i="2"/>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40" i="2"/>
  <c r="AKM33" i="2"/>
  <c r="YY38" i="2"/>
  <c r="AKM34" i="2"/>
  <c r="US66" i="2"/>
  <c r="PX67" i="2"/>
  <c r="PW66" i="2"/>
  <c r="AKM39" i="2"/>
  <c r="AKN40" i="2" s="1"/>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GF5"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D61" i="2"/>
  <c r="KH61" i="2"/>
  <c r="KG61" i="2"/>
  <c r="KE61" i="2"/>
  <c r="KC61" i="2"/>
  <c r="KF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61" i="2"/>
  <c r="FK21" i="2" s="1"/>
  <c r="FK67" i="2"/>
  <c r="FK27" i="2" s="1"/>
  <c r="FK46" i="2"/>
  <c r="FK6" i="2" s="1"/>
  <c r="FK52" i="2" l="1"/>
  <c r="FK12" i="2" s="1"/>
  <c r="APF20" i="2"/>
  <c r="APF21" i="2"/>
  <c r="APG21" i="2"/>
  <c r="API20" i="2"/>
  <c r="GF6" i="2"/>
  <c r="AKM7" i="2"/>
  <c r="AIZ53" i="2"/>
  <c r="AJA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AKN6"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N7"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APK21" i="2"/>
  <c r="APK20"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K52" i="2"/>
  <c r="AJC52" i="2"/>
  <c r="AJD52" i="2"/>
  <c r="AJF54" i="2"/>
  <c r="AJQ12" i="2"/>
  <c r="AJR12" i="2"/>
  <c r="AJN12" i="2"/>
  <c r="AJO12" i="2"/>
  <c r="AJP12" i="2"/>
  <c r="AJM12" i="2"/>
  <c r="AJI53" i="2"/>
  <c r="AJJ53" i="2"/>
  <c r="AJK53" i="2"/>
  <c r="AJE53" i="2"/>
  <c r="AJB53" i="2"/>
  <c r="AJD53" i="2"/>
  <c r="AJF53" i="2"/>
  <c r="AJC53"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FL40" i="2"/>
  <c r="HU40" i="2" s="1"/>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KI58" i="2"/>
  <c r="KI18" i="2" s="1"/>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AUE21" i="2" s="1"/>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KI60" i="2"/>
  <c r="KI20" i="2" s="1"/>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FL39" i="2"/>
  <c r="AM80" i="2"/>
  <c r="AM40" i="2" s="1"/>
  <c r="AN21" i="2"/>
  <c r="AN19" i="2"/>
  <c r="AN20" i="2"/>
  <c r="AN18" i="2"/>
  <c r="CW18" i="2" s="1"/>
  <c r="AM44" i="2"/>
  <c r="AM4" i="2" s="1"/>
  <c r="AN25" i="2"/>
  <c r="CW25" i="2" s="1"/>
  <c r="AN26" i="2"/>
  <c r="CW26" i="2" s="1"/>
  <c r="AN27" i="2"/>
  <c r="AN28" i="2"/>
  <c r="CW28" i="2" s="1"/>
  <c r="AM79" i="2"/>
  <c r="AM39" i="2" s="1"/>
  <c r="FL33" i="2"/>
  <c r="HU33" i="2" s="1"/>
  <c r="FL34" i="2"/>
  <c r="HU34" i="2" s="1"/>
  <c r="FL32" i="2"/>
  <c r="HU32" i="2" s="1"/>
  <c r="FL28" i="2"/>
  <c r="HU28" i="2" s="1"/>
  <c r="FL25" i="2"/>
  <c r="HU25" i="2" s="1"/>
  <c r="FL26" i="2"/>
  <c r="HU26" i="2" s="1"/>
  <c r="FL27" i="2"/>
  <c r="HU27" i="2" s="1"/>
  <c r="FL21" i="2"/>
  <c r="FL18" i="2"/>
  <c r="HU18" i="2" s="1"/>
  <c r="FL20" i="2"/>
  <c r="FL19" i="2"/>
  <c r="FL11" i="2"/>
  <c r="HU11" i="2" s="1"/>
  <c r="FL12" i="2"/>
  <c r="FL13" i="2"/>
  <c r="FL14" i="2"/>
  <c r="FL6" i="2"/>
  <c r="HU6" i="2" s="1"/>
  <c r="FL7" i="2"/>
  <c r="HU7" i="2" s="1"/>
  <c r="FL4" i="2"/>
  <c r="HU4" i="2" s="1"/>
  <c r="FL5" i="2"/>
  <c r="HU5" i="2" s="1"/>
  <c r="AEJ45" i="2" l="1"/>
  <c r="AEN45" i="2" s="1"/>
  <c r="AJF52" i="2"/>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XZ19" i="2"/>
  <c r="BH7" i="2"/>
  <c r="UY73" i="2"/>
  <c r="UY33" i="2" s="1"/>
  <c r="UY72" i="2"/>
  <c r="UY32" i="2" s="1"/>
  <c r="BDQ14" i="2"/>
  <c r="AXT61" i="2"/>
  <c r="AXU61" i="2" s="1"/>
  <c r="AXW61" i="2" s="1"/>
  <c r="HU39" i="2"/>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H33" i="2" s="1"/>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AEP53" i="2"/>
  <c r="ATH40" i="2"/>
  <c r="AJG52"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JG5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JG53" i="2"/>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CW34" i="2" s="1"/>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CW33"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KJ18" i="2"/>
  <c r="MS18" i="2" s="1"/>
  <c r="KJ20" i="2"/>
  <c r="MS20" i="2" s="1"/>
  <c r="KJ19" i="2"/>
  <c r="MS19"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MS33" i="2" s="1"/>
  <c r="AN7" i="2"/>
  <c r="CW7" i="2" s="1"/>
  <c r="AN6" i="2"/>
  <c r="CW6" i="2" s="1"/>
  <c r="AN5" i="2"/>
  <c r="CW5" i="2" s="1"/>
  <c r="AN4" i="2"/>
  <c r="CW4" i="2" s="1"/>
  <c r="AN37" i="2"/>
  <c r="CW37" i="2" s="1"/>
  <c r="AN38" i="2"/>
  <c r="CW38" i="2" s="1"/>
  <c r="AN39" i="2"/>
  <c r="CW39" i="2" s="1"/>
  <c r="AN40" i="2"/>
  <c r="CW40" i="2" s="1"/>
  <c r="DY4" i="2"/>
  <c r="DY7" i="2"/>
  <c r="DY6" i="2"/>
  <c r="DY5" i="2"/>
  <c r="DY19" i="2"/>
  <c r="DY25" i="2"/>
  <c r="DY28" i="2"/>
  <c r="DY27" i="2"/>
  <c r="DY26" i="2"/>
  <c r="ANQ26" i="2" l="1"/>
  <c r="ANQ25" i="2"/>
  <c r="ANS25" i="2"/>
  <c r="ANR26" i="2"/>
  <c r="ANV28" i="2"/>
  <c r="ANQ28" i="2"/>
  <c r="QB19" i="2"/>
  <c r="ANQ27"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IW32" i="2" s="1"/>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15" i="1"/>
  <c r="P25" i="1"/>
  <c r="P22" i="1"/>
  <c r="P23" i="1"/>
  <c r="P24" i="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33"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21" i="2"/>
  <c r="IW20" i="2"/>
  <c r="IW18"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G54" i="28"/>
  <c r="D54" i="28"/>
  <c r="DH6" i="2"/>
  <c r="DP6" i="2" s="1"/>
  <c r="IU26" i="2" l="1"/>
  <c r="Q55" i="28"/>
  <c r="R66" i="28" s="1"/>
  <c r="AOF52" i="2"/>
  <c r="AOJ52" i="2" s="1"/>
  <c r="AOF53" i="2"/>
  <c r="AOJ53" i="2" s="1"/>
  <c r="AUJ20" i="2"/>
  <c r="AJH74" i="2"/>
  <c r="AJL74" i="2" s="1"/>
  <c r="ANO68" i="2"/>
  <c r="WO39" i="2"/>
  <c r="ANM67" i="2"/>
  <c r="ANO67" i="2"/>
  <c r="WO38" i="2"/>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ND7" i="2" s="1"/>
  <c r="NL7" i="2" s="1"/>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O69"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KJ4" i="2"/>
  <c r="MS4" i="2" s="1"/>
  <c r="A20" i="2"/>
  <c r="A18" i="2"/>
  <c r="A21" i="2"/>
  <c r="PH19" i="2"/>
  <c r="RQ19" i="2" s="1"/>
  <c r="KJ6" i="2"/>
  <c r="MS6" i="2" s="1"/>
  <c r="Y55" i="28"/>
  <c r="Y67" i="28" s="1"/>
  <c r="R71" i="28"/>
  <c r="Q53" i="28"/>
  <c r="R61" i="28" s="1"/>
  <c r="R69" i="28" s="1"/>
  <c r="Y53" i="28"/>
  <c r="Y64" i="28" s="1"/>
  <c r="AA53" i="28"/>
  <c r="AB61" i="28" s="1"/>
  <c r="AA54" i="28"/>
  <c r="Y66" i="28" s="1"/>
  <c r="Y54" i="28"/>
  <c r="Y68" i="28" s="1"/>
  <c r="AI51" i="28"/>
  <c r="AI61" i="28" s="1"/>
  <c r="R70"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Z13" i="1"/>
  <c r="V13" i="1"/>
  <c r="W13" i="1"/>
  <c r="P35" i="1"/>
  <c r="P32" i="1"/>
  <c r="P33" i="1"/>
  <c r="P34" i="1"/>
  <c r="P9" i="1"/>
  <c r="P8" i="1"/>
  <c r="P7" i="1"/>
  <c r="P10" i="1"/>
  <c r="Z23" i="1"/>
  <c r="V23" i="1"/>
  <c r="W23" i="1"/>
  <c r="X23" i="1"/>
  <c r="U23" i="1"/>
  <c r="W14" i="1"/>
  <c r="DK4" i="2" s="1"/>
  <c r="W22" i="1"/>
  <c r="V22" i="1"/>
  <c r="X22" i="1"/>
  <c r="Z22" i="1"/>
  <c r="U22" i="1"/>
  <c r="Z25" i="1"/>
  <c r="X25" i="1"/>
  <c r="W25" i="1"/>
  <c r="V25" i="1"/>
  <c r="U25" i="1"/>
  <c r="T25" i="1" s="1"/>
  <c r="Z15" i="1"/>
  <c r="V15" i="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BEC20" i="2"/>
  <c r="AYL12" i="2"/>
  <c r="BED21" i="2"/>
  <c r="AXY52" i="2"/>
  <c r="AOM80" i="2"/>
  <c r="AUJ27" i="2"/>
  <c r="AUJ28" i="2"/>
  <c r="BEB20" i="2"/>
  <c r="BED20" i="2"/>
  <c r="AYI1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8"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SS39"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ASF46" i="2"/>
  <c r="ASD46" i="2"/>
  <c r="ASG44" i="2"/>
  <c r="ASD44" i="2"/>
  <c r="ASF45" i="2"/>
  <c r="ASH47" i="2"/>
  <c r="ASD47" i="2"/>
  <c r="SS37" i="2"/>
  <c r="ASE47"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S30" i="2"/>
  <c r="N62" i="28"/>
  <c r="N58" i="28"/>
  <c r="N61" i="28"/>
  <c r="DW33" i="2"/>
  <c r="DW32" i="2"/>
  <c r="DW23" i="2"/>
  <c r="DW22" i="2"/>
  <c r="IG6" i="2"/>
  <c r="II6" i="2"/>
  <c r="IH6" i="2"/>
  <c r="IK6" i="2"/>
  <c r="IJ6" i="2"/>
  <c r="IG3" i="2"/>
  <c r="IH3" i="2"/>
  <c r="IK3" i="2"/>
  <c r="IJ3" i="2"/>
  <c r="II3" i="2"/>
  <c r="AA23" i="1"/>
  <c r="AA25" i="1"/>
  <c r="T15" i="1"/>
  <c r="T22" i="1"/>
  <c r="T23" i="1"/>
  <c r="AB22" i="1"/>
  <c r="AB23" i="1"/>
  <c r="AB24" i="1"/>
  <c r="DO6" i="2" s="1"/>
  <c r="AB15" i="1"/>
  <c r="AA24" i="1"/>
  <c r="DN6" i="2" s="1"/>
  <c r="AA15" i="1"/>
  <c r="AB25" i="1" l="1"/>
  <c r="T24" i="1"/>
  <c r="X13" i="1"/>
  <c r="AA13" i="1" s="1"/>
  <c r="DW30" i="2"/>
  <c r="NS32" i="2"/>
  <c r="AA22" i="1"/>
  <c r="U13" i="1"/>
  <c r="IG7" i="2"/>
  <c r="AI55" i="28"/>
  <c r="AI67" i="28" s="1"/>
  <c r="SS38" i="2"/>
  <c r="SS40" i="2"/>
  <c r="AON53" i="2"/>
  <c r="AOP52" i="2"/>
  <c r="AOO53" i="2"/>
  <c r="AOL53" i="2"/>
  <c r="AON52" i="2"/>
  <c r="AOM52" i="2"/>
  <c r="AOK52" i="2"/>
  <c r="AOP53" i="2"/>
  <c r="AOK53" i="2"/>
  <c r="AOL52" i="2"/>
  <c r="AOO52" i="2"/>
  <c r="AOQ34" i="2"/>
  <c r="AOM53" i="2"/>
  <c r="AJN74" i="2"/>
  <c r="AJQ74" i="2"/>
  <c r="AJP74" i="2"/>
  <c r="AJO74" i="2"/>
  <c r="AJR74" i="2"/>
  <c r="ANL65" i="2"/>
  <c r="ANP65" i="2" s="1"/>
  <c r="II7" i="2"/>
  <c r="IJ7" i="2"/>
  <c r="IK7" i="2"/>
  <c r="IH7" i="2"/>
  <c r="ANK68" i="2"/>
  <c r="ANL68" i="2"/>
  <c r="ANP68" i="2" s="1"/>
  <c r="NS31" i="2"/>
  <c r="ANK67" i="2"/>
  <c r="ANK66" i="2"/>
  <c r="ANK65" i="2"/>
  <c r="ANL67" i="2"/>
  <c r="ANP67" i="2" s="1"/>
  <c r="ANL66" i="2"/>
  <c r="ANP66" i="2" s="1"/>
  <c r="BCY21" i="2"/>
  <c r="AA55" i="28"/>
  <c r="AB66" i="28" s="1"/>
  <c r="BCY27" i="2"/>
  <c r="V12" i="1"/>
  <c r="DW31" i="2"/>
  <c r="BCY28" i="2"/>
  <c r="BCR67" i="2" s="1"/>
  <c r="BCS67" i="2" s="1"/>
  <c r="BDA67" i="2" s="1"/>
  <c r="N63" i="28"/>
  <c r="BCY20" i="2"/>
  <c r="BCY34" i="2"/>
  <c r="N60" i="28"/>
  <c r="IG8" i="2"/>
  <c r="IJ8" i="2"/>
  <c r="BCY32" i="2"/>
  <c r="AS51" i="28"/>
  <c r="AS61"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V72" i="28" s="1"/>
  <c r="AEU39" i="2"/>
  <c r="AEV38" i="2" s="1"/>
  <c r="AEV7" i="2"/>
  <c r="AEU5" i="2"/>
  <c r="AEV5" i="2" s="1"/>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L69"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G51" i="1"/>
  <c r="G49" i="1"/>
  <c r="ASI54" i="2"/>
  <c r="AEA44" i="2"/>
  <c r="ASJ54" i="2"/>
  <c r="ASN54" i="2" s="1"/>
  <c r="ASK80" i="2"/>
  <c r="ATC46" i="2"/>
  <c r="ANQ53" i="2"/>
  <c r="AEA47" i="2"/>
  <c r="AEA7" i="2" s="1"/>
  <c r="SQ29" i="2"/>
  <c r="AYC79" i="2"/>
  <c r="AYD79" i="2"/>
  <c r="AXV46" i="2"/>
  <c r="SB6" i="2"/>
  <c r="ASJ46" i="2"/>
  <c r="ASN46" i="2" s="1"/>
  <c r="AH62" i="28"/>
  <c r="AYD47" i="2"/>
  <c r="W9" i="1"/>
  <c r="V9" i="1"/>
  <c r="U9" i="1"/>
  <c r="X9" i="1"/>
  <c r="Z9" i="1"/>
  <c r="Z35" i="1"/>
  <c r="W35" i="1"/>
  <c r="X35" i="1"/>
  <c r="V35" i="1"/>
  <c r="U35" i="1"/>
  <c r="Z10" i="1"/>
  <c r="X10" i="1"/>
  <c r="U10" i="1"/>
  <c r="V10" i="1"/>
  <c r="W10" i="1"/>
  <c r="W34" i="1"/>
  <c r="V34" i="1"/>
  <c r="X34" i="1"/>
  <c r="U34" i="1"/>
  <c r="Z34" i="1"/>
  <c r="W7" i="1"/>
  <c r="V7" i="1"/>
  <c r="U7" i="1"/>
  <c r="X7" i="1"/>
  <c r="Z7" i="1"/>
  <c r="Z33" i="1"/>
  <c r="W33" i="1"/>
  <c r="U33" i="1"/>
  <c r="V33" i="1"/>
  <c r="X33" i="1"/>
  <c r="Z8" i="1"/>
  <c r="U8" i="1"/>
  <c r="X8" i="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AOQ52" i="2"/>
  <c r="AOQ53" i="2"/>
  <c r="AOQ13" i="2" s="1"/>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AA8" i="1"/>
  <c r="DH8" i="2"/>
  <c r="DP8" i="2" s="1"/>
  <c r="DM8" i="2"/>
  <c r="DJ8" i="2"/>
  <c r="DK8" i="2"/>
  <c r="D51" i="28"/>
  <c r="G56" i="28"/>
  <c r="DJ3" i="2"/>
  <c r="DM3" i="2"/>
  <c r="DK3" i="2"/>
  <c r="DH3" i="2"/>
  <c r="DP3" i="2" s="1"/>
  <c r="D56" i="28"/>
  <c r="IL3" i="2"/>
  <c r="IM3" i="2"/>
  <c r="IL6" i="2"/>
  <c r="IM6" i="2"/>
  <c r="W29" i="1" l="1"/>
  <c r="DK7" i="2" s="1"/>
  <c r="V27" i="1"/>
  <c r="U30" i="1"/>
  <c r="V30" i="1"/>
  <c r="IM7" i="2"/>
  <c r="IL7" i="2"/>
  <c r="T13" i="1"/>
  <c r="AB13" i="1"/>
  <c r="Z30" i="1"/>
  <c r="AEV6" i="2"/>
  <c r="AEV39" i="2"/>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IM8" i="2"/>
  <c r="IL8" i="2"/>
  <c r="XQ11" i="2"/>
  <c r="SF3" i="2"/>
  <c r="SD3" i="2"/>
  <c r="SC3" i="2"/>
  <c r="SE3" i="2"/>
  <c r="SG3" i="2"/>
  <c r="AEB39" i="2"/>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ND3" i="2"/>
  <c r="NL3" i="2" s="1"/>
  <c r="NS22" i="2"/>
  <c r="SB5" i="2"/>
  <c r="SJ5" i="2" s="1"/>
  <c r="AOQ12" i="2"/>
  <c r="AOR12" i="2" s="1"/>
  <c r="SQ26" i="2"/>
  <c r="AOR28" i="2"/>
  <c r="AOQ26" i="2"/>
  <c r="AGK28" i="2"/>
  <c r="AI53" i="28"/>
  <c r="AI64" i="28" s="1"/>
  <c r="AK53" i="28"/>
  <c r="AL61" i="28" s="1"/>
  <c r="V28" i="1"/>
  <c r="G55" i="28"/>
  <c r="U28" i="1"/>
  <c r="W28" i="1"/>
  <c r="Z28" i="1"/>
  <c r="AA28" i="1" s="1"/>
  <c r="X63" i="28"/>
  <c r="AA51" i="28"/>
  <c r="Y62" i="28" s="1"/>
  <c r="Z27" i="1"/>
  <c r="U27" i="1"/>
  <c r="AB27" i="1" s="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AB72" i="28"/>
  <c r="AB74" i="28" s="1"/>
  <c r="AL71" i="28"/>
  <c r="AS55" i="28"/>
  <c r="AS67" i="28" s="1"/>
  <c r="AU55" i="28"/>
  <c r="AV66" i="28" s="1"/>
  <c r="SE6" i="2"/>
  <c r="SJ6" i="2"/>
  <c r="AI72" i="28"/>
  <c r="BE54" i="28"/>
  <c r="BC66" i="28" s="1"/>
  <c r="BC54" i="28"/>
  <c r="NG4" i="2"/>
  <c r="NL4" i="2"/>
  <c r="AL70" i="28"/>
  <c r="AS54" i="28"/>
  <c r="AU54" i="28"/>
  <c r="AS66" i="28" s="1"/>
  <c r="AEA4" i="2"/>
  <c r="AEB4" i="2" s="1"/>
  <c r="AGK4" i="2" s="1"/>
  <c r="AS52" i="28"/>
  <c r="AU52" i="28"/>
  <c r="AV6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27" i="1"/>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AB28" i="1" l="1"/>
  <c r="T28" i="1"/>
  <c r="T27" i="1"/>
  <c r="XQ19" i="2"/>
  <c r="AGK39" i="2"/>
  <c r="ACO39" i="2" s="1"/>
  <c r="AHM21" i="2"/>
  <c r="SI3" i="2"/>
  <c r="ANW68" i="2"/>
  <c r="ANW28" i="2" s="1"/>
  <c r="ANW67" i="2"/>
  <c r="ANW27" i="2" s="1"/>
  <c r="ANW66" i="2"/>
  <c r="ANW26" i="2" s="1"/>
  <c r="ANW65" i="2"/>
  <c r="ANW25" i="2" s="1"/>
  <c r="ANX28" i="2" s="1"/>
  <c r="AQG28" i="2" s="1"/>
  <c r="ACO28" i="2"/>
  <c r="T29" i="1"/>
  <c r="AB29" i="1"/>
  <c r="DO7" i="2" s="1"/>
  <c r="AA29" i="1"/>
  <c r="DN7" i="2" s="1"/>
  <c r="XG3" i="2"/>
  <c r="SH3" i="2"/>
  <c r="XF3" i="2"/>
  <c r="BE52" i="28"/>
  <c r="BF62" i="28" s="1"/>
  <c r="SI4" i="2"/>
  <c r="ABX4" i="2"/>
  <c r="ACF4" i="2" s="1"/>
  <c r="ACM24" i="2"/>
  <c r="ACM25" i="2"/>
  <c r="IO6" i="2"/>
  <c r="XQ18" i="2"/>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5" i="28"/>
  <c r="Z79" i="28" s="1"/>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JT34" i="2"/>
  <c r="ALI34" i="2" s="1"/>
  <c r="BCZ46" i="2"/>
  <c r="BDD46" i="2" s="1"/>
  <c r="ATO45" i="2"/>
  <c r="BCZ45" i="2"/>
  <c r="BDD45" i="2" s="1"/>
  <c r="AYM53" i="2"/>
  <c r="BCZ67" i="2"/>
  <c r="BDD67" i="2" s="1"/>
  <c r="ATO68" i="2"/>
  <c r="AJT28" i="2"/>
  <c r="ALI28" i="2" s="1"/>
  <c r="AJT27" i="2"/>
  <c r="ALI27" i="2" s="1"/>
  <c r="BCI66" i="2"/>
  <c r="ACO25" i="2"/>
  <c r="BCE73"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C57" i="28"/>
  <c r="DQ4" i="2"/>
  <c r="J49" i="1" l="1"/>
  <c r="BD8" i="26" s="1"/>
  <c r="DQ8" i="2"/>
  <c r="ACO40" i="2"/>
  <c r="BC53" i="28"/>
  <c r="BB60" i="28" s="1"/>
  <c r="BW53" i="28"/>
  <c r="BW64" i="28" s="1"/>
  <c r="ANX27" i="2"/>
  <c r="AQG27" i="2" s="1"/>
  <c r="ANX25" i="2"/>
  <c r="AQG25" i="2" s="1"/>
  <c r="AMK28" i="2" s="1"/>
  <c r="ANX26" i="2"/>
  <c r="AQG26" i="2" s="1"/>
  <c r="G50" i="1"/>
  <c r="G67" i="28" s="1"/>
  <c r="DQ7" i="2"/>
  <c r="DQ3" i="2"/>
  <c r="DQ5" i="2"/>
  <c r="DQ6" i="2"/>
  <c r="DS6" i="2" s="1"/>
  <c r="ACA4" i="2"/>
  <c r="ABY4" i="2"/>
  <c r="ABZ4" i="2"/>
  <c r="ACB4" i="2"/>
  <c r="ACC4" i="2"/>
  <c r="BB65" i="28"/>
  <c r="ASV13" i="2"/>
  <c r="ACM26" i="2"/>
  <c r="ACM27" i="2"/>
  <c r="BB59" i="28"/>
  <c r="ABX5" i="2"/>
  <c r="ACF5" i="2" s="1"/>
  <c r="BE53" i="28"/>
  <c r="BF61" i="28" s="1"/>
  <c r="BF69"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BM55" i="28"/>
  <c r="BO55" i="28"/>
  <c r="BP66" i="28" s="1"/>
  <c r="AV8" i="34"/>
  <c r="AX8" i="34"/>
  <c r="BF8" i="26"/>
  <c r="BM63" i="28"/>
  <c r="AR8" i="34"/>
  <c r="AZ8" i="26"/>
  <c r="BM54" i="28"/>
  <c r="BO54" i="28"/>
  <c r="BM66" i="28" s="1"/>
  <c r="BF71" i="28"/>
  <c r="AI75" i="28"/>
  <c r="AS69" i="28"/>
  <c r="ASV11" i="2"/>
  <c r="AVE11" i="2" s="1"/>
  <c r="BCM72" i="2"/>
  <c r="ASV12" i="2"/>
  <c r="BCO73" i="2"/>
  <c r="BCP72" i="2"/>
  <c r="BCL72" i="2"/>
  <c r="BCP71" i="2"/>
  <c r="BB63" i="28"/>
  <c r="BB68" i="28"/>
  <c r="BB62"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DT4" i="2"/>
  <c r="DS4" i="2"/>
  <c r="DR4" i="2"/>
  <c r="DT6" i="2"/>
  <c r="DR6" i="2"/>
  <c r="DS7" i="2"/>
  <c r="DR7" i="2"/>
  <c r="DT7" i="2"/>
  <c r="DS8" i="2"/>
  <c r="DT3" i="2"/>
  <c r="DT8" i="2"/>
  <c r="DS3" i="2"/>
  <c r="DR3" i="2"/>
  <c r="DT5" i="2"/>
  <c r="DR5" i="2"/>
  <c r="DR8" i="2" l="1"/>
  <c r="DS5" i="2"/>
  <c r="AQ8" i="34"/>
  <c r="W61" i="28"/>
  <c r="BC64" i="28"/>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F73" i="28"/>
  <c r="BM68" i="28"/>
  <c r="BZ72" i="28"/>
  <c r="AV75" i="28"/>
  <c r="AT79" i="28" s="1"/>
  <c r="BC72" i="28"/>
  <c r="BW72" i="28"/>
  <c r="CJ70"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BG8" i="26"/>
  <c r="W69" i="28"/>
  <c r="AQ69" i="28"/>
  <c r="AP69" i="28"/>
  <c r="AY8" i="34"/>
  <c r="V69" i="28"/>
  <c r="BK62" i="28"/>
  <c r="BM69" i="28"/>
  <c r="BM67" i="28"/>
  <c r="BCQ72" i="2"/>
  <c r="BCQ32" i="2" s="1"/>
  <c r="BL69" i="28"/>
  <c r="BL68" i="28"/>
  <c r="BL61" i="28"/>
  <c r="BL63" i="28"/>
  <c r="BL62" i="28"/>
  <c r="BL67" i="28"/>
  <c r="AGW8" i="2"/>
  <c r="AGZ8" i="2"/>
  <c r="AGX8" i="2"/>
  <c r="AHA8" i="2"/>
  <c r="AHA6" i="2"/>
  <c r="AGZ6" i="2"/>
  <c r="BDL14" i="2"/>
  <c r="DU3"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8" i="2"/>
  <c r="DU7" i="2"/>
  <c r="DU5" i="2"/>
  <c r="DU4" i="2"/>
  <c r="DU6" i="2"/>
  <c r="CG52" i="28" l="1"/>
  <c r="CF59" i="28" s="1"/>
  <c r="CG54" i="28"/>
  <c r="CG68" i="28" s="1"/>
  <c r="ARG28" i="2"/>
  <c r="CI54" i="28"/>
  <c r="CG66"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Q70" i="28"/>
  <c r="BM73" i="28"/>
  <c r="AZ11" i="26"/>
  <c r="AE62" i="28"/>
  <c r="AZ16" i="26"/>
  <c r="CC62" i="28"/>
  <c r="AZ14" i="26"/>
  <c r="BI62" i="28"/>
  <c r="CJ71" i="28"/>
  <c r="BW65" i="28"/>
  <c r="CI55" i="28"/>
  <c r="CJ66" i="28" s="1"/>
  <c r="CG55" i="28"/>
  <c r="BG10" i="26"/>
  <c r="U69" i="28"/>
  <c r="BZ70" i="28"/>
  <c r="AY62" i="28"/>
  <c r="AZ13" i="26"/>
  <c r="BW67" i="28"/>
  <c r="AS75" i="28"/>
  <c r="BF74" i="28"/>
  <c r="BD81" i="28" s="1"/>
  <c r="BCQ31" i="2"/>
  <c r="BCR33" i="2" s="1"/>
  <c r="BW68" i="28"/>
  <c r="AZ15" i="26"/>
  <c r="BS62" i="28"/>
  <c r="BZ69" i="28"/>
  <c r="BW73" i="28" s="1"/>
  <c r="CE61" i="28"/>
  <c r="CD61" i="28"/>
  <c r="BZ74" i="28"/>
  <c r="BX81" i="28" s="1"/>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AC44" i="1"/>
  <c r="AC42" i="1"/>
  <c r="DT12" i="2" s="1"/>
  <c r="AC40" i="1"/>
  <c r="DR12" i="2" s="1"/>
  <c r="P44" i="1"/>
  <c r="P42" i="1"/>
  <c r="P40" i="1"/>
  <c r="AC43" i="1"/>
  <c r="AC41" i="1"/>
  <c r="DS12" i="2" s="1"/>
  <c r="AC39" i="1"/>
  <c r="DQ12" i="2" s="1"/>
  <c r="P43" i="1"/>
  <c r="P41" i="1"/>
  <c r="P39" i="1"/>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DW14" i="2"/>
  <c r="DW13" i="2"/>
  <c r="DW16" i="2"/>
  <c r="DW15" i="2"/>
  <c r="CG63" i="28" l="1"/>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AT78" i="28"/>
  <c r="BM74" i="28"/>
  <c r="CG67" i="28"/>
  <c r="DA53" i="28"/>
  <c r="DC53" i="28"/>
  <c r="DD61" i="28" s="1"/>
  <c r="CS54" i="28"/>
  <c r="CQ66" i="28" s="1"/>
  <c r="CQ54" i="28"/>
  <c r="CS53" i="28"/>
  <c r="CT61" i="28" s="1"/>
  <c r="CQ53" i="28"/>
  <c r="V73" i="28"/>
  <c r="W73" i="28"/>
  <c r="AQ73" i="28"/>
  <c r="AP73" i="28"/>
  <c r="BC8" i="34"/>
  <c r="BK8" i="26"/>
  <c r="CG69" i="28"/>
  <c r="BZ71" i="28"/>
  <c r="BH12" i="26"/>
  <c r="AO70" i="28"/>
  <c r="CT72" i="28"/>
  <c r="CQ55" i="28"/>
  <c r="CS55" i="28"/>
  <c r="CT66" i="28" s="1"/>
  <c r="CO62" i="28"/>
  <c r="CJ72" i="28"/>
  <c r="CN62" i="28"/>
  <c r="CG64" i="28"/>
  <c r="AQU5" i="2"/>
  <c r="AQZ5" i="2"/>
  <c r="BD78" i="28"/>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U39" i="1"/>
  <c r="X39" i="1"/>
  <c r="T39" i="1"/>
  <c r="AB39" i="1"/>
  <c r="W39" i="1"/>
  <c r="X44" i="1"/>
  <c r="T44" i="1"/>
  <c r="AB44" i="1"/>
  <c r="W44" i="1"/>
  <c r="AA44" i="1"/>
  <c r="V44" i="1"/>
  <c r="Z44" i="1"/>
  <c r="U44" i="1"/>
  <c r="AA41" i="1"/>
  <c r="V41" i="1"/>
  <c r="Z41" i="1"/>
  <c r="U41" i="1"/>
  <c r="X41" i="1"/>
  <c r="T41" i="1"/>
  <c r="AB41" i="1"/>
  <c r="W41" i="1"/>
  <c r="AA43" i="1"/>
  <c r="V43" i="1"/>
  <c r="Z43" i="1"/>
  <c r="U43" i="1"/>
  <c r="X43" i="1"/>
  <c r="T43" i="1"/>
  <c r="AB43" i="1"/>
  <c r="W43" i="1"/>
  <c r="X40" i="1"/>
  <c r="T40" i="1"/>
  <c r="AB40" i="1"/>
  <c r="W40" i="1"/>
  <c r="AA40" i="1"/>
  <c r="V40" i="1"/>
  <c r="Z40" i="1"/>
  <c r="U40" i="1"/>
  <c r="X42" i="1"/>
  <c r="T42" i="1"/>
  <c r="AB42" i="1"/>
  <c r="W42" i="1"/>
  <c r="AA42" i="1"/>
  <c r="V42" i="1"/>
  <c r="Z42" i="1"/>
  <c r="U42"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I53" i="28"/>
  <c r="W53" i="28" s="1"/>
  <c r="I54" i="28"/>
  <c r="W54" i="28" s="1"/>
  <c r="I52" i="28"/>
  <c r="W52" i="28" s="1"/>
  <c r="I55" i="28"/>
  <c r="W55" i="28" s="1"/>
  <c r="I51" i="28"/>
  <c r="W51" i="28" s="1"/>
  <c r="I56" i="28"/>
  <c r="W56" i="28" s="1"/>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24" i="2"/>
  <c r="DR16" i="2"/>
  <c r="DR27" i="2"/>
  <c r="DR23" i="2"/>
  <c r="DR19" i="2"/>
  <c r="DR15" i="2"/>
  <c r="DR21" i="2"/>
  <c r="DR13" i="2"/>
  <c r="DR26" i="2"/>
  <c r="DR22" i="2"/>
  <c r="DR18" i="2"/>
  <c r="DR14" i="2"/>
  <c r="DR20" i="2"/>
  <c r="DR25" i="2"/>
  <c r="DR17" i="2"/>
  <c r="DS25" i="2"/>
  <c r="DS17" i="2"/>
  <c r="DS24" i="2"/>
  <c r="DS20" i="2"/>
  <c r="DS16" i="2"/>
  <c r="DS26" i="2"/>
  <c r="DS22" i="2"/>
  <c r="DS14" i="2"/>
  <c r="DS27" i="2"/>
  <c r="DS23" i="2"/>
  <c r="DS19" i="2"/>
  <c r="DS15" i="2"/>
  <c r="DS21" i="2"/>
  <c r="DS13" i="2"/>
  <c r="DS18" i="2"/>
  <c r="DQ22" i="2"/>
  <c r="DQ25" i="2"/>
  <c r="DQ21" i="2"/>
  <c r="DQ17" i="2"/>
  <c r="DQ13" i="2"/>
  <c r="DQ27" i="2"/>
  <c r="DQ23" i="2"/>
  <c r="DQ19" i="2"/>
  <c r="DQ18" i="2"/>
  <c r="DQ24" i="2"/>
  <c r="DQ20" i="2"/>
  <c r="DQ16" i="2"/>
  <c r="DQ26" i="2"/>
  <c r="DQ14" i="2"/>
  <c r="DQ15" i="2"/>
  <c r="DT19" i="2"/>
  <c r="DT26" i="2"/>
  <c r="DT22" i="2"/>
  <c r="DT18" i="2"/>
  <c r="DT14" i="2"/>
  <c r="DT24" i="2"/>
  <c r="DT20" i="2"/>
  <c r="DT16" i="2"/>
  <c r="DT25" i="2"/>
  <c r="DT21" i="2"/>
  <c r="DT17" i="2"/>
  <c r="DT13" i="2"/>
  <c r="DT27" i="2"/>
  <c r="DT23" i="2"/>
  <c r="DT15" i="2"/>
  <c r="AQY6" i="2" l="1"/>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T69" i="28"/>
  <c r="BU6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BP74" i="28"/>
  <c r="BN81" i="28" s="1"/>
  <c r="AG51" i="28"/>
  <c r="AG53" i="28"/>
  <c r="BZ73" i="28"/>
  <c r="BW75" i="28" s="1"/>
  <c r="BX78" i="28" s="1"/>
  <c r="BK10" i="26"/>
  <c r="U73" i="28"/>
  <c r="DA64" i="28"/>
  <c r="CJ73" i="28"/>
  <c r="CH80" i="28" s="1"/>
  <c r="CJ69" i="28"/>
  <c r="CO69" i="28" s="1"/>
  <c r="CO61" i="28"/>
  <c r="CN61" i="28"/>
  <c r="CQ65" i="28"/>
  <c r="AVT5" i="2"/>
  <c r="AVX5" i="2"/>
  <c r="AG52" i="28"/>
  <c r="AG54" i="28"/>
  <c r="CG72" i="28"/>
  <c r="CG73" i="28"/>
  <c r="AO73" i="28"/>
  <c r="BK12" i="26"/>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15" i="2"/>
  <c r="DU20" i="2"/>
  <c r="DU23" i="2"/>
  <c r="DU21" i="2"/>
  <c r="DU14" i="2"/>
  <c r="DU24" i="2"/>
  <c r="DU27" i="2"/>
  <c r="DU25" i="2"/>
  <c r="DU26" i="2"/>
  <c r="DU18" i="2"/>
  <c r="DU13" i="2"/>
  <c r="DU22" i="2"/>
  <c r="DU16" i="2"/>
  <c r="DU19" i="2"/>
  <c r="DU17" i="2"/>
  <c r="BAP7" i="2" l="1"/>
  <c r="BAV7" i="2"/>
  <c r="BAQ7" i="2"/>
  <c r="BAR7" i="2"/>
  <c r="BAT7" i="2" s="1"/>
  <c r="BAO7" i="2"/>
  <c r="IU20" i="2"/>
  <c r="R67" i="28" s="1"/>
  <c r="O71" i="28" s="1"/>
  <c r="IU18" i="2"/>
  <c r="R63" i="28" s="1"/>
  <c r="IU19" i="2"/>
  <c r="R64" i="28" s="1"/>
  <c r="O72" i="28" s="1"/>
  <c r="R74" i="28" s="1"/>
  <c r="P81" i="28" s="1"/>
  <c r="IU21" i="2"/>
  <c r="R65" i="28" s="1"/>
  <c r="O70"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X73" i="28" s="1"/>
  <c r="AC53" i="28"/>
  <c r="X72" i="28" s="1"/>
  <c r="AC55" i="28"/>
  <c r="X74" i="28" s="1"/>
  <c r="AC56" i="28"/>
  <c r="X75" i="28" s="1"/>
  <c r="AC52" i="28"/>
  <c r="X71" i="28" s="1"/>
  <c r="AC51" i="28"/>
  <c r="X70" i="28" s="1"/>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P75" i="28"/>
  <c r="BN79" i="28" s="1"/>
  <c r="BG15" i="26"/>
  <c r="BS69" i="28"/>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CQ71" i="28"/>
  <c r="DA68" i="28"/>
  <c r="CG75" i="28"/>
  <c r="CO73" i="28"/>
  <c r="CN73" i="28"/>
  <c r="BX80" i="28"/>
  <c r="CE73" i="28"/>
  <c r="CD73"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DW21" i="2"/>
  <c r="DW20" i="2"/>
  <c r="DW19" i="2"/>
  <c r="DW18" i="2"/>
  <c r="W70" i="28" l="1"/>
  <c r="V70" i="28"/>
  <c r="BAU7" i="2"/>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BK17" i="26"/>
  <c r="CM73" i="28"/>
  <c r="DH66" i="28"/>
  <c r="AZ68" i="28"/>
  <c r="AQ68" i="28"/>
  <c r="BJ68" i="28"/>
  <c r="AF68" i="28"/>
  <c r="BA68" i="28"/>
  <c r="V68" i="28"/>
  <c r="AP68" i="28"/>
  <c r="W68" i="28"/>
  <c r="BK68" i="28"/>
  <c r="AG68" i="28"/>
  <c r="BT68" i="28"/>
  <c r="CO68" i="28"/>
  <c r="CN68" i="28"/>
  <c r="BU68" i="28"/>
  <c r="CD68" i="28"/>
  <c r="CE68" i="28"/>
  <c r="BB8" i="26"/>
  <c r="AT8" i="34"/>
  <c r="CX68" i="28"/>
  <c r="CC73" i="28"/>
  <c r="BK16" i="26"/>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XP32" i="2"/>
  <c r="XP33" i="2"/>
  <c r="SR32" i="2"/>
  <c r="SR33" i="2"/>
  <c r="AHL32" i="2"/>
  <c r="AMJ32" i="2"/>
  <c r="AHL33" i="2"/>
  <c r="AMJ33" i="2"/>
  <c r="ACN33" i="2"/>
  <c r="ACN32" i="2"/>
  <c r="ARH32" i="2"/>
  <c r="AWF32" i="2"/>
  <c r="ARH33" i="2"/>
  <c r="BGB32" i="2"/>
  <c r="AWF33" i="2"/>
  <c r="BGB33" i="2"/>
  <c r="BBD32" i="2"/>
  <c r="BBD33" i="2"/>
  <c r="SR22" i="2"/>
  <c r="XP26" i="2"/>
  <c r="AHL28" i="2"/>
  <c r="XP29" i="2"/>
  <c r="ACN27" i="2"/>
  <c r="XP25" i="2"/>
  <c r="AHL25" i="2"/>
  <c r="AMJ26" i="2"/>
  <c r="AHL31" i="2"/>
  <c r="ACN31" i="2"/>
  <c r="ARH23" i="2"/>
  <c r="BBD26" i="2"/>
  <c r="AWF29" i="2"/>
  <c r="AWF28" i="2"/>
  <c r="AMJ25" i="2"/>
  <c r="BGB28" i="2"/>
  <c r="BBD24" i="2"/>
  <c r="ARH26" i="2"/>
  <c r="BBD30" i="2"/>
  <c r="BGB30" i="2"/>
  <c r="SR27" i="2"/>
  <c r="SR31" i="2"/>
  <c r="XP27" i="2"/>
  <c r="ACN25" i="2"/>
  <c r="AHL29" i="2"/>
  <c r="ACN26" i="2"/>
  <c r="ACN29" i="2"/>
  <c r="AHL26" i="2"/>
  <c r="AHL23" i="2"/>
  <c r="AMJ28" i="2"/>
  <c r="AMJ29" i="2"/>
  <c r="AMJ23" i="2"/>
  <c r="ACN23" i="2"/>
  <c r="ARH30" i="2"/>
  <c r="BBD27" i="2"/>
  <c r="AWF30" i="2"/>
  <c r="AWF27" i="2"/>
  <c r="AWF23" i="2"/>
  <c r="BGB29" i="2"/>
  <c r="AWF24" i="2"/>
  <c r="BGB22" i="2"/>
  <c r="BGB31" i="2"/>
  <c r="BGB26" i="2"/>
  <c r="SR26" i="2"/>
  <c r="SR30" i="2"/>
  <c r="XP23" i="2"/>
  <c r="ACN28" i="2"/>
  <c r="XP24" i="2"/>
  <c r="ARH24" i="2"/>
  <c r="ACN22" i="2"/>
  <c r="ARH22" i="2"/>
  <c r="ARH29" i="2"/>
  <c r="AMJ24" i="2"/>
  <c r="AWF25" i="2"/>
  <c r="BBD31" i="2"/>
  <c r="XP30" i="2"/>
  <c r="XP31" i="2"/>
  <c r="ACN24" i="2"/>
  <c r="XP28" i="2"/>
  <c r="AMJ31" i="2"/>
  <c r="AHL30" i="2"/>
  <c r="ACN30" i="2"/>
  <c r="ARH31" i="2"/>
  <c r="AWF22" i="2"/>
  <c r="BBD29" i="2"/>
  <c r="ARH27" i="2"/>
  <c r="BGB27" i="2"/>
  <c r="SR23" i="2"/>
  <c r="XP22" i="2"/>
  <c r="AHL27" i="2"/>
  <c r="AHL24" i="2"/>
  <c r="AWF26" i="2"/>
  <c r="BBD28" i="2"/>
  <c r="AHL22" i="2"/>
  <c r="ARH25" i="2"/>
  <c r="AWF31" i="2"/>
  <c r="BBD23" i="2"/>
  <c r="BBD22" i="2"/>
  <c r="SR24" i="2"/>
  <c r="BGB25" i="2"/>
  <c r="NT22" i="2"/>
  <c r="NT26" i="2"/>
  <c r="NT25" i="2"/>
  <c r="IV19" i="2"/>
  <c r="IV29" i="2"/>
  <c r="IV32" i="2"/>
  <c r="IV26" i="2"/>
  <c r="AMJ22" i="2"/>
  <c r="NT33" i="2"/>
  <c r="IV24" i="2"/>
  <c r="SR25" i="2"/>
  <c r="AMJ27" i="2"/>
  <c r="BBD25" i="2"/>
  <c r="NT30" i="2"/>
  <c r="NT29" i="2"/>
  <c r="NT24" i="2"/>
  <c r="IV21" i="2"/>
  <c r="IV28" i="2"/>
  <c r="IV27" i="2"/>
  <c r="IV25" i="2"/>
  <c r="SR29" i="2"/>
  <c r="BGB24" i="2"/>
  <c r="IV22" i="2"/>
  <c r="SR28" i="2"/>
  <c r="AMJ30" i="2"/>
  <c r="ARH28" i="2"/>
  <c r="BGB23" i="2"/>
  <c r="NT32" i="2"/>
  <c r="NT31" i="2"/>
  <c r="NT28" i="2"/>
  <c r="IV18" i="2"/>
  <c r="IV30" i="2"/>
  <c r="IV33" i="2"/>
  <c r="IV31" i="2"/>
  <c r="NT23" i="2"/>
  <c r="NT27" i="2"/>
  <c r="IV20" i="2"/>
  <c r="IV23" i="2"/>
  <c r="BH10" i="26" l="1"/>
  <c r="U70" i="28"/>
  <c r="ACG22" i="2"/>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c r="BB70" i="28" l="1"/>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Y70" i="28" s="1"/>
  <c r="AB73" i="28" s="1"/>
  <c r="NT21" i="2"/>
  <c r="AB64" i="28"/>
  <c r="NT19" i="2"/>
  <c r="AB63" i="28"/>
  <c r="Y69" i="28" s="1"/>
  <c r="NT18" i="2"/>
  <c r="AB67" i="28"/>
  <c r="NT20" i="2"/>
  <c r="DB79" i="28"/>
  <c r="BC75" i="28"/>
  <c r="BD79" i="28" s="1"/>
  <c r="BD80" i="28"/>
  <c r="BC71" i="28"/>
  <c r="BK71" i="28" s="1"/>
  <c r="BA72" i="28"/>
  <c r="AV74" i="28"/>
  <c r="AT81" i="28" s="1"/>
  <c r="BA65" i="28"/>
  <c r="AS70" i="28"/>
  <c r="AV73" i="28" s="1"/>
  <c r="AZ72" i="28"/>
  <c r="BJ13" i="26" s="1"/>
  <c r="AI71" i="28"/>
  <c r="AI74" i="28" s="1"/>
  <c r="AL75" i="28"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BJ71" i="28" l="1"/>
  <c r="Z80" i="28"/>
  <c r="AF73" i="28"/>
  <c r="AG73" i="28"/>
  <c r="AF70" i="28"/>
  <c r="AG70" i="28"/>
  <c r="AF69" i="28"/>
  <c r="AG69" i="28"/>
  <c r="ACM20" i="2"/>
  <c r="BF67" i="28" s="1"/>
  <c r="BK67" i="28" s="1"/>
  <c r="AQ67" i="28"/>
  <c r="AO67" i="28"/>
  <c r="AO65" i="28"/>
  <c r="SR34" i="2"/>
  <c r="AO64" i="28"/>
  <c r="AO63" i="28"/>
  <c r="ACM18" i="2"/>
  <c r="BF63" i="28" s="1"/>
  <c r="BC69" i="28" s="1"/>
  <c r="BC73" i="28" s="1"/>
  <c r="BK73" i="28" s="1"/>
  <c r="ACM19" i="2"/>
  <c r="BF64" i="28" s="1"/>
  <c r="BK64" i="28" s="1"/>
  <c r="ACM21" i="2"/>
  <c r="BF65" i="28" s="1"/>
  <c r="BC70" i="28" s="1"/>
  <c r="BJ70" i="28" s="1"/>
  <c r="Y71" i="28"/>
  <c r="AF67" i="28"/>
  <c r="AG67" i="28"/>
  <c r="AF63" i="28"/>
  <c r="AG63" i="28"/>
  <c r="NT34" i="2"/>
  <c r="AG64" i="28"/>
  <c r="AF64" i="28"/>
  <c r="AF65" i="28"/>
  <c r="AG65" i="28"/>
  <c r="AY72" i="28"/>
  <c r="ARB16" i="2"/>
  <c r="AQ71" i="28"/>
  <c r="AP71" i="28"/>
  <c r="AO71" i="28" s="1"/>
  <c r="BBA3" i="2"/>
  <c r="AT80" i="28"/>
  <c r="BA73" i="28"/>
  <c r="AZ73" i="28"/>
  <c r="AZ70" i="28"/>
  <c r="BA70" i="28"/>
  <c r="AJ79"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AP74" i="28"/>
  <c r="DH74" i="28"/>
  <c r="BT74" i="28"/>
  <c r="W74" i="28"/>
  <c r="AQ74" i="28"/>
  <c r="BA74" i="28"/>
  <c r="BK74" i="28"/>
  <c r="BU74" i="28"/>
  <c r="DI74" i="28"/>
  <c r="CY74" i="28"/>
  <c r="BI13" i="26"/>
  <c r="AY71" i="28"/>
  <c r="BA13" i="26"/>
  <c r="AY63" i="28"/>
  <c r="BC13" i="26"/>
  <c r="AY65" i="28"/>
  <c r="CK52" i="28"/>
  <c r="CO52" i="28" s="1"/>
  <c r="BK19" i="26"/>
  <c r="DG73" i="28"/>
  <c r="BI71" i="28"/>
  <c r="BI14" i="26"/>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K11" i="26" l="1"/>
  <c r="AE73" i="28"/>
  <c r="AE70" i="28"/>
  <c r="BH11" i="26"/>
  <c r="BG11" i="26"/>
  <c r="AE69" i="28"/>
  <c r="BJ69" i="28"/>
  <c r="BI69" i="28" s="1"/>
  <c r="BJ67" i="28"/>
  <c r="BE14" i="26" s="1"/>
  <c r="ACN20" i="2"/>
  <c r="BJ73" i="28"/>
  <c r="BI73" i="28" s="1"/>
  <c r="BI12" i="26"/>
  <c r="BK70" i="28"/>
  <c r="Y74" i="28"/>
  <c r="AF71" i="28"/>
  <c r="AG71" i="28"/>
  <c r="BK69" i="28"/>
  <c r="ACN19" i="2"/>
  <c r="ACN21" i="2"/>
  <c r="BJ65" i="28"/>
  <c r="BJ64" i="28"/>
  <c r="BB14" i="26" s="1"/>
  <c r="BK65" i="28"/>
  <c r="BK63" i="28"/>
  <c r="ACN18" i="2"/>
  <c r="BJ63" i="28"/>
  <c r="BA14" i="26" s="1"/>
  <c r="AE65" i="28"/>
  <c r="BC11" i="26"/>
  <c r="AE64" i="28"/>
  <c r="BB11" i="26"/>
  <c r="BA11" i="26"/>
  <c r="AE63" i="28"/>
  <c r="AE67" i="28"/>
  <c r="BE11" i="26"/>
  <c r="BBC15" i="2"/>
  <c r="BAY12" i="2"/>
  <c r="BAY27" i="2" s="1"/>
  <c r="CF70" i="28"/>
  <c r="BBC14" i="2"/>
  <c r="BH14" i="26"/>
  <c r="BI70" i="28"/>
  <c r="BK13" i="26"/>
  <c r="AY73" i="28"/>
  <c r="BH13" i="26"/>
  <c r="AY70" i="28"/>
  <c r="BBC16" i="2"/>
  <c r="BAW12" i="2"/>
  <c r="BAW19" i="2" s="1"/>
  <c r="BAZ12" i="2"/>
  <c r="BAZ21" i="2" s="1"/>
  <c r="BBC13" i="2"/>
  <c r="BAX12" i="2"/>
  <c r="BAX22" i="2" s="1"/>
  <c r="BU58" i="28"/>
  <c r="CF71" i="28"/>
  <c r="BG57" i="28"/>
  <c r="BK57" i="28" s="1"/>
  <c r="CO58" i="28"/>
  <c r="BL15" i="26"/>
  <c r="BS74" i="28"/>
  <c r="BL10" i="26"/>
  <c r="U74" i="28"/>
  <c r="BK75" i="28"/>
  <c r="AP75" i="28"/>
  <c r="AF75" i="28"/>
  <c r="AG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BL12" i="26"/>
  <c r="AO74" i="28"/>
  <c r="CF74" i="28"/>
  <c r="CF72" i="28"/>
  <c r="CF75" i="28"/>
  <c r="CF73" i="28"/>
  <c r="ARE16" i="2"/>
  <c r="ARE14" i="2"/>
  <c r="ARE19" i="2"/>
  <c r="ARE13" i="2"/>
  <c r="ARE17" i="2"/>
  <c r="ARE27" i="2"/>
  <c r="ARE26" i="2"/>
  <c r="ARE24" i="2"/>
  <c r="ARE20" i="2"/>
  <c r="ARE21" i="2"/>
  <c r="ARE18" i="2"/>
  <c r="ARE25" i="2"/>
  <c r="ARE22" i="2"/>
  <c r="ARE23" i="2"/>
  <c r="ARE15" i="2"/>
  <c r="AHK18" i="2"/>
  <c r="BP63" i="28" s="1"/>
  <c r="AHK19" i="2"/>
  <c r="BP64" i="28" s="1"/>
  <c r="BM72" i="28" s="1"/>
  <c r="AHK21" i="2"/>
  <c r="BP65" i="28" s="1"/>
  <c r="BM70" i="28" s="1"/>
  <c r="BP73" i="28" s="1"/>
  <c r="BM75" i="28" s="1"/>
  <c r="AHK20" i="2"/>
  <c r="BP67" i="28" s="1"/>
  <c r="BM7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BZ75" i="28" s="1"/>
  <c r="AMI18" i="2"/>
  <c r="BZ63" i="28" s="1"/>
  <c r="BW69" i="28" s="1"/>
  <c r="AMI21" i="2"/>
  <c r="BZ65" i="28" s="1"/>
  <c r="BW70"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K14" i="26" l="1"/>
  <c r="BG14" i="26"/>
  <c r="BI67" i="28"/>
  <c r="BI11" i="26"/>
  <c r="AE71" i="28"/>
  <c r="Z81" i="28"/>
  <c r="AF74" i="28"/>
  <c r="AF7" i="28" s="1"/>
  <c r="AG74" i="28"/>
  <c r="AG7" i="28" s="1"/>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D75" i="28"/>
  <c r="CC75" i="28" s="1"/>
  <c r="BX79" i="28"/>
  <c r="CE75" i="28"/>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BM11" i="26"/>
  <c r="AE75" i="28"/>
  <c r="CE65" i="28"/>
  <c r="CD65" i="28"/>
  <c r="ARG21" i="2"/>
  <c r="CJ65" i="28" s="1"/>
  <c r="CG70" i="28" s="1"/>
  <c r="BU67" i="28"/>
  <c r="BT67" i="28"/>
  <c r="BM19" i="26"/>
  <c r="DG75" i="28"/>
  <c r="U75" i="28"/>
  <c r="BM10" i="26"/>
  <c r="BM14" i="26"/>
  <c r="BI75" i="28"/>
  <c r="BM12" i="26"/>
  <c r="L12" i="26" s="1"/>
  <c r="E12" i="26" s="1"/>
  <c r="AO75" i="28"/>
  <c r="AH52" i="28" s="1"/>
  <c r="CE63" i="28"/>
  <c r="CD63" i="28"/>
  <c r="CE67" i="28"/>
  <c r="CD67" i="28"/>
  <c r="BU65" i="28"/>
  <c r="BT65" i="28"/>
  <c r="BU64" i="28"/>
  <c r="BT64" i="28"/>
  <c r="BM16" i="26"/>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X53" i="28" l="1"/>
  <c r="M11" i="26" s="1"/>
  <c r="F11" i="26" s="1"/>
  <c r="AE7" i="28"/>
  <c r="BL11" i="26"/>
  <c r="L11" i="26" s="1"/>
  <c r="E11" i="26" s="1"/>
  <c r="AE74" i="28"/>
  <c r="X52" i="28" s="1"/>
  <c r="F11" i="34" s="1"/>
  <c r="D11" i="34" s="1"/>
  <c r="BB52" i="28"/>
  <c r="F14" i="34" s="1"/>
  <c r="D14" i="34" s="1"/>
  <c r="BBA21" i="2"/>
  <c r="CZ75" i="28"/>
  <c r="BBA25" i="2"/>
  <c r="BBA22" i="2"/>
  <c r="CZ72" i="28"/>
  <c r="CZ71" i="28"/>
  <c r="BBA26" i="2"/>
  <c r="BBA17" i="2"/>
  <c r="BBA19" i="2"/>
  <c r="BBA23" i="2"/>
  <c r="BBA20" i="2"/>
  <c r="BBA14" i="2"/>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F12" i="34"/>
  <c r="D12" i="34" s="1"/>
  <c r="N12" i="26"/>
  <c r="H12" i="26" s="1"/>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L14" i="26"/>
  <c r="E14" i="26" s="1"/>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BBC21" i="2" l="1"/>
  <c r="DD65" i="28" s="1"/>
  <c r="DA70" i="28" s="1"/>
  <c r="DH70" i="28" s="1"/>
  <c r="N11" i="26"/>
  <c r="H11" i="26" s="1"/>
  <c r="D11" i="26"/>
  <c r="N14" i="26"/>
  <c r="H14" i="26" s="1"/>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DI70" i="28" l="1"/>
  <c r="DI65" i="28"/>
  <c r="DH65" i="28"/>
  <c r="BC19" i="26" s="1"/>
  <c r="BBD21" i="2"/>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DG65" i="28" l="1"/>
  <c r="BBD34" i="2"/>
  <c r="DG64" i="28"/>
  <c r="CF52" i="28"/>
  <c r="N17" i="26" s="1"/>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<sst xmlns="http://schemas.openxmlformats.org/spreadsheetml/2006/main" count="4229" uniqueCount="377">
  <si>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</si>
  <si>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</si>
  <si>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</si>
  <si>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</si>
  <si>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</si>
  <si>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</si>
  <si>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</si>
  <si>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</si>
  <si>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</si>
  <si>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</si>
  <si>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</si>
  <si>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</si>
  <si>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</si>
  <si>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</si>
  <si>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</si>
  <si>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</si>
  <si>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</si>
  <si>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</si>
  <si>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</si>
  <si>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</si>
  <si>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</si>
  <si>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</si>
  <si>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</si>
  <si>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</si>
  <si>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</si>
  <si>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</si>
  <si>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</si>
  <si>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</si>
  <si>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</si>
  <si>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</si>
  <si>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</si>
  <si>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</si>
  <si>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</si>
  <si>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</si>
  <si>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</si>
  <si>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</si>
  <si>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</si>
  <si>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</si>
  <si>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</si>
  <si>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</si>
  <si>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</si>
  <si>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</si>
  <si>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</si>
  <si>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</si>
  <si>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</si>
  <si>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</si>
  <si>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</si>
  <si>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</si>
  <si>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</si>
  <si>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</si>
  <si>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</si>
  <si>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</si>
  <si>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</si>
  <si>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</si>
  <si>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</si>
  <si>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</si>
  <si>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</si>
  <si>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</si>
  <si>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</si>
  <si>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</si>
  <si>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</si>
  <si>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</si>
  <si>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</si>
  <si>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</si>
  <si>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</si>
  <si>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</si>
  <si>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</si>
  <si>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</si>
  <si>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</si>
  <si>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</si>
  <si>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</si>
  <si>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</si>
  <si>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</si>
  <si>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Magnus (TRAC)</t>
  </si>
  <si>
    <t xml:space="preserve">● </t>
  </si>
  <si>
    <t>Type participant name in Player Name column in column C. This name will be used as name references in all worksheets.</t>
  </si>
  <si>
    <t>Steve (TRAC)</t>
  </si>
  <si>
    <t>You DO NOT NEED TO TYPE PLAYER NAME IN OTHER WORKSHEET</t>
  </si>
  <si>
    <t>Mateo (Virksomhet)</t>
  </si>
  <si>
    <t>No column in column B is used as THE FINAL TIE-BREAKER if respective players are tied and their ranks have to be decided by ENTRY ORDER. See TIE BREAKER regulation</t>
  </si>
  <si>
    <t>Flemming (IFA)</t>
  </si>
  <si>
    <t>You may fill STARTING POINT with your own point. IT IS OPTIONAL</t>
  </si>
  <si>
    <t>Stian (Virksomhet)</t>
  </si>
  <si>
    <t>This point will be used as additional point and will be included in Player Score calculation</t>
  </si>
  <si>
    <t>Hanne Maren (TRAC)</t>
  </si>
  <si>
    <t>You can put DEDUCTION POINT by typing "-" (minus) sign in front of the point</t>
  </si>
  <si>
    <t>Starting Point can be filled because many reasons. Some of examples :</t>
  </si>
  <si>
    <t>&gt;</t>
  </si>
  <si>
    <t>Amount of Entry Fee</t>
  </si>
  <si>
    <t>Late prediction submission</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</si>
  <si>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</si>
  <si>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</si>
  <si>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</si>
  <si>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</si>
  <si>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</si>
  <si>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</si>
  <si>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Player</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</si>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</sst>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6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
      <sz val="11"/>
      <color rgb="FF000000"/>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9">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7">
    <xf numFmtId="0" fontId="0" fillId="0" borderId="0"/>
    <xf numFmtId="0" fontId="6" fillId="0" borderId="0" applyNumberFormat="0" applyFill="0" applyBorder="0" applyAlignment="0" applyProtection="0">
      <alignment vertical="top"/>
      <protection locked="0"/>
    </xf>
    <xf numFmtId="164" fontId="11" fillId="0" borderId="0" applyFont="0" applyFill="0" applyBorder="0" applyAlignment="0" applyProtection="0"/>
    <xf numFmtId="0" fontId="11" fillId="0" borderId="0"/>
    <xf numFmtId="0" fontId="4" fillId="0" borderId="0"/>
    <xf numFmtId="0" fontId="3" fillId="0" borderId="0"/>
    <xf numFmtId="0" fontId="2" fillId="0" borderId="0"/>
  </cellStyleXfs>
  <cellXfs count="416">
    <xf numFmtId="0" fontId="0" fillId="0" borderId="0" xfId="0"/>
    <xf numFmtId="0" fontId="9" fillId="0" borderId="0" xfId="0" applyFont="1" applyAlignment="1" applyProtection="1">
      <alignment vertical="center"/>
      <protection hidden="1"/>
    </xf>
    <xf numFmtId="0" fontId="9" fillId="0" borderId="0" xfId="0" applyFont="1"/>
    <xf numFmtId="0" fontId="9" fillId="0" borderId="0" xfId="0" applyFont="1" applyAlignment="1">
      <alignment vertical="center"/>
    </xf>
    <xf numFmtId="0" fontId="9" fillId="0" borderId="0" xfId="3" applyFont="1" applyAlignment="1">
      <alignment vertical="center"/>
    </xf>
    <xf numFmtId="0" fontId="12" fillId="0" borderId="0" xfId="3" applyFont="1" applyAlignment="1" applyProtection="1">
      <alignment vertical="center"/>
      <protection locked="0"/>
    </xf>
    <xf numFmtId="0" fontId="10" fillId="0" borderId="0" xfId="3" applyFont="1" applyAlignment="1">
      <alignment vertical="center"/>
    </xf>
    <xf numFmtId="0" fontId="13" fillId="0" borderId="0" xfId="3" applyFont="1"/>
    <xf numFmtId="0" fontId="13" fillId="0" borderId="0" xfId="3" applyFont="1" applyAlignment="1">
      <alignment horizontal="center"/>
    </xf>
    <xf numFmtId="0" fontId="7" fillId="0" borderId="0" xfId="3" applyFont="1"/>
    <xf numFmtId="0" fontId="15" fillId="0" borderId="0" xfId="3" applyFont="1" applyAlignment="1">
      <alignment vertical="center"/>
    </xf>
    <xf numFmtId="3" fontId="13" fillId="0" borderId="0" xfId="3" applyNumberFormat="1" applyFont="1"/>
    <xf numFmtId="0" fontId="9" fillId="0" borderId="0" xfId="3" applyFont="1" applyAlignment="1" applyProtection="1">
      <alignment vertical="center"/>
      <protection locked="0"/>
    </xf>
    <xf numFmtId="0" fontId="9" fillId="4" borderId="0" xfId="3" applyFont="1" applyFill="1" applyAlignment="1">
      <alignment vertical="center"/>
    </xf>
    <xf numFmtId="0" fontId="19" fillId="0" borderId="0" xfId="3" applyFont="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14" fillId="4" borderId="0" xfId="3" applyFont="1" applyFill="1" applyAlignment="1">
      <alignment vertical="center"/>
    </xf>
    <xf numFmtId="0" fontId="9" fillId="5" borderId="0" xfId="3" applyFont="1" applyFill="1" applyAlignment="1" applyProtection="1">
      <alignment horizontal="center" vertical="center"/>
      <protection locked="0"/>
    </xf>
    <xf numFmtId="0" fontId="9" fillId="0" borderId="0" xfId="0" applyFont="1" applyAlignment="1" applyProtection="1">
      <alignment vertical="top" wrapText="1"/>
      <protection hidden="1"/>
    </xf>
    <xf numFmtId="0" fontId="9" fillId="0" borderId="13" xfId="3" applyFont="1" applyBorder="1" applyAlignment="1" applyProtection="1">
      <alignment horizontal="center" vertical="center"/>
      <protection hidden="1"/>
    </xf>
    <xf numFmtId="3" fontId="9" fillId="0" borderId="13" xfId="3" applyNumberFormat="1" applyFont="1" applyBorder="1" applyAlignment="1" applyProtection="1">
      <alignment horizontal="center" vertical="center"/>
      <protection hidden="1"/>
    </xf>
    <xf numFmtId="1" fontId="9" fillId="0" borderId="13" xfId="3" applyNumberFormat="1" applyFont="1" applyBorder="1" applyAlignment="1" applyProtection="1">
      <alignment horizontal="center" vertical="center"/>
      <protection hidden="1"/>
    </xf>
    <xf numFmtId="0" fontId="24" fillId="4" borderId="0" xfId="3" applyFont="1" applyFill="1"/>
    <xf numFmtId="0" fontId="24" fillId="4" borderId="0" xfId="3" applyFont="1" applyFill="1" applyAlignment="1">
      <alignment horizontal="center"/>
    </xf>
    <xf numFmtId="0" fontId="24" fillId="0" borderId="0" xfId="3" applyFont="1"/>
    <xf numFmtId="0" fontId="24" fillId="0" borderId="0" xfId="3" applyFont="1" applyAlignment="1">
      <alignment horizontal="center"/>
    </xf>
    <xf numFmtId="0" fontId="9" fillId="0" borderId="16" xfId="3" applyFont="1" applyBorder="1" applyAlignment="1" applyProtection="1">
      <alignment horizontal="center" vertical="center"/>
      <protection hidden="1"/>
    </xf>
    <xf numFmtId="3" fontId="9" fillId="0" borderId="17" xfId="3" applyNumberFormat="1" applyFont="1" applyBorder="1" applyAlignment="1" applyProtection="1">
      <alignment horizontal="center" vertical="center"/>
      <protection hidden="1"/>
    </xf>
    <xf numFmtId="0" fontId="13" fillId="4" borderId="0" xfId="3" applyFont="1" applyFill="1"/>
    <xf numFmtId="3" fontId="13" fillId="4" borderId="0" xfId="3" applyNumberFormat="1" applyFont="1" applyFill="1"/>
    <xf numFmtId="0" fontId="16" fillId="0" borderId="0" xfId="3" applyFont="1" applyAlignment="1">
      <alignment vertical="center"/>
    </xf>
    <xf numFmtId="3" fontId="18" fillId="0" borderId="0" xfId="1" applyNumberFormat="1" applyFont="1" applyFill="1" applyBorder="1" applyAlignment="1" applyProtection="1">
      <alignment vertical="center" wrapText="1"/>
    </xf>
    <xf numFmtId="0" fontId="9" fillId="0" borderId="13" xfId="3" applyFont="1" applyBorder="1" applyAlignment="1" applyProtection="1">
      <alignment horizontal="left" vertical="center"/>
      <protection hidden="1"/>
    </xf>
    <xf numFmtId="0" fontId="9" fillId="4" borderId="0" xfId="0" applyFont="1" applyFill="1" applyAlignment="1" applyProtection="1">
      <alignment vertical="center"/>
      <protection hidden="1"/>
    </xf>
    <xf numFmtId="0" fontId="9" fillId="4" borderId="0" xfId="0" applyFont="1" applyFill="1"/>
    <xf numFmtId="0" fontId="9" fillId="0" borderId="9" xfId="0" applyFont="1" applyBorder="1" applyAlignment="1" applyProtection="1">
      <alignment vertical="center"/>
      <protection hidden="1"/>
    </xf>
    <xf numFmtId="0" fontId="9" fillId="0" borderId="9" xfId="0" applyFont="1" applyBorder="1" applyAlignment="1" applyProtection="1">
      <alignment vertical="center"/>
      <protection locked="0"/>
    </xf>
    <xf numFmtId="0" fontId="27" fillId="4" borderId="0" xfId="3" applyFont="1" applyFill="1" applyAlignment="1" applyProtection="1">
      <alignment vertical="center"/>
      <protection hidden="1"/>
    </xf>
    <xf numFmtId="0" fontId="10" fillId="0" borderId="0" xfId="3" applyFont="1" applyAlignment="1" applyProtection="1">
      <alignment vertical="center"/>
      <protection hidden="1"/>
    </xf>
    <xf numFmtId="0" fontId="28" fillId="0" borderId="0" xfId="3" applyFont="1" applyAlignment="1" applyProtection="1">
      <alignment vertical="center"/>
      <protection hidden="1"/>
    </xf>
    <xf numFmtId="0" fontId="9" fillId="0" borderId="0" xfId="3" applyFont="1" applyAlignment="1" applyProtection="1">
      <alignment vertical="center"/>
      <protection hidden="1"/>
    </xf>
    <xf numFmtId="0" fontId="10" fillId="8" borderId="0" xfId="3" applyFont="1" applyFill="1" applyAlignment="1" applyProtection="1">
      <alignment vertical="center"/>
      <protection hidden="1"/>
    </xf>
    <xf numFmtId="0" fontId="9" fillId="8" borderId="0" xfId="3" applyFont="1" applyFill="1" applyAlignment="1" applyProtection="1">
      <alignment vertical="center"/>
      <protection hidden="1"/>
    </xf>
    <xf numFmtId="0" fontId="30" fillId="8" borderId="0" xfId="3" applyFont="1" applyFill="1" applyAlignment="1" applyProtection="1">
      <alignment vertical="center"/>
      <protection hidden="1"/>
    </xf>
    <xf numFmtId="0" fontId="29" fillId="0" borderId="0" xfId="3" applyFont="1" applyAlignment="1" applyProtection="1">
      <alignment vertical="center"/>
      <protection hidden="1"/>
    </xf>
    <xf numFmtId="0" fontId="31" fillId="0" borderId="1" xfId="3" applyFont="1" applyBorder="1" applyAlignment="1" applyProtection="1">
      <alignment vertical="center"/>
      <protection hidden="1"/>
    </xf>
    <xf numFmtId="0" fontId="31" fillId="0" borderId="0" xfId="3" applyFont="1" applyAlignment="1" applyProtection="1">
      <alignment vertical="center"/>
      <protection hidden="1"/>
    </xf>
    <xf numFmtId="0" fontId="30" fillId="5" borderId="0" xfId="3" applyFont="1" applyFill="1" applyAlignment="1" applyProtection="1">
      <alignment vertical="center"/>
      <protection hidden="1"/>
    </xf>
    <xf numFmtId="0" fontId="9" fillId="2" borderId="1" xfId="3" applyFont="1" applyFill="1" applyBorder="1" applyAlignment="1" applyProtection="1">
      <alignment vertical="center"/>
      <protection hidden="1"/>
    </xf>
    <xf numFmtId="0" fontId="9" fillId="2" borderId="0" xfId="3" applyFont="1" applyFill="1" applyAlignment="1" applyProtection="1">
      <alignment vertical="center"/>
      <protection hidden="1"/>
    </xf>
    <xf numFmtId="0" fontId="12" fillId="2" borderId="0" xfId="3" applyFont="1" applyFill="1" applyAlignment="1" applyProtection="1">
      <alignment vertical="center"/>
      <protection hidden="1"/>
    </xf>
    <xf numFmtId="0" fontId="14" fillId="7" borderId="19" xfId="3" applyFont="1" applyFill="1" applyBorder="1" applyAlignment="1" applyProtection="1">
      <alignment horizontal="center" vertical="center"/>
      <protection hidden="1"/>
    </xf>
    <xf numFmtId="0" fontId="9" fillId="5" borderId="0" xfId="3" applyFont="1" applyFill="1" applyAlignment="1" applyProtection="1">
      <alignment horizontal="center" vertical="center"/>
      <protection hidden="1"/>
    </xf>
    <xf numFmtId="0" fontId="12" fillId="5" borderId="0" xfId="3" applyFont="1" applyFill="1" applyAlignment="1" applyProtection="1">
      <alignment horizontal="center" vertical="center"/>
      <protection hidden="1"/>
    </xf>
    <xf numFmtId="0" fontId="9" fillId="2" borderId="0" xfId="3" applyFont="1" applyFill="1" applyAlignment="1" applyProtection="1">
      <alignment horizontal="center" vertical="center"/>
      <protection hidden="1"/>
    </xf>
    <xf numFmtId="0" fontId="9" fillId="2" borderId="19" xfId="3" applyFont="1" applyFill="1" applyBorder="1" applyAlignment="1" applyProtection="1">
      <alignment horizontal="center" vertical="center"/>
      <protection hidden="1"/>
    </xf>
    <xf numFmtId="167" fontId="9" fillId="2" borderId="19" xfId="3" applyNumberFormat="1" applyFont="1" applyFill="1" applyBorder="1" applyAlignment="1" applyProtection="1">
      <alignment horizontal="center" vertical="center"/>
      <protection hidden="1"/>
    </xf>
    <xf numFmtId="0" fontId="14" fillId="4" borderId="0" xfId="3" applyFont="1" applyFill="1" applyAlignment="1" applyProtection="1">
      <alignment vertical="center"/>
      <protection hidden="1"/>
    </xf>
    <xf numFmtId="0" fontId="30" fillId="4" borderId="0" xfId="3" applyFont="1" applyFill="1" applyAlignment="1" applyProtection="1">
      <alignment vertical="center"/>
      <protection hidden="1"/>
    </xf>
    <xf numFmtId="0" fontId="9" fillId="4" borderId="1" xfId="3" applyFont="1" applyFill="1" applyBorder="1" applyAlignment="1" applyProtection="1">
      <alignment vertical="center"/>
      <protection hidden="1"/>
    </xf>
    <xf numFmtId="0" fontId="9" fillId="4" borderId="0" xfId="3" applyFont="1" applyFill="1" applyAlignment="1" applyProtection="1">
      <alignment vertical="center"/>
      <protection hidden="1"/>
    </xf>
    <xf numFmtId="0" fontId="12" fillId="4" borderId="0" xfId="3" applyFont="1" applyFill="1" applyAlignment="1" applyProtection="1">
      <alignment horizontal="center" vertical="center"/>
      <protection hidden="1"/>
    </xf>
    <xf numFmtId="0" fontId="9" fillId="5" borderId="1" xfId="3" applyFont="1" applyFill="1" applyBorder="1" applyAlignment="1" applyProtection="1">
      <alignment vertical="center"/>
      <protection hidden="1"/>
    </xf>
    <xf numFmtId="0" fontId="9" fillId="5" borderId="0" xfId="3" applyFont="1" applyFill="1" applyAlignment="1" applyProtection="1">
      <alignment vertical="center"/>
      <protection hidden="1"/>
    </xf>
    <xf numFmtId="0" fontId="9" fillId="5" borderId="2" xfId="3" applyFont="1" applyFill="1" applyBorder="1" applyAlignment="1" applyProtection="1">
      <alignment vertical="center"/>
      <protection hidden="1"/>
    </xf>
    <xf numFmtId="0" fontId="9" fillId="0" borderId="0" xfId="3" applyFont="1" applyAlignment="1" applyProtection="1">
      <alignment horizontal="center" vertical="center"/>
      <protection hidden="1"/>
    </xf>
    <xf numFmtId="0" fontId="9" fillId="0" borderId="2" xfId="3" applyFont="1" applyBorder="1" applyAlignment="1" applyProtection="1">
      <alignment vertical="center"/>
      <protection hidden="1"/>
    </xf>
    <xf numFmtId="166" fontId="9" fillId="5" borderId="0" xfId="3" applyNumberFormat="1" applyFont="1" applyFill="1" applyAlignment="1" applyProtection="1">
      <alignment horizontal="right" vertical="center"/>
      <protection hidden="1"/>
    </xf>
    <xf numFmtId="165" fontId="9" fillId="5" borderId="0" xfId="3" applyNumberFormat="1" applyFont="1" applyFill="1" applyAlignment="1" applyProtection="1">
      <alignment horizontal="right" vertical="center"/>
      <protection hidden="1"/>
    </xf>
    <xf numFmtId="0" fontId="9" fillId="5" borderId="0" xfId="3" applyFont="1" applyFill="1" applyAlignment="1" applyProtection="1">
      <alignment horizontal="right" vertical="center" indent="1"/>
      <protection hidden="1"/>
    </xf>
    <xf numFmtId="0" fontId="9" fillId="5" borderId="0" xfId="3" applyFont="1" applyFill="1" applyAlignment="1" applyProtection="1">
      <alignment horizontal="left" vertical="center" indent="1"/>
      <protection hidden="1"/>
    </xf>
    <xf numFmtId="0" fontId="9" fillId="0" borderId="0" xfId="3" applyFont="1" applyAlignment="1" applyProtection="1">
      <alignment horizontal="right" vertical="center" indent="1"/>
      <protection hidden="1"/>
    </xf>
    <xf numFmtId="0" fontId="9" fillId="0" borderId="9" xfId="3" applyFont="1" applyBorder="1" applyAlignment="1" applyProtection="1">
      <alignment horizontal="center" vertical="center"/>
      <protection locked="0"/>
    </xf>
    <xf numFmtId="0" fontId="9" fillId="0" borderId="0" xfId="3" applyFont="1" applyAlignment="1" applyProtection="1">
      <alignment horizontal="left" vertical="center" indent="1"/>
      <protection hidden="1"/>
    </xf>
    <xf numFmtId="0" fontId="10" fillId="0" borderId="0" xfId="3" applyFont="1" applyAlignment="1" applyProtection="1">
      <alignment horizontal="left" vertical="center" indent="1"/>
      <protection hidden="1"/>
    </xf>
    <xf numFmtId="167" fontId="9" fillId="2" borderId="19" xfId="2" applyNumberFormat="1" applyFont="1" applyFill="1" applyBorder="1" applyAlignment="1" applyProtection="1">
      <alignment horizontal="center" vertical="center"/>
      <protection hidden="1"/>
    </xf>
    <xf numFmtId="0" fontId="9" fillId="0" borderId="0" xfId="3" applyFont="1" applyAlignment="1" applyProtection="1">
      <alignment horizontal="center" vertical="center"/>
      <protection locked="0"/>
    </xf>
    <xf numFmtId="0" fontId="9" fillId="5" borderId="0" xfId="3" applyFont="1" applyFill="1" applyAlignment="1" applyProtection="1">
      <alignment horizontal="right" vertical="center"/>
      <protection hidden="1"/>
    </xf>
    <xf numFmtId="0" fontId="30" fillId="4" borderId="1" xfId="3" applyFont="1" applyFill="1" applyBorder="1" applyAlignment="1" applyProtection="1">
      <alignment vertical="center"/>
      <protection hidden="1"/>
    </xf>
    <xf numFmtId="0" fontId="9" fillId="4" borderId="2" xfId="3" applyFont="1" applyFill="1" applyBorder="1" applyAlignment="1" applyProtection="1">
      <alignment vertical="center"/>
      <protection hidden="1"/>
    </xf>
    <xf numFmtId="0" fontId="12" fillId="5" borderId="0" xfId="3" applyFont="1" applyFill="1" applyAlignment="1" applyProtection="1">
      <alignment vertical="center"/>
      <protection hidden="1"/>
    </xf>
    <xf numFmtId="0" fontId="12" fillId="0" borderId="0" xfId="3" applyFont="1" applyAlignment="1" applyProtection="1">
      <alignment vertical="center"/>
      <protection hidden="1"/>
    </xf>
    <xf numFmtId="0" fontId="10" fillId="4" borderId="10" xfId="3" applyFont="1" applyFill="1" applyBorder="1" applyAlignment="1" applyProtection="1">
      <alignment horizontal="center" vertical="center"/>
      <protection hidden="1"/>
    </xf>
    <xf numFmtId="167" fontId="10" fillId="0" borderId="1" xfId="3" applyNumberFormat="1" applyFont="1" applyBorder="1" applyAlignment="1" applyProtection="1">
      <alignment vertical="center"/>
      <protection hidden="1"/>
    </xf>
    <xf numFmtId="0" fontId="9" fillId="5" borderId="9" xfId="3" applyFont="1" applyFill="1" applyBorder="1" applyAlignment="1" applyProtection="1">
      <alignment horizontal="center" vertical="center"/>
      <protection hidden="1"/>
    </xf>
    <xf numFmtId="0" fontId="32" fillId="5" borderId="0" xfId="3" applyFont="1" applyFill="1" applyAlignment="1" applyProtection="1">
      <alignment vertical="center"/>
      <protection hidden="1"/>
    </xf>
    <xf numFmtId="0" fontId="32"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0" fontId="9" fillId="5" borderId="11" xfId="3" applyFont="1" applyFill="1" applyBorder="1" applyAlignment="1" applyProtection="1">
      <alignment horizontal="center" vertical="center"/>
      <protection hidden="1"/>
    </xf>
    <xf numFmtId="0" fontId="9" fillId="5" borderId="11" xfId="3" applyFont="1" applyFill="1" applyBorder="1" applyAlignment="1" applyProtection="1">
      <alignment horizontal="right" vertical="center" indent="1"/>
      <protection hidden="1"/>
    </xf>
    <xf numFmtId="0" fontId="9" fillId="5" borderId="11" xfId="3" applyFont="1" applyFill="1" applyBorder="1" applyAlignment="1" applyProtection="1">
      <alignment horizontal="left" vertical="center" indent="1"/>
      <protection hidden="1"/>
    </xf>
    <xf numFmtId="0" fontId="9" fillId="5" borderId="11" xfId="3" applyFont="1" applyFill="1" applyBorder="1" applyAlignment="1" applyProtection="1">
      <alignment horizontal="center" vertical="center"/>
      <protection locked="0"/>
    </xf>
    <xf numFmtId="0" fontId="9" fillId="5" borderId="5" xfId="3" applyFont="1" applyFill="1" applyBorder="1" applyAlignment="1" applyProtection="1">
      <alignment horizontal="center" vertical="center"/>
      <protection hidden="1"/>
    </xf>
    <xf numFmtId="0" fontId="9" fillId="5" borderId="5" xfId="3" applyFont="1" applyFill="1" applyBorder="1" applyAlignment="1" applyProtection="1">
      <alignment horizontal="right" vertical="center" indent="1"/>
      <protection hidden="1"/>
    </xf>
    <xf numFmtId="0" fontId="9" fillId="5" borderId="5" xfId="3" applyFont="1" applyFill="1" applyBorder="1" applyAlignment="1" applyProtection="1">
      <alignment horizontal="left" vertical="center" indent="1"/>
      <protection hidden="1"/>
    </xf>
    <xf numFmtId="0" fontId="9" fillId="5" borderId="5" xfId="3" applyFont="1" applyFill="1" applyBorder="1" applyAlignment="1" applyProtection="1">
      <alignment horizontal="center" vertical="center"/>
      <protection locked="0"/>
    </xf>
    <xf numFmtId="0" fontId="9" fillId="0" borderId="5" xfId="3" applyFont="1" applyBorder="1" applyAlignment="1" applyProtection="1">
      <alignment horizontal="center" vertical="center"/>
      <protection locked="0"/>
    </xf>
    <xf numFmtId="0" fontId="9" fillId="5" borderId="3" xfId="3" applyFont="1" applyFill="1" applyBorder="1" applyAlignment="1" applyProtection="1">
      <alignment horizontal="center" vertical="center"/>
      <protection hidden="1"/>
    </xf>
    <xf numFmtId="0" fontId="9" fillId="5" borderId="3" xfId="3" applyFont="1" applyFill="1" applyBorder="1" applyAlignment="1" applyProtection="1">
      <alignment horizontal="right" vertical="center" indent="1"/>
      <protection hidden="1"/>
    </xf>
    <xf numFmtId="0" fontId="9" fillId="5" borderId="3" xfId="3" applyFont="1" applyFill="1" applyBorder="1" applyAlignment="1" applyProtection="1">
      <alignment horizontal="left" vertical="center" indent="1"/>
      <protection hidden="1"/>
    </xf>
    <xf numFmtId="0" fontId="9" fillId="5" borderId="3" xfId="3" applyFont="1" applyFill="1" applyBorder="1" applyAlignment="1" applyProtection="1">
      <alignment horizontal="center" vertical="center"/>
      <protection locked="0"/>
    </xf>
    <xf numFmtId="0" fontId="9" fillId="0" borderId="3" xfId="3" applyFont="1" applyBorder="1" applyAlignment="1" applyProtection="1">
      <alignment horizontal="center" vertical="center"/>
      <protection locked="0"/>
    </xf>
    <xf numFmtId="0" fontId="10" fillId="0" borderId="6" xfId="3" applyFont="1" applyBorder="1" applyAlignment="1" applyProtection="1">
      <alignment vertical="center"/>
      <protection hidden="1"/>
    </xf>
    <xf numFmtId="0" fontId="9" fillId="5" borderId="7" xfId="3" applyFont="1" applyFill="1" applyBorder="1" applyAlignment="1" applyProtection="1">
      <alignment vertical="center"/>
      <protection hidden="1"/>
    </xf>
    <xf numFmtId="0" fontId="9" fillId="5" borderId="5" xfId="3" applyFont="1" applyFill="1" applyBorder="1" applyAlignment="1" applyProtection="1">
      <alignment vertical="center"/>
      <protection hidden="1"/>
    </xf>
    <xf numFmtId="0" fontId="32" fillId="5" borderId="6" xfId="3" applyFont="1" applyFill="1" applyBorder="1" applyAlignment="1" applyProtection="1">
      <alignment vertical="center"/>
      <protection hidden="1"/>
    </xf>
    <xf numFmtId="0" fontId="9" fillId="0" borderId="5" xfId="3" applyFont="1" applyBorder="1" applyAlignment="1" applyProtection="1">
      <alignment vertical="center"/>
      <protection hidden="1"/>
    </xf>
    <xf numFmtId="0" fontId="10" fillId="0" borderId="0" xfId="3" applyFont="1" applyProtection="1">
      <protection hidden="1"/>
    </xf>
    <xf numFmtId="0" fontId="9" fillId="0" borderId="0" xfId="3" applyFont="1" applyProtection="1">
      <protection hidden="1"/>
    </xf>
    <xf numFmtId="0" fontId="9" fillId="0" borderId="5" xfId="3" applyFont="1" applyBorder="1" applyAlignment="1" applyProtection="1">
      <alignment horizontal="right" vertical="center" indent="1"/>
      <protection hidden="1"/>
    </xf>
    <xf numFmtId="0" fontId="9" fillId="0" borderId="5" xfId="3" applyFont="1" applyBorder="1" applyAlignment="1" applyProtection="1">
      <alignment horizontal="left" vertical="center" indent="1"/>
      <protection hidden="1"/>
    </xf>
    <xf numFmtId="0" fontId="9" fillId="0" borderId="3" xfId="3" applyFont="1" applyBorder="1" applyAlignment="1" applyProtection="1">
      <alignment horizontal="right" vertical="center" indent="1"/>
      <protection hidden="1"/>
    </xf>
    <xf numFmtId="0" fontId="9" fillId="0" borderId="3" xfId="3" applyFont="1" applyBorder="1" applyAlignment="1" applyProtection="1">
      <alignment horizontal="left" vertical="center" indent="1"/>
      <protection hidden="1"/>
    </xf>
    <xf numFmtId="0" fontId="17" fillId="4" borderId="0" xfId="3" applyFont="1" applyFill="1"/>
    <xf numFmtId="0" fontId="17" fillId="4" borderId="0" xfId="3" applyFont="1" applyFill="1" applyAlignment="1">
      <alignment horizontal="center"/>
    </xf>
    <xf numFmtId="0" fontId="35" fillId="4" borderId="0" xfId="1" applyFont="1" applyFill="1" applyBorder="1" applyAlignment="1" applyProtection="1">
      <alignment vertical="center" wrapText="1"/>
    </xf>
    <xf numFmtId="0" fontId="10" fillId="4" borderId="13" xfId="3" applyFont="1" applyFill="1" applyBorder="1" applyAlignment="1" applyProtection="1">
      <alignment horizontal="center" vertical="center"/>
      <protection locked="0"/>
    </xf>
    <xf numFmtId="1" fontId="10" fillId="4" borderId="13" xfId="3" applyNumberFormat="1" applyFont="1" applyFill="1" applyBorder="1" applyAlignment="1" applyProtection="1">
      <alignment horizontal="center" vertical="center"/>
      <protection locked="0"/>
    </xf>
    <xf numFmtId="0" fontId="14" fillId="8" borderId="19" xfId="3" applyFont="1" applyFill="1" applyBorder="1" applyAlignment="1" applyProtection="1">
      <alignment horizontal="center" vertical="center"/>
      <protection hidden="1"/>
    </xf>
    <xf numFmtId="0" fontId="12" fillId="5" borderId="0" xfId="3" applyFont="1" applyFill="1" applyAlignment="1" applyProtection="1">
      <alignment horizontal="left" vertical="center"/>
      <protection hidden="1"/>
    </xf>
    <xf numFmtId="0" fontId="12" fillId="5" borderId="0" xfId="3" applyFont="1" applyFill="1" applyAlignment="1" applyProtection="1">
      <alignment horizontal="right" vertical="center"/>
      <protection hidden="1"/>
    </xf>
    <xf numFmtId="0" fontId="10" fillId="4" borderId="0" xfId="3" applyFont="1" applyFill="1" applyAlignment="1" applyProtection="1">
      <alignment vertical="center"/>
      <protection hidden="1"/>
    </xf>
    <xf numFmtId="0" fontId="10" fillId="0" borderId="1" xfId="3" applyFont="1" applyBorder="1" applyAlignment="1" applyProtection="1">
      <alignment vertical="center"/>
      <protection hidden="1"/>
    </xf>
    <xf numFmtId="0" fontId="9" fillId="0" borderId="1" xfId="3" applyFont="1" applyBorder="1" applyAlignment="1" applyProtection="1">
      <alignment vertical="center"/>
      <protection hidden="1"/>
    </xf>
    <xf numFmtId="167" fontId="10" fillId="0" borderId="0" xfId="3" applyNumberFormat="1" applyFont="1" applyAlignment="1" applyProtection="1">
      <alignment vertical="center"/>
      <protection hidden="1"/>
    </xf>
    <xf numFmtId="0" fontId="33" fillId="0" borderId="5" xfId="3" applyFont="1" applyBorder="1" applyAlignment="1" applyProtection="1">
      <alignment vertical="center"/>
      <protection hidden="1"/>
    </xf>
    <xf numFmtId="0" fontId="10" fillId="0" borderId="5" xfId="3" applyFont="1" applyBorder="1" applyAlignment="1" applyProtection="1">
      <alignment vertical="center"/>
      <protection hidden="1"/>
    </xf>
    <xf numFmtId="0" fontId="10" fillId="0" borderId="0" xfId="3" applyFont="1" applyAlignment="1" applyProtection="1">
      <alignment horizontal="left" vertical="center" wrapText="1"/>
      <protection hidden="1"/>
    </xf>
    <xf numFmtId="0" fontId="8" fillId="4" borderId="0" xfId="3" applyFont="1" applyFill="1"/>
    <xf numFmtId="0" fontId="8" fillId="0" borderId="0" xfId="3" applyFont="1"/>
    <xf numFmtId="0" fontId="9" fillId="0" borderId="12" xfId="0" applyFont="1" applyBorder="1" applyAlignment="1" applyProtection="1">
      <alignment vertical="center"/>
      <protection hidden="1"/>
    </xf>
    <xf numFmtId="0" fontId="9" fillId="0" borderId="12" xfId="0" applyFont="1" applyBorder="1" applyAlignment="1" applyProtection="1">
      <alignment vertical="center"/>
      <protection locked="0"/>
    </xf>
    <xf numFmtId="0" fontId="26" fillId="4" borderId="0" xfId="0" applyFont="1" applyFill="1" applyAlignment="1" applyProtection="1">
      <alignment vertical="center"/>
      <protection hidden="1"/>
    </xf>
    <xf numFmtId="0" fontId="9" fillId="0" borderId="9" xfId="0" applyFont="1" applyBorder="1" applyAlignment="1">
      <alignment horizontal="center" vertical="center"/>
    </xf>
    <xf numFmtId="0" fontId="25" fillId="4" borderId="9" xfId="0" applyFont="1" applyFill="1" applyBorder="1" applyAlignment="1" applyProtection="1">
      <alignment vertical="center"/>
      <protection hidden="1"/>
    </xf>
    <xf numFmtId="0" fontId="36" fillId="0" borderId="0" xfId="3" applyFont="1"/>
    <xf numFmtId="0" fontId="9" fillId="0" borderId="0" xfId="3" applyFont="1" applyAlignment="1">
      <alignment horizontal="center"/>
    </xf>
    <xf numFmtId="0" fontId="9" fillId="0" borderId="0" xfId="3" applyFont="1" applyAlignment="1">
      <alignment horizontal="center" wrapText="1"/>
    </xf>
    <xf numFmtId="0" fontId="10" fillId="4" borderId="9" xfId="3" applyFont="1" applyFill="1" applyBorder="1" applyAlignment="1">
      <alignment horizontal="center" vertical="center"/>
    </xf>
    <xf numFmtId="0" fontId="10" fillId="4" borderId="9" xfId="3" applyFont="1" applyFill="1" applyBorder="1" applyAlignment="1">
      <alignment horizontal="center" vertical="center" wrapText="1"/>
    </xf>
    <xf numFmtId="0" fontId="9" fillId="3" borderId="9" xfId="3" applyFont="1" applyFill="1" applyBorder="1" applyAlignment="1">
      <alignment horizontal="center"/>
    </xf>
    <xf numFmtId="3" fontId="9" fillId="3" borderId="9" xfId="3" applyNumberFormat="1" applyFont="1" applyFill="1" applyBorder="1" applyAlignment="1">
      <alignment horizontal="center"/>
    </xf>
    <xf numFmtId="0" fontId="9" fillId="0" borderId="9" xfId="3" applyFont="1" applyBorder="1" applyAlignment="1">
      <alignment horizontal="center"/>
    </xf>
    <xf numFmtId="0" fontId="12" fillId="0" borderId="0" xfId="3" applyFont="1" applyAlignment="1">
      <alignment horizontal="left"/>
    </xf>
    <xf numFmtId="0" fontId="12" fillId="2" borderId="0" xfId="3" applyFont="1" applyFill="1" applyAlignment="1" applyProtection="1">
      <alignment horizontal="center" vertical="center"/>
      <protection hidden="1"/>
    </xf>
    <xf numFmtId="166" fontId="9" fillId="5" borderId="11" xfId="3" applyNumberFormat="1" applyFont="1" applyFill="1" applyBorder="1" applyAlignment="1" applyProtection="1">
      <alignment vertical="center"/>
      <protection locked="0"/>
    </xf>
    <xf numFmtId="165" fontId="9" fillId="5" borderId="11" xfId="3" applyNumberFormat="1" applyFont="1" applyFill="1" applyBorder="1" applyAlignment="1" applyProtection="1">
      <alignment vertical="center"/>
      <protection locked="0"/>
    </xf>
    <xf numFmtId="166" fontId="9" fillId="5" borderId="0" xfId="3" applyNumberFormat="1" applyFont="1" applyFill="1" applyAlignment="1" applyProtection="1">
      <alignment vertical="center"/>
      <protection locked="0"/>
    </xf>
    <xf numFmtId="165" fontId="9" fillId="5" borderId="0" xfId="3" applyNumberFormat="1" applyFont="1" applyFill="1" applyAlignment="1" applyProtection="1">
      <alignment vertical="center"/>
      <protection locked="0"/>
    </xf>
    <xf numFmtId="166" fontId="9" fillId="5" borderId="5" xfId="3" applyNumberFormat="1" applyFont="1" applyFill="1" applyBorder="1" applyAlignment="1" applyProtection="1">
      <alignment vertical="center"/>
      <protection locked="0"/>
    </xf>
    <xf numFmtId="165" fontId="9" fillId="5" borderId="5" xfId="3" applyNumberFormat="1" applyFont="1" applyFill="1" applyBorder="1" applyAlignment="1" applyProtection="1">
      <alignment vertical="center"/>
      <protection locked="0"/>
    </xf>
    <xf numFmtId="166" fontId="9" fillId="5" borderId="11" xfId="3" applyNumberFormat="1" applyFont="1" applyFill="1" applyBorder="1" applyAlignment="1" applyProtection="1">
      <alignment horizontal="right" vertical="center"/>
      <protection locked="0"/>
    </xf>
    <xf numFmtId="165" fontId="9" fillId="5" borderId="11" xfId="3" applyNumberFormat="1" applyFont="1" applyFill="1" applyBorder="1" applyAlignment="1" applyProtection="1">
      <alignment horizontal="right" vertical="center"/>
      <protection locked="0"/>
    </xf>
    <xf numFmtId="166" fontId="9" fillId="5" borderId="0" xfId="3" applyNumberFormat="1" applyFont="1" applyFill="1" applyAlignment="1" applyProtection="1">
      <alignment horizontal="right" vertical="center"/>
      <protection locked="0"/>
    </xf>
    <xf numFmtId="165" fontId="9" fillId="5" borderId="0" xfId="3" applyNumberFormat="1" applyFont="1" applyFill="1" applyAlignment="1" applyProtection="1">
      <alignment horizontal="right" vertical="center"/>
      <protection locked="0"/>
    </xf>
    <xf numFmtId="166" fontId="9" fillId="5" borderId="5" xfId="3" applyNumberFormat="1" applyFont="1" applyFill="1" applyBorder="1" applyAlignment="1" applyProtection="1">
      <alignment horizontal="right" vertical="center"/>
      <protection locked="0"/>
    </xf>
    <xf numFmtId="165" fontId="9" fillId="5" borderId="5" xfId="3" applyNumberFormat="1" applyFont="1" applyFill="1" applyBorder="1" applyAlignment="1" applyProtection="1">
      <alignment horizontal="right" vertical="center"/>
      <protection locked="0"/>
    </xf>
    <xf numFmtId="166" fontId="9" fillId="5" borderId="3" xfId="3" applyNumberFormat="1" applyFont="1" applyFill="1" applyBorder="1" applyAlignment="1" applyProtection="1">
      <alignment horizontal="right" vertical="center"/>
      <protection locked="0"/>
    </xf>
    <xf numFmtId="165" fontId="9" fillId="5" borderId="3" xfId="3" applyNumberFormat="1" applyFont="1" applyFill="1" applyBorder="1" applyAlignment="1" applyProtection="1">
      <alignment horizontal="right" vertical="center"/>
      <protection locked="0"/>
    </xf>
    <xf numFmtId="0" fontId="14" fillId="4" borderId="9" xfId="3" applyFont="1" applyFill="1" applyBorder="1" applyAlignment="1" applyProtection="1">
      <alignment horizontal="center" vertical="center" wrapText="1"/>
      <protection locked="0"/>
    </xf>
    <xf numFmtId="0" fontId="9" fillId="11" borderId="9" xfId="3" applyFont="1" applyFill="1" applyBorder="1" applyAlignment="1" applyProtection="1">
      <alignment horizontal="center" vertical="center"/>
      <protection locked="0"/>
    </xf>
    <xf numFmtId="0" fontId="9" fillId="0" borderId="3" xfId="3" applyFont="1" applyBorder="1" applyAlignment="1" applyProtection="1">
      <alignment vertical="center"/>
      <protection locked="0"/>
    </xf>
    <xf numFmtId="0" fontId="9" fillId="0" borderId="3" xfId="3" applyFont="1" applyBorder="1" applyAlignment="1">
      <alignment vertical="center"/>
    </xf>
    <xf numFmtId="0" fontId="9" fillId="11" borderId="9" xfId="3" applyFont="1" applyFill="1" applyBorder="1" applyAlignment="1" applyProtection="1">
      <alignment vertical="center"/>
      <protection locked="0"/>
    </xf>
    <xf numFmtId="0" fontId="38" fillId="2" borderId="0" xfId="3" applyFont="1" applyFill="1" applyAlignment="1">
      <alignment vertical="center"/>
    </xf>
    <xf numFmtId="0" fontId="37" fillId="2" borderId="0" xfId="3" applyFont="1" applyFill="1" applyAlignment="1">
      <alignment vertical="center"/>
    </xf>
    <xf numFmtId="0" fontId="12" fillId="5" borderId="9" xfId="3" applyFont="1" applyFill="1" applyBorder="1" applyAlignment="1" applyProtection="1">
      <alignment horizontal="center" vertical="center"/>
      <protection hidden="1"/>
    </xf>
    <xf numFmtId="0" fontId="12" fillId="0" borderId="3" xfId="3" applyFont="1" applyBorder="1" applyAlignment="1" applyProtection="1">
      <alignment vertical="center"/>
      <protection locked="0"/>
    </xf>
    <xf numFmtId="0" fontId="34" fillId="0" borderId="3" xfId="3" applyFont="1" applyBorder="1" applyAlignment="1" applyProtection="1">
      <alignment horizontal="center" vertical="center"/>
      <protection locked="0"/>
    </xf>
    <xf numFmtId="0" fontId="39" fillId="0" borderId="0" xfId="3" applyFont="1" applyAlignment="1">
      <alignment vertical="center"/>
    </xf>
    <xf numFmtId="0" fontId="40" fillId="0" borderId="15" xfId="3" applyFont="1" applyBorder="1" applyAlignment="1">
      <alignment vertical="center"/>
    </xf>
    <xf numFmtId="0" fontId="39" fillId="0" borderId="15" xfId="3" applyFont="1" applyBorder="1" applyAlignment="1">
      <alignment vertical="center"/>
    </xf>
    <xf numFmtId="0" fontId="39" fillId="0" borderId="0" xfId="3" applyFont="1"/>
    <xf numFmtId="0" fontId="40" fillId="0" borderId="0" xfId="3" applyFont="1"/>
    <xf numFmtId="0" fontId="40" fillId="0" borderId="5" xfId="3" applyFont="1" applyBorder="1"/>
    <xf numFmtId="0" fontId="39" fillId="0" borderId="5" xfId="3" applyFont="1" applyBorder="1"/>
    <xf numFmtId="0" fontId="39" fillId="0" borderId="0" xfId="3" applyFont="1" applyProtection="1">
      <protection locked="0"/>
    </xf>
    <xf numFmtId="0" fontId="40" fillId="0" borderId="15" xfId="3" applyFont="1" applyBorder="1"/>
    <xf numFmtId="0" fontId="39" fillId="0" borderId="15" xfId="3" applyFont="1" applyBorder="1"/>
    <xf numFmtId="0" fontId="41" fillId="0" borderId="0" xfId="3" applyFont="1" applyAlignment="1" applyProtection="1">
      <alignment horizontal="left" vertical="center" indent="1"/>
      <protection locked="0"/>
    </xf>
    <xf numFmtId="0" fontId="42" fillId="0" borderId="0" xfId="3" applyFont="1" applyAlignment="1" applyProtection="1">
      <alignment horizontal="left" vertical="center" indent="1"/>
      <protection locked="0"/>
    </xf>
    <xf numFmtId="0" fontId="9" fillId="4" borderId="0" xfId="3" applyFont="1" applyFill="1" applyAlignment="1">
      <alignment horizontal="center" vertical="center"/>
    </xf>
    <xf numFmtId="0" fontId="9" fillId="0" borderId="0" xfId="3" applyFont="1" applyAlignment="1">
      <alignment horizontal="center" vertical="center"/>
    </xf>
    <xf numFmtId="0" fontId="19" fillId="0" borderId="0" xfId="3" applyFont="1" applyAlignment="1">
      <alignment horizontal="center" vertical="center"/>
    </xf>
    <xf numFmtId="0" fontId="38" fillId="2" borderId="0" xfId="3" applyFont="1" applyFill="1" applyAlignment="1">
      <alignment horizontal="center" vertical="center"/>
    </xf>
    <xf numFmtId="0" fontId="9" fillId="0" borderId="0" xfId="0" applyFont="1" applyAlignment="1">
      <alignment horizontal="center" vertical="center"/>
    </xf>
    <xf numFmtId="0" fontId="38" fillId="2" borderId="0" xfId="0" applyFont="1" applyFill="1" applyAlignment="1" applyProtection="1">
      <alignment horizontal="center" vertical="center"/>
      <protection hidden="1"/>
    </xf>
    <xf numFmtId="0" fontId="37" fillId="2" borderId="0" xfId="0" applyFont="1" applyFill="1" applyAlignment="1" applyProtection="1">
      <alignment vertical="center"/>
      <protection hidden="1"/>
    </xf>
    <xf numFmtId="0" fontId="37" fillId="2" borderId="0" xfId="0" applyFont="1" applyFill="1" applyAlignment="1" applyProtection="1">
      <alignment horizontal="center" vertical="center"/>
      <protection hidden="1"/>
    </xf>
    <xf numFmtId="0" fontId="9" fillId="0" borderId="24" xfId="3" applyFont="1" applyBorder="1" applyAlignment="1" applyProtection="1">
      <alignment vertical="center"/>
      <protection hidden="1"/>
    </xf>
    <xf numFmtId="0" fontId="10" fillId="4" borderId="0" xfId="0" applyFont="1" applyFill="1"/>
    <xf numFmtId="0" fontId="10" fillId="4" borderId="0" xfId="0" quotePrefix="1" applyFont="1" applyFill="1" applyAlignment="1">
      <alignment horizontal="left"/>
    </xf>
    <xf numFmtId="0" fontId="43" fillId="4" borderId="0" xfId="1" applyFont="1" applyFill="1" applyBorder="1" applyAlignment="1" applyProtection="1"/>
    <xf numFmtId="0" fontId="26" fillId="4" borderId="0" xfId="0" applyFont="1" applyFill="1"/>
    <xf numFmtId="0" fontId="46" fillId="0" borderId="0" xfId="1" applyFont="1" applyFill="1" applyAlignment="1" applyProtection="1">
      <alignment vertical="center"/>
      <protection hidden="1"/>
    </xf>
    <xf numFmtId="0" fontId="47" fillId="0" borderId="0" xfId="3" applyFont="1" applyAlignment="1" applyProtection="1">
      <alignment horizontal="center" vertical="center"/>
      <protection hidden="1"/>
    </xf>
    <xf numFmtId="0" fontId="10" fillId="12" borderId="0" xfId="3" applyFont="1" applyFill="1" applyAlignment="1" applyProtection="1">
      <alignment horizontal="center" vertical="center"/>
      <protection hidden="1"/>
    </xf>
    <xf numFmtId="0" fontId="48" fillId="0" borderId="0" xfId="3" applyFont="1" applyAlignment="1" applyProtection="1">
      <alignment vertical="center"/>
      <protection hidden="1"/>
    </xf>
    <xf numFmtId="0" fontId="10" fillId="12" borderId="9" xfId="3" applyFont="1" applyFill="1" applyBorder="1" applyAlignment="1" applyProtection="1">
      <alignment horizontal="center" vertical="center"/>
      <protection hidden="1"/>
    </xf>
    <xf numFmtId="0" fontId="12" fillId="0" borderId="9" xfId="3" applyFont="1" applyBorder="1" applyAlignment="1" applyProtection="1">
      <alignment horizontal="center" vertical="center"/>
      <protection hidden="1"/>
    </xf>
    <xf numFmtId="0" fontId="14" fillId="8" borderId="0" xfId="3" applyFont="1" applyFill="1" applyAlignment="1" applyProtection="1">
      <alignment vertical="center"/>
      <protection hidden="1"/>
    </xf>
    <xf numFmtId="0" fontId="14" fillId="6" borderId="25" xfId="0" applyFont="1" applyFill="1" applyBorder="1" applyAlignment="1">
      <alignment horizontal="center" vertical="center" wrapText="1"/>
    </xf>
    <xf numFmtId="0" fontId="12" fillId="10" borderId="25" xfId="0" applyFont="1" applyFill="1" applyBorder="1" applyAlignment="1">
      <alignment horizontal="center" vertical="center" wrapText="1"/>
    </xf>
    <xf numFmtId="0" fontId="9" fillId="4" borderId="0" xfId="3" applyFont="1" applyFill="1"/>
    <xf numFmtId="3" fontId="9" fillId="4" borderId="0" xfId="3" applyNumberFormat="1" applyFont="1" applyFill="1"/>
    <xf numFmtId="0" fontId="9" fillId="0" borderId="0" xfId="3" applyFont="1"/>
    <xf numFmtId="3" fontId="9" fillId="0" borderId="0" xfId="3" applyNumberFormat="1" applyFont="1"/>
    <xf numFmtId="0" fontId="14" fillId="0" borderId="0" xfId="3" applyFont="1" applyAlignment="1">
      <alignment vertical="center"/>
    </xf>
    <xf numFmtId="3" fontId="49" fillId="0" borderId="0" xfId="1" applyNumberFormat="1" applyFont="1" applyFill="1" applyBorder="1" applyAlignment="1" applyProtection="1">
      <alignment vertical="center" wrapText="1"/>
    </xf>
    <xf numFmtId="0" fontId="14" fillId="4" borderId="0" xfId="0" applyFont="1" applyFill="1" applyAlignment="1">
      <alignment vertical="center"/>
    </xf>
    <xf numFmtId="0" fontId="9" fillId="0" borderId="25" xfId="0" applyFont="1" applyBorder="1" applyAlignment="1">
      <alignment horizontal="left" vertical="center"/>
    </xf>
    <xf numFmtId="0" fontId="9" fillId="0" borderId="25" xfId="0" applyFont="1" applyBorder="1" applyAlignment="1">
      <alignment horizontal="center" vertical="center"/>
    </xf>
    <xf numFmtId="0" fontId="9" fillId="0" borderId="25" xfId="0" quotePrefix="1" applyFont="1" applyBorder="1" applyAlignment="1">
      <alignment horizontal="center" vertical="center"/>
    </xf>
    <xf numFmtId="0" fontId="28" fillId="13" borderId="0" xfId="0" applyFont="1" applyFill="1" applyAlignment="1">
      <alignment horizontal="center" vertical="center"/>
    </xf>
    <xf numFmtId="0" fontId="44" fillId="4" borderId="0" xfId="1" applyFont="1" applyFill="1" applyBorder="1" applyAlignment="1" applyProtection="1"/>
    <xf numFmtId="0" fontId="9" fillId="0" borderId="25" xfId="0" applyFont="1" applyBorder="1"/>
    <xf numFmtId="0" fontId="50" fillId="0" borderId="25" xfId="0" applyFont="1" applyBorder="1" applyAlignment="1">
      <alignment horizontal="center" vertical="center"/>
    </xf>
    <xf numFmtId="0" fontId="44" fillId="4" borderId="0" xfId="0" applyFont="1" applyFill="1"/>
    <xf numFmtId="0" fontId="26" fillId="4" borderId="0" xfId="0" applyFont="1" applyFill="1" applyAlignment="1">
      <alignment horizontal="left"/>
    </xf>
    <xf numFmtId="0" fontId="9" fillId="5" borderId="0" xfId="0" applyFont="1" applyFill="1"/>
    <xf numFmtId="0" fontId="40" fillId="6" borderId="0" xfId="0" applyFont="1" applyFill="1" applyAlignment="1">
      <alignment horizontal="center" vertical="center"/>
    </xf>
    <xf numFmtId="0" fontId="9" fillId="5" borderId="25" xfId="0" applyFont="1" applyFill="1" applyBorder="1" applyAlignment="1">
      <alignment horizontal="center" vertical="center"/>
    </xf>
    <xf numFmtId="0" fontId="9" fillId="5" borderId="25" xfId="0" applyFont="1" applyFill="1" applyBorder="1"/>
    <xf numFmtId="0" fontId="9" fillId="5" borderId="25" xfId="0" quotePrefix="1" applyFont="1" applyFill="1" applyBorder="1" applyAlignment="1">
      <alignment horizontal="center" vertical="center"/>
    </xf>
    <xf numFmtId="0" fontId="9" fillId="11" borderId="25" xfId="0" applyFont="1" applyFill="1" applyBorder="1" applyAlignment="1">
      <alignment horizontal="center" vertical="center"/>
    </xf>
    <xf numFmtId="0" fontId="9" fillId="11" borderId="25" xfId="0" applyFont="1" applyFill="1" applyBorder="1"/>
    <xf numFmtId="0" fontId="9" fillId="11" borderId="25" xfId="0" quotePrefix="1" applyFont="1" applyFill="1" applyBorder="1" applyAlignment="1">
      <alignment horizontal="center" vertical="center"/>
    </xf>
    <xf numFmtId="0" fontId="9" fillId="11" borderId="0" xfId="0" applyFont="1" applyFill="1" applyAlignment="1">
      <alignment horizontal="center" vertical="center"/>
    </xf>
    <xf numFmtId="0" fontId="9" fillId="11" borderId="0" xfId="0" applyFont="1" applyFill="1"/>
    <xf numFmtId="0" fontId="14" fillId="13" borderId="25"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4" borderId="0" xfId="0" applyFont="1" applyFill="1" applyAlignment="1">
      <alignment horizontal="center" vertical="center"/>
    </xf>
    <xf numFmtId="0" fontId="7" fillId="0" borderId="0" xfId="3" applyFont="1" applyAlignment="1">
      <alignment vertical="center"/>
    </xf>
    <xf numFmtId="0" fontId="7" fillId="0" borderId="0" xfId="3" applyFont="1" applyAlignment="1" applyProtection="1">
      <alignment vertical="center"/>
      <protection hidden="1"/>
    </xf>
    <xf numFmtId="0" fontId="9" fillId="6" borderId="0" xfId="0" applyFont="1" applyFill="1"/>
    <xf numFmtId="0" fontId="12" fillId="6" borderId="0" xfId="3" applyFont="1" applyFill="1" applyAlignment="1">
      <alignment vertical="center"/>
    </xf>
    <xf numFmtId="0" fontId="22" fillId="0" borderId="0" xfId="0" applyFont="1" applyAlignment="1" applyProtection="1">
      <alignment vertical="center"/>
      <protection hidden="1"/>
    </xf>
    <xf numFmtId="0" fontId="12" fillId="0" borderId="0" xfId="0" applyFont="1" applyAlignment="1" applyProtection="1">
      <alignment vertical="center"/>
      <protection hidden="1"/>
    </xf>
    <xf numFmtId="168" fontId="12" fillId="0" borderId="0" xfId="0" applyNumberFormat="1" applyFont="1" applyAlignment="1" applyProtection="1">
      <alignment horizontal="center" vertical="center"/>
      <protection hidden="1"/>
    </xf>
    <xf numFmtId="0" fontId="12" fillId="0" borderId="0" xfId="0" applyFont="1" applyAlignment="1" applyProtection="1">
      <alignment horizontal="left" vertical="center"/>
      <protection hidden="1"/>
    </xf>
    <xf numFmtId="168" fontId="9" fillId="0" borderId="0" xfId="0" applyNumberFormat="1" applyFont="1" applyAlignment="1" applyProtection="1">
      <alignment horizontal="center" vertical="center"/>
      <protection hidden="1"/>
    </xf>
    <xf numFmtId="0" fontId="9" fillId="0" borderId="0" xfId="0" applyFont="1" applyAlignment="1" applyProtection="1">
      <alignment horizontal="left" vertical="center"/>
      <protection hidden="1"/>
    </xf>
    <xf numFmtId="0" fontId="10" fillId="15" borderId="0" xfId="0" applyFont="1" applyFill="1" applyAlignment="1" applyProtection="1">
      <alignment horizontal="center" vertical="center" wrapText="1"/>
      <protection hidden="1"/>
    </xf>
    <xf numFmtId="0" fontId="10" fillId="15" borderId="0" xfId="0" applyFont="1" applyFill="1" applyAlignment="1" applyProtection="1">
      <alignment horizontal="left" vertical="center" wrapText="1"/>
      <protection hidden="1"/>
    </xf>
    <xf numFmtId="168" fontId="10" fillId="15" borderId="0" xfId="0" applyNumberFormat="1" applyFont="1" applyFill="1" applyAlignment="1" applyProtection="1">
      <alignment horizontal="center" vertical="center" wrapText="1"/>
      <protection hidden="1"/>
    </xf>
    <xf numFmtId="0" fontId="51" fillId="2" borderId="0" xfId="0" applyFont="1" applyFill="1" applyAlignment="1" applyProtection="1">
      <alignment horizontal="right" vertical="center"/>
      <protection hidden="1"/>
    </xf>
    <xf numFmtId="0" fontId="51" fillId="2" borderId="0" xfId="0" applyFont="1" applyFill="1" applyAlignment="1">
      <alignment horizontal="left"/>
    </xf>
    <xf numFmtId="0" fontId="51" fillId="2" borderId="0" xfId="0" applyFont="1" applyFill="1"/>
    <xf numFmtId="0" fontId="10" fillId="4" borderId="0" xfId="0" applyFont="1" applyFill="1" applyAlignment="1" applyProtection="1">
      <alignment horizontal="center" vertical="center" wrapText="1"/>
      <protection hidden="1"/>
    </xf>
    <xf numFmtId="0" fontId="7" fillId="4" borderId="0" xfId="0" applyFont="1" applyFill="1" applyAlignment="1" applyProtection="1">
      <alignment vertical="center"/>
      <protection hidden="1"/>
    </xf>
    <xf numFmtId="0" fontId="7" fillId="0" borderId="0" xfId="0" applyFont="1" applyAlignment="1" applyProtection="1">
      <alignment vertical="center"/>
      <protection hidden="1"/>
    </xf>
    <xf numFmtId="0" fontId="7" fillId="0" borderId="0" xfId="0" applyFont="1"/>
    <xf numFmtId="0" fontId="7" fillId="0" borderId="0" xfId="0" applyFont="1" applyAlignment="1">
      <alignment horizontal="left"/>
    </xf>
    <xf numFmtId="0" fontId="9" fillId="0" borderId="0" xfId="0" applyFont="1" applyAlignment="1" applyProtection="1">
      <alignment horizontal="right" vertical="center"/>
      <protection hidden="1"/>
    </xf>
    <xf numFmtId="0" fontId="9" fillId="0" borderId="0" xfId="0" applyFont="1" applyAlignment="1">
      <alignment horizontal="center"/>
    </xf>
    <xf numFmtId="0" fontId="9" fillId="0" borderId="0" xfId="0" applyFont="1" applyAlignment="1">
      <alignment horizontal="left"/>
    </xf>
    <xf numFmtId="168" fontId="7" fillId="4" borderId="0" xfId="0" applyNumberFormat="1" applyFont="1" applyFill="1" applyAlignment="1" applyProtection="1">
      <alignment horizontal="center" vertical="center"/>
      <protection hidden="1"/>
    </xf>
    <xf numFmtId="0" fontId="7" fillId="4" borderId="0" xfId="0" applyFont="1" applyFill="1" applyAlignment="1" applyProtection="1">
      <alignment horizontal="left" vertical="center"/>
      <protection hidden="1"/>
    </xf>
    <xf numFmtId="168" fontId="7" fillId="0" borderId="0" xfId="0" applyNumberFormat="1" applyFont="1" applyAlignment="1" applyProtection="1">
      <alignment horizontal="center" vertical="center"/>
      <protection hidden="1"/>
    </xf>
    <xf numFmtId="0" fontId="7" fillId="0" borderId="0" xfId="0" applyFont="1" applyAlignment="1" applyProtection="1">
      <alignment horizontal="left" vertical="center"/>
      <protection hidden="1"/>
    </xf>
    <xf numFmtId="0" fontId="7" fillId="4" borderId="0" xfId="0" applyFont="1" applyFill="1"/>
    <xf numFmtId="168" fontId="7" fillId="0" borderId="0" xfId="0" applyNumberFormat="1" applyFont="1" applyAlignment="1">
      <alignment horizontal="center"/>
    </xf>
    <xf numFmtId="0" fontId="9" fillId="0" borderId="26" xfId="0" applyFont="1" applyBorder="1" applyAlignment="1" applyProtection="1">
      <alignment horizontal="center"/>
      <protection locked="0"/>
    </xf>
    <xf numFmtId="168" fontId="9" fillId="0" borderId="26" xfId="0" applyNumberFormat="1" applyFont="1" applyBorder="1" applyAlignment="1" applyProtection="1">
      <alignment horizontal="center"/>
      <protection locked="0"/>
    </xf>
    <xf numFmtId="0" fontId="9" fillId="0" borderId="26" xfId="0" applyFont="1" applyBorder="1" applyAlignment="1" applyProtection="1">
      <alignment horizontal="left"/>
      <protection locked="0"/>
    </xf>
    <xf numFmtId="0" fontId="9" fillId="0" borderId="14" xfId="0" applyFont="1" applyBorder="1" applyAlignment="1" applyProtection="1">
      <alignment horizontal="left"/>
      <protection locked="0"/>
    </xf>
    <xf numFmtId="0" fontId="9" fillId="0" borderId="26" xfId="0" applyFont="1" applyBorder="1" applyAlignment="1" applyProtection="1">
      <alignment horizontal="center" vertical="center"/>
      <protection hidden="1"/>
    </xf>
    <xf numFmtId="0" fontId="9" fillId="0" borderId="14" xfId="0" applyFont="1" applyBorder="1" applyAlignment="1" applyProtection="1">
      <alignment horizontal="center" vertical="center"/>
      <protection hidden="1"/>
    </xf>
    <xf numFmtId="0" fontId="9" fillId="0" borderId="0" xfId="3" applyFont="1" applyAlignment="1" applyProtection="1">
      <alignment horizontal="left" vertical="center"/>
      <protection locked="0"/>
    </xf>
    <xf numFmtId="0" fontId="9" fillId="0" borderId="34" xfId="3" applyFont="1" applyBorder="1" applyAlignment="1" applyProtection="1">
      <alignment vertical="center"/>
      <protection hidden="1"/>
    </xf>
    <xf numFmtId="0" fontId="53" fillId="0" borderId="0" xfId="0" applyFont="1"/>
    <xf numFmtId="0" fontId="6" fillId="0" borderId="0" xfId="1" applyAlignment="1" applyProtection="1">
      <alignment vertical="center"/>
    </xf>
    <xf numFmtId="0" fontId="9" fillId="0" borderId="11" xfId="3" applyFont="1" applyBorder="1" applyAlignment="1" applyProtection="1">
      <alignment vertical="center"/>
      <protection locked="0"/>
    </xf>
    <xf numFmtId="0" fontId="34" fillId="0" borderId="11" xfId="3" applyFont="1" applyBorder="1" applyAlignment="1" applyProtection="1">
      <alignment horizontal="center" vertical="center"/>
      <protection locked="0"/>
    </xf>
    <xf numFmtId="0" fontId="9" fillId="11" borderId="35" xfId="3" applyFont="1" applyFill="1" applyBorder="1" applyAlignment="1" applyProtection="1">
      <alignment horizontal="center" vertical="center"/>
      <protection locked="0"/>
    </xf>
    <xf numFmtId="0" fontId="9" fillId="11" borderId="48" xfId="3" applyFont="1" applyFill="1" applyBorder="1" applyAlignment="1" applyProtection="1">
      <alignment horizontal="center" vertical="center"/>
      <protection locked="0"/>
    </xf>
    <xf numFmtId="0" fontId="54" fillId="0" borderId="36" xfId="3" applyFont="1" applyBorder="1" applyAlignment="1" applyProtection="1">
      <alignment vertical="center"/>
      <protection locked="0"/>
    </xf>
    <xf numFmtId="0" fontId="54" fillId="0" borderId="37" xfId="3" applyFont="1" applyBorder="1" applyAlignment="1" applyProtection="1">
      <alignment vertical="center"/>
      <protection locked="0"/>
    </xf>
    <xf numFmtId="0" fontId="54" fillId="0" borderId="37" xfId="3" applyFont="1" applyBorder="1" applyAlignment="1">
      <alignment vertical="center"/>
    </xf>
    <xf numFmtId="0" fontId="54" fillId="0" borderId="38" xfId="3" applyFont="1" applyBorder="1" applyAlignment="1">
      <alignment vertical="center"/>
    </xf>
    <xf numFmtId="0" fontId="54" fillId="0" borderId="41" xfId="3" applyFont="1" applyBorder="1" applyAlignment="1" applyProtection="1">
      <alignment vertical="center"/>
      <protection locked="0"/>
    </xf>
    <xf numFmtId="0" fontId="55" fillId="0" borderId="3" xfId="3" applyFont="1" applyBorder="1" applyAlignment="1" applyProtection="1">
      <alignment horizontal="center" vertical="center"/>
      <protection locked="0"/>
    </xf>
    <xf numFmtId="0" fontId="54" fillId="0" borderId="3" xfId="3" applyFont="1" applyBorder="1" applyAlignment="1" applyProtection="1">
      <alignment vertical="center"/>
      <protection locked="0"/>
    </xf>
    <xf numFmtId="0" fontId="54" fillId="0" borderId="0" xfId="3" applyFont="1" applyAlignment="1">
      <alignment vertical="center"/>
    </xf>
    <xf numFmtId="0" fontId="54" fillId="0" borderId="43" xfId="3" applyFont="1" applyBorder="1" applyAlignment="1" applyProtection="1">
      <alignment vertical="center"/>
      <protection locked="0"/>
    </xf>
    <xf numFmtId="0" fontId="55" fillId="0" borderId="44" xfId="3" applyFont="1" applyBorder="1" applyAlignment="1" applyProtection="1">
      <alignment horizontal="center" vertical="center"/>
      <protection locked="0"/>
    </xf>
    <xf numFmtId="0" fontId="54" fillId="0" borderId="44" xfId="3" applyFont="1" applyBorder="1" applyAlignment="1" applyProtection="1">
      <alignment vertical="center"/>
      <protection locked="0"/>
    </xf>
    <xf numFmtId="0" fontId="54" fillId="0" borderId="45" xfId="3" applyFont="1" applyBorder="1" applyAlignment="1">
      <alignment vertical="center"/>
    </xf>
    <xf numFmtId="0" fontId="54" fillId="0" borderId="3" xfId="3" applyFont="1" applyBorder="1" applyAlignment="1">
      <alignment vertical="center"/>
    </xf>
    <xf numFmtId="0" fontId="54" fillId="0" borderId="41" xfId="3" applyFont="1" applyBorder="1" applyAlignment="1" applyProtection="1">
      <alignment horizontal="left" vertical="center"/>
      <protection locked="0"/>
    </xf>
    <xf numFmtId="0" fontId="54" fillId="0" borderId="3" xfId="3" applyFont="1" applyBorder="1" applyAlignment="1" applyProtection="1">
      <alignment horizontal="left" vertical="center"/>
      <protection locked="0"/>
    </xf>
    <xf numFmtId="0" fontId="54" fillId="0" borderId="44" xfId="3" applyFont="1" applyBorder="1" applyAlignment="1">
      <alignment vertical="center"/>
    </xf>
    <xf numFmtId="0" fontId="54" fillId="11" borderId="39" xfId="3" applyFont="1" applyFill="1" applyBorder="1" applyAlignment="1" applyProtection="1">
      <alignment horizontal="center" vertical="center"/>
      <protection hidden="1"/>
    </xf>
    <xf numFmtId="0" fontId="54" fillId="11" borderId="9" xfId="3" applyFont="1" applyFill="1" applyBorder="1" applyAlignment="1" applyProtection="1">
      <alignment horizontal="center" vertical="center"/>
      <protection hidden="1"/>
    </xf>
    <xf numFmtId="0" fontId="54" fillId="11" borderId="46" xfId="3" applyFont="1" applyFill="1" applyBorder="1" applyAlignment="1" applyProtection="1">
      <alignment horizontal="center" vertical="center"/>
      <protection hidden="1"/>
    </xf>
    <xf numFmtId="0" fontId="54" fillId="10" borderId="9" xfId="3" applyFont="1" applyFill="1" applyBorder="1" applyAlignment="1" applyProtection="1">
      <alignment horizontal="center" vertical="center"/>
      <protection hidden="1"/>
    </xf>
    <xf numFmtId="0" fontId="10" fillId="0" borderId="0" xfId="0" applyFont="1" applyAlignment="1" applyProtection="1">
      <alignment vertical="center"/>
      <protection hidden="1"/>
    </xf>
    <xf numFmtId="0" fontId="14" fillId="0" borderId="0" xfId="0" applyFont="1" applyProtection="1">
      <protection hidden="1"/>
    </xf>
    <xf numFmtId="0" fontId="10" fillId="0" borderId="0" xfId="0" applyFont="1" applyProtection="1">
      <protection hidden="1"/>
    </xf>
    <xf numFmtId="0" fontId="10" fillId="0" borderId="0" xfId="0" applyFont="1" applyAlignment="1" applyProtection="1">
      <alignment wrapText="1"/>
      <protection hidden="1"/>
    </xf>
    <xf numFmtId="0" fontId="10" fillId="0" borderId="0" xfId="0" applyFont="1" applyAlignment="1" applyProtection="1">
      <alignment horizontal="left" indent="1"/>
      <protection hidden="1"/>
    </xf>
    <xf numFmtId="0" fontId="10" fillId="0" borderId="0" xfId="0" applyFont="1" applyAlignment="1" applyProtection="1">
      <alignment horizontal="center"/>
      <protection locked="0"/>
    </xf>
    <xf numFmtId="0" fontId="10" fillId="0" borderId="0" xfId="0" applyFont="1" applyAlignment="1" applyProtection="1">
      <alignment horizontal="center"/>
      <protection hidden="1"/>
    </xf>
    <xf numFmtId="0" fontId="10" fillId="0" borderId="0" xfId="0" applyFont="1" applyAlignment="1" applyProtection="1">
      <alignment horizontal="center" vertical="center"/>
      <protection hidden="1"/>
    </xf>
    <xf numFmtId="0" fontId="10" fillId="0" borderId="0" xfId="0" applyFont="1" applyAlignment="1" applyProtection="1">
      <alignment vertical="center" wrapText="1"/>
      <protection hidden="1"/>
    </xf>
    <xf numFmtId="0" fontId="10" fillId="0" borderId="0" xfId="0" applyFont="1" applyAlignment="1" applyProtection="1">
      <alignment horizontal="left" vertical="center" indent="1"/>
      <protection hidden="1"/>
    </xf>
    <xf numFmtId="0" fontId="10" fillId="0" borderId="0" xfId="0" applyFont="1" applyAlignment="1" applyProtection="1">
      <alignment horizontal="center" vertical="center" wrapText="1"/>
      <protection hidden="1"/>
    </xf>
    <xf numFmtId="0" fontId="10" fillId="0" borderId="0" xfId="0" applyFont="1" applyAlignment="1" applyProtection="1">
      <alignment horizontal="right" vertical="center"/>
      <protection hidden="1"/>
    </xf>
    <xf numFmtId="0" fontId="10" fillId="0" borderId="0" xfId="0" applyFont="1" applyAlignment="1" applyProtection="1">
      <alignment horizontal="left" vertical="center"/>
      <protection hidden="1"/>
    </xf>
    <xf numFmtId="0" fontId="10" fillId="0" borderId="0" xfId="0" quotePrefix="1" applyFont="1" applyAlignment="1" applyProtection="1">
      <alignment horizontal="center" vertical="center"/>
      <protection hidden="1"/>
    </xf>
    <xf numFmtId="0" fontId="8" fillId="0" borderId="0" xfId="0" applyFont="1" applyAlignment="1" applyProtection="1">
      <alignment horizontal="left" vertical="center" indent="1"/>
      <protection hidden="1"/>
    </xf>
    <xf numFmtId="166" fontId="10" fillId="0" borderId="0" xfId="0" applyNumberFormat="1" applyFont="1" applyAlignment="1" applyProtection="1">
      <alignment horizontal="right" vertical="center" wrapText="1" shrinkToFit="1"/>
      <protection hidden="1"/>
    </xf>
    <xf numFmtId="165" fontId="10" fillId="0" borderId="0" xfId="0" applyNumberFormat="1" applyFont="1" applyAlignment="1" applyProtection="1">
      <alignment horizontal="right" vertical="center"/>
      <protection hidden="1"/>
    </xf>
    <xf numFmtId="16" fontId="10" fillId="0" borderId="0" xfId="0" applyNumberFormat="1" applyFont="1" applyAlignment="1" applyProtection="1">
      <alignment horizontal="right" vertical="center" wrapText="1" shrinkToFit="1"/>
      <protection hidden="1"/>
    </xf>
    <xf numFmtId="0" fontId="10" fillId="0" borderId="0" xfId="0" applyFont="1" applyAlignment="1" applyProtection="1">
      <alignment horizontal="right"/>
      <protection hidden="1"/>
    </xf>
    <xf numFmtId="0" fontId="8" fillId="0" borderId="0" xfId="0" applyFont="1" applyProtection="1">
      <protection hidden="1"/>
    </xf>
    <xf numFmtId="0" fontId="8" fillId="0" borderId="0" xfId="0" applyFont="1" applyAlignment="1" applyProtection="1">
      <alignment horizontal="center"/>
      <protection hidden="1"/>
    </xf>
    <xf numFmtId="0" fontId="17" fillId="0" borderId="0" xfId="0" applyFont="1" applyProtection="1">
      <protection hidden="1"/>
    </xf>
    <xf numFmtId="1" fontId="8" fillId="0" borderId="0" xfId="0" applyNumberFormat="1" applyFont="1" applyProtection="1">
      <protection hidden="1"/>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xf>
    <xf numFmtId="0" fontId="17" fillId="0" borderId="0" xfId="0" applyFont="1" applyAlignment="1" applyProtection="1">
      <alignment horizontal="center"/>
      <protection hidden="1"/>
    </xf>
    <xf numFmtId="0" fontId="46" fillId="0" borderId="0" xfId="1" applyFont="1" applyAlignment="1" applyProtection="1">
      <alignment vertical="center"/>
    </xf>
    <xf numFmtId="0" fontId="1" fillId="0" borderId="14" xfId="0" applyFont="1" applyBorder="1" applyProtection="1">
      <protection locked="0"/>
    </xf>
    <xf numFmtId="0" fontId="1" fillId="0" borderId="26" xfId="0" applyFont="1" applyBorder="1" applyProtection="1">
      <protection locked="0"/>
    </xf>
    <xf numFmtId="0" fontId="58" fillId="0" borderId="9" xfId="3" applyFont="1" applyBorder="1" applyAlignment="1" applyProtection="1">
      <alignment horizontal="center" vertical="center"/>
      <protection locked="0"/>
    </xf>
    <xf numFmtId="0" fontId="58" fillId="0" borderId="4" xfId="3" applyFont="1" applyBorder="1" applyAlignment="1" applyProtection="1">
      <alignment horizontal="center" vertical="center"/>
      <protection locked="0"/>
    </xf>
    <xf numFmtId="0" fontId="58" fillId="0" borderId="12" xfId="3" applyFont="1" applyBorder="1" applyAlignment="1" applyProtection="1">
      <alignment horizontal="center" vertical="center"/>
      <protection locked="0"/>
    </xf>
    <xf numFmtId="0" fontId="58" fillId="0" borderId="6" xfId="3" applyFont="1" applyBorder="1" applyAlignment="1" applyProtection="1">
      <alignment horizontal="center" vertical="center"/>
      <protection locked="0"/>
    </xf>
    <xf numFmtId="0" fontId="58" fillId="0" borderId="57" xfId="3" applyFont="1" applyBorder="1" applyAlignment="1" applyProtection="1">
      <alignment horizontal="center" vertical="center"/>
      <protection locked="0"/>
    </xf>
    <xf numFmtId="0" fontId="58" fillId="0" borderId="58" xfId="3" applyFont="1" applyBorder="1" applyAlignment="1" applyProtection="1">
      <alignment horizontal="center" vertical="center"/>
      <protection locked="0"/>
    </xf>
    <xf numFmtId="0" fontId="59" fillId="0" borderId="9" xfId="3" applyFont="1" applyBorder="1" applyAlignment="1" applyProtection="1">
      <alignment horizontal="center" vertical="center"/>
      <protection locked="0"/>
    </xf>
    <xf numFmtId="0" fontId="59" fillId="0" borderId="4" xfId="3" applyFont="1" applyBorder="1" applyAlignment="1" applyProtection="1">
      <alignment horizontal="center" vertical="center"/>
      <protection locked="0"/>
    </xf>
    <xf numFmtId="0" fontId="59" fillId="0" borderId="12" xfId="3" applyFont="1" applyBorder="1" applyAlignment="1" applyProtection="1">
      <alignment horizontal="center" vertical="center"/>
      <protection locked="0"/>
    </xf>
    <xf numFmtId="0" fontId="59" fillId="0" borderId="6" xfId="3" applyFont="1" applyBorder="1" applyAlignment="1" applyProtection="1">
      <alignment horizontal="center" vertical="center"/>
      <protection locked="0"/>
    </xf>
    <xf numFmtId="0" fontId="59" fillId="0" borderId="57" xfId="3" applyFont="1" applyBorder="1" applyAlignment="1" applyProtection="1">
      <alignment horizontal="center" vertical="center"/>
      <protection locked="0"/>
    </xf>
    <xf numFmtId="0" fontId="59" fillId="0" borderId="58" xfId="3" applyFont="1" applyBorder="1" applyAlignment="1" applyProtection="1">
      <alignment horizontal="center" vertical="center"/>
      <protection locked="0"/>
    </xf>
    <xf numFmtId="0" fontId="58" fillId="0" borderId="9" xfId="3" applyFont="1" applyFill="1" applyBorder="1" applyAlignment="1" applyProtection="1">
      <alignment horizontal="center" vertical="center"/>
      <protection locked="0"/>
    </xf>
    <xf numFmtId="0" fontId="58" fillId="0" borderId="4" xfId="3" applyFont="1" applyFill="1" applyBorder="1" applyAlignment="1" applyProtection="1">
      <alignment horizontal="center" vertical="center"/>
      <protection locked="0"/>
    </xf>
    <xf numFmtId="0" fontId="58" fillId="0" borderId="12" xfId="3" applyFont="1" applyFill="1" applyBorder="1" applyAlignment="1" applyProtection="1">
      <alignment horizontal="center" vertical="center"/>
      <protection locked="0"/>
    </xf>
    <xf numFmtId="0" fontId="58" fillId="0" borderId="6" xfId="3" applyFont="1" applyFill="1" applyBorder="1" applyAlignment="1" applyProtection="1">
      <alignment horizontal="center" vertical="center"/>
      <protection locked="0"/>
    </xf>
    <xf numFmtId="0" fontId="9" fillId="11" borderId="9" xfId="3" applyFont="1" applyFill="1" applyBorder="1" applyAlignment="1" applyProtection="1">
      <alignment horizontal="left" vertical="center"/>
      <protection locked="0"/>
    </xf>
    <xf numFmtId="0" fontId="41" fillId="11" borderId="49" xfId="3" applyFont="1" applyFill="1" applyBorder="1" applyAlignment="1" applyProtection="1">
      <alignment horizontal="center" vertical="center" wrapText="1"/>
      <protection locked="0"/>
    </xf>
    <xf numFmtId="0" fontId="41" fillId="11" borderId="38" xfId="3" applyFont="1" applyFill="1" applyBorder="1" applyAlignment="1" applyProtection="1">
      <alignment horizontal="center" vertical="center" wrapText="1"/>
      <protection locked="0"/>
    </xf>
    <xf numFmtId="0" fontId="41" fillId="11" borderId="40" xfId="3" applyFont="1" applyFill="1" applyBorder="1" applyAlignment="1" applyProtection="1">
      <alignment horizontal="center" vertical="center" wrapText="1"/>
      <protection locked="0"/>
    </xf>
    <xf numFmtId="0" fontId="41" fillId="11" borderId="1" xfId="3" applyFont="1" applyFill="1" applyBorder="1" applyAlignment="1" applyProtection="1">
      <alignment horizontal="center" vertical="center" wrapText="1"/>
      <protection locked="0"/>
    </xf>
    <xf numFmtId="0" fontId="41" fillId="11" borderId="0" xfId="3" applyFont="1" applyFill="1" applyAlignment="1" applyProtection="1">
      <alignment horizontal="center" vertical="center" wrapText="1"/>
      <protection locked="0"/>
    </xf>
    <xf numFmtId="0" fontId="41" fillId="11" borderId="42" xfId="3" applyFont="1" applyFill="1" applyBorder="1" applyAlignment="1" applyProtection="1">
      <alignment horizontal="center" vertical="center" wrapText="1"/>
      <protection locked="0"/>
    </xf>
    <xf numFmtId="0" fontId="41" fillId="11" borderId="50" xfId="3" applyFont="1" applyFill="1" applyBorder="1" applyAlignment="1" applyProtection="1">
      <alignment horizontal="center" vertical="center" wrapText="1"/>
      <protection locked="0"/>
    </xf>
    <xf numFmtId="0" fontId="41" fillId="11" borderId="45" xfId="3" applyFont="1" applyFill="1" applyBorder="1" applyAlignment="1" applyProtection="1">
      <alignment horizontal="center" vertical="center" wrapText="1"/>
      <protection locked="0"/>
    </xf>
    <xf numFmtId="0" fontId="41" fillId="11" borderId="47" xfId="3" applyFont="1" applyFill="1" applyBorder="1" applyAlignment="1" applyProtection="1">
      <alignment horizontal="center" vertical="center" wrapText="1"/>
      <protection locked="0"/>
    </xf>
    <xf numFmtId="0" fontId="46" fillId="0" borderId="0" xfId="1" applyFont="1" applyAlignment="1" applyProtection="1">
      <alignment horizontal="left" vertical="center"/>
    </xf>
    <xf numFmtId="0" fontId="29" fillId="8" borderId="1" xfId="3" applyFont="1" applyFill="1" applyBorder="1" applyAlignment="1" applyProtection="1">
      <alignment horizontal="left" vertical="center"/>
      <protection hidden="1"/>
    </xf>
    <xf numFmtId="0" fontId="29" fillId="8" borderId="0" xfId="3" applyFont="1" applyFill="1" applyAlignment="1" applyProtection="1">
      <alignment horizontal="left" vertical="center"/>
      <protection hidden="1"/>
    </xf>
    <xf numFmtId="0" fontId="9" fillId="0" borderId="19" xfId="3" applyFont="1" applyBorder="1" applyAlignment="1" applyProtection="1">
      <alignment horizontal="center" vertical="center"/>
      <protection locked="0"/>
    </xf>
    <xf numFmtId="0" fontId="9" fillId="0" borderId="20" xfId="3" applyFont="1" applyBorder="1" applyAlignment="1" applyProtection="1">
      <alignment horizontal="center" vertical="center"/>
      <protection locked="0"/>
    </xf>
    <xf numFmtId="0" fontId="14" fillId="8" borderId="0" xfId="3" applyFont="1" applyFill="1" applyAlignment="1" applyProtection="1">
      <alignment horizontal="center" vertical="center"/>
      <protection hidden="1"/>
    </xf>
    <xf numFmtId="0" fontId="12" fillId="9" borderId="19" xfId="3" applyFont="1" applyFill="1" applyBorder="1" applyAlignment="1" applyProtection="1">
      <alignment horizontal="center" vertical="center"/>
      <protection hidden="1"/>
    </xf>
    <xf numFmtId="0" fontId="12" fillId="9" borderId="20" xfId="3" applyFont="1" applyFill="1" applyBorder="1" applyAlignment="1" applyProtection="1">
      <alignment horizontal="center" vertical="center"/>
      <protection hidden="1"/>
    </xf>
    <xf numFmtId="0" fontId="9" fillId="0" borderId="19" xfId="3" applyFont="1" applyBorder="1" applyAlignment="1" applyProtection="1">
      <alignment horizontal="center" vertical="center" wrapText="1"/>
      <protection hidden="1"/>
    </xf>
    <xf numFmtId="0" fontId="12" fillId="2" borderId="19" xfId="3" applyFont="1" applyFill="1" applyBorder="1" applyAlignment="1" applyProtection="1">
      <alignment horizontal="center" vertical="center"/>
      <protection hidden="1"/>
    </xf>
    <xf numFmtId="0" fontId="9" fillId="0" borderId="19" xfId="3" applyFont="1" applyBorder="1" applyAlignment="1" applyProtection="1">
      <alignment horizontal="center" vertical="center"/>
      <protection hidden="1"/>
    </xf>
    <xf numFmtId="0" fontId="56" fillId="11" borderId="51" xfId="3" applyFont="1" applyFill="1" applyBorder="1" applyAlignment="1" applyProtection="1">
      <alignment horizontal="center" vertical="center" wrapText="1"/>
      <protection hidden="1"/>
    </xf>
    <xf numFmtId="0" fontId="56" fillId="11" borderId="52" xfId="3" applyFont="1" applyFill="1" applyBorder="1" applyAlignment="1" applyProtection="1">
      <alignment horizontal="center" vertical="center" wrapText="1"/>
      <protection hidden="1"/>
    </xf>
    <xf numFmtId="0" fontId="56" fillId="11" borderId="53" xfId="3" applyFont="1" applyFill="1" applyBorder="1" applyAlignment="1" applyProtection="1">
      <alignment horizontal="center" vertical="center" wrapText="1"/>
      <protection hidden="1"/>
    </xf>
    <xf numFmtId="0" fontId="56" fillId="11" borderId="54" xfId="3" applyFont="1" applyFill="1" applyBorder="1" applyAlignment="1" applyProtection="1">
      <alignment horizontal="center" vertical="center" wrapText="1"/>
      <protection hidden="1"/>
    </xf>
    <xf numFmtId="0" fontId="56" fillId="11" borderId="55" xfId="3" applyFont="1" applyFill="1" applyBorder="1" applyAlignment="1" applyProtection="1">
      <alignment horizontal="center" vertical="center" wrapText="1"/>
      <protection hidden="1"/>
    </xf>
    <xf numFmtId="0" fontId="56" fillId="11" borderId="56" xfId="3" applyFont="1" applyFill="1" applyBorder="1" applyAlignment="1" applyProtection="1">
      <alignment horizontal="center" vertical="center" wrapText="1"/>
      <protection hidden="1"/>
    </xf>
    <xf numFmtId="0" fontId="12" fillId="16" borderId="19" xfId="3" applyFont="1" applyFill="1" applyBorder="1" applyAlignment="1" applyProtection="1">
      <alignment horizontal="center" vertical="center"/>
      <protection hidden="1"/>
    </xf>
    <xf numFmtId="0" fontId="12" fillId="5" borderId="9" xfId="3" applyFont="1" applyFill="1" applyBorder="1" applyAlignment="1" applyProtection="1">
      <alignment horizontal="center" vertical="center"/>
      <protection hidden="1"/>
    </xf>
    <xf numFmtId="0" fontId="14" fillId="8" borderId="20" xfId="3" applyFont="1" applyFill="1" applyBorder="1" applyAlignment="1" applyProtection="1">
      <alignment horizontal="left" vertical="center"/>
      <protection hidden="1"/>
    </xf>
    <xf numFmtId="0" fontId="14" fillId="8" borderId="21" xfId="3" applyFont="1" applyFill="1" applyBorder="1" applyAlignment="1" applyProtection="1">
      <alignment horizontal="left" vertical="center"/>
      <protection hidden="1"/>
    </xf>
    <xf numFmtId="0" fontId="14" fillId="8" borderId="22" xfId="3" applyFont="1" applyFill="1" applyBorder="1" applyAlignment="1" applyProtection="1">
      <alignment horizontal="left" vertical="center"/>
      <protection hidden="1"/>
    </xf>
    <xf numFmtId="0" fontId="14" fillId="8" borderId="19" xfId="3" applyFont="1" applyFill="1" applyBorder="1" applyAlignment="1" applyProtection="1">
      <alignment horizontal="center" vertical="center"/>
      <protection hidden="1"/>
    </xf>
    <xf numFmtId="0" fontId="14" fillId="4" borderId="0" xfId="3" applyFont="1" applyFill="1" applyAlignment="1" applyProtection="1">
      <alignment horizontal="center" vertical="center"/>
      <protection hidden="1"/>
    </xf>
    <xf numFmtId="0" fontId="9" fillId="0" borderId="32" xfId="3" applyFont="1" applyBorder="1" applyAlignment="1" applyProtection="1">
      <alignment horizontal="center" vertical="center"/>
      <protection locked="0"/>
    </xf>
    <xf numFmtId="0" fontId="9" fillId="0" borderId="33" xfId="3" applyFont="1" applyBorder="1" applyAlignment="1" applyProtection="1">
      <alignment horizontal="center" vertical="center"/>
      <protection locked="0"/>
    </xf>
    <xf numFmtId="0" fontId="12" fillId="6" borderId="28" xfId="3" applyFont="1" applyFill="1" applyBorder="1" applyAlignment="1" applyProtection="1">
      <alignment horizontal="center" vertical="center"/>
      <protection hidden="1"/>
    </xf>
    <xf numFmtId="0" fontId="12" fillId="6" borderId="29" xfId="3" applyFont="1" applyFill="1" applyBorder="1" applyAlignment="1" applyProtection="1">
      <alignment horizontal="center" vertical="center"/>
      <protection hidden="1"/>
    </xf>
    <xf numFmtId="0" fontId="29" fillId="4" borderId="0" xfId="3" applyFont="1" applyFill="1" applyAlignment="1" applyProtection="1">
      <alignment horizontal="left" vertical="center"/>
      <protection hidden="1"/>
    </xf>
    <xf numFmtId="0" fontId="14" fillId="4" borderId="31" xfId="3" applyFont="1" applyFill="1" applyBorder="1" applyAlignment="1" applyProtection="1">
      <alignment horizontal="center" vertical="center"/>
      <protection hidden="1"/>
    </xf>
    <xf numFmtId="0" fontId="14" fillId="4" borderId="32" xfId="3" applyFont="1" applyFill="1" applyBorder="1" applyAlignment="1" applyProtection="1">
      <alignment horizontal="center" vertical="center"/>
      <protection hidden="1"/>
    </xf>
    <xf numFmtId="0" fontId="12" fillId="5" borderId="8" xfId="3" applyFont="1" applyFill="1" applyBorder="1" applyAlignment="1" applyProtection="1">
      <alignment horizontal="center" vertical="center"/>
      <protection hidden="1"/>
    </xf>
    <xf numFmtId="0" fontId="12" fillId="5" borderId="4" xfId="3" applyFont="1" applyFill="1" applyBorder="1" applyAlignment="1" applyProtection="1">
      <alignment horizontal="center" vertical="center"/>
      <protection hidden="1"/>
    </xf>
    <xf numFmtId="0" fontId="14" fillId="4" borderId="1" xfId="3" applyFont="1" applyFill="1" applyBorder="1" applyAlignment="1" applyProtection="1">
      <alignment horizontal="center" vertical="center"/>
      <protection hidden="1"/>
    </xf>
    <xf numFmtId="0" fontId="12" fillId="5" borderId="0" xfId="3" applyFont="1" applyFill="1" applyAlignment="1" applyProtection="1">
      <alignment horizontal="center" vertical="center"/>
      <protection hidden="1"/>
    </xf>
    <xf numFmtId="0" fontId="14" fillId="4" borderId="30" xfId="3" applyFont="1" applyFill="1" applyBorder="1" applyAlignment="1" applyProtection="1">
      <alignment horizontal="center" vertical="center"/>
      <protection hidden="1"/>
    </xf>
    <xf numFmtId="0" fontId="14" fillId="4" borderId="23" xfId="3" applyFont="1" applyFill="1" applyBorder="1" applyAlignment="1" applyProtection="1">
      <alignment horizontal="center" vertical="center"/>
      <protection hidden="1"/>
    </xf>
    <xf numFmtId="0" fontId="29" fillId="8" borderId="1" xfId="3" applyFont="1" applyFill="1" applyBorder="1" applyAlignment="1" applyProtection="1">
      <alignment horizontal="center" vertical="center"/>
      <protection hidden="1"/>
    </xf>
    <xf numFmtId="0" fontId="29" fillId="8" borderId="0" xfId="3" applyFont="1" applyFill="1" applyAlignment="1" applyProtection="1">
      <alignment horizontal="center" vertical="center"/>
      <protection hidden="1"/>
    </xf>
    <xf numFmtId="0" fontId="57" fillId="11" borderId="9" xfId="3" applyFont="1" applyFill="1" applyBorder="1" applyAlignment="1" applyProtection="1">
      <alignment horizontal="center" vertical="center"/>
      <protection hidden="1"/>
    </xf>
    <xf numFmtId="0" fontId="57" fillId="11" borderId="8" xfId="3" applyFont="1" applyFill="1" applyBorder="1" applyAlignment="1" applyProtection="1">
      <alignment horizontal="center" vertical="center"/>
      <protection hidden="1"/>
    </xf>
    <xf numFmtId="0" fontId="37" fillId="2" borderId="0" xfId="3" applyFont="1" applyFill="1" applyAlignment="1" applyProtection="1">
      <alignment horizontal="left" vertical="top" wrapText="1"/>
      <protection hidden="1"/>
    </xf>
    <xf numFmtId="0" fontId="9" fillId="0" borderId="0" xfId="3" applyFont="1" applyAlignment="1" applyProtection="1">
      <alignment horizontal="left" vertical="top" wrapText="1"/>
      <protection hidden="1"/>
    </xf>
    <xf numFmtId="0" fontId="12" fillId="16" borderId="20" xfId="3" applyFont="1" applyFill="1" applyBorder="1" applyAlignment="1" applyProtection="1">
      <alignment horizontal="center" vertical="center"/>
      <protection hidden="1"/>
    </xf>
    <xf numFmtId="0" fontId="14" fillId="4" borderId="27" xfId="3" applyFont="1" applyFill="1" applyBorder="1" applyAlignment="1" applyProtection="1">
      <alignment horizontal="center" vertical="center"/>
      <protection hidden="1"/>
    </xf>
    <xf numFmtId="0" fontId="14" fillId="4" borderId="28" xfId="3" applyFont="1" applyFill="1" applyBorder="1" applyAlignment="1" applyProtection="1">
      <alignment horizontal="center" vertical="center"/>
      <protection hidden="1"/>
    </xf>
    <xf numFmtId="0" fontId="9" fillId="0" borderId="28" xfId="3" applyFont="1" applyBorder="1" applyAlignment="1" applyProtection="1">
      <alignment horizontal="center" vertical="center"/>
      <protection locked="0"/>
    </xf>
    <xf numFmtId="0" fontId="9" fillId="0" borderId="29" xfId="3" applyFont="1" applyBorder="1" applyAlignment="1" applyProtection="1">
      <alignment horizontal="center" vertical="center"/>
      <protection locked="0"/>
    </xf>
    <xf numFmtId="0" fontId="14" fillId="4" borderId="13" xfId="3" applyFont="1" applyFill="1" applyBorder="1" applyAlignment="1" applyProtection="1">
      <alignment horizontal="center" vertical="center" wrapText="1"/>
      <protection hidden="1"/>
    </xf>
    <xf numFmtId="0" fontId="14" fillId="4" borderId="13" xfId="3" applyFont="1" applyFill="1" applyBorder="1" applyAlignment="1" applyProtection="1">
      <alignment horizontal="center" vertical="center"/>
      <protection hidden="1"/>
    </xf>
    <xf numFmtId="0" fontId="10" fillId="4" borderId="13" xfId="3" applyFont="1" applyFill="1" applyBorder="1" applyAlignment="1" applyProtection="1">
      <alignment horizontal="center" vertical="center"/>
      <protection locked="0"/>
    </xf>
    <xf numFmtId="3" fontId="14" fillId="4" borderId="13" xfId="3" applyNumberFormat="1" applyFont="1" applyFill="1" applyBorder="1" applyAlignment="1" applyProtection="1">
      <alignment horizontal="center" vertical="center" wrapText="1"/>
      <protection hidden="1"/>
    </xf>
    <xf numFmtId="0" fontId="14" fillId="8" borderId="13" xfId="3" applyFont="1" applyFill="1" applyBorder="1" applyAlignment="1" applyProtection="1">
      <alignment horizontal="center" vertical="center"/>
      <protection hidden="1"/>
    </xf>
    <xf numFmtId="0" fontId="14" fillId="8" borderId="18" xfId="3" applyFont="1" applyFill="1" applyBorder="1" applyAlignment="1" applyProtection="1">
      <alignment horizontal="center" vertical="center"/>
      <protection hidden="1"/>
    </xf>
    <xf numFmtId="0" fontId="14" fillId="4" borderId="13" xfId="3" applyFont="1" applyFill="1" applyBorder="1" applyAlignment="1" applyProtection="1">
      <alignment horizontal="left" vertical="center"/>
      <protection locked="0"/>
    </xf>
    <xf numFmtId="0" fontId="37" fillId="2" borderId="0" xfId="3" applyFont="1" applyFill="1" applyAlignment="1">
      <alignment horizontal="left" vertical="top" wrapText="1"/>
    </xf>
    <xf numFmtId="0" fontId="25" fillId="4" borderId="0" xfId="0" applyFont="1" applyFill="1" applyAlignment="1" applyProtection="1">
      <alignment horizontal="left" vertical="center"/>
      <protection hidden="1"/>
    </xf>
    <xf numFmtId="0" fontId="37" fillId="2" borderId="0" xfId="0" applyFont="1" applyFill="1" applyAlignment="1" applyProtection="1">
      <alignment horizontal="left" vertical="top" wrapText="1"/>
      <protection hidden="1"/>
    </xf>
    <xf numFmtId="0" fontId="52" fillId="0" borderId="0" xfId="1" applyFont="1" applyAlignment="1" applyProtection="1">
      <alignment horizontal="left"/>
    </xf>
  </cellXfs>
  <cellStyles count="7">
    <cellStyle name="Comma" xfId="2" builtinId="3"/>
    <cellStyle name="Hyperlink" xfId="1" builtinId="8"/>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9" activePane="bottomLeft" state="frozen"/>
      <selection pane="bottomLeft" activeCell="B28" sqref="A1:XFD1048576"/>
    </sheetView>
  </sheetViews>
  <sheetFormatPr defaultColWidth="8.88671875" defaultRowHeight="14.4" customHeight="1" x14ac:dyDescent="0.25"/>
  <cols>
    <col min="1" max="1" width="1.44140625" style="4" customWidth="1"/>
    <col min="2" max="3" width="3.44140625" style="4" customWidth="1"/>
    <col min="4" max="4" width="77.109375" style="4" customWidth="1"/>
    <col min="5" max="5" width="2.109375" style="4" customWidth="1"/>
    <col min="6" max="9" width="14.44140625" style="4" customWidth="1"/>
    <col min="10" max="10" width="1.44140625" style="4" customWidth="1"/>
    <col min="11" max="11" width="3.44140625" style="4" customWidth="1"/>
    <col min="12" max="12" width="87.44140625" style="4" customWidth="1"/>
    <col min="13" max="16384" width="8.88671875" style="4"/>
  </cols>
  <sheetData>
    <row r="1" spans="1:12" s="13" customFormat="1" ht="7.35" customHeight="1" x14ac:dyDescent="0.25"/>
    <row r="2" spans="1:12" ht="7.35" customHeight="1" x14ac:dyDescent="0.25"/>
    <row r="3" spans="1:12" ht="30" customHeight="1" x14ac:dyDescent="0.25">
      <c r="B3" s="18" t="s">
        <v>0</v>
      </c>
      <c r="C3" s="18"/>
      <c r="D3" s="14"/>
      <c r="E3" s="14"/>
      <c r="F3" s="275"/>
      <c r="G3" s="15"/>
      <c r="H3" s="15"/>
      <c r="I3" s="15"/>
    </row>
    <row r="4" spans="1:12" ht="5.0999999999999996" customHeight="1" x14ac:dyDescent="0.25"/>
    <row r="5" spans="1:12" s="173" customFormat="1" ht="20.100000000000001" customHeight="1" thickBot="1" x14ac:dyDescent="0.3">
      <c r="B5" s="174" t="s">
        <v>1</v>
      </c>
      <c r="C5" s="174"/>
      <c r="D5" s="175"/>
      <c r="E5" s="175"/>
      <c r="F5" s="175"/>
      <c r="G5" s="175"/>
      <c r="H5" s="175"/>
      <c r="I5" s="175"/>
    </row>
    <row r="6" spans="1:12" ht="5.0999999999999996" customHeight="1" x14ac:dyDescent="0.25"/>
    <row r="7" spans="1:12" x14ac:dyDescent="0.25">
      <c r="B7" s="5" t="s">
        <v>2</v>
      </c>
      <c r="C7" s="5"/>
      <c r="F7" s="163" t="s">
        <v>3</v>
      </c>
      <c r="K7" s="357" t="s">
        <v>4</v>
      </c>
      <c r="L7" s="357"/>
    </row>
    <row r="8" spans="1:12" ht="15" customHeight="1" x14ac:dyDescent="0.25">
      <c r="B8" s="165">
        <v>1</v>
      </c>
      <c r="C8" s="165" t="s">
        <v>5</v>
      </c>
      <c r="D8" s="166"/>
      <c r="F8" s="164">
        <v>6</v>
      </c>
      <c r="K8" s="4" t="s">
        <v>6</v>
      </c>
    </row>
    <row r="9" spans="1:12" ht="15" customHeight="1" x14ac:dyDescent="0.25">
      <c r="B9" s="165">
        <v>2</v>
      </c>
      <c r="C9" s="165" t="s">
        <v>7</v>
      </c>
      <c r="D9" s="166"/>
      <c r="F9" s="164">
        <v>4</v>
      </c>
      <c r="L9" s="328" t="s">
        <v>8</v>
      </c>
    </row>
    <row r="10" spans="1:12" ht="15" customHeight="1" x14ac:dyDescent="0.25">
      <c r="B10" s="165">
        <v>3</v>
      </c>
      <c r="C10" s="165" t="s">
        <v>9</v>
      </c>
      <c r="D10" s="166"/>
      <c r="F10" s="164">
        <v>2</v>
      </c>
    </row>
    <row r="11" spans="1:12" ht="15" customHeight="1" x14ac:dyDescent="0.25"/>
    <row r="12" spans="1:12" s="173" customFormat="1" ht="20.100000000000001" customHeight="1" thickBot="1" x14ac:dyDescent="0.3">
      <c r="B12" s="174" t="s">
        <v>10</v>
      </c>
      <c r="C12" s="174"/>
      <c r="D12" s="175"/>
      <c r="E12" s="175"/>
      <c r="F12" s="175"/>
      <c r="G12" s="175"/>
      <c r="H12" s="175"/>
      <c r="I12" s="175"/>
    </row>
    <row r="13" spans="1:12" ht="5.0999999999999996" customHeight="1" x14ac:dyDescent="0.25"/>
    <row r="14" spans="1:12" s="176" customFormat="1" ht="20.100000000000001" customHeight="1" x14ac:dyDescent="0.35">
      <c r="B14" s="177" t="s">
        <v>11</v>
      </c>
    </row>
    <row r="15" spans="1:12" ht="15" customHeight="1" x14ac:dyDescent="0.25">
      <c r="A15" s="6">
        <f>IF(F15="Actual matches",1,0)</f>
        <v>0</v>
      </c>
      <c r="B15" s="166" t="s">
        <v>12</v>
      </c>
      <c r="C15" s="166"/>
      <c r="D15" s="166"/>
      <c r="F15" s="347" t="s">
        <v>13</v>
      </c>
      <c r="G15" s="347"/>
      <c r="H15" s="347"/>
      <c r="I15" s="347"/>
      <c r="K15" s="168" t="s">
        <v>14</v>
      </c>
      <c r="L15" s="169" t="s">
        <v>15</v>
      </c>
    </row>
    <row r="16" spans="1:12" ht="15" customHeight="1" x14ac:dyDescent="0.25">
      <c r="A16" s="6">
        <f>IF(F16="Yes",1,0)</f>
        <v>1</v>
      </c>
      <c r="B16" s="166" t="s">
        <v>16</v>
      </c>
      <c r="C16" s="166"/>
      <c r="D16" s="166"/>
      <c r="F16" s="167" t="s">
        <v>17</v>
      </c>
      <c r="G16" s="12"/>
      <c r="H16" s="12"/>
      <c r="I16" s="12"/>
      <c r="K16" s="168" t="s">
        <v>14</v>
      </c>
      <c r="L16" s="169" t="s">
        <v>18</v>
      </c>
    </row>
    <row r="17" spans="2:9" ht="15" customHeight="1" x14ac:dyDescent="0.25">
      <c r="F17" s="12"/>
      <c r="G17" s="12"/>
      <c r="H17" s="12"/>
      <c r="I17" s="12"/>
    </row>
    <row r="18" spans="2:9" s="176" customFormat="1" ht="20.100000000000001" customHeight="1" x14ac:dyDescent="0.35">
      <c r="B18" s="178" t="s">
        <v>19</v>
      </c>
      <c r="C18" s="179"/>
      <c r="D18" s="179"/>
      <c r="F18" s="180"/>
      <c r="G18" s="180"/>
      <c r="H18" s="180"/>
      <c r="I18" s="180"/>
    </row>
    <row r="19" spans="2:9" ht="28.8" x14ac:dyDescent="0.25">
      <c r="B19" s="171" t="s">
        <v>20</v>
      </c>
      <c r="C19" s="171"/>
      <c r="D19" s="166"/>
      <c r="F19" s="163" t="s">
        <v>21</v>
      </c>
      <c r="G19" s="163" t="s">
        <v>22</v>
      </c>
      <c r="H19" s="163" t="s">
        <v>23</v>
      </c>
      <c r="I19" s="163" t="s">
        <v>24</v>
      </c>
    </row>
    <row r="20" spans="2:9" ht="15" customHeight="1" x14ac:dyDescent="0.25">
      <c r="B20" s="165">
        <v>1</v>
      </c>
      <c r="C20" s="165" t="s">
        <v>5</v>
      </c>
      <c r="D20" s="166"/>
      <c r="F20" s="164">
        <v>12</v>
      </c>
      <c r="G20" s="164">
        <v>24</v>
      </c>
      <c r="H20" s="164">
        <v>48</v>
      </c>
      <c r="I20" s="164">
        <v>96</v>
      </c>
    </row>
    <row r="21" spans="2:9" ht="15" customHeight="1" x14ac:dyDescent="0.25">
      <c r="B21" s="165">
        <v>2</v>
      </c>
      <c r="C21" s="165" t="s">
        <v>7</v>
      </c>
      <c r="D21" s="166"/>
      <c r="F21" s="164">
        <v>8</v>
      </c>
      <c r="G21" s="164">
        <v>16</v>
      </c>
      <c r="H21" s="164">
        <v>32</v>
      </c>
      <c r="I21" s="164">
        <v>64</v>
      </c>
    </row>
    <row r="22" spans="2:9" ht="15" customHeight="1" x14ac:dyDescent="0.25">
      <c r="B22" s="165">
        <v>3</v>
      </c>
      <c r="C22" s="165" t="s">
        <v>9</v>
      </c>
      <c r="D22" s="166"/>
      <c r="F22" s="164">
        <v>6</v>
      </c>
      <c r="G22" s="164">
        <v>12</v>
      </c>
      <c r="H22" s="164">
        <v>24</v>
      </c>
      <c r="I22" s="164">
        <v>48</v>
      </c>
    </row>
    <row r="23" spans="2:9" ht="15" customHeight="1" x14ac:dyDescent="0.25">
      <c r="F23" s="12"/>
      <c r="G23" s="12"/>
      <c r="H23" s="12"/>
      <c r="I23" s="12"/>
    </row>
    <row r="24" spans="2:9" ht="15" hidden="1" customHeight="1" x14ac:dyDescent="0.25">
      <c r="F24" s="5"/>
      <c r="G24" s="12"/>
      <c r="H24" s="12"/>
      <c r="I24" s="12"/>
    </row>
    <row r="25" spans="2:9" x14ac:dyDescent="0.25">
      <c r="B25" s="5" t="s">
        <v>25</v>
      </c>
      <c r="C25" s="5"/>
      <c r="F25" s="163" t="s">
        <v>3</v>
      </c>
      <c r="G25" s="12"/>
      <c r="H25" s="12"/>
      <c r="I25" s="12"/>
    </row>
    <row r="26" spans="2:9" ht="15" customHeight="1" x14ac:dyDescent="0.25">
      <c r="B26" s="165">
        <v>1</v>
      </c>
      <c r="C26" s="165" t="s">
        <v>5</v>
      </c>
      <c r="D26" s="166"/>
      <c r="F26" s="164">
        <v>6</v>
      </c>
      <c r="G26" s="184" t="str">
        <f>IF(KOMatchRule=0,"Not Applied in Your Selected Game Scenario","")</f>
        <v/>
      </c>
      <c r="H26" s="12"/>
      <c r="I26" s="12"/>
    </row>
    <row r="27" spans="2:9" ht="15" customHeight="1" x14ac:dyDescent="0.25">
      <c r="B27" s="165">
        <v>2</v>
      </c>
      <c r="C27" s="165" t="s">
        <v>7</v>
      </c>
      <c r="D27" s="166"/>
      <c r="F27" s="164">
        <v>4</v>
      </c>
      <c r="G27" s="184" t="str">
        <f>IF(KOMatchRule=0,"Not Applied in Your Selected Game Scenario","")</f>
        <v/>
      </c>
      <c r="H27" s="12"/>
      <c r="I27" s="12"/>
    </row>
    <row r="28" spans="2:9" ht="15" customHeight="1" x14ac:dyDescent="0.25">
      <c r="B28" s="165">
        <v>3</v>
      </c>
      <c r="C28" s="165" t="s">
        <v>9</v>
      </c>
      <c r="D28" s="166"/>
      <c r="F28" s="164">
        <v>2</v>
      </c>
      <c r="G28" s="184" t="str">
        <f>IF(KOMatchRule=0,"Not Applied in Your Selected Game Scenario","")</f>
        <v/>
      </c>
      <c r="H28" s="12"/>
      <c r="I28" s="12"/>
    </row>
    <row r="29" spans="2:9" ht="15" customHeight="1" x14ac:dyDescent="0.25">
      <c r="F29" s="12"/>
      <c r="G29" s="12"/>
      <c r="H29" s="12"/>
      <c r="I29" s="12"/>
    </row>
    <row r="30" spans="2:9" s="176" customFormat="1" ht="20.100000000000001" customHeight="1" thickBot="1" x14ac:dyDescent="0.4">
      <c r="B30" s="181" t="s">
        <v>26</v>
      </c>
      <c r="C30" s="181"/>
      <c r="D30" s="182"/>
      <c r="E30" s="182"/>
      <c r="F30" s="182"/>
      <c r="G30" s="182"/>
      <c r="H30" s="182"/>
      <c r="I30" s="182"/>
    </row>
    <row r="31" spans="2:9" ht="5.0999999999999996" customHeight="1" x14ac:dyDescent="0.25"/>
    <row r="32" spans="2:9" ht="14.4" hidden="1" customHeight="1" x14ac:dyDescent="0.25"/>
    <row r="33" spans="2:9" ht="15" customHeight="1" x14ac:dyDescent="0.25">
      <c r="B33" s="5" t="s">
        <v>2</v>
      </c>
      <c r="C33" s="5"/>
      <c r="F33" s="163" t="s">
        <v>3</v>
      </c>
      <c r="G33" s="12"/>
      <c r="H33" s="12"/>
      <c r="I33" s="12"/>
    </row>
    <row r="34" spans="2:9" ht="15" customHeight="1" x14ac:dyDescent="0.25">
      <c r="B34" s="165">
        <v>1</v>
      </c>
      <c r="C34" s="165" t="s">
        <v>27</v>
      </c>
      <c r="D34" s="166"/>
      <c r="F34" s="164">
        <v>24</v>
      </c>
      <c r="G34" s="183"/>
      <c r="H34" s="12"/>
      <c r="I34" s="12"/>
    </row>
    <row r="35" spans="2:9" ht="15" customHeight="1" x14ac:dyDescent="0.25">
      <c r="B35" s="165">
        <v>2</v>
      </c>
      <c r="C35" s="165" t="s">
        <v>28</v>
      </c>
      <c r="D35" s="166"/>
      <c r="F35" s="164">
        <v>16</v>
      </c>
      <c r="G35" s="183"/>
      <c r="H35" s="12"/>
      <c r="I35" s="12"/>
    </row>
    <row r="36" spans="2:9" ht="15" customHeight="1" x14ac:dyDescent="0.25">
      <c r="B36" s="165">
        <v>3</v>
      </c>
      <c r="C36" s="165" t="s">
        <v>29</v>
      </c>
      <c r="D36" s="166"/>
      <c r="F36" s="164">
        <v>8</v>
      </c>
      <c r="G36" s="183"/>
      <c r="H36" s="12"/>
      <c r="I36" s="12"/>
    </row>
    <row r="37" spans="2:9" ht="15" customHeight="1" x14ac:dyDescent="0.25">
      <c r="B37" s="165">
        <v>4</v>
      </c>
      <c r="C37" s="165" t="s">
        <v>30</v>
      </c>
      <c r="D37" s="166"/>
      <c r="F37" s="164"/>
      <c r="G37" s="183"/>
      <c r="H37" s="12"/>
      <c r="I37" s="12"/>
    </row>
    <row r="38" spans="2:9" ht="15" customHeight="1" x14ac:dyDescent="0.25">
      <c r="B38" s="165"/>
      <c r="C38" s="172" t="s">
        <v>31</v>
      </c>
      <c r="D38" s="165" t="s">
        <v>32</v>
      </c>
      <c r="F38" s="164">
        <v>24</v>
      </c>
      <c r="G38" s="183"/>
      <c r="H38" s="12"/>
      <c r="I38" s="12"/>
    </row>
    <row r="39" spans="2:9" ht="15" customHeight="1" x14ac:dyDescent="0.25">
      <c r="B39" s="165"/>
      <c r="C39" s="172" t="s">
        <v>31</v>
      </c>
      <c r="D39" s="165" t="s">
        <v>33</v>
      </c>
      <c r="F39" s="164">
        <v>16</v>
      </c>
      <c r="G39" s="183"/>
      <c r="H39" s="12"/>
      <c r="I39" s="12"/>
    </row>
    <row r="40" spans="2:9" ht="15" customHeight="1" thickBot="1" x14ac:dyDescent="0.3">
      <c r="B40" s="276"/>
      <c r="C40" s="277" t="s">
        <v>31</v>
      </c>
      <c r="D40" s="276" t="s">
        <v>34</v>
      </c>
      <c r="F40" s="278">
        <v>8</v>
      </c>
      <c r="G40" s="183"/>
      <c r="H40" s="12"/>
      <c r="I40" s="12"/>
    </row>
    <row r="41" spans="2:9" ht="15" customHeight="1" x14ac:dyDescent="0.25">
      <c r="B41" s="280">
        <v>5</v>
      </c>
      <c r="C41" s="281" t="s">
        <v>35</v>
      </c>
      <c r="D41" s="282"/>
      <c r="E41" s="283"/>
      <c r="F41" s="296"/>
      <c r="G41" s="348" t="s">
        <v>36</v>
      </c>
      <c r="H41" s="349"/>
      <c r="I41" s="350"/>
    </row>
    <row r="42" spans="2:9" ht="15" customHeight="1" x14ac:dyDescent="0.25">
      <c r="B42" s="284"/>
      <c r="C42" s="285" t="s">
        <v>31</v>
      </c>
      <c r="D42" s="286" t="s">
        <v>37</v>
      </c>
      <c r="E42" s="287"/>
      <c r="F42" s="297">
        <v>8</v>
      </c>
      <c r="G42" s="351"/>
      <c r="H42" s="352"/>
      <c r="I42" s="353"/>
    </row>
    <row r="43" spans="2:9" ht="15" customHeight="1" x14ac:dyDescent="0.25">
      <c r="B43" s="284"/>
      <c r="C43" s="285" t="s">
        <v>31</v>
      </c>
      <c r="D43" s="286" t="s">
        <v>38</v>
      </c>
      <c r="E43" s="287"/>
      <c r="F43" s="297">
        <v>4</v>
      </c>
      <c r="G43" s="351"/>
      <c r="H43" s="352"/>
      <c r="I43" s="353"/>
    </row>
    <row r="44" spans="2:9" ht="15" customHeight="1" x14ac:dyDescent="0.25">
      <c r="B44" s="284"/>
      <c r="C44" s="285" t="s">
        <v>31</v>
      </c>
      <c r="D44" s="286" t="s">
        <v>39</v>
      </c>
      <c r="E44" s="287"/>
      <c r="F44" s="297">
        <v>2</v>
      </c>
      <c r="G44" s="351"/>
      <c r="H44" s="352"/>
      <c r="I44" s="353"/>
    </row>
    <row r="45" spans="2:9" ht="15" customHeight="1" x14ac:dyDescent="0.25">
      <c r="B45" s="284">
        <v>6</v>
      </c>
      <c r="C45" s="286" t="s">
        <v>40</v>
      </c>
      <c r="D45" s="286"/>
      <c r="E45" s="287"/>
      <c r="F45" s="297"/>
      <c r="G45" s="351"/>
      <c r="H45" s="352"/>
      <c r="I45" s="353"/>
    </row>
    <row r="46" spans="2:9" ht="15" customHeight="1" x14ac:dyDescent="0.25">
      <c r="B46" s="284"/>
      <c r="C46" s="285" t="s">
        <v>31</v>
      </c>
      <c r="D46" s="286" t="s">
        <v>41</v>
      </c>
      <c r="E46" s="287"/>
      <c r="F46" s="297">
        <v>8</v>
      </c>
      <c r="G46" s="351"/>
      <c r="H46" s="352"/>
      <c r="I46" s="353"/>
    </row>
    <row r="47" spans="2:9" ht="15" customHeight="1" x14ac:dyDescent="0.25">
      <c r="B47" s="284"/>
      <c r="C47" s="285" t="s">
        <v>31</v>
      </c>
      <c r="D47" s="286" t="s">
        <v>42</v>
      </c>
      <c r="E47" s="287"/>
      <c r="F47" s="297">
        <v>4</v>
      </c>
      <c r="G47" s="351"/>
      <c r="H47" s="352"/>
      <c r="I47" s="353"/>
    </row>
    <row r="48" spans="2:9" ht="15" customHeight="1" x14ac:dyDescent="0.25">
      <c r="B48" s="284">
        <v>7</v>
      </c>
      <c r="C48" s="286" t="s">
        <v>43</v>
      </c>
      <c r="D48" s="286"/>
      <c r="E48" s="287"/>
      <c r="F48" s="297"/>
      <c r="G48" s="351"/>
      <c r="H48" s="352"/>
      <c r="I48" s="353"/>
    </row>
    <row r="49" spans="2:9" ht="15" customHeight="1" x14ac:dyDescent="0.25">
      <c r="B49" s="284"/>
      <c r="C49" s="285" t="s">
        <v>31</v>
      </c>
      <c r="D49" s="286" t="s">
        <v>44</v>
      </c>
      <c r="E49" s="287"/>
      <c r="F49" s="297">
        <v>8</v>
      </c>
      <c r="G49" s="351"/>
      <c r="H49" s="352"/>
      <c r="I49" s="353"/>
    </row>
    <row r="50" spans="2:9" ht="15" customHeight="1" thickBot="1" x14ac:dyDescent="0.3">
      <c r="B50" s="288"/>
      <c r="C50" s="289" t="s">
        <v>31</v>
      </c>
      <c r="D50" s="290" t="s">
        <v>45</v>
      </c>
      <c r="E50" s="291"/>
      <c r="F50" s="298">
        <v>4</v>
      </c>
      <c r="G50" s="354"/>
      <c r="H50" s="355"/>
      <c r="I50" s="356"/>
    </row>
    <row r="51" spans="2:9" ht="15" customHeight="1" thickBot="1" x14ac:dyDescent="0.3">
      <c r="B51" s="12">
        <v>8</v>
      </c>
      <c r="C51" s="12" t="s">
        <v>46</v>
      </c>
      <c r="F51" s="279">
        <v>16</v>
      </c>
      <c r="G51" s="184" t="str">
        <f>IF(KOGameRule=1,"Not Applied in Your Selected Game Scenario","")</f>
        <v/>
      </c>
      <c r="H51" s="12"/>
      <c r="I51" s="12"/>
    </row>
    <row r="52" spans="2:9" ht="15" customHeight="1" x14ac:dyDescent="0.25">
      <c r="B52" s="280">
        <v>9</v>
      </c>
      <c r="C52" s="281" t="s">
        <v>47</v>
      </c>
      <c r="D52" s="282"/>
      <c r="E52" s="283"/>
      <c r="F52" s="296">
        <v>24</v>
      </c>
      <c r="G52" s="348" t="s">
        <v>36</v>
      </c>
      <c r="H52" s="349"/>
      <c r="I52" s="350"/>
    </row>
    <row r="53" spans="2:9" ht="15" customHeight="1" x14ac:dyDescent="0.25">
      <c r="B53" s="284">
        <v>10</v>
      </c>
      <c r="C53" s="286" t="s">
        <v>48</v>
      </c>
      <c r="D53" s="292"/>
      <c r="E53" s="287"/>
      <c r="F53" s="297">
        <v>24</v>
      </c>
      <c r="G53" s="351"/>
      <c r="H53" s="352"/>
      <c r="I53" s="353"/>
    </row>
    <row r="54" spans="2:9" ht="15" customHeight="1" x14ac:dyDescent="0.25">
      <c r="B54" s="284">
        <v>11</v>
      </c>
      <c r="C54" s="286" t="s">
        <v>49</v>
      </c>
      <c r="D54" s="292"/>
      <c r="E54" s="287"/>
      <c r="F54" s="299">
        <f>SUM(F55:F58)</f>
        <v>90</v>
      </c>
      <c r="G54" s="351"/>
      <c r="H54" s="352"/>
      <c r="I54" s="353"/>
    </row>
    <row r="55" spans="2:9" ht="15" customHeight="1" x14ac:dyDescent="0.25">
      <c r="B55" s="293"/>
      <c r="C55" s="285" t="s">
        <v>31</v>
      </c>
      <c r="D55" s="294" t="s">
        <v>50</v>
      </c>
      <c r="E55" s="287"/>
      <c r="F55" s="297">
        <v>6</v>
      </c>
      <c r="G55" s="351"/>
      <c r="H55" s="352"/>
      <c r="I55" s="353"/>
    </row>
    <row r="56" spans="2:9" ht="15" customHeight="1" x14ac:dyDescent="0.25">
      <c r="B56" s="293"/>
      <c r="C56" s="285" t="s">
        <v>31</v>
      </c>
      <c r="D56" s="294" t="s">
        <v>51</v>
      </c>
      <c r="E56" s="287"/>
      <c r="F56" s="297">
        <v>12</v>
      </c>
      <c r="G56" s="351"/>
      <c r="H56" s="352"/>
      <c r="I56" s="353"/>
    </row>
    <row r="57" spans="2:9" ht="15" customHeight="1" x14ac:dyDescent="0.25">
      <c r="B57" s="293"/>
      <c r="C57" s="285" t="s">
        <v>31</v>
      </c>
      <c r="D57" s="294" t="s">
        <v>52</v>
      </c>
      <c r="E57" s="287"/>
      <c r="F57" s="297">
        <v>24</v>
      </c>
      <c r="G57" s="351"/>
      <c r="H57" s="352"/>
      <c r="I57" s="353"/>
    </row>
    <row r="58" spans="2:9" ht="15" customHeight="1" x14ac:dyDescent="0.25">
      <c r="B58" s="293"/>
      <c r="C58" s="285" t="s">
        <v>31</v>
      </c>
      <c r="D58" s="294" t="s">
        <v>53</v>
      </c>
      <c r="E58" s="287"/>
      <c r="F58" s="297">
        <v>48</v>
      </c>
      <c r="G58" s="351"/>
      <c r="H58" s="352"/>
      <c r="I58" s="353"/>
    </row>
    <row r="59" spans="2:9" ht="15" customHeight="1" x14ac:dyDescent="0.25">
      <c r="B59" s="284">
        <v>12</v>
      </c>
      <c r="C59" s="292" t="s">
        <v>54</v>
      </c>
      <c r="D59" s="292"/>
      <c r="E59" s="287"/>
      <c r="F59" s="299">
        <f>SUM(F60:F62)</f>
        <v>42</v>
      </c>
      <c r="G59" s="351"/>
      <c r="H59" s="352"/>
      <c r="I59" s="353"/>
    </row>
    <row r="60" spans="2:9" ht="15" customHeight="1" x14ac:dyDescent="0.25">
      <c r="B60" s="293"/>
      <c r="C60" s="285" t="s">
        <v>31</v>
      </c>
      <c r="D60" s="294" t="s">
        <v>50</v>
      </c>
      <c r="E60" s="287"/>
      <c r="F60" s="297">
        <v>6</v>
      </c>
      <c r="G60" s="351"/>
      <c r="H60" s="352"/>
      <c r="I60" s="353"/>
    </row>
    <row r="61" spans="2:9" ht="15" customHeight="1" x14ac:dyDescent="0.25">
      <c r="B61" s="293"/>
      <c r="C61" s="285" t="s">
        <v>31</v>
      </c>
      <c r="D61" s="294" t="s">
        <v>55</v>
      </c>
      <c r="E61" s="287"/>
      <c r="F61" s="297">
        <v>12</v>
      </c>
      <c r="G61" s="351"/>
      <c r="H61" s="352"/>
      <c r="I61" s="353"/>
    </row>
    <row r="62" spans="2:9" ht="15" customHeight="1" x14ac:dyDescent="0.25">
      <c r="B62" s="293"/>
      <c r="C62" s="285" t="s">
        <v>31</v>
      </c>
      <c r="D62" s="294" t="s">
        <v>56</v>
      </c>
      <c r="E62" s="287"/>
      <c r="F62" s="297">
        <v>24</v>
      </c>
      <c r="G62" s="351"/>
      <c r="H62" s="352"/>
      <c r="I62" s="353"/>
    </row>
    <row r="63" spans="2:9" ht="15" customHeight="1" x14ac:dyDescent="0.25">
      <c r="B63" s="284">
        <v>13</v>
      </c>
      <c r="C63" s="292" t="s">
        <v>57</v>
      </c>
      <c r="D63" s="292"/>
      <c r="E63" s="287"/>
      <c r="F63" s="299">
        <f>SUM(F64:F65)</f>
        <v>18</v>
      </c>
      <c r="G63" s="351"/>
      <c r="H63" s="352"/>
      <c r="I63" s="353"/>
    </row>
    <row r="64" spans="2:9" ht="15" customHeight="1" x14ac:dyDescent="0.25">
      <c r="B64" s="293"/>
      <c r="C64" s="285" t="s">
        <v>31</v>
      </c>
      <c r="D64" s="294" t="s">
        <v>50</v>
      </c>
      <c r="E64" s="287"/>
      <c r="F64" s="297">
        <v>6</v>
      </c>
      <c r="G64" s="351"/>
      <c r="H64" s="352"/>
      <c r="I64" s="353"/>
    </row>
    <row r="65" spans="2:9" ht="15" customHeight="1" x14ac:dyDescent="0.25">
      <c r="B65" s="293"/>
      <c r="C65" s="285" t="s">
        <v>31</v>
      </c>
      <c r="D65" s="294" t="s">
        <v>55</v>
      </c>
      <c r="E65" s="287"/>
      <c r="F65" s="297">
        <v>12</v>
      </c>
      <c r="G65" s="351"/>
      <c r="H65" s="352"/>
      <c r="I65" s="353"/>
    </row>
    <row r="66" spans="2:9" ht="15" customHeight="1" thickBot="1" x14ac:dyDescent="0.3">
      <c r="B66" s="288">
        <v>14</v>
      </c>
      <c r="C66" s="290" t="s">
        <v>58</v>
      </c>
      <c r="D66" s="295"/>
      <c r="E66" s="291"/>
      <c r="F66" s="298">
        <v>0</v>
      </c>
      <c r="G66" s="354"/>
      <c r="H66" s="355"/>
      <c r="I66" s="356"/>
    </row>
    <row r="67" spans="2:9" ht="15" customHeight="1" x14ac:dyDescent="0.25">
      <c r="B67" s="236" t="s">
        <v>59</v>
      </c>
    </row>
    <row r="68" spans="2:9" s="173" customFormat="1" ht="20.100000000000001" customHeight="1" thickBot="1" x14ac:dyDescent="0.3">
      <c r="B68" s="174" t="s">
        <v>60</v>
      </c>
      <c r="C68" s="174"/>
      <c r="D68" s="175"/>
      <c r="E68" s="175"/>
      <c r="F68" s="175"/>
      <c r="G68" s="175"/>
      <c r="H68" s="175"/>
      <c r="I68" s="175"/>
    </row>
    <row r="69" spans="2:9" ht="5.0999999999999996" customHeight="1" x14ac:dyDescent="0.25"/>
    <row r="70" spans="2:9" ht="15" customHeight="1" x14ac:dyDescent="0.25">
      <c r="B70" s="4" t="s">
        <v>61</v>
      </c>
    </row>
    <row r="71" spans="2:9" ht="15" customHeight="1" x14ac:dyDescent="0.25">
      <c r="B71" s="4">
        <v>1</v>
      </c>
      <c r="C71" s="4" t="s">
        <v>62</v>
      </c>
    </row>
    <row r="72" spans="2:9" ht="14.4" customHeight="1" x14ac:dyDescent="0.25">
      <c r="B72" s="4">
        <v>2</v>
      </c>
      <c r="C72" s="4" t="s">
        <v>63</v>
      </c>
    </row>
    <row r="73" spans="2:9" ht="14.4" customHeight="1" x14ac:dyDescent="0.25">
      <c r="B73" s="4">
        <v>3</v>
      </c>
      <c r="C73" s="4" t="s">
        <v>64</v>
      </c>
    </row>
    <row r="74" spans="2:9" ht="14.4" customHeight="1" x14ac:dyDescent="0.25">
      <c r="B74" s="4">
        <v>4</v>
      </c>
      <c r="C74" s="4" t="s">
        <v>65</v>
      </c>
    </row>
    <row r="77" spans="2:9" ht="14.4" customHeight="1" x14ac:dyDescent="0.25">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8671875" defaultRowHeight="13.2" x14ac:dyDescent="0.25"/>
  <cols>
    <col min="1" max="1" width="1.44140625" customWidth="1"/>
    <col min="2" max="15" width="8.88671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281</v>
      </c>
      <c r="C3" s="33"/>
      <c r="D3" s="33"/>
      <c r="E3" s="33"/>
      <c r="F3" s="33"/>
      <c r="G3" s="33"/>
      <c r="H3" s="33"/>
      <c r="I3" s="33"/>
      <c r="J3" s="33"/>
      <c r="K3" s="33"/>
      <c r="L3" s="33"/>
      <c r="M3" s="33"/>
    </row>
    <row r="4" spans="2:13" s="7" customFormat="1" ht="5.0999999999999996" customHeight="1" x14ac:dyDescent="0.2">
      <c r="I4" s="34"/>
      <c r="J4" s="11"/>
    </row>
    <row r="14" spans="2:13" x14ac:dyDescent="0.25">
      <c r="G14" s="274" t="s">
        <v>282</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defaultColWidth="8.6640625" defaultRowHeight="14.4" x14ac:dyDescent="0.3"/>
  <cols>
    <col min="1" max="1" width="1.44140625" style="2" customWidth="1"/>
    <col min="2" max="2" width="3.44140625" style="2" customWidth="1"/>
    <col min="3" max="3" width="26.44140625" style="2" customWidth="1"/>
    <col min="4" max="4" width="1.44140625" style="2" customWidth="1"/>
    <col min="5" max="5" width="9.44140625" style="2" customWidth="1"/>
    <col min="6" max="8" width="20.44140625" style="2" customWidth="1"/>
    <col min="9" max="9" width="1.44140625" style="2" customWidth="1"/>
    <col min="10" max="14" width="8.6640625" style="2"/>
    <col min="15" max="15" width="6" style="2" customWidth="1"/>
    <col min="16" max="16384" width="8.6640625" style="2"/>
  </cols>
  <sheetData>
    <row r="1" spans="2:15" s="207" customFormat="1" ht="5.0999999999999996" customHeight="1" x14ac:dyDescent="0.3">
      <c r="J1" s="208"/>
      <c r="K1" s="208"/>
    </row>
    <row r="2" spans="2:15" s="209" customFormat="1" ht="5.0999999999999996" customHeight="1" x14ac:dyDescent="0.3">
      <c r="J2" s="210"/>
      <c r="K2" s="210"/>
    </row>
    <row r="3" spans="2:15" s="209" customFormat="1" ht="30" customHeight="1" x14ac:dyDescent="0.3">
      <c r="B3" s="18" t="s">
        <v>283</v>
      </c>
      <c r="C3" s="18"/>
      <c r="D3" s="18"/>
      <c r="E3" s="211"/>
      <c r="F3" s="211"/>
      <c r="G3" s="211"/>
      <c r="H3" s="211"/>
      <c r="I3" s="211"/>
      <c r="J3" s="211"/>
      <c r="K3" s="211"/>
      <c r="L3" s="211"/>
      <c r="M3" s="211"/>
      <c r="N3" s="211"/>
    </row>
    <row r="4" spans="2:15" s="209" customFormat="1" ht="5.0999999999999996" customHeight="1" x14ac:dyDescent="0.3">
      <c r="I4" s="211"/>
      <c r="J4" s="212"/>
      <c r="K4" s="210"/>
    </row>
    <row r="5" spans="2:15" x14ac:dyDescent="0.3">
      <c r="B5" s="194"/>
      <c r="C5" s="194"/>
      <c r="D5" s="194"/>
      <c r="E5" s="194"/>
      <c r="F5" s="194"/>
      <c r="G5" s="194"/>
      <c r="H5" s="194"/>
      <c r="I5" s="19"/>
      <c r="J5" s="37"/>
      <c r="K5" s="37"/>
      <c r="L5" s="37"/>
      <c r="M5" s="37"/>
      <c r="N5" s="37"/>
      <c r="O5" s="37"/>
    </row>
    <row r="6" spans="2:15" x14ac:dyDescent="0.3">
      <c r="B6" s="194"/>
      <c r="C6" s="194"/>
      <c r="D6" s="194"/>
      <c r="E6" s="213"/>
      <c r="F6" s="213"/>
      <c r="G6" s="213"/>
      <c r="H6" s="213"/>
      <c r="I6" s="19"/>
      <c r="J6" s="37"/>
      <c r="K6" s="37"/>
      <c r="L6" s="37"/>
      <c r="M6" s="37"/>
      <c r="N6" s="37"/>
      <c r="O6" s="37"/>
    </row>
    <row r="7" spans="2:15" x14ac:dyDescent="0.3">
      <c r="B7" s="194"/>
      <c r="C7" s="194"/>
      <c r="D7" s="194"/>
      <c r="E7" s="213"/>
      <c r="F7" s="213"/>
      <c r="G7" s="213"/>
      <c r="H7" s="213" t="s">
        <v>284</v>
      </c>
      <c r="I7" s="19"/>
      <c r="J7" s="37"/>
      <c r="K7" s="37"/>
      <c r="L7" s="37"/>
      <c r="M7" s="37"/>
      <c r="N7" s="37"/>
      <c r="O7" s="37"/>
    </row>
    <row r="8" spans="2:15" x14ac:dyDescent="0.3">
      <c r="B8" s="194"/>
      <c r="C8" s="194" t="s">
        <v>285</v>
      </c>
      <c r="D8" s="194" t="s">
        <v>286</v>
      </c>
      <c r="E8" s="194" t="s">
        <v>287</v>
      </c>
      <c r="F8" s="194"/>
      <c r="G8" s="194"/>
      <c r="H8" s="238" t="s">
        <v>288</v>
      </c>
      <c r="I8" s="239"/>
      <c r="J8" s="238"/>
      <c r="K8" s="238"/>
      <c r="L8" s="238"/>
      <c r="M8" s="238"/>
      <c r="N8" s="238"/>
      <c r="O8" s="37"/>
    </row>
    <row r="9" spans="2:15" x14ac:dyDescent="0.3">
      <c r="B9" s="194"/>
      <c r="C9" s="194" t="s">
        <v>289</v>
      </c>
      <c r="D9" s="194" t="s">
        <v>286</v>
      </c>
      <c r="E9" s="195" t="s">
        <v>290</v>
      </c>
      <c r="F9" s="194"/>
      <c r="G9" s="194"/>
      <c r="H9" s="218"/>
      <c r="I9" s="19"/>
      <c r="J9" s="37"/>
      <c r="K9" s="37"/>
      <c r="L9" s="37"/>
      <c r="M9" s="37"/>
      <c r="N9" s="37"/>
      <c r="O9" s="37"/>
    </row>
    <row r="10" spans="2:15" x14ac:dyDescent="0.3">
      <c r="B10" s="194"/>
      <c r="C10" s="194" t="s">
        <v>291</v>
      </c>
      <c r="D10" s="194" t="s">
        <v>286</v>
      </c>
      <c r="E10" s="194" t="s">
        <v>292</v>
      </c>
      <c r="F10" s="194"/>
      <c r="G10" s="194"/>
      <c r="H10" s="218"/>
      <c r="I10" s="19"/>
      <c r="J10" s="37"/>
      <c r="K10" s="37"/>
      <c r="L10" s="37"/>
      <c r="M10" s="37"/>
      <c r="N10" s="37"/>
      <c r="O10" s="37"/>
    </row>
    <row r="11" spans="2:15" x14ac:dyDescent="0.3">
      <c r="B11" s="194"/>
      <c r="C11" s="194" t="s">
        <v>293</v>
      </c>
      <c r="D11" s="194" t="s">
        <v>286</v>
      </c>
      <c r="E11" s="221" t="s">
        <v>294</v>
      </c>
      <c r="F11" s="196"/>
      <c r="G11" s="194"/>
      <c r="H11" s="218"/>
      <c r="I11" s="19"/>
      <c r="J11" s="37"/>
      <c r="K11" s="37"/>
      <c r="L11" s="37"/>
      <c r="M11" s="37"/>
      <c r="N11" s="37"/>
      <c r="O11" s="37"/>
    </row>
    <row r="12" spans="2:15" x14ac:dyDescent="0.3">
      <c r="B12" s="194"/>
      <c r="C12" s="194" t="s">
        <v>295</v>
      </c>
      <c r="D12" s="194" t="s">
        <v>286</v>
      </c>
      <c r="E12" s="218" t="s">
        <v>296</v>
      </c>
      <c r="F12" s="218"/>
      <c r="G12" s="194"/>
      <c r="H12" s="218"/>
      <c r="I12" s="19"/>
      <c r="J12" s="37"/>
      <c r="K12" s="37"/>
      <c r="L12" s="37"/>
      <c r="M12" s="37"/>
      <c r="N12" s="37"/>
      <c r="O12" s="37"/>
    </row>
    <row r="13" spans="2:15" x14ac:dyDescent="0.3">
      <c r="B13" s="194"/>
      <c r="C13" s="194" t="s">
        <v>297</v>
      </c>
      <c r="D13" s="194" t="s">
        <v>286</v>
      </c>
      <c r="E13" s="222" t="s">
        <v>298</v>
      </c>
      <c r="F13" s="196"/>
      <c r="G13" s="194"/>
      <c r="H13" s="197"/>
      <c r="I13" s="19"/>
      <c r="J13" s="37"/>
      <c r="K13" s="37"/>
      <c r="L13" s="37"/>
      <c r="M13" s="37"/>
      <c r="N13" s="37"/>
      <c r="O13" s="37"/>
    </row>
    <row r="14" spans="2:15" x14ac:dyDescent="0.3">
      <c r="B14" s="194"/>
      <c r="C14" s="194"/>
      <c r="D14" s="194"/>
      <c r="E14" s="194"/>
      <c r="F14" s="194"/>
      <c r="G14" s="194"/>
      <c r="H14" s="194"/>
      <c r="I14" s="19"/>
      <c r="J14" s="37"/>
      <c r="K14" s="37"/>
      <c r="L14" s="37"/>
      <c r="M14" s="37"/>
      <c r="N14" s="37"/>
      <c r="O14" s="37"/>
    </row>
    <row r="15" spans="2:15" x14ac:dyDescent="0.3">
      <c r="I15" s="211"/>
    </row>
    <row r="16" spans="2:15" ht="15" customHeight="1" x14ac:dyDescent="0.3">
      <c r="B16" s="205"/>
      <c r="C16" s="205"/>
      <c r="D16" s="205"/>
      <c r="E16" s="205"/>
      <c r="F16" s="234" t="s">
        <v>299</v>
      </c>
      <c r="G16" s="206" t="s">
        <v>300</v>
      </c>
      <c r="H16" s="233" t="s">
        <v>301</v>
      </c>
    </row>
    <row r="17" spans="2:8" ht="15" customHeight="1" x14ac:dyDescent="0.3">
      <c r="B17" s="214" t="s">
        <v>302</v>
      </c>
      <c r="C17" s="214"/>
      <c r="D17" s="214"/>
      <c r="E17" s="214"/>
      <c r="F17" s="228">
        <v>10</v>
      </c>
      <c r="G17" s="215">
        <v>100</v>
      </c>
      <c r="H17" s="225">
        <v>100</v>
      </c>
    </row>
    <row r="18" spans="2:8" ht="15" customHeight="1" x14ac:dyDescent="0.3">
      <c r="B18" s="214" t="s">
        <v>303</v>
      </c>
      <c r="C18" s="214"/>
      <c r="D18" s="214"/>
      <c r="E18" s="219"/>
      <c r="F18" s="229"/>
      <c r="G18" s="219"/>
      <c r="H18" s="226"/>
    </row>
    <row r="19" spans="2:8" ht="15" customHeight="1" x14ac:dyDescent="0.3">
      <c r="B19" s="220" t="s">
        <v>127</v>
      </c>
      <c r="C19" s="214" t="s">
        <v>304</v>
      </c>
      <c r="D19" s="214"/>
      <c r="E19" s="219"/>
      <c r="F19" s="228" t="s">
        <v>17</v>
      </c>
      <c r="G19" s="215" t="s">
        <v>17</v>
      </c>
      <c r="H19" s="225" t="s">
        <v>17</v>
      </c>
    </row>
    <row r="20" spans="2:8" ht="15" customHeight="1" x14ac:dyDescent="0.3">
      <c r="B20" s="220" t="s">
        <v>127</v>
      </c>
      <c r="C20" s="214" t="s">
        <v>305</v>
      </c>
      <c r="D20" s="214"/>
      <c r="E20" s="219"/>
      <c r="F20" s="228" t="s">
        <v>17</v>
      </c>
      <c r="G20" s="215" t="s">
        <v>17</v>
      </c>
      <c r="H20" s="225" t="s">
        <v>17</v>
      </c>
    </row>
    <row r="21" spans="2:8" ht="15" customHeight="1" x14ac:dyDescent="0.3">
      <c r="B21" s="220" t="s">
        <v>127</v>
      </c>
      <c r="C21" s="214" t="s">
        <v>306</v>
      </c>
      <c r="D21" s="214"/>
      <c r="E21" s="219"/>
      <c r="F21" s="228" t="s">
        <v>17</v>
      </c>
      <c r="G21" s="215" t="s">
        <v>17</v>
      </c>
      <c r="H21" s="225" t="s">
        <v>17</v>
      </c>
    </row>
    <row r="22" spans="2:8" ht="15" customHeight="1" x14ac:dyDescent="0.3">
      <c r="B22" s="220" t="s">
        <v>127</v>
      </c>
      <c r="C22" s="214" t="s">
        <v>307</v>
      </c>
      <c r="D22" s="214"/>
      <c r="E22" s="219"/>
      <c r="F22" s="228" t="s">
        <v>17</v>
      </c>
      <c r="G22" s="215" t="s">
        <v>17</v>
      </c>
      <c r="H22" s="225" t="s">
        <v>17</v>
      </c>
    </row>
    <row r="23" spans="2:8" ht="15" customHeight="1" x14ac:dyDescent="0.3">
      <c r="B23" s="220" t="s">
        <v>127</v>
      </c>
      <c r="C23" s="214" t="s">
        <v>308</v>
      </c>
      <c r="D23" s="214"/>
      <c r="E23" s="219"/>
      <c r="F23" s="228" t="s">
        <v>17</v>
      </c>
      <c r="G23" s="215" t="s">
        <v>17</v>
      </c>
      <c r="H23" s="225" t="s">
        <v>17</v>
      </c>
    </row>
    <row r="24" spans="2:8" ht="15" customHeight="1" x14ac:dyDescent="0.3">
      <c r="B24" s="220" t="s">
        <v>127</v>
      </c>
      <c r="C24" s="214" t="s">
        <v>309</v>
      </c>
      <c r="D24" s="214"/>
      <c r="E24" s="214"/>
      <c r="F24" s="230" t="s">
        <v>310</v>
      </c>
      <c r="G24" s="216" t="s">
        <v>311</v>
      </c>
      <c r="H24" s="227" t="s">
        <v>311</v>
      </c>
    </row>
    <row r="25" spans="2:8" ht="15" customHeight="1" x14ac:dyDescent="0.3">
      <c r="B25" s="214" t="s">
        <v>312</v>
      </c>
      <c r="C25" s="214"/>
      <c r="D25" s="214"/>
      <c r="E25" s="214"/>
      <c r="F25" s="228" t="s">
        <v>313</v>
      </c>
      <c r="G25" s="215" t="s">
        <v>313</v>
      </c>
      <c r="H25" s="225" t="s">
        <v>314</v>
      </c>
    </row>
    <row r="26" spans="2:8" ht="15" customHeight="1" x14ac:dyDescent="0.3">
      <c r="B26" s="214" t="s">
        <v>315</v>
      </c>
      <c r="C26" s="214"/>
      <c r="D26" s="214"/>
      <c r="E26" s="214"/>
      <c r="F26" s="228" t="s">
        <v>67</v>
      </c>
      <c r="G26" s="215" t="s">
        <v>316</v>
      </c>
      <c r="H26" s="225" t="s">
        <v>317</v>
      </c>
    </row>
    <row r="27" spans="2:8" ht="15" customHeight="1" x14ac:dyDescent="0.3">
      <c r="B27" s="214" t="s">
        <v>318</v>
      </c>
      <c r="C27" s="214"/>
      <c r="D27" s="214"/>
      <c r="E27" s="214"/>
      <c r="F27" s="228" t="s">
        <v>67</v>
      </c>
      <c r="G27" s="215" t="s">
        <v>67</v>
      </c>
      <c r="H27" s="225" t="s">
        <v>17</v>
      </c>
    </row>
    <row r="28" spans="2:8" ht="15" customHeight="1" x14ac:dyDescent="0.3">
      <c r="B28" s="214" t="s">
        <v>319</v>
      </c>
      <c r="C28" s="214"/>
      <c r="D28" s="214"/>
      <c r="E28" s="214"/>
      <c r="F28" s="228" t="s">
        <v>313</v>
      </c>
      <c r="G28" s="215" t="s">
        <v>320</v>
      </c>
      <c r="H28" s="225" t="s">
        <v>320</v>
      </c>
    </row>
    <row r="29" spans="2:8" x14ac:dyDescent="0.3">
      <c r="B29" s="189"/>
      <c r="C29" s="189"/>
      <c r="D29" s="189"/>
      <c r="E29" s="189"/>
      <c r="F29" s="231"/>
      <c r="H29" s="223"/>
    </row>
    <row r="30" spans="2:8" x14ac:dyDescent="0.3">
      <c r="F30" s="232"/>
      <c r="H30" s="223"/>
    </row>
    <row r="31" spans="2:8" x14ac:dyDescent="0.3">
      <c r="F31" s="232"/>
      <c r="H31" s="223"/>
    </row>
    <row r="32" spans="2:8" x14ac:dyDescent="0.3">
      <c r="F32" s="232"/>
      <c r="H32" s="223"/>
    </row>
    <row r="33" spans="2:8" ht="18" x14ac:dyDescent="0.3">
      <c r="B33" s="223"/>
      <c r="C33" s="223"/>
      <c r="D33" s="223"/>
      <c r="E33" s="223"/>
      <c r="F33" s="235"/>
      <c r="G33" s="224" t="s">
        <v>321</v>
      </c>
      <c r="H33" s="217" t="s">
        <v>322</v>
      </c>
    </row>
    <row r="35" spans="2:8" ht="15.6" x14ac:dyDescent="0.3">
      <c r="B35" s="415" t="s">
        <v>323</v>
      </c>
      <c r="C35" s="415"/>
      <c r="D35" s="415"/>
      <c r="E35" s="415"/>
      <c r="F35" s="415"/>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defaultColWidth="9.109375" defaultRowHeight="12.6" x14ac:dyDescent="0.2"/>
  <cols>
    <col min="1" max="1" width="3.88671875" style="321" customWidth="1"/>
    <col min="2" max="112" width="8.88671875" style="321" customWidth="1"/>
    <col min="113" max="119" width="8.88671875" style="327" customWidth="1"/>
    <col min="120" max="240" width="8.88671875" style="321" customWidth="1"/>
    <col min="241" max="247" width="8.88671875" style="327" customWidth="1"/>
    <col min="248" max="368" width="8.88671875" style="321" customWidth="1"/>
    <col min="369" max="375" width="8.88671875" style="327" customWidth="1"/>
    <col min="376" max="496" width="8.88671875" style="321" customWidth="1"/>
    <col min="497" max="503" width="8.88671875" style="327" customWidth="1"/>
    <col min="504" max="624" width="8.88671875" style="321" customWidth="1"/>
    <col min="625" max="631" width="8.88671875" style="327" customWidth="1"/>
    <col min="632" max="752" width="8.88671875" style="321" customWidth="1"/>
    <col min="753" max="759" width="8.88671875" style="327" customWidth="1"/>
    <col min="760" max="880" width="8.88671875" style="321" customWidth="1"/>
    <col min="881" max="887" width="8.88671875" style="327" customWidth="1"/>
    <col min="888" max="1008" width="8.88671875" style="321" customWidth="1"/>
    <col min="1009" max="1015" width="8.88671875" style="327" customWidth="1"/>
    <col min="1016" max="1136" width="8.88671875" style="321" customWidth="1"/>
    <col min="1137" max="1143" width="8.88671875" style="327" customWidth="1"/>
    <col min="1144" max="1264" width="8.88671875" style="321" customWidth="1"/>
    <col min="1265" max="1271" width="8.88671875" style="327" customWidth="1"/>
    <col min="1272" max="1392" width="8.88671875" style="321" customWidth="1"/>
    <col min="1393" max="1399" width="8.88671875" style="327" customWidth="1"/>
    <col min="1400" max="1520" width="8.88671875" style="321" customWidth="1"/>
    <col min="1521" max="1527" width="8.88671875" style="327" customWidth="1"/>
    <col min="1528" max="1536" width="8.88671875" style="321" customWidth="1"/>
    <col min="1537" max="16384" width="9.109375" style="321"/>
  </cols>
  <sheetData>
    <row r="1" spans="1:1536" ht="13.8" x14ac:dyDescent="0.3">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324</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325</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324</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325</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324</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325</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324</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325</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324</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325</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324</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325</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324</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325</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324</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325</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324</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325</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324</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325</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324</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325</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324</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ht="13.8" x14ac:dyDescent="0.3">
      <c r="A2" s="319"/>
      <c r="B2" s="319"/>
      <c r="C2" s="319"/>
      <c r="D2" s="319"/>
      <c r="E2" s="319"/>
      <c r="F2" s="319"/>
      <c r="G2" s="319"/>
      <c r="H2" s="319"/>
      <c r="I2" s="319"/>
      <c r="J2" s="319"/>
      <c r="K2" s="319"/>
      <c r="L2" s="319"/>
      <c r="M2" s="319"/>
      <c r="N2" s="319"/>
      <c r="O2" s="319"/>
      <c r="P2" s="319"/>
      <c r="Q2" s="319"/>
      <c r="R2" s="319"/>
      <c r="S2" s="319"/>
      <c r="T2" s="319"/>
      <c r="U2" s="319" t="s">
        <v>326</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327</v>
      </c>
      <c r="AP2" s="319"/>
      <c r="AQ2" s="319"/>
      <c r="AR2" s="319"/>
      <c r="AS2" s="319"/>
      <c r="AT2" s="319"/>
      <c r="AU2" s="319"/>
      <c r="AV2" s="319"/>
      <c r="AW2" s="319"/>
      <c r="AX2" s="319"/>
      <c r="AY2" s="319"/>
      <c r="AZ2" s="319"/>
      <c r="BA2" s="319"/>
      <c r="BB2" s="319"/>
      <c r="BC2" s="319"/>
      <c r="BD2" s="319"/>
      <c r="BE2" s="319"/>
      <c r="BF2" s="319"/>
      <c r="BG2" s="319"/>
      <c r="BH2" s="319"/>
      <c r="BI2" s="319" t="s">
        <v>328</v>
      </c>
      <c r="BJ2" s="319"/>
      <c r="BK2" s="319"/>
      <c r="BL2" s="319"/>
      <c r="BM2" s="319"/>
      <c r="BN2" s="319"/>
      <c r="BO2" s="319"/>
      <c r="BP2" s="319"/>
      <c r="BQ2" s="319"/>
      <c r="BR2" s="319"/>
      <c r="BS2" s="319"/>
      <c r="BT2" s="319"/>
      <c r="BU2" s="319"/>
      <c r="BV2" s="319"/>
      <c r="BW2" s="319"/>
      <c r="BX2" s="319"/>
      <c r="BY2" s="319"/>
      <c r="BZ2" s="319"/>
      <c r="CA2" s="319"/>
      <c r="CB2" s="319"/>
      <c r="CC2" s="319" t="s">
        <v>329</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330</v>
      </c>
      <c r="DB2" s="319" t="s">
        <v>331</v>
      </c>
      <c r="DC2" s="319"/>
      <c r="DD2" s="319"/>
      <c r="DE2" s="319"/>
      <c r="DF2" s="319"/>
      <c r="DG2" s="319"/>
      <c r="DH2" s="319"/>
      <c r="DI2" s="320" t="s">
        <v>152</v>
      </c>
      <c r="DJ2" s="320" t="s">
        <v>104</v>
      </c>
      <c r="DK2" s="320" t="s">
        <v>153</v>
      </c>
      <c r="DL2" s="320" t="s">
        <v>330</v>
      </c>
      <c r="DM2" s="320" t="s">
        <v>331</v>
      </c>
      <c r="DN2" s="320" t="s">
        <v>332</v>
      </c>
      <c r="DO2" s="320" t="s">
        <v>155</v>
      </c>
      <c r="DP2" s="319" t="s">
        <v>333</v>
      </c>
      <c r="DQ2" s="319" t="s">
        <v>334</v>
      </c>
      <c r="DR2" s="319" t="s">
        <v>335</v>
      </c>
      <c r="DS2" s="319" t="s">
        <v>336</v>
      </c>
      <c r="DT2" s="319" t="s">
        <v>337</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326</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327</v>
      </c>
      <c r="FN2" s="319"/>
      <c r="FO2" s="319"/>
      <c r="FP2" s="319"/>
      <c r="FQ2" s="319"/>
      <c r="FR2" s="319"/>
      <c r="FS2" s="319"/>
      <c r="FT2" s="319"/>
      <c r="FU2" s="319"/>
      <c r="FV2" s="319"/>
      <c r="FW2" s="319"/>
      <c r="FX2" s="319"/>
      <c r="FY2" s="319"/>
      <c r="FZ2" s="319"/>
      <c r="GA2" s="319"/>
      <c r="GB2" s="319"/>
      <c r="GC2" s="319"/>
      <c r="GD2" s="319"/>
      <c r="GE2" s="319"/>
      <c r="GF2" s="319"/>
      <c r="GG2" s="319" t="s">
        <v>328</v>
      </c>
      <c r="GH2" s="319"/>
      <c r="GI2" s="319"/>
      <c r="GJ2" s="319"/>
      <c r="GK2" s="319"/>
      <c r="GL2" s="319"/>
      <c r="GM2" s="319"/>
      <c r="GN2" s="319"/>
      <c r="GO2" s="319"/>
      <c r="GP2" s="319"/>
      <c r="GQ2" s="319"/>
      <c r="GR2" s="319"/>
      <c r="GS2" s="319"/>
      <c r="GT2" s="319"/>
      <c r="GU2" s="319"/>
      <c r="GV2" s="319"/>
      <c r="GW2" s="319"/>
      <c r="GX2" s="319"/>
      <c r="GY2" s="319"/>
      <c r="GZ2" s="319"/>
      <c r="HA2" s="319" t="s">
        <v>329</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330</v>
      </c>
      <c r="HZ2" s="319" t="s">
        <v>331</v>
      </c>
      <c r="IA2" s="319"/>
      <c r="IB2" s="319"/>
      <c r="IC2" s="319"/>
      <c r="ID2" s="319"/>
      <c r="IE2" s="319"/>
      <c r="IF2" s="319"/>
      <c r="IG2" s="320" t="s">
        <v>152</v>
      </c>
      <c r="IH2" s="320" t="s">
        <v>104</v>
      </c>
      <c r="II2" s="320" t="s">
        <v>153</v>
      </c>
      <c r="IJ2" s="320" t="s">
        <v>330</v>
      </c>
      <c r="IK2" s="320" t="s">
        <v>331</v>
      </c>
      <c r="IL2" s="320" t="s">
        <v>332</v>
      </c>
      <c r="IM2" s="320" t="s">
        <v>155</v>
      </c>
      <c r="IN2" s="319" t="s">
        <v>333</v>
      </c>
      <c r="IO2" s="319" t="s">
        <v>334</v>
      </c>
      <c r="IP2" s="319" t="s">
        <v>335</v>
      </c>
      <c r="IQ2" s="319" t="s">
        <v>336</v>
      </c>
      <c r="IR2" s="319" t="s">
        <v>337</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326</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327</v>
      </c>
      <c r="KL2" s="319"/>
      <c r="KM2" s="319"/>
      <c r="KN2" s="319"/>
      <c r="KO2" s="319"/>
      <c r="KP2" s="319"/>
      <c r="KQ2" s="319"/>
      <c r="KR2" s="319"/>
      <c r="KS2" s="319"/>
      <c r="KT2" s="319"/>
      <c r="KU2" s="319"/>
      <c r="KV2" s="319"/>
      <c r="KW2" s="319"/>
      <c r="KX2" s="319"/>
      <c r="KY2" s="319"/>
      <c r="KZ2" s="319"/>
      <c r="LA2" s="319"/>
      <c r="LB2" s="319"/>
      <c r="LC2" s="319"/>
      <c r="LD2" s="319"/>
      <c r="LE2" s="319" t="s">
        <v>328</v>
      </c>
      <c r="LF2" s="319"/>
      <c r="LG2" s="319"/>
      <c r="LH2" s="319"/>
      <c r="LI2" s="319"/>
      <c r="LJ2" s="319"/>
      <c r="LK2" s="319"/>
      <c r="LL2" s="319"/>
      <c r="LM2" s="319"/>
      <c r="LN2" s="319"/>
      <c r="LO2" s="319"/>
      <c r="LP2" s="319"/>
      <c r="LQ2" s="319"/>
      <c r="LR2" s="319"/>
      <c r="LS2" s="319"/>
      <c r="LT2" s="319"/>
      <c r="LU2" s="319"/>
      <c r="LV2" s="319"/>
      <c r="LW2" s="319"/>
      <c r="LX2" s="319"/>
      <c r="LY2" s="319" t="s">
        <v>329</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330</v>
      </c>
      <c r="MX2" s="319" t="s">
        <v>331</v>
      </c>
      <c r="MY2" s="319"/>
      <c r="MZ2" s="319"/>
      <c r="NA2" s="319"/>
      <c r="NB2" s="319"/>
      <c r="NC2" s="319"/>
      <c r="ND2" s="319"/>
      <c r="NE2" s="320" t="s">
        <v>152</v>
      </c>
      <c r="NF2" s="320" t="s">
        <v>104</v>
      </c>
      <c r="NG2" s="320" t="s">
        <v>153</v>
      </c>
      <c r="NH2" s="320" t="s">
        <v>330</v>
      </c>
      <c r="NI2" s="320" t="s">
        <v>331</v>
      </c>
      <c r="NJ2" s="320" t="s">
        <v>332</v>
      </c>
      <c r="NK2" s="320" t="s">
        <v>155</v>
      </c>
      <c r="NL2" s="319" t="s">
        <v>333</v>
      </c>
      <c r="NM2" s="319" t="s">
        <v>334</v>
      </c>
      <c r="NN2" s="319" t="s">
        <v>335</v>
      </c>
      <c r="NO2" s="319" t="s">
        <v>336</v>
      </c>
      <c r="NP2" s="319" t="s">
        <v>337</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326</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327</v>
      </c>
      <c r="PJ2" s="319"/>
      <c r="PK2" s="319"/>
      <c r="PL2" s="319"/>
      <c r="PM2" s="319"/>
      <c r="PN2" s="319"/>
      <c r="PO2" s="319"/>
      <c r="PP2" s="319"/>
      <c r="PQ2" s="319"/>
      <c r="PR2" s="319"/>
      <c r="PS2" s="319"/>
      <c r="PT2" s="319"/>
      <c r="PU2" s="319"/>
      <c r="PV2" s="319"/>
      <c r="PW2" s="319"/>
      <c r="PX2" s="319"/>
      <c r="PY2" s="319"/>
      <c r="PZ2" s="319"/>
      <c r="QA2" s="319"/>
      <c r="QB2" s="319"/>
      <c r="QC2" s="319" t="s">
        <v>328</v>
      </c>
      <c r="QD2" s="319"/>
      <c r="QE2" s="319"/>
      <c r="QF2" s="319"/>
      <c r="QG2" s="319"/>
      <c r="QH2" s="319"/>
      <c r="QI2" s="319"/>
      <c r="QJ2" s="319"/>
      <c r="QK2" s="319"/>
      <c r="QL2" s="319"/>
      <c r="QM2" s="319"/>
      <c r="QN2" s="319"/>
      <c r="QO2" s="319"/>
      <c r="QP2" s="319"/>
      <c r="QQ2" s="319"/>
      <c r="QR2" s="319"/>
      <c r="QS2" s="319"/>
      <c r="QT2" s="319"/>
      <c r="QU2" s="319"/>
      <c r="QV2" s="319"/>
      <c r="QW2" s="319" t="s">
        <v>329</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330</v>
      </c>
      <c r="RV2" s="319" t="s">
        <v>331</v>
      </c>
      <c r="RW2" s="319"/>
      <c r="RX2" s="319"/>
      <c r="RY2" s="319"/>
      <c r="RZ2" s="319"/>
      <c r="SA2" s="319"/>
      <c r="SB2" s="319"/>
      <c r="SC2" s="320" t="s">
        <v>152</v>
      </c>
      <c r="SD2" s="320" t="s">
        <v>104</v>
      </c>
      <c r="SE2" s="320" t="s">
        <v>153</v>
      </c>
      <c r="SF2" s="320" t="s">
        <v>330</v>
      </c>
      <c r="SG2" s="320" t="s">
        <v>331</v>
      </c>
      <c r="SH2" s="320" t="s">
        <v>332</v>
      </c>
      <c r="SI2" s="320" t="s">
        <v>155</v>
      </c>
      <c r="SJ2" s="319" t="s">
        <v>333</v>
      </c>
      <c r="SK2" s="319" t="s">
        <v>334</v>
      </c>
      <c r="SL2" s="319" t="s">
        <v>335</v>
      </c>
      <c r="SM2" s="319" t="s">
        <v>336</v>
      </c>
      <c r="SN2" s="319" t="s">
        <v>337</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326</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327</v>
      </c>
      <c r="UH2" s="319"/>
      <c r="UI2" s="319"/>
      <c r="UJ2" s="319"/>
      <c r="UK2" s="319"/>
      <c r="UL2" s="319"/>
      <c r="UM2" s="319"/>
      <c r="UN2" s="319"/>
      <c r="UO2" s="319"/>
      <c r="UP2" s="319"/>
      <c r="UQ2" s="319"/>
      <c r="UR2" s="319"/>
      <c r="US2" s="319"/>
      <c r="UT2" s="319"/>
      <c r="UU2" s="319"/>
      <c r="UV2" s="319"/>
      <c r="UW2" s="319"/>
      <c r="UX2" s="319"/>
      <c r="UY2" s="319"/>
      <c r="UZ2" s="319"/>
      <c r="VA2" s="319" t="s">
        <v>328</v>
      </c>
      <c r="VB2" s="319"/>
      <c r="VC2" s="319"/>
      <c r="VD2" s="319"/>
      <c r="VE2" s="319"/>
      <c r="VF2" s="319"/>
      <c r="VG2" s="319"/>
      <c r="VH2" s="319"/>
      <c r="VI2" s="319"/>
      <c r="VJ2" s="319"/>
      <c r="VK2" s="319"/>
      <c r="VL2" s="319"/>
      <c r="VM2" s="319"/>
      <c r="VN2" s="319"/>
      <c r="VO2" s="319"/>
      <c r="VP2" s="319"/>
      <c r="VQ2" s="319"/>
      <c r="VR2" s="319"/>
      <c r="VS2" s="319"/>
      <c r="VT2" s="319"/>
      <c r="VU2" s="319" t="s">
        <v>329</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330</v>
      </c>
      <c r="WT2" s="319" t="s">
        <v>331</v>
      </c>
      <c r="WU2" s="319"/>
      <c r="WV2" s="319"/>
      <c r="WW2" s="319"/>
      <c r="WX2" s="319"/>
      <c r="WY2" s="319"/>
      <c r="WZ2" s="319"/>
      <c r="XA2" s="320" t="s">
        <v>152</v>
      </c>
      <c r="XB2" s="320" t="s">
        <v>104</v>
      </c>
      <c r="XC2" s="320" t="s">
        <v>153</v>
      </c>
      <c r="XD2" s="320" t="s">
        <v>330</v>
      </c>
      <c r="XE2" s="320" t="s">
        <v>331</v>
      </c>
      <c r="XF2" s="320" t="s">
        <v>332</v>
      </c>
      <c r="XG2" s="320" t="s">
        <v>155</v>
      </c>
      <c r="XH2" s="319" t="s">
        <v>333</v>
      </c>
      <c r="XI2" s="319" t="s">
        <v>334</v>
      </c>
      <c r="XJ2" s="319" t="s">
        <v>335</v>
      </c>
      <c r="XK2" s="319" t="s">
        <v>336</v>
      </c>
      <c r="XL2" s="319" t="s">
        <v>337</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326</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327</v>
      </c>
      <c r="ZF2" s="319"/>
      <c r="ZG2" s="319"/>
      <c r="ZH2" s="319"/>
      <c r="ZI2" s="319"/>
      <c r="ZJ2" s="319"/>
      <c r="ZK2" s="319"/>
      <c r="ZL2" s="319"/>
      <c r="ZM2" s="319"/>
      <c r="ZN2" s="319"/>
      <c r="ZO2" s="319"/>
      <c r="ZP2" s="319"/>
      <c r="ZQ2" s="319"/>
      <c r="ZR2" s="319"/>
      <c r="ZS2" s="319"/>
      <c r="ZT2" s="319"/>
      <c r="ZU2" s="319"/>
      <c r="ZV2" s="319"/>
      <c r="ZW2" s="319"/>
      <c r="ZX2" s="319"/>
      <c r="ZY2" s="319" t="s">
        <v>328</v>
      </c>
      <c r="ZZ2" s="319"/>
      <c r="AAA2" s="319"/>
      <c r="AAB2" s="319"/>
      <c r="AAC2" s="319"/>
      <c r="AAD2" s="319"/>
      <c r="AAE2" s="319"/>
      <c r="AAF2" s="319"/>
      <c r="AAG2" s="319"/>
      <c r="AAH2" s="319"/>
      <c r="AAI2" s="319"/>
      <c r="AAJ2" s="319"/>
      <c r="AAK2" s="319"/>
      <c r="AAL2" s="319"/>
      <c r="AAM2" s="319"/>
      <c r="AAN2" s="319"/>
      <c r="AAO2" s="319"/>
      <c r="AAP2" s="319"/>
      <c r="AAQ2" s="319"/>
      <c r="AAR2" s="319"/>
      <c r="AAS2" s="319" t="s">
        <v>329</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330</v>
      </c>
      <c r="ABR2" s="319" t="s">
        <v>331</v>
      </c>
      <c r="ABS2" s="319"/>
      <c r="ABT2" s="319"/>
      <c r="ABU2" s="319"/>
      <c r="ABV2" s="319"/>
      <c r="ABW2" s="319"/>
      <c r="ABX2" s="319"/>
      <c r="ABY2" s="320" t="s">
        <v>152</v>
      </c>
      <c r="ABZ2" s="320" t="s">
        <v>104</v>
      </c>
      <c r="ACA2" s="320" t="s">
        <v>153</v>
      </c>
      <c r="ACB2" s="320" t="s">
        <v>330</v>
      </c>
      <c r="ACC2" s="320" t="s">
        <v>331</v>
      </c>
      <c r="ACD2" s="320" t="s">
        <v>332</v>
      </c>
      <c r="ACE2" s="320" t="s">
        <v>155</v>
      </c>
      <c r="ACF2" s="319" t="s">
        <v>333</v>
      </c>
      <c r="ACG2" s="319" t="s">
        <v>334</v>
      </c>
      <c r="ACH2" s="319" t="s">
        <v>335</v>
      </c>
      <c r="ACI2" s="319" t="s">
        <v>336</v>
      </c>
      <c r="ACJ2" s="319" t="s">
        <v>337</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326</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327</v>
      </c>
      <c r="AED2" s="319"/>
      <c r="AEE2" s="319"/>
      <c r="AEF2" s="319"/>
      <c r="AEG2" s="319"/>
      <c r="AEH2" s="319"/>
      <c r="AEI2" s="319"/>
      <c r="AEJ2" s="319"/>
      <c r="AEK2" s="319"/>
      <c r="AEL2" s="319"/>
      <c r="AEM2" s="319"/>
      <c r="AEN2" s="319"/>
      <c r="AEO2" s="319"/>
      <c r="AEP2" s="319"/>
      <c r="AEQ2" s="319"/>
      <c r="AER2" s="319"/>
      <c r="AES2" s="319"/>
      <c r="AET2" s="319"/>
      <c r="AEU2" s="319"/>
      <c r="AEV2" s="319"/>
      <c r="AEW2" s="319" t="s">
        <v>328</v>
      </c>
      <c r="AEX2" s="319"/>
      <c r="AEY2" s="319"/>
      <c r="AEZ2" s="319"/>
      <c r="AFA2" s="319"/>
      <c r="AFB2" s="319"/>
      <c r="AFC2" s="319"/>
      <c r="AFD2" s="319"/>
      <c r="AFE2" s="319"/>
      <c r="AFF2" s="319"/>
      <c r="AFG2" s="319"/>
      <c r="AFH2" s="319"/>
      <c r="AFI2" s="319"/>
      <c r="AFJ2" s="319"/>
      <c r="AFK2" s="319"/>
      <c r="AFL2" s="319"/>
      <c r="AFM2" s="319"/>
      <c r="AFN2" s="319"/>
      <c r="AFO2" s="319"/>
      <c r="AFP2" s="319"/>
      <c r="AFQ2" s="319" t="s">
        <v>329</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330</v>
      </c>
      <c r="AGP2" s="319" t="s">
        <v>331</v>
      </c>
      <c r="AGQ2" s="319"/>
      <c r="AGR2" s="319"/>
      <c r="AGS2" s="319"/>
      <c r="AGT2" s="319"/>
      <c r="AGU2" s="319"/>
      <c r="AGV2" s="319"/>
      <c r="AGW2" s="320" t="s">
        <v>152</v>
      </c>
      <c r="AGX2" s="320" t="s">
        <v>104</v>
      </c>
      <c r="AGY2" s="320" t="s">
        <v>153</v>
      </c>
      <c r="AGZ2" s="320" t="s">
        <v>330</v>
      </c>
      <c r="AHA2" s="320" t="s">
        <v>331</v>
      </c>
      <c r="AHB2" s="320" t="s">
        <v>332</v>
      </c>
      <c r="AHC2" s="320" t="s">
        <v>155</v>
      </c>
      <c r="AHD2" s="319" t="s">
        <v>333</v>
      </c>
      <c r="AHE2" s="319" t="s">
        <v>334</v>
      </c>
      <c r="AHF2" s="319" t="s">
        <v>335</v>
      </c>
      <c r="AHG2" s="319" t="s">
        <v>336</v>
      </c>
      <c r="AHH2" s="319" t="s">
        <v>337</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326</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327</v>
      </c>
      <c r="AJB2" s="319"/>
      <c r="AJC2" s="319"/>
      <c r="AJD2" s="319"/>
      <c r="AJE2" s="319"/>
      <c r="AJF2" s="319"/>
      <c r="AJG2" s="319"/>
      <c r="AJH2" s="319"/>
      <c r="AJI2" s="319"/>
      <c r="AJJ2" s="319"/>
      <c r="AJK2" s="319"/>
      <c r="AJL2" s="319"/>
      <c r="AJM2" s="319"/>
      <c r="AJN2" s="319"/>
      <c r="AJO2" s="319"/>
      <c r="AJP2" s="319"/>
      <c r="AJQ2" s="319"/>
      <c r="AJR2" s="319"/>
      <c r="AJS2" s="319"/>
      <c r="AJT2" s="319"/>
      <c r="AJU2" s="319" t="s">
        <v>328</v>
      </c>
      <c r="AJV2" s="319"/>
      <c r="AJW2" s="319"/>
      <c r="AJX2" s="319"/>
      <c r="AJY2" s="319"/>
      <c r="AJZ2" s="319"/>
      <c r="AKA2" s="319"/>
      <c r="AKB2" s="319"/>
      <c r="AKC2" s="319"/>
      <c r="AKD2" s="319"/>
      <c r="AKE2" s="319"/>
      <c r="AKF2" s="319"/>
      <c r="AKG2" s="319"/>
      <c r="AKH2" s="319"/>
      <c r="AKI2" s="319"/>
      <c r="AKJ2" s="319"/>
      <c r="AKK2" s="319"/>
      <c r="AKL2" s="319"/>
      <c r="AKM2" s="319"/>
      <c r="AKN2" s="319"/>
      <c r="AKO2" s="319" t="s">
        <v>329</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330</v>
      </c>
      <c r="ALN2" s="319" t="s">
        <v>331</v>
      </c>
      <c r="ALO2" s="319"/>
      <c r="ALP2" s="319"/>
      <c r="ALQ2" s="319"/>
      <c r="ALR2" s="319"/>
      <c r="ALS2" s="319"/>
      <c r="ALT2" s="319"/>
      <c r="ALU2" s="320" t="s">
        <v>152</v>
      </c>
      <c r="ALV2" s="320" t="s">
        <v>104</v>
      </c>
      <c r="ALW2" s="320" t="s">
        <v>153</v>
      </c>
      <c r="ALX2" s="320" t="s">
        <v>330</v>
      </c>
      <c r="ALY2" s="320" t="s">
        <v>331</v>
      </c>
      <c r="ALZ2" s="320" t="s">
        <v>332</v>
      </c>
      <c r="AMA2" s="320" t="s">
        <v>155</v>
      </c>
      <c r="AMB2" s="319" t="s">
        <v>333</v>
      </c>
      <c r="AMC2" s="319" t="s">
        <v>334</v>
      </c>
      <c r="AMD2" s="319" t="s">
        <v>335</v>
      </c>
      <c r="AME2" s="319" t="s">
        <v>336</v>
      </c>
      <c r="AMF2" s="319" t="s">
        <v>337</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326</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327</v>
      </c>
      <c r="ANZ2" s="319"/>
      <c r="AOA2" s="319"/>
      <c r="AOB2" s="319"/>
      <c r="AOC2" s="319"/>
      <c r="AOD2" s="319"/>
      <c r="AOE2" s="319"/>
      <c r="AOF2" s="319"/>
      <c r="AOG2" s="319"/>
      <c r="AOH2" s="319"/>
      <c r="AOI2" s="319"/>
      <c r="AOJ2" s="319"/>
      <c r="AOK2" s="319"/>
      <c r="AOL2" s="319"/>
      <c r="AOM2" s="319"/>
      <c r="AON2" s="319"/>
      <c r="AOO2" s="319"/>
      <c r="AOP2" s="319"/>
      <c r="AOQ2" s="319"/>
      <c r="AOR2" s="319"/>
      <c r="AOS2" s="319" t="s">
        <v>328</v>
      </c>
      <c r="AOT2" s="319"/>
      <c r="AOU2" s="319"/>
      <c r="AOV2" s="319"/>
      <c r="AOW2" s="319"/>
      <c r="AOX2" s="319"/>
      <c r="AOY2" s="319"/>
      <c r="AOZ2" s="319"/>
      <c r="APA2" s="319"/>
      <c r="APB2" s="319"/>
      <c r="APC2" s="319"/>
      <c r="APD2" s="319"/>
      <c r="APE2" s="319"/>
      <c r="APF2" s="319"/>
      <c r="APG2" s="319"/>
      <c r="APH2" s="319"/>
      <c r="API2" s="319"/>
      <c r="APJ2" s="319"/>
      <c r="APK2" s="319"/>
      <c r="APL2" s="319"/>
      <c r="APM2" s="319" t="s">
        <v>329</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330</v>
      </c>
      <c r="AQL2" s="319" t="s">
        <v>331</v>
      </c>
      <c r="AQM2" s="319"/>
      <c r="AQN2" s="319"/>
      <c r="AQO2" s="319"/>
      <c r="AQP2" s="319"/>
      <c r="AQQ2" s="319"/>
      <c r="AQR2" s="319"/>
      <c r="AQS2" s="320" t="s">
        <v>152</v>
      </c>
      <c r="AQT2" s="320" t="s">
        <v>104</v>
      </c>
      <c r="AQU2" s="320" t="s">
        <v>153</v>
      </c>
      <c r="AQV2" s="320" t="s">
        <v>330</v>
      </c>
      <c r="AQW2" s="320" t="s">
        <v>331</v>
      </c>
      <c r="AQX2" s="320" t="s">
        <v>332</v>
      </c>
      <c r="AQY2" s="320" t="s">
        <v>155</v>
      </c>
      <c r="AQZ2" s="319" t="s">
        <v>333</v>
      </c>
      <c r="ARA2" s="319" t="s">
        <v>334</v>
      </c>
      <c r="ARB2" s="319" t="s">
        <v>335</v>
      </c>
      <c r="ARC2" s="319" t="s">
        <v>336</v>
      </c>
      <c r="ARD2" s="319" t="s">
        <v>337</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326</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327</v>
      </c>
      <c r="ASX2" s="319"/>
      <c r="ASY2" s="319"/>
      <c r="ASZ2" s="319"/>
      <c r="ATA2" s="319"/>
      <c r="ATB2" s="319"/>
      <c r="ATC2" s="319"/>
      <c r="ATD2" s="319"/>
      <c r="ATE2" s="319"/>
      <c r="ATF2" s="319"/>
      <c r="ATG2" s="319"/>
      <c r="ATH2" s="319"/>
      <c r="ATI2" s="319"/>
      <c r="ATJ2" s="319"/>
      <c r="ATK2" s="319"/>
      <c r="ATL2" s="319"/>
      <c r="ATM2" s="319"/>
      <c r="ATN2" s="319"/>
      <c r="ATO2" s="319"/>
      <c r="ATP2" s="319"/>
      <c r="ATQ2" s="319" t="s">
        <v>328</v>
      </c>
      <c r="ATR2" s="319"/>
      <c r="ATS2" s="319"/>
      <c r="ATT2" s="319"/>
      <c r="ATU2" s="319"/>
      <c r="ATV2" s="319"/>
      <c r="ATW2" s="319"/>
      <c r="ATX2" s="319"/>
      <c r="ATY2" s="319"/>
      <c r="ATZ2" s="319"/>
      <c r="AUA2" s="319"/>
      <c r="AUB2" s="319"/>
      <c r="AUC2" s="319"/>
      <c r="AUD2" s="319"/>
      <c r="AUE2" s="319"/>
      <c r="AUF2" s="319"/>
      <c r="AUG2" s="319"/>
      <c r="AUH2" s="319"/>
      <c r="AUI2" s="319"/>
      <c r="AUJ2" s="319"/>
      <c r="AUK2" s="319" t="s">
        <v>329</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330</v>
      </c>
      <c r="AVJ2" s="319" t="s">
        <v>331</v>
      </c>
      <c r="AVK2" s="319"/>
      <c r="AVL2" s="319"/>
      <c r="AVM2" s="319"/>
      <c r="AVN2" s="319"/>
      <c r="AVO2" s="319"/>
      <c r="AVP2" s="319"/>
      <c r="AVQ2" s="320" t="s">
        <v>152</v>
      </c>
      <c r="AVR2" s="320" t="s">
        <v>104</v>
      </c>
      <c r="AVS2" s="320" t="s">
        <v>153</v>
      </c>
      <c r="AVT2" s="320" t="s">
        <v>330</v>
      </c>
      <c r="AVU2" s="320" t="s">
        <v>331</v>
      </c>
      <c r="AVV2" s="320" t="s">
        <v>332</v>
      </c>
      <c r="AVW2" s="320" t="s">
        <v>155</v>
      </c>
      <c r="AVX2" s="319" t="s">
        <v>333</v>
      </c>
      <c r="AVY2" s="319" t="s">
        <v>334</v>
      </c>
      <c r="AVZ2" s="319" t="s">
        <v>335</v>
      </c>
      <c r="AWA2" s="319" t="s">
        <v>336</v>
      </c>
      <c r="AWB2" s="319" t="s">
        <v>337</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326</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327</v>
      </c>
      <c r="AXV2" s="319"/>
      <c r="AXW2" s="319"/>
      <c r="AXX2" s="319"/>
      <c r="AXY2" s="319"/>
      <c r="AXZ2" s="319"/>
      <c r="AYA2" s="319"/>
      <c r="AYB2" s="319"/>
      <c r="AYC2" s="319"/>
      <c r="AYD2" s="319"/>
      <c r="AYE2" s="319"/>
      <c r="AYF2" s="319"/>
      <c r="AYG2" s="319"/>
      <c r="AYH2" s="319"/>
      <c r="AYI2" s="319"/>
      <c r="AYJ2" s="319"/>
      <c r="AYK2" s="319"/>
      <c r="AYL2" s="319"/>
      <c r="AYM2" s="319"/>
      <c r="AYN2" s="319"/>
      <c r="AYO2" s="319" t="s">
        <v>328</v>
      </c>
      <c r="AYP2" s="319"/>
      <c r="AYQ2" s="319"/>
      <c r="AYR2" s="319"/>
      <c r="AYS2" s="319"/>
      <c r="AYT2" s="319"/>
      <c r="AYU2" s="319"/>
      <c r="AYV2" s="319"/>
      <c r="AYW2" s="319"/>
      <c r="AYX2" s="319"/>
      <c r="AYY2" s="319"/>
      <c r="AYZ2" s="319"/>
      <c r="AZA2" s="319"/>
      <c r="AZB2" s="319"/>
      <c r="AZC2" s="319"/>
      <c r="AZD2" s="319"/>
      <c r="AZE2" s="319"/>
      <c r="AZF2" s="319"/>
      <c r="AZG2" s="319"/>
      <c r="AZH2" s="319"/>
      <c r="AZI2" s="319" t="s">
        <v>329</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330</v>
      </c>
      <c r="BAH2" s="319" t="s">
        <v>331</v>
      </c>
      <c r="BAI2" s="319"/>
      <c r="BAJ2" s="319"/>
      <c r="BAK2" s="319"/>
      <c r="BAL2" s="319"/>
      <c r="BAM2" s="319"/>
      <c r="BAN2" s="319"/>
      <c r="BAO2" s="320" t="s">
        <v>152</v>
      </c>
      <c r="BAP2" s="320" t="s">
        <v>104</v>
      </c>
      <c r="BAQ2" s="320" t="s">
        <v>153</v>
      </c>
      <c r="BAR2" s="320" t="s">
        <v>330</v>
      </c>
      <c r="BAS2" s="320" t="s">
        <v>331</v>
      </c>
      <c r="BAT2" s="320" t="s">
        <v>332</v>
      </c>
      <c r="BAU2" s="320" t="s">
        <v>155</v>
      </c>
      <c r="BAV2" s="319" t="s">
        <v>333</v>
      </c>
      <c r="BAW2" s="319" t="s">
        <v>334</v>
      </c>
      <c r="BAX2" s="319" t="s">
        <v>335</v>
      </c>
      <c r="BAY2" s="319" t="s">
        <v>336</v>
      </c>
      <c r="BAZ2" s="319" t="s">
        <v>337</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326</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327</v>
      </c>
      <c r="BCT2" s="319"/>
      <c r="BCU2" s="319"/>
      <c r="BCV2" s="319"/>
      <c r="BCW2" s="319"/>
      <c r="BCX2" s="319"/>
      <c r="BCY2" s="319"/>
      <c r="BCZ2" s="319"/>
      <c r="BDA2" s="319"/>
      <c r="BDB2" s="319"/>
      <c r="BDC2" s="319"/>
      <c r="BDD2" s="319"/>
      <c r="BDE2" s="319"/>
      <c r="BDF2" s="319"/>
      <c r="BDG2" s="319"/>
      <c r="BDH2" s="319"/>
      <c r="BDI2" s="319"/>
      <c r="BDJ2" s="319"/>
      <c r="BDK2" s="319"/>
      <c r="BDL2" s="319"/>
      <c r="BDM2" s="319" t="s">
        <v>328</v>
      </c>
      <c r="BDN2" s="319"/>
      <c r="BDO2" s="319"/>
      <c r="BDP2" s="319"/>
      <c r="BDQ2" s="319"/>
      <c r="BDR2" s="319"/>
      <c r="BDS2" s="319"/>
      <c r="BDT2" s="319"/>
      <c r="BDU2" s="319"/>
      <c r="BDV2" s="319"/>
      <c r="BDW2" s="319"/>
      <c r="BDX2" s="319"/>
      <c r="BDY2" s="319"/>
      <c r="BDZ2" s="319"/>
      <c r="BEA2" s="319"/>
      <c r="BEB2" s="319"/>
      <c r="BEC2" s="319"/>
      <c r="BED2" s="319"/>
      <c r="BEE2" s="319"/>
      <c r="BEF2" s="319"/>
      <c r="BEG2" s="319" t="s">
        <v>329</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330</v>
      </c>
      <c r="BFF2" s="319" t="s">
        <v>331</v>
      </c>
      <c r="BFG2" s="319"/>
      <c r="BFH2" s="319"/>
      <c r="BFI2" s="319"/>
      <c r="BFJ2" s="319"/>
      <c r="BFK2" s="319"/>
      <c r="BFL2" s="319"/>
      <c r="BFM2" s="320" t="s">
        <v>152</v>
      </c>
      <c r="BFN2" s="320" t="s">
        <v>104</v>
      </c>
      <c r="BFO2" s="320" t="s">
        <v>153</v>
      </c>
      <c r="BFP2" s="320" t="s">
        <v>330</v>
      </c>
      <c r="BFQ2" s="320" t="s">
        <v>331</v>
      </c>
      <c r="BFR2" s="320" t="s">
        <v>332</v>
      </c>
      <c r="BFS2" s="320" t="s">
        <v>155</v>
      </c>
      <c r="BFT2" s="319" t="s">
        <v>333</v>
      </c>
      <c r="BFU2" s="319" t="s">
        <v>334</v>
      </c>
      <c r="BFV2" s="319" t="s">
        <v>335</v>
      </c>
      <c r="BFW2" s="319" t="s">
        <v>336</v>
      </c>
      <c r="BFX2" s="319" t="s">
        <v>337</v>
      </c>
      <c r="BFY2" s="319"/>
      <c r="BFZ2" s="319"/>
      <c r="BGA2" s="319"/>
      <c r="BGB2" s="319"/>
    </row>
    <row r="3" spans="1:1536" ht="13.8" x14ac:dyDescent="0.3">
      <c r="A3" s="319"/>
      <c r="B3" s="319"/>
      <c r="C3" s="319" t="s">
        <v>152</v>
      </c>
      <c r="D3" s="319" t="s">
        <v>104</v>
      </c>
      <c r="E3" s="319" t="s">
        <v>153</v>
      </c>
      <c r="F3" s="319" t="s">
        <v>330</v>
      </c>
      <c r="G3" s="319" t="s">
        <v>331</v>
      </c>
      <c r="H3" s="319" t="s">
        <v>338</v>
      </c>
      <c r="I3" s="319" t="s">
        <v>260</v>
      </c>
      <c r="J3" s="319" t="s">
        <v>339</v>
      </c>
      <c r="K3" s="319" t="s">
        <v>340</v>
      </c>
      <c r="L3" s="319"/>
      <c r="M3" s="319" t="s">
        <v>341</v>
      </c>
      <c r="N3" s="319"/>
      <c r="O3" s="319"/>
      <c r="P3" s="319" t="s">
        <v>342</v>
      </c>
      <c r="Q3" s="319" t="s">
        <v>343</v>
      </c>
      <c r="R3" s="319" t="s">
        <v>344</v>
      </c>
      <c r="S3" s="319" t="s">
        <v>345</v>
      </c>
      <c r="T3" s="319"/>
      <c r="U3" s="319" t="s">
        <v>346</v>
      </c>
      <c r="V3" s="319" t="s">
        <v>152</v>
      </c>
      <c r="W3" s="319" t="s">
        <v>104</v>
      </c>
      <c r="X3" s="319" t="s">
        <v>153</v>
      </c>
      <c r="Y3" s="319" t="s">
        <v>330</v>
      </c>
      <c r="Z3" s="319" t="s">
        <v>331</v>
      </c>
      <c r="AA3" s="319" t="s">
        <v>338</v>
      </c>
      <c r="AB3" s="319" t="s">
        <v>151</v>
      </c>
      <c r="AC3" s="319" t="s">
        <v>347</v>
      </c>
      <c r="AD3" s="319" t="s">
        <v>348</v>
      </c>
      <c r="AE3" s="319" t="s">
        <v>333</v>
      </c>
      <c r="AF3" s="319" t="s">
        <v>155</v>
      </c>
      <c r="AG3" s="319" t="s">
        <v>349</v>
      </c>
      <c r="AH3" s="319" t="s">
        <v>332</v>
      </c>
      <c r="AI3" s="319" t="s">
        <v>330</v>
      </c>
      <c r="AJ3" s="319" t="s">
        <v>350</v>
      </c>
      <c r="AK3" s="319" t="s">
        <v>348</v>
      </c>
      <c r="AL3" s="319" t="s">
        <v>333</v>
      </c>
      <c r="AM3" s="319" t="s">
        <v>351</v>
      </c>
      <c r="AN3" s="319"/>
      <c r="AO3" s="319" t="s">
        <v>346</v>
      </c>
      <c r="AP3" s="319" t="s">
        <v>152</v>
      </c>
      <c r="AQ3" s="319" t="s">
        <v>104</v>
      </c>
      <c r="AR3" s="319" t="s">
        <v>153</v>
      </c>
      <c r="AS3" s="319" t="s">
        <v>330</v>
      </c>
      <c r="AT3" s="319" t="s">
        <v>331</v>
      </c>
      <c r="AU3" s="319" t="s">
        <v>338</v>
      </c>
      <c r="AV3" s="319" t="s">
        <v>151</v>
      </c>
      <c r="AW3" s="319" t="s">
        <v>347</v>
      </c>
      <c r="AX3" s="319" t="s">
        <v>348</v>
      </c>
      <c r="AY3" s="319" t="s">
        <v>333</v>
      </c>
      <c r="AZ3" s="319" t="s">
        <v>155</v>
      </c>
      <c r="BA3" s="319" t="s">
        <v>349</v>
      </c>
      <c r="BB3" s="319" t="s">
        <v>332</v>
      </c>
      <c r="BC3" s="319" t="s">
        <v>330</v>
      </c>
      <c r="BD3" s="319" t="s">
        <v>350</v>
      </c>
      <c r="BE3" s="319" t="s">
        <v>348</v>
      </c>
      <c r="BF3" s="319" t="s">
        <v>333</v>
      </c>
      <c r="BG3" s="319" t="s">
        <v>351</v>
      </c>
      <c r="BH3" s="319"/>
      <c r="BI3" s="319" t="s">
        <v>346</v>
      </c>
      <c r="BJ3" s="319" t="s">
        <v>152</v>
      </c>
      <c r="BK3" s="319" t="s">
        <v>104</v>
      </c>
      <c r="BL3" s="319" t="s">
        <v>153</v>
      </c>
      <c r="BM3" s="319" t="s">
        <v>330</v>
      </c>
      <c r="BN3" s="319" t="s">
        <v>331</v>
      </c>
      <c r="BO3" s="319" t="s">
        <v>338</v>
      </c>
      <c r="BP3" s="319" t="s">
        <v>151</v>
      </c>
      <c r="BQ3" s="319" t="s">
        <v>347</v>
      </c>
      <c r="BR3" s="319" t="s">
        <v>348</v>
      </c>
      <c r="BS3" s="319" t="s">
        <v>333</v>
      </c>
      <c r="BT3" s="319" t="s">
        <v>155</v>
      </c>
      <c r="BU3" s="319" t="s">
        <v>349</v>
      </c>
      <c r="BV3" s="319" t="s">
        <v>332</v>
      </c>
      <c r="BW3" s="319" t="s">
        <v>330</v>
      </c>
      <c r="BX3" s="319" t="s">
        <v>347</v>
      </c>
      <c r="BY3" s="319" t="s">
        <v>348</v>
      </c>
      <c r="BZ3" s="319" t="s">
        <v>333</v>
      </c>
      <c r="CA3" s="319" t="s">
        <v>351</v>
      </c>
      <c r="CB3" s="319"/>
      <c r="CC3" s="319" t="s">
        <v>346</v>
      </c>
      <c r="CD3" s="319" t="s">
        <v>152</v>
      </c>
      <c r="CE3" s="319" t="s">
        <v>104</v>
      </c>
      <c r="CF3" s="319" t="s">
        <v>153</v>
      </c>
      <c r="CG3" s="319" t="s">
        <v>330</v>
      </c>
      <c r="CH3" s="319" t="s">
        <v>331</v>
      </c>
      <c r="CI3" s="319" t="s">
        <v>338</v>
      </c>
      <c r="CJ3" s="319" t="s">
        <v>151</v>
      </c>
      <c r="CK3" s="319" t="s">
        <v>347</v>
      </c>
      <c r="CL3" s="319" t="s">
        <v>348</v>
      </c>
      <c r="CM3" s="319" t="s">
        <v>333</v>
      </c>
      <c r="CN3" s="319" t="s">
        <v>155</v>
      </c>
      <c r="CO3" s="319" t="s">
        <v>349</v>
      </c>
      <c r="CP3" s="319" t="s">
        <v>332</v>
      </c>
      <c r="CQ3" s="319" t="s">
        <v>330</v>
      </c>
      <c r="CR3" s="319" t="s">
        <v>347</v>
      </c>
      <c r="CS3" s="319" t="s">
        <v>348</v>
      </c>
      <c r="CT3" s="319" t="s">
        <v>333</v>
      </c>
      <c r="CU3" s="319" t="s">
        <v>351</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Hungary</v>
      </c>
      <c r="DI3" s="320">
        <f>Matches!U9</f>
        <v>0</v>
      </c>
      <c r="DJ3" s="320">
        <f>Matches!V9</f>
        <v>0</v>
      </c>
      <c r="DK3" s="320">
        <f>Matches!W9</f>
        <v>1</v>
      </c>
      <c r="DL3" s="320">
        <f>Matches!X9</f>
        <v>1</v>
      </c>
      <c r="DM3" s="320">
        <f>Matches!Z9</f>
        <v>3</v>
      </c>
      <c r="DN3" s="320">
        <f>Matches!AA9</f>
        <v>-2</v>
      </c>
      <c r="DO3" s="320">
        <f>Matches!AB9</f>
        <v>0</v>
      </c>
      <c r="DP3" s="319">
        <f>VLOOKUP(DH3,B4:J40,9,FALSE)</f>
        <v>48</v>
      </c>
      <c r="DQ3" s="319">
        <f>RANK(DO3,DO3:DO8)</f>
        <v>2</v>
      </c>
      <c r="DR3" s="319">
        <f>SUMPRODUCT((DQ3:DQ8=DQ3)*(DN3:DN8&gt;DN3))</f>
        <v>4</v>
      </c>
      <c r="DS3" s="319">
        <f>SUMPRODUCT((DQ3:DQ8=DQ3)*(DN3:DN8=DN3)*(DL3:DL8&gt;DL3))</f>
        <v>0</v>
      </c>
      <c r="DT3" s="319">
        <f>SUMPRODUCT((DQ3:DQ8=DQ3)*(DN3:DN8=DN3)*(DL3:DL8=DL3)*(DP3:DP8&gt;DP3))</f>
        <v>0</v>
      </c>
      <c r="DU3" s="319">
        <f>IF('Player Scoreboard'!B20="© 2024 | journalSHEET.com",SUM(DQ3:DT3),1)</f>
        <v>6</v>
      </c>
      <c r="DV3" s="319" t="s">
        <v>101</v>
      </c>
      <c r="DW3" s="319">
        <v>1</v>
      </c>
      <c r="DX3" s="319"/>
      <c r="DY3" s="319"/>
      <c r="DZ3" s="319"/>
      <c r="EA3" s="319" t="s">
        <v>152</v>
      </c>
      <c r="EB3" s="319" t="s">
        <v>104</v>
      </c>
      <c r="EC3" s="319" t="s">
        <v>153</v>
      </c>
      <c r="ED3" s="319" t="s">
        <v>330</v>
      </c>
      <c r="EE3" s="319" t="s">
        <v>331</v>
      </c>
      <c r="EF3" s="319" t="s">
        <v>338</v>
      </c>
      <c r="EG3" s="319" t="s">
        <v>260</v>
      </c>
      <c r="EH3" s="319" t="s">
        <v>339</v>
      </c>
      <c r="EI3" s="319" t="s">
        <v>340</v>
      </c>
      <c r="EJ3" s="319"/>
      <c r="EK3" s="319" t="s">
        <v>341</v>
      </c>
      <c r="EL3" s="319"/>
      <c r="EM3" s="319"/>
      <c r="EN3" s="319" t="s">
        <v>342</v>
      </c>
      <c r="EO3" s="319" t="s">
        <v>343</v>
      </c>
      <c r="EP3" s="319" t="s">
        <v>344</v>
      </c>
      <c r="EQ3" s="319" t="s">
        <v>345</v>
      </c>
      <c r="ER3" s="319"/>
      <c r="ES3" s="319" t="s">
        <v>346</v>
      </c>
      <c r="ET3" s="319" t="s">
        <v>152</v>
      </c>
      <c r="EU3" s="319" t="s">
        <v>104</v>
      </c>
      <c r="EV3" s="319" t="s">
        <v>153</v>
      </c>
      <c r="EW3" s="319" t="s">
        <v>330</v>
      </c>
      <c r="EX3" s="319" t="s">
        <v>331</v>
      </c>
      <c r="EY3" s="319" t="s">
        <v>338</v>
      </c>
      <c r="EZ3" s="319" t="s">
        <v>151</v>
      </c>
      <c r="FA3" s="319" t="s">
        <v>347</v>
      </c>
      <c r="FB3" s="319" t="s">
        <v>348</v>
      </c>
      <c r="FC3" s="319" t="s">
        <v>333</v>
      </c>
      <c r="FD3" s="319" t="s">
        <v>155</v>
      </c>
      <c r="FE3" s="319" t="s">
        <v>349</v>
      </c>
      <c r="FF3" s="319" t="s">
        <v>332</v>
      </c>
      <c r="FG3" s="319" t="s">
        <v>330</v>
      </c>
      <c r="FH3" s="319" t="s">
        <v>350</v>
      </c>
      <c r="FI3" s="319" t="s">
        <v>348</v>
      </c>
      <c r="FJ3" s="319" t="s">
        <v>333</v>
      </c>
      <c r="FK3" s="319" t="s">
        <v>351</v>
      </c>
      <c r="FL3" s="319"/>
      <c r="FM3" s="319" t="s">
        <v>346</v>
      </c>
      <c r="FN3" s="319" t="s">
        <v>152</v>
      </c>
      <c r="FO3" s="319" t="s">
        <v>104</v>
      </c>
      <c r="FP3" s="319" t="s">
        <v>153</v>
      </c>
      <c r="FQ3" s="319" t="s">
        <v>330</v>
      </c>
      <c r="FR3" s="319" t="s">
        <v>331</v>
      </c>
      <c r="FS3" s="319" t="s">
        <v>338</v>
      </c>
      <c r="FT3" s="319" t="s">
        <v>151</v>
      </c>
      <c r="FU3" s="319" t="s">
        <v>347</v>
      </c>
      <c r="FV3" s="319" t="s">
        <v>348</v>
      </c>
      <c r="FW3" s="319" t="s">
        <v>333</v>
      </c>
      <c r="FX3" s="319" t="s">
        <v>155</v>
      </c>
      <c r="FY3" s="319" t="s">
        <v>349</v>
      </c>
      <c r="FZ3" s="319" t="s">
        <v>332</v>
      </c>
      <c r="GA3" s="319" t="s">
        <v>330</v>
      </c>
      <c r="GB3" s="319" t="s">
        <v>350</v>
      </c>
      <c r="GC3" s="319" t="s">
        <v>348</v>
      </c>
      <c r="GD3" s="319" t="s">
        <v>333</v>
      </c>
      <c r="GE3" s="319" t="s">
        <v>351</v>
      </c>
      <c r="GF3" s="319"/>
      <c r="GG3" s="319" t="s">
        <v>346</v>
      </c>
      <c r="GH3" s="319" t="s">
        <v>152</v>
      </c>
      <c r="GI3" s="319" t="s">
        <v>104</v>
      </c>
      <c r="GJ3" s="319" t="s">
        <v>153</v>
      </c>
      <c r="GK3" s="319" t="s">
        <v>330</v>
      </c>
      <c r="GL3" s="319" t="s">
        <v>331</v>
      </c>
      <c r="GM3" s="319" t="s">
        <v>338</v>
      </c>
      <c r="GN3" s="319" t="s">
        <v>151</v>
      </c>
      <c r="GO3" s="319" t="s">
        <v>347</v>
      </c>
      <c r="GP3" s="319" t="s">
        <v>348</v>
      </c>
      <c r="GQ3" s="319" t="s">
        <v>333</v>
      </c>
      <c r="GR3" s="319" t="s">
        <v>155</v>
      </c>
      <c r="GS3" s="319" t="s">
        <v>349</v>
      </c>
      <c r="GT3" s="319" t="s">
        <v>332</v>
      </c>
      <c r="GU3" s="319" t="s">
        <v>330</v>
      </c>
      <c r="GV3" s="319" t="s">
        <v>347</v>
      </c>
      <c r="GW3" s="319" t="s">
        <v>348</v>
      </c>
      <c r="GX3" s="319" t="s">
        <v>333</v>
      </c>
      <c r="GY3" s="319" t="s">
        <v>351</v>
      </c>
      <c r="GZ3" s="319"/>
      <c r="HA3" s="319" t="s">
        <v>346</v>
      </c>
      <c r="HB3" s="319" t="s">
        <v>152</v>
      </c>
      <c r="HC3" s="319" t="s">
        <v>104</v>
      </c>
      <c r="HD3" s="319" t="s">
        <v>153</v>
      </c>
      <c r="HE3" s="319" t="s">
        <v>330</v>
      </c>
      <c r="HF3" s="319" t="s">
        <v>331</v>
      </c>
      <c r="HG3" s="319" t="s">
        <v>338</v>
      </c>
      <c r="HH3" s="319" t="s">
        <v>151</v>
      </c>
      <c r="HI3" s="319" t="s">
        <v>347</v>
      </c>
      <c r="HJ3" s="319" t="s">
        <v>348</v>
      </c>
      <c r="HK3" s="319" t="s">
        <v>333</v>
      </c>
      <c r="HL3" s="319" t="s">
        <v>155</v>
      </c>
      <c r="HM3" s="319" t="s">
        <v>349</v>
      </c>
      <c r="HN3" s="319" t="s">
        <v>332</v>
      </c>
      <c r="HO3" s="319" t="s">
        <v>330</v>
      </c>
      <c r="HP3" s="319" t="s">
        <v>347</v>
      </c>
      <c r="HQ3" s="319" t="s">
        <v>348</v>
      </c>
      <c r="HR3" s="319" t="s">
        <v>333</v>
      </c>
      <c r="HS3" s="319" t="s">
        <v>351</v>
      </c>
      <c r="HT3" s="319"/>
      <c r="HU3" s="319"/>
      <c r="HV3" s="319"/>
      <c r="HW3" s="319">
        <v>1</v>
      </c>
      <c r="HX3" s="319" t="str">
        <f>CZ3</f>
        <v>Germany</v>
      </c>
      <c r="HY3" s="322">
        <f ca="1">IF(OFFSET('Player Game Board'!P10,0,HY1)&lt;&gt;"",OFFSET('Player Game Board'!P10,0,HY1),0)</f>
        <v>3</v>
      </c>
      <c r="HZ3" s="322">
        <f ca="1">IF(OFFSET('Player Game Board'!Q10,0,HY1)&lt;&gt;"",OFFSET('Player Game Board'!Q10,0,HY1),0)</f>
        <v>1</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Scotland</v>
      </c>
      <c r="IG3" s="320">
        <f ca="1">VLOOKUP(IF3,DZ4:EE40,2,FALSE)</f>
        <v>1</v>
      </c>
      <c r="IH3" s="320">
        <f ca="1">VLOOKUP(IF3,DZ4:EE40,3,FALSE)</f>
        <v>1</v>
      </c>
      <c r="II3" s="320">
        <f ca="1">VLOOKUP(IF3,DZ4:EE40,4,FALSE)</f>
        <v>1</v>
      </c>
      <c r="IJ3" s="320">
        <f ca="1">VLOOKUP(IF3,DZ4:EE40,5,FALSE)</f>
        <v>6</v>
      </c>
      <c r="IK3" s="320">
        <f ca="1">VLOOKUP(IF3,DZ4:EE40,6,FALSE)</f>
        <v>6</v>
      </c>
      <c r="IL3" s="320">
        <f ca="1">IJ3-IK3+1000</f>
        <v>1000</v>
      </c>
      <c r="IM3" s="320">
        <f ca="1">IG3*3+IH3*1</f>
        <v>4</v>
      </c>
      <c r="IN3" s="319">
        <f ca="1">VLOOKUP(IF3,B4:J40,9,FALSE)</f>
        <v>43</v>
      </c>
      <c r="IO3" s="319">
        <f ca="1">RANK(IM3,IM3:IM8)</f>
        <v>1</v>
      </c>
      <c r="IP3" s="319">
        <f ca="1">SUMPRODUCT((IO3:IO8=IO3)*(IL3:IL8&gt;IL3))</f>
        <v>0</v>
      </c>
      <c r="IQ3" s="319">
        <f ca="1">SUMPRODUCT((IO3:IO8=IO3)*(IL3:IL8=IL3)*(IJ3:IJ8&gt;IJ3))</f>
        <v>0</v>
      </c>
      <c r="IR3" s="319">
        <f ca="1">SUMPRODUCT((IO3:IO8=IO3)*(IL3:IL8=IL3)*(IJ3:IJ8=IJ3)*(IN3:IN8&gt;IN3))</f>
        <v>0</v>
      </c>
      <c r="IS3" s="319">
        <f ca="1">SUM(IO3:IR3)</f>
        <v>1</v>
      </c>
      <c r="IT3" s="319" t="s">
        <v>101</v>
      </c>
      <c r="IU3" s="319">
        <v>1</v>
      </c>
      <c r="IV3" s="319"/>
      <c r="IW3" s="319"/>
      <c r="IX3" s="319"/>
      <c r="IY3" s="319" t="s">
        <v>152</v>
      </c>
      <c r="IZ3" s="319" t="s">
        <v>104</v>
      </c>
      <c r="JA3" s="319" t="s">
        <v>153</v>
      </c>
      <c r="JB3" s="319" t="s">
        <v>330</v>
      </c>
      <c r="JC3" s="319" t="s">
        <v>331</v>
      </c>
      <c r="JD3" s="319" t="s">
        <v>338</v>
      </c>
      <c r="JE3" s="319" t="s">
        <v>260</v>
      </c>
      <c r="JF3" s="319" t="s">
        <v>339</v>
      </c>
      <c r="JG3" s="319" t="s">
        <v>340</v>
      </c>
      <c r="JH3" s="319"/>
      <c r="JI3" s="319" t="s">
        <v>341</v>
      </c>
      <c r="JJ3" s="319"/>
      <c r="JK3" s="319"/>
      <c r="JL3" s="319" t="s">
        <v>342</v>
      </c>
      <c r="JM3" s="319" t="s">
        <v>343</v>
      </c>
      <c r="JN3" s="319" t="s">
        <v>344</v>
      </c>
      <c r="JO3" s="319" t="s">
        <v>345</v>
      </c>
      <c r="JP3" s="319"/>
      <c r="JQ3" s="319" t="s">
        <v>346</v>
      </c>
      <c r="JR3" s="319" t="s">
        <v>152</v>
      </c>
      <c r="JS3" s="319" t="s">
        <v>104</v>
      </c>
      <c r="JT3" s="319" t="s">
        <v>153</v>
      </c>
      <c r="JU3" s="319" t="s">
        <v>330</v>
      </c>
      <c r="JV3" s="319" t="s">
        <v>331</v>
      </c>
      <c r="JW3" s="319" t="s">
        <v>338</v>
      </c>
      <c r="JX3" s="319" t="s">
        <v>151</v>
      </c>
      <c r="JY3" s="319" t="s">
        <v>347</v>
      </c>
      <c r="JZ3" s="319" t="s">
        <v>348</v>
      </c>
      <c r="KA3" s="319" t="s">
        <v>333</v>
      </c>
      <c r="KB3" s="319" t="s">
        <v>155</v>
      </c>
      <c r="KC3" s="319" t="s">
        <v>349</v>
      </c>
      <c r="KD3" s="319" t="s">
        <v>332</v>
      </c>
      <c r="KE3" s="319" t="s">
        <v>330</v>
      </c>
      <c r="KF3" s="319" t="s">
        <v>350</v>
      </c>
      <c r="KG3" s="319" t="s">
        <v>348</v>
      </c>
      <c r="KH3" s="319" t="s">
        <v>333</v>
      </c>
      <c r="KI3" s="319" t="s">
        <v>351</v>
      </c>
      <c r="KJ3" s="319"/>
      <c r="KK3" s="319" t="s">
        <v>346</v>
      </c>
      <c r="KL3" s="319" t="s">
        <v>152</v>
      </c>
      <c r="KM3" s="319" t="s">
        <v>104</v>
      </c>
      <c r="KN3" s="319" t="s">
        <v>153</v>
      </c>
      <c r="KO3" s="319" t="s">
        <v>330</v>
      </c>
      <c r="KP3" s="319" t="s">
        <v>331</v>
      </c>
      <c r="KQ3" s="319" t="s">
        <v>338</v>
      </c>
      <c r="KR3" s="319" t="s">
        <v>151</v>
      </c>
      <c r="KS3" s="319" t="s">
        <v>347</v>
      </c>
      <c r="KT3" s="319" t="s">
        <v>348</v>
      </c>
      <c r="KU3" s="319" t="s">
        <v>333</v>
      </c>
      <c r="KV3" s="319" t="s">
        <v>155</v>
      </c>
      <c r="KW3" s="319" t="s">
        <v>349</v>
      </c>
      <c r="KX3" s="319" t="s">
        <v>332</v>
      </c>
      <c r="KY3" s="319" t="s">
        <v>330</v>
      </c>
      <c r="KZ3" s="319" t="s">
        <v>350</v>
      </c>
      <c r="LA3" s="319" t="s">
        <v>348</v>
      </c>
      <c r="LB3" s="319" t="s">
        <v>333</v>
      </c>
      <c r="LC3" s="319" t="s">
        <v>351</v>
      </c>
      <c r="LD3" s="319"/>
      <c r="LE3" s="319" t="s">
        <v>346</v>
      </c>
      <c r="LF3" s="319" t="s">
        <v>152</v>
      </c>
      <c r="LG3" s="319" t="s">
        <v>104</v>
      </c>
      <c r="LH3" s="319" t="s">
        <v>153</v>
      </c>
      <c r="LI3" s="319" t="s">
        <v>330</v>
      </c>
      <c r="LJ3" s="319" t="s">
        <v>331</v>
      </c>
      <c r="LK3" s="319" t="s">
        <v>338</v>
      </c>
      <c r="LL3" s="319" t="s">
        <v>151</v>
      </c>
      <c r="LM3" s="319" t="s">
        <v>347</v>
      </c>
      <c r="LN3" s="319" t="s">
        <v>348</v>
      </c>
      <c r="LO3" s="319" t="s">
        <v>333</v>
      </c>
      <c r="LP3" s="319" t="s">
        <v>155</v>
      </c>
      <c r="LQ3" s="319" t="s">
        <v>349</v>
      </c>
      <c r="LR3" s="319" t="s">
        <v>332</v>
      </c>
      <c r="LS3" s="319" t="s">
        <v>330</v>
      </c>
      <c r="LT3" s="319" t="s">
        <v>347</v>
      </c>
      <c r="LU3" s="319" t="s">
        <v>348</v>
      </c>
      <c r="LV3" s="319" t="s">
        <v>333</v>
      </c>
      <c r="LW3" s="319" t="s">
        <v>351</v>
      </c>
      <c r="LX3" s="319"/>
      <c r="LY3" s="319" t="s">
        <v>346</v>
      </c>
      <c r="LZ3" s="319" t="s">
        <v>152</v>
      </c>
      <c r="MA3" s="319" t="s">
        <v>104</v>
      </c>
      <c r="MB3" s="319" t="s">
        <v>153</v>
      </c>
      <c r="MC3" s="319" t="s">
        <v>330</v>
      </c>
      <c r="MD3" s="319" t="s">
        <v>331</v>
      </c>
      <c r="ME3" s="319" t="s">
        <v>338</v>
      </c>
      <c r="MF3" s="319" t="s">
        <v>151</v>
      </c>
      <c r="MG3" s="319" t="s">
        <v>347</v>
      </c>
      <c r="MH3" s="319" t="s">
        <v>348</v>
      </c>
      <c r="MI3" s="319" t="s">
        <v>333</v>
      </c>
      <c r="MJ3" s="319" t="s">
        <v>155</v>
      </c>
      <c r="MK3" s="319" t="s">
        <v>349</v>
      </c>
      <c r="ML3" s="319" t="s">
        <v>332</v>
      </c>
      <c r="MM3" s="319" t="s">
        <v>330</v>
      </c>
      <c r="MN3" s="319" t="s">
        <v>347</v>
      </c>
      <c r="MO3" s="319" t="s">
        <v>348</v>
      </c>
      <c r="MP3" s="319" t="s">
        <v>333</v>
      </c>
      <c r="MQ3" s="319" t="s">
        <v>351</v>
      </c>
      <c r="MR3" s="319"/>
      <c r="MS3" s="319"/>
      <c r="MT3" s="319"/>
      <c r="MU3" s="319">
        <v>1</v>
      </c>
      <c r="MV3" s="319" t="str">
        <f>HX3</f>
        <v>Germany</v>
      </c>
      <c r="MW3" s="322">
        <f ca="1">IF(OFFSET('Player Game Board'!P10,0,MW1)&lt;&gt;"",OFFSET('Player Game Board'!P10,0,MW1),0)</f>
        <v>3</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0</v>
      </c>
      <c r="NF3" s="320">
        <f ca="1">VLOOKUP(ND3,IX4:JC40,3,FALSE)</f>
        <v>3</v>
      </c>
      <c r="NG3" s="320">
        <f ca="1">VLOOKUP(ND3,IX4:JC40,4,FALSE)</f>
        <v>0</v>
      </c>
      <c r="NH3" s="320">
        <f ca="1">VLOOKUP(ND3,IX4:JC40,5,FALSE)</f>
        <v>3</v>
      </c>
      <c r="NI3" s="320">
        <f ca="1">VLOOKUP(ND3,IX4:JC40,6,FALSE)</f>
        <v>3</v>
      </c>
      <c r="NJ3" s="320">
        <f ca="1">NH3-NI3+1000</f>
        <v>1000</v>
      </c>
      <c r="NK3" s="320">
        <f ca="1">NE3*3+NF3*1</f>
        <v>3</v>
      </c>
      <c r="NL3" s="319">
        <f ca="1">VLOOKUP(ND3,B4:J40,9,FALSE)</f>
        <v>48</v>
      </c>
      <c r="NM3" s="319">
        <f ca="1">RANK(NK3,NK3:NK8)</f>
        <v>2</v>
      </c>
      <c r="NN3" s="319">
        <f ca="1">SUMPRODUCT((NM3:NM8=NM3)*(NJ3:NJ8&gt;NJ3))</f>
        <v>0</v>
      </c>
      <c r="NO3" s="319">
        <f ca="1">SUMPRODUCT((NM3:NM8=NM3)*(NJ3:NJ8=NJ3)*(NH3:NH8&gt;NH3))</f>
        <v>0</v>
      </c>
      <c r="NP3" s="319">
        <f ca="1">SUMPRODUCT((NM3:NM8=NM3)*(NJ3:NJ8=NJ3)*(NH3:NH8=NH3)*(NL3:NL8&gt;NL3))</f>
        <v>0</v>
      </c>
      <c r="NQ3" s="319">
        <f ca="1">SUM(NM3:NP3)</f>
        <v>2</v>
      </c>
      <c r="NR3" s="319" t="s">
        <v>101</v>
      </c>
      <c r="NS3" s="319">
        <v>1</v>
      </c>
      <c r="NT3" s="319"/>
      <c r="NU3" s="319"/>
      <c r="NV3" s="319"/>
      <c r="NW3" s="319" t="s">
        <v>152</v>
      </c>
      <c r="NX3" s="319" t="s">
        <v>104</v>
      </c>
      <c r="NY3" s="319" t="s">
        <v>153</v>
      </c>
      <c r="NZ3" s="319" t="s">
        <v>330</v>
      </c>
      <c r="OA3" s="319" t="s">
        <v>331</v>
      </c>
      <c r="OB3" s="319" t="s">
        <v>338</v>
      </c>
      <c r="OC3" s="319" t="s">
        <v>260</v>
      </c>
      <c r="OD3" s="319" t="s">
        <v>339</v>
      </c>
      <c r="OE3" s="319" t="s">
        <v>340</v>
      </c>
      <c r="OF3" s="319"/>
      <c r="OG3" s="319" t="s">
        <v>341</v>
      </c>
      <c r="OH3" s="319"/>
      <c r="OI3" s="319"/>
      <c r="OJ3" s="319" t="s">
        <v>342</v>
      </c>
      <c r="OK3" s="319" t="s">
        <v>343</v>
      </c>
      <c r="OL3" s="319" t="s">
        <v>344</v>
      </c>
      <c r="OM3" s="319" t="s">
        <v>345</v>
      </c>
      <c r="ON3" s="319"/>
      <c r="OO3" s="319" t="s">
        <v>346</v>
      </c>
      <c r="OP3" s="319" t="s">
        <v>152</v>
      </c>
      <c r="OQ3" s="319" t="s">
        <v>104</v>
      </c>
      <c r="OR3" s="319" t="s">
        <v>153</v>
      </c>
      <c r="OS3" s="319" t="s">
        <v>330</v>
      </c>
      <c r="OT3" s="319" t="s">
        <v>331</v>
      </c>
      <c r="OU3" s="319" t="s">
        <v>338</v>
      </c>
      <c r="OV3" s="319" t="s">
        <v>151</v>
      </c>
      <c r="OW3" s="319" t="s">
        <v>347</v>
      </c>
      <c r="OX3" s="319" t="s">
        <v>348</v>
      </c>
      <c r="OY3" s="319" t="s">
        <v>333</v>
      </c>
      <c r="OZ3" s="319" t="s">
        <v>155</v>
      </c>
      <c r="PA3" s="319" t="s">
        <v>349</v>
      </c>
      <c r="PB3" s="319" t="s">
        <v>332</v>
      </c>
      <c r="PC3" s="319" t="s">
        <v>330</v>
      </c>
      <c r="PD3" s="319" t="s">
        <v>350</v>
      </c>
      <c r="PE3" s="319" t="s">
        <v>348</v>
      </c>
      <c r="PF3" s="319" t="s">
        <v>333</v>
      </c>
      <c r="PG3" s="319" t="s">
        <v>351</v>
      </c>
      <c r="PH3" s="319"/>
      <c r="PI3" s="319" t="s">
        <v>346</v>
      </c>
      <c r="PJ3" s="319" t="s">
        <v>152</v>
      </c>
      <c r="PK3" s="319" t="s">
        <v>104</v>
      </c>
      <c r="PL3" s="319" t="s">
        <v>153</v>
      </c>
      <c r="PM3" s="319" t="s">
        <v>330</v>
      </c>
      <c r="PN3" s="319" t="s">
        <v>331</v>
      </c>
      <c r="PO3" s="319" t="s">
        <v>338</v>
      </c>
      <c r="PP3" s="319" t="s">
        <v>151</v>
      </c>
      <c r="PQ3" s="319" t="s">
        <v>347</v>
      </c>
      <c r="PR3" s="319" t="s">
        <v>348</v>
      </c>
      <c r="PS3" s="319" t="s">
        <v>333</v>
      </c>
      <c r="PT3" s="319" t="s">
        <v>155</v>
      </c>
      <c r="PU3" s="319" t="s">
        <v>349</v>
      </c>
      <c r="PV3" s="319" t="s">
        <v>332</v>
      </c>
      <c r="PW3" s="319" t="s">
        <v>330</v>
      </c>
      <c r="PX3" s="319" t="s">
        <v>350</v>
      </c>
      <c r="PY3" s="319" t="s">
        <v>348</v>
      </c>
      <c r="PZ3" s="319" t="s">
        <v>333</v>
      </c>
      <c r="QA3" s="319" t="s">
        <v>351</v>
      </c>
      <c r="QB3" s="319"/>
      <c r="QC3" s="319" t="s">
        <v>346</v>
      </c>
      <c r="QD3" s="319" t="s">
        <v>152</v>
      </c>
      <c r="QE3" s="319" t="s">
        <v>104</v>
      </c>
      <c r="QF3" s="319" t="s">
        <v>153</v>
      </c>
      <c r="QG3" s="319" t="s">
        <v>330</v>
      </c>
      <c r="QH3" s="319" t="s">
        <v>331</v>
      </c>
      <c r="QI3" s="319" t="s">
        <v>338</v>
      </c>
      <c r="QJ3" s="319" t="s">
        <v>151</v>
      </c>
      <c r="QK3" s="319" t="s">
        <v>347</v>
      </c>
      <c r="QL3" s="319" t="s">
        <v>348</v>
      </c>
      <c r="QM3" s="319" t="s">
        <v>333</v>
      </c>
      <c r="QN3" s="319" t="s">
        <v>155</v>
      </c>
      <c r="QO3" s="319" t="s">
        <v>349</v>
      </c>
      <c r="QP3" s="319" t="s">
        <v>332</v>
      </c>
      <c r="QQ3" s="319" t="s">
        <v>330</v>
      </c>
      <c r="QR3" s="319" t="s">
        <v>347</v>
      </c>
      <c r="QS3" s="319" t="s">
        <v>348</v>
      </c>
      <c r="QT3" s="319" t="s">
        <v>333</v>
      </c>
      <c r="QU3" s="319" t="s">
        <v>351</v>
      </c>
      <c r="QV3" s="319"/>
      <c r="QW3" s="319" t="s">
        <v>346</v>
      </c>
      <c r="QX3" s="319" t="s">
        <v>152</v>
      </c>
      <c r="QY3" s="319" t="s">
        <v>104</v>
      </c>
      <c r="QZ3" s="319" t="s">
        <v>153</v>
      </c>
      <c r="RA3" s="319" t="s">
        <v>330</v>
      </c>
      <c r="RB3" s="319" t="s">
        <v>331</v>
      </c>
      <c r="RC3" s="319" t="s">
        <v>338</v>
      </c>
      <c r="RD3" s="319" t="s">
        <v>151</v>
      </c>
      <c r="RE3" s="319" t="s">
        <v>347</v>
      </c>
      <c r="RF3" s="319" t="s">
        <v>348</v>
      </c>
      <c r="RG3" s="319" t="s">
        <v>333</v>
      </c>
      <c r="RH3" s="319" t="s">
        <v>155</v>
      </c>
      <c r="RI3" s="319" t="s">
        <v>349</v>
      </c>
      <c r="RJ3" s="319" t="s">
        <v>332</v>
      </c>
      <c r="RK3" s="319" t="s">
        <v>330</v>
      </c>
      <c r="RL3" s="319" t="s">
        <v>347</v>
      </c>
      <c r="RM3" s="319" t="s">
        <v>348</v>
      </c>
      <c r="RN3" s="319" t="s">
        <v>333</v>
      </c>
      <c r="RO3" s="319" t="s">
        <v>351</v>
      </c>
      <c r="RP3" s="319"/>
      <c r="RQ3" s="319"/>
      <c r="RR3" s="319"/>
      <c r="RS3" s="319">
        <v>1</v>
      </c>
      <c r="RT3" s="319" t="str">
        <f t="shared" ref="RT3:RT38" si="18">MV3</f>
        <v>Germany</v>
      </c>
      <c r="RU3" s="322">
        <f ca="1">IF(OFFSET('Player Game Board'!P10,0,RU1)&lt;&gt;"",OFFSET('Player Game Board'!P10,0,RU1),0)</f>
        <v>3</v>
      </c>
      <c r="RV3" s="322">
        <f ca="1">IF(OFFSET('Player Game Board'!Q10,0,RU1)&lt;&gt;"",OFFSET('Player Game Board'!Q10,0,RU1),0)</f>
        <v>0</v>
      </c>
      <c r="RW3" s="319" t="str">
        <f t="shared" ref="RW3:RW38" si="19">MY3</f>
        <v>Scotland</v>
      </c>
      <c r="RX3" s="319" t="str">
        <f ca="1">IF(AND(OFFSET('Player Game Board'!P10,0,RU1)&lt;&gt;"",OFFSET('Player Game Board'!Q10,0,RU1)&lt;&gt;""),IF(RU3&gt;RV3,"W",IF(RU3=RV3,"D","L")),"")</f>
        <v>W</v>
      </c>
      <c r="RY3" s="319" t="str">
        <f t="shared" ref="RY3:RY18" ca="1" si="20">IF(RX3&lt;&gt;"",IF(RX3="W","L",IF(RX3="L","W","D")),"")</f>
        <v>L</v>
      </c>
      <c r="RZ3" s="319"/>
      <c r="SA3" s="319"/>
      <c r="SB3" s="319" t="str">
        <f t="shared" ref="SB3" ca="1" si="21">VLOOKUP(3,NU4:NV7,2,FALSE)</f>
        <v>Scotland</v>
      </c>
      <c r="SC3" s="320">
        <f t="shared" ref="SC3" ca="1" si="22">VLOOKUP(SB3,NV4:OA40,2,FALSE)</f>
        <v>0</v>
      </c>
      <c r="SD3" s="320">
        <f t="shared" ref="SD3" ca="1" si="23">VLOOKUP(SB3,NV4:OA40,3,FALSE)</f>
        <v>1</v>
      </c>
      <c r="SE3" s="320">
        <f t="shared" ref="SE3" ca="1" si="24">VLOOKUP(SB3,NV4:OA40,4,FALSE)</f>
        <v>2</v>
      </c>
      <c r="SF3" s="320">
        <f t="shared" ref="SF3" ca="1" si="25">VLOOKUP(SB3,NV4:OA40,5,FALSE)</f>
        <v>0</v>
      </c>
      <c r="SG3" s="320">
        <f t="shared" ref="SG3" ca="1" si="26">VLOOKUP(SB3,NV4:OA40,6,FALSE)</f>
        <v>4</v>
      </c>
      <c r="SH3" s="320">
        <f t="shared" ref="SH3:SH8" ca="1" si="27">SF3-SG3+1000</f>
        <v>996</v>
      </c>
      <c r="SI3" s="320">
        <f t="shared" ref="SI3:SI8" ca="1" si="28">SC3*3+SD3*1</f>
        <v>1</v>
      </c>
      <c r="SJ3" s="319">
        <f ca="1">VLOOKUP(SB3,B4:J40,9,FALSE)</f>
        <v>43</v>
      </c>
      <c r="SK3" s="319">
        <f t="shared" ref="SK3" ca="1" si="29">RANK(SI3,SI3:SI8)</f>
        <v>6</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6</v>
      </c>
      <c r="SP3" s="319" t="s">
        <v>101</v>
      </c>
      <c r="SQ3" s="319">
        <v>1</v>
      </c>
      <c r="SR3" s="319"/>
      <c r="SS3" s="319"/>
      <c r="ST3" s="319"/>
      <c r="SU3" s="319" t="s">
        <v>152</v>
      </c>
      <c r="SV3" s="319" t="s">
        <v>104</v>
      </c>
      <c r="SW3" s="319" t="s">
        <v>153</v>
      </c>
      <c r="SX3" s="319" t="s">
        <v>330</v>
      </c>
      <c r="SY3" s="319" t="s">
        <v>331</v>
      </c>
      <c r="SZ3" s="319" t="s">
        <v>338</v>
      </c>
      <c r="TA3" s="319" t="s">
        <v>260</v>
      </c>
      <c r="TB3" s="319" t="s">
        <v>339</v>
      </c>
      <c r="TC3" s="319" t="s">
        <v>340</v>
      </c>
      <c r="TD3" s="319"/>
      <c r="TE3" s="319" t="s">
        <v>341</v>
      </c>
      <c r="TF3" s="319"/>
      <c r="TG3" s="319"/>
      <c r="TH3" s="319" t="s">
        <v>342</v>
      </c>
      <c r="TI3" s="319" t="s">
        <v>343</v>
      </c>
      <c r="TJ3" s="319" t="s">
        <v>344</v>
      </c>
      <c r="TK3" s="319" t="s">
        <v>345</v>
      </c>
      <c r="TL3" s="319"/>
      <c r="TM3" s="319" t="s">
        <v>346</v>
      </c>
      <c r="TN3" s="319" t="s">
        <v>152</v>
      </c>
      <c r="TO3" s="319" t="s">
        <v>104</v>
      </c>
      <c r="TP3" s="319" t="s">
        <v>153</v>
      </c>
      <c r="TQ3" s="319" t="s">
        <v>330</v>
      </c>
      <c r="TR3" s="319" t="s">
        <v>331</v>
      </c>
      <c r="TS3" s="319" t="s">
        <v>338</v>
      </c>
      <c r="TT3" s="319" t="s">
        <v>151</v>
      </c>
      <c r="TU3" s="319" t="s">
        <v>347</v>
      </c>
      <c r="TV3" s="319" t="s">
        <v>348</v>
      </c>
      <c r="TW3" s="319" t="s">
        <v>333</v>
      </c>
      <c r="TX3" s="319" t="s">
        <v>155</v>
      </c>
      <c r="TY3" s="319" t="s">
        <v>349</v>
      </c>
      <c r="TZ3" s="319" t="s">
        <v>332</v>
      </c>
      <c r="UA3" s="319" t="s">
        <v>330</v>
      </c>
      <c r="UB3" s="319" t="s">
        <v>350</v>
      </c>
      <c r="UC3" s="319" t="s">
        <v>348</v>
      </c>
      <c r="UD3" s="319" t="s">
        <v>333</v>
      </c>
      <c r="UE3" s="319" t="s">
        <v>351</v>
      </c>
      <c r="UF3" s="319"/>
      <c r="UG3" s="319" t="s">
        <v>346</v>
      </c>
      <c r="UH3" s="319" t="s">
        <v>152</v>
      </c>
      <c r="UI3" s="319" t="s">
        <v>104</v>
      </c>
      <c r="UJ3" s="319" t="s">
        <v>153</v>
      </c>
      <c r="UK3" s="319" t="s">
        <v>330</v>
      </c>
      <c r="UL3" s="319" t="s">
        <v>331</v>
      </c>
      <c r="UM3" s="319" t="s">
        <v>338</v>
      </c>
      <c r="UN3" s="319" t="s">
        <v>151</v>
      </c>
      <c r="UO3" s="319" t="s">
        <v>347</v>
      </c>
      <c r="UP3" s="319" t="s">
        <v>348</v>
      </c>
      <c r="UQ3" s="319" t="s">
        <v>333</v>
      </c>
      <c r="UR3" s="319" t="s">
        <v>155</v>
      </c>
      <c r="US3" s="319" t="s">
        <v>349</v>
      </c>
      <c r="UT3" s="319" t="s">
        <v>332</v>
      </c>
      <c r="UU3" s="319" t="s">
        <v>330</v>
      </c>
      <c r="UV3" s="319" t="s">
        <v>350</v>
      </c>
      <c r="UW3" s="319" t="s">
        <v>348</v>
      </c>
      <c r="UX3" s="319" t="s">
        <v>333</v>
      </c>
      <c r="UY3" s="319" t="s">
        <v>351</v>
      </c>
      <c r="UZ3" s="319"/>
      <c r="VA3" s="319" t="s">
        <v>346</v>
      </c>
      <c r="VB3" s="319" t="s">
        <v>152</v>
      </c>
      <c r="VC3" s="319" t="s">
        <v>104</v>
      </c>
      <c r="VD3" s="319" t="s">
        <v>153</v>
      </c>
      <c r="VE3" s="319" t="s">
        <v>330</v>
      </c>
      <c r="VF3" s="319" t="s">
        <v>331</v>
      </c>
      <c r="VG3" s="319" t="s">
        <v>338</v>
      </c>
      <c r="VH3" s="319" t="s">
        <v>151</v>
      </c>
      <c r="VI3" s="319" t="s">
        <v>347</v>
      </c>
      <c r="VJ3" s="319" t="s">
        <v>348</v>
      </c>
      <c r="VK3" s="319" t="s">
        <v>333</v>
      </c>
      <c r="VL3" s="319" t="s">
        <v>155</v>
      </c>
      <c r="VM3" s="319" t="s">
        <v>349</v>
      </c>
      <c r="VN3" s="319" t="s">
        <v>332</v>
      </c>
      <c r="VO3" s="319" t="s">
        <v>330</v>
      </c>
      <c r="VP3" s="319" t="s">
        <v>347</v>
      </c>
      <c r="VQ3" s="319" t="s">
        <v>348</v>
      </c>
      <c r="VR3" s="319" t="s">
        <v>333</v>
      </c>
      <c r="VS3" s="319" t="s">
        <v>351</v>
      </c>
      <c r="VT3" s="319"/>
      <c r="VU3" s="319" t="s">
        <v>346</v>
      </c>
      <c r="VV3" s="319" t="s">
        <v>152</v>
      </c>
      <c r="VW3" s="319" t="s">
        <v>104</v>
      </c>
      <c r="VX3" s="319" t="s">
        <v>153</v>
      </c>
      <c r="VY3" s="319" t="s">
        <v>330</v>
      </c>
      <c r="VZ3" s="319" t="s">
        <v>331</v>
      </c>
      <c r="WA3" s="319" t="s">
        <v>338</v>
      </c>
      <c r="WB3" s="319" t="s">
        <v>151</v>
      </c>
      <c r="WC3" s="319" t="s">
        <v>347</v>
      </c>
      <c r="WD3" s="319" t="s">
        <v>348</v>
      </c>
      <c r="WE3" s="319" t="s">
        <v>333</v>
      </c>
      <c r="WF3" s="319" t="s">
        <v>155</v>
      </c>
      <c r="WG3" s="319" t="s">
        <v>349</v>
      </c>
      <c r="WH3" s="319" t="s">
        <v>332</v>
      </c>
      <c r="WI3" s="319" t="s">
        <v>330</v>
      </c>
      <c r="WJ3" s="319" t="s">
        <v>347</v>
      </c>
      <c r="WK3" s="319" t="s">
        <v>348</v>
      </c>
      <c r="WL3" s="319" t="s">
        <v>333</v>
      </c>
      <c r="WM3" s="319" t="s">
        <v>351</v>
      </c>
      <c r="WN3" s="319"/>
      <c r="WO3" s="319"/>
      <c r="WP3" s="319"/>
      <c r="WQ3" s="319">
        <v>1</v>
      </c>
      <c r="WR3" s="319" t="str">
        <f t="shared" ref="WR3:WR38" si="34">RT3</f>
        <v>Germany</v>
      </c>
      <c r="WS3" s="322">
        <f ca="1">IF(OFFSET('Player Game Board'!P10,0,WS1)&lt;&gt;"",OFFSET('Player Game Board'!P10,0,WS1),0)</f>
        <v>2</v>
      </c>
      <c r="WT3" s="322">
        <f ca="1">IF(OFFSET('Player Game Board'!Q10,0,WS1)&lt;&gt;"",OFFSET('Player Game Board'!Q10,0,WS1),0)</f>
        <v>1</v>
      </c>
      <c r="WU3" s="319" t="str">
        <f t="shared" ref="WU3:WU38" si="35">RW3</f>
        <v>Scotland</v>
      </c>
      <c r="WV3" s="319" t="str">
        <f ca="1">IF(AND(OFFSET('Player Game Board'!P10,0,WS1)&lt;&gt;"",OFFSET('Player Game Board'!Q10,0,WS1)&lt;&gt;""),IF(WS3&gt;WT3,"W",IF(WS3=WT3,"D","L")),"")</f>
        <v>W</v>
      </c>
      <c r="WW3" s="319" t="str">
        <f t="shared" ref="WW3:WW18" ca="1" si="36">IF(WV3&lt;&gt;"",IF(WV3="W","L",IF(WV3="L","W","D")),"")</f>
        <v>L</v>
      </c>
      <c r="WX3" s="319"/>
      <c r="WY3" s="319"/>
      <c r="WZ3" s="319" t="str">
        <f t="shared" ref="WZ3" ca="1" si="37">VLOOKUP(3,SS4:ST7,2,FALSE)</f>
        <v>Scotland</v>
      </c>
      <c r="XA3" s="320">
        <f t="shared" ref="XA3" ca="1" si="38">VLOOKUP(WZ3,ST4:SY40,2,FALSE)</f>
        <v>1</v>
      </c>
      <c r="XB3" s="320">
        <f t="shared" ref="XB3" ca="1" si="39">VLOOKUP(WZ3,ST4:SY40,3,FALSE)</f>
        <v>0</v>
      </c>
      <c r="XC3" s="320">
        <f t="shared" ref="XC3" ca="1" si="40">VLOOKUP(WZ3,ST4:SY40,4,FALSE)</f>
        <v>2</v>
      </c>
      <c r="XD3" s="320">
        <f t="shared" ref="XD3" ca="1" si="41">VLOOKUP(WZ3,ST4:SY40,5,FALSE)</f>
        <v>3</v>
      </c>
      <c r="XE3" s="320">
        <f t="shared" ref="XE3" ca="1" si="42">VLOOKUP(WZ3,ST4:SY40,6,FALSE)</f>
        <v>4</v>
      </c>
      <c r="XF3" s="320">
        <f t="shared" ref="XF3:XF8" ca="1" si="43">XD3-XE3+1000</f>
        <v>999</v>
      </c>
      <c r="XG3" s="320">
        <f t="shared" ref="XG3:XG8" ca="1" si="44">XA3*3+XB3*1</f>
        <v>3</v>
      </c>
      <c r="XH3" s="319">
        <f ca="1">VLOOKUP(WZ3,B4:J40,9,FALSE)</f>
        <v>43</v>
      </c>
      <c r="XI3" s="319">
        <f t="shared" ref="XI3" ca="1" si="45">RANK(XG3,XG3:XG8)</f>
        <v>3</v>
      </c>
      <c r="XJ3" s="319">
        <f t="shared" ref="XJ3" ca="1" si="46">SUMPRODUCT((XI3:XI8=XI3)*(XF3:XF8&gt;XF3))</f>
        <v>1</v>
      </c>
      <c r="XK3" s="319">
        <f t="shared" ref="XK3" ca="1" si="47">SUMPRODUCT((XI3:XI8=XI3)*(XF3:XF8=XF3)*(XD3:XD8&gt;XD3))</f>
        <v>0</v>
      </c>
      <c r="XL3" s="319">
        <f t="shared" ref="XL3" ca="1" si="48">SUMPRODUCT((XI3:XI8=XI3)*(XF3:XF8=XF3)*(XD3:XD8=XD3)*(XH3:XH8&gt;XH3))</f>
        <v>0</v>
      </c>
      <c r="XM3" s="319">
        <f t="shared" ref="XM3:XM8" ca="1" si="49">SUM(XI3:XL3)</f>
        <v>4</v>
      </c>
      <c r="XN3" s="319" t="s">
        <v>101</v>
      </c>
      <c r="XO3" s="319">
        <v>1</v>
      </c>
      <c r="XP3" s="319"/>
      <c r="XQ3" s="319"/>
      <c r="XR3" s="319"/>
      <c r="XS3" s="319" t="s">
        <v>152</v>
      </c>
      <c r="XT3" s="319" t="s">
        <v>104</v>
      </c>
      <c r="XU3" s="319" t="s">
        <v>153</v>
      </c>
      <c r="XV3" s="319" t="s">
        <v>330</v>
      </c>
      <c r="XW3" s="319" t="s">
        <v>331</v>
      </c>
      <c r="XX3" s="319" t="s">
        <v>338</v>
      </c>
      <c r="XY3" s="319" t="s">
        <v>260</v>
      </c>
      <c r="XZ3" s="319" t="s">
        <v>339</v>
      </c>
      <c r="YA3" s="319" t="s">
        <v>340</v>
      </c>
      <c r="YB3" s="319"/>
      <c r="YC3" s="319" t="s">
        <v>341</v>
      </c>
      <c r="YD3" s="319"/>
      <c r="YE3" s="319"/>
      <c r="YF3" s="319" t="s">
        <v>342</v>
      </c>
      <c r="YG3" s="319" t="s">
        <v>343</v>
      </c>
      <c r="YH3" s="319" t="s">
        <v>344</v>
      </c>
      <c r="YI3" s="319" t="s">
        <v>345</v>
      </c>
      <c r="YJ3" s="319"/>
      <c r="YK3" s="319" t="s">
        <v>346</v>
      </c>
      <c r="YL3" s="319" t="s">
        <v>152</v>
      </c>
      <c r="YM3" s="319" t="s">
        <v>104</v>
      </c>
      <c r="YN3" s="319" t="s">
        <v>153</v>
      </c>
      <c r="YO3" s="319" t="s">
        <v>330</v>
      </c>
      <c r="YP3" s="319" t="s">
        <v>331</v>
      </c>
      <c r="YQ3" s="319" t="s">
        <v>338</v>
      </c>
      <c r="YR3" s="319" t="s">
        <v>151</v>
      </c>
      <c r="YS3" s="319" t="s">
        <v>347</v>
      </c>
      <c r="YT3" s="319" t="s">
        <v>348</v>
      </c>
      <c r="YU3" s="319" t="s">
        <v>333</v>
      </c>
      <c r="YV3" s="319" t="s">
        <v>155</v>
      </c>
      <c r="YW3" s="319" t="s">
        <v>349</v>
      </c>
      <c r="YX3" s="319" t="s">
        <v>332</v>
      </c>
      <c r="YY3" s="319" t="s">
        <v>330</v>
      </c>
      <c r="YZ3" s="319" t="s">
        <v>350</v>
      </c>
      <c r="ZA3" s="319" t="s">
        <v>348</v>
      </c>
      <c r="ZB3" s="319" t="s">
        <v>333</v>
      </c>
      <c r="ZC3" s="319" t="s">
        <v>351</v>
      </c>
      <c r="ZD3" s="319"/>
      <c r="ZE3" s="319" t="s">
        <v>346</v>
      </c>
      <c r="ZF3" s="319" t="s">
        <v>152</v>
      </c>
      <c r="ZG3" s="319" t="s">
        <v>104</v>
      </c>
      <c r="ZH3" s="319" t="s">
        <v>153</v>
      </c>
      <c r="ZI3" s="319" t="s">
        <v>330</v>
      </c>
      <c r="ZJ3" s="319" t="s">
        <v>331</v>
      </c>
      <c r="ZK3" s="319" t="s">
        <v>338</v>
      </c>
      <c r="ZL3" s="319" t="s">
        <v>151</v>
      </c>
      <c r="ZM3" s="319" t="s">
        <v>347</v>
      </c>
      <c r="ZN3" s="319" t="s">
        <v>348</v>
      </c>
      <c r="ZO3" s="319" t="s">
        <v>333</v>
      </c>
      <c r="ZP3" s="319" t="s">
        <v>155</v>
      </c>
      <c r="ZQ3" s="319" t="s">
        <v>349</v>
      </c>
      <c r="ZR3" s="319" t="s">
        <v>332</v>
      </c>
      <c r="ZS3" s="319" t="s">
        <v>330</v>
      </c>
      <c r="ZT3" s="319" t="s">
        <v>350</v>
      </c>
      <c r="ZU3" s="319" t="s">
        <v>348</v>
      </c>
      <c r="ZV3" s="319" t="s">
        <v>333</v>
      </c>
      <c r="ZW3" s="319" t="s">
        <v>351</v>
      </c>
      <c r="ZX3" s="319"/>
      <c r="ZY3" s="319" t="s">
        <v>346</v>
      </c>
      <c r="ZZ3" s="319" t="s">
        <v>152</v>
      </c>
      <c r="AAA3" s="319" t="s">
        <v>104</v>
      </c>
      <c r="AAB3" s="319" t="s">
        <v>153</v>
      </c>
      <c r="AAC3" s="319" t="s">
        <v>330</v>
      </c>
      <c r="AAD3" s="319" t="s">
        <v>331</v>
      </c>
      <c r="AAE3" s="319" t="s">
        <v>338</v>
      </c>
      <c r="AAF3" s="319" t="s">
        <v>151</v>
      </c>
      <c r="AAG3" s="319" t="s">
        <v>347</v>
      </c>
      <c r="AAH3" s="319" t="s">
        <v>348</v>
      </c>
      <c r="AAI3" s="319" t="s">
        <v>333</v>
      </c>
      <c r="AAJ3" s="319" t="s">
        <v>155</v>
      </c>
      <c r="AAK3" s="319" t="s">
        <v>349</v>
      </c>
      <c r="AAL3" s="319" t="s">
        <v>332</v>
      </c>
      <c r="AAM3" s="319" t="s">
        <v>330</v>
      </c>
      <c r="AAN3" s="319" t="s">
        <v>347</v>
      </c>
      <c r="AAO3" s="319" t="s">
        <v>348</v>
      </c>
      <c r="AAP3" s="319" t="s">
        <v>333</v>
      </c>
      <c r="AAQ3" s="319" t="s">
        <v>351</v>
      </c>
      <c r="AAR3" s="319"/>
      <c r="AAS3" s="319" t="s">
        <v>346</v>
      </c>
      <c r="AAT3" s="319" t="s">
        <v>152</v>
      </c>
      <c r="AAU3" s="319" t="s">
        <v>104</v>
      </c>
      <c r="AAV3" s="319" t="s">
        <v>153</v>
      </c>
      <c r="AAW3" s="319" t="s">
        <v>330</v>
      </c>
      <c r="AAX3" s="319" t="s">
        <v>331</v>
      </c>
      <c r="AAY3" s="319" t="s">
        <v>338</v>
      </c>
      <c r="AAZ3" s="319" t="s">
        <v>151</v>
      </c>
      <c r="ABA3" s="319" t="s">
        <v>347</v>
      </c>
      <c r="ABB3" s="319" t="s">
        <v>348</v>
      </c>
      <c r="ABC3" s="319" t="s">
        <v>333</v>
      </c>
      <c r="ABD3" s="319" t="s">
        <v>155</v>
      </c>
      <c r="ABE3" s="319" t="s">
        <v>349</v>
      </c>
      <c r="ABF3" s="319" t="s">
        <v>332</v>
      </c>
      <c r="ABG3" s="319" t="s">
        <v>330</v>
      </c>
      <c r="ABH3" s="319" t="s">
        <v>347</v>
      </c>
      <c r="ABI3" s="319" t="s">
        <v>348</v>
      </c>
      <c r="ABJ3" s="319" t="s">
        <v>333</v>
      </c>
      <c r="ABK3" s="319" t="s">
        <v>351</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Switzerland</v>
      </c>
      <c r="ABY3" s="320">
        <f t="shared" ref="ABY3" ca="1" si="54">VLOOKUP(ABX3,XR4:XW40,2,FALSE)</f>
        <v>1</v>
      </c>
      <c r="ABZ3" s="320">
        <f t="shared" ref="ABZ3" ca="1" si="55">VLOOKUP(ABX3,XR4:XW40,3,FALSE)</f>
        <v>0</v>
      </c>
      <c r="ACA3" s="320">
        <f t="shared" ref="ACA3" ca="1" si="56">VLOOKUP(ABX3,XR4:XW40,4,FALSE)</f>
        <v>2</v>
      </c>
      <c r="ACB3" s="320">
        <f t="shared" ref="ACB3" ca="1" si="57">VLOOKUP(ABX3,XR4:XW40,5,FALSE)</f>
        <v>4</v>
      </c>
      <c r="ACC3" s="320">
        <f t="shared" ref="ACC3" ca="1" si="58">VLOOKUP(ABX3,XR4:XW40,6,FALSE)</f>
        <v>6</v>
      </c>
      <c r="ACD3" s="320">
        <f t="shared" ref="ACD3:ACD8" ca="1" si="59">ACB3-ACC3+1000</f>
        <v>998</v>
      </c>
      <c r="ACE3" s="320">
        <f t="shared" ref="ACE3:ACE8" ca="1" si="60">ABY3*3+ABZ3*1</f>
        <v>3</v>
      </c>
      <c r="ACF3" s="319">
        <f ca="1">VLOOKUP(ABX3,B4:J40,9,FALSE)</f>
        <v>34</v>
      </c>
      <c r="ACG3" s="319">
        <f t="shared" ref="ACG3" ca="1" si="61">RANK(ACE3,ACE3:ACE8)</f>
        <v>3</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4</v>
      </c>
      <c r="ACL3" s="319" t="s">
        <v>101</v>
      </c>
      <c r="ACM3" s="319">
        <v>1</v>
      </c>
      <c r="ACN3" s="319"/>
      <c r="ACO3" s="319"/>
      <c r="ACP3" s="319"/>
      <c r="ACQ3" s="319" t="s">
        <v>152</v>
      </c>
      <c r="ACR3" s="319" t="s">
        <v>104</v>
      </c>
      <c r="ACS3" s="319" t="s">
        <v>153</v>
      </c>
      <c r="ACT3" s="319" t="s">
        <v>330</v>
      </c>
      <c r="ACU3" s="319" t="s">
        <v>331</v>
      </c>
      <c r="ACV3" s="319" t="s">
        <v>338</v>
      </c>
      <c r="ACW3" s="319" t="s">
        <v>260</v>
      </c>
      <c r="ACX3" s="319" t="s">
        <v>339</v>
      </c>
      <c r="ACY3" s="319" t="s">
        <v>340</v>
      </c>
      <c r="ACZ3" s="319"/>
      <c r="ADA3" s="319" t="s">
        <v>341</v>
      </c>
      <c r="ADB3" s="319"/>
      <c r="ADC3" s="319"/>
      <c r="ADD3" s="319" t="s">
        <v>342</v>
      </c>
      <c r="ADE3" s="319" t="s">
        <v>343</v>
      </c>
      <c r="ADF3" s="319" t="s">
        <v>344</v>
      </c>
      <c r="ADG3" s="319" t="s">
        <v>345</v>
      </c>
      <c r="ADH3" s="319"/>
      <c r="ADI3" s="319" t="s">
        <v>346</v>
      </c>
      <c r="ADJ3" s="319" t="s">
        <v>152</v>
      </c>
      <c r="ADK3" s="319" t="s">
        <v>104</v>
      </c>
      <c r="ADL3" s="319" t="s">
        <v>153</v>
      </c>
      <c r="ADM3" s="319" t="s">
        <v>330</v>
      </c>
      <c r="ADN3" s="319" t="s">
        <v>331</v>
      </c>
      <c r="ADO3" s="319" t="s">
        <v>338</v>
      </c>
      <c r="ADP3" s="319" t="s">
        <v>151</v>
      </c>
      <c r="ADQ3" s="319" t="s">
        <v>347</v>
      </c>
      <c r="ADR3" s="319" t="s">
        <v>348</v>
      </c>
      <c r="ADS3" s="319" t="s">
        <v>333</v>
      </c>
      <c r="ADT3" s="319" t="s">
        <v>155</v>
      </c>
      <c r="ADU3" s="319" t="s">
        <v>349</v>
      </c>
      <c r="ADV3" s="319" t="s">
        <v>332</v>
      </c>
      <c r="ADW3" s="319" t="s">
        <v>330</v>
      </c>
      <c r="ADX3" s="319" t="s">
        <v>350</v>
      </c>
      <c r="ADY3" s="319" t="s">
        <v>348</v>
      </c>
      <c r="ADZ3" s="319" t="s">
        <v>333</v>
      </c>
      <c r="AEA3" s="319" t="s">
        <v>351</v>
      </c>
      <c r="AEB3" s="319"/>
      <c r="AEC3" s="319" t="s">
        <v>346</v>
      </c>
      <c r="AED3" s="319" t="s">
        <v>152</v>
      </c>
      <c r="AEE3" s="319" t="s">
        <v>104</v>
      </c>
      <c r="AEF3" s="319" t="s">
        <v>153</v>
      </c>
      <c r="AEG3" s="319" t="s">
        <v>330</v>
      </c>
      <c r="AEH3" s="319" t="s">
        <v>331</v>
      </c>
      <c r="AEI3" s="319" t="s">
        <v>338</v>
      </c>
      <c r="AEJ3" s="319" t="s">
        <v>151</v>
      </c>
      <c r="AEK3" s="319" t="s">
        <v>347</v>
      </c>
      <c r="AEL3" s="319" t="s">
        <v>348</v>
      </c>
      <c r="AEM3" s="319" t="s">
        <v>333</v>
      </c>
      <c r="AEN3" s="319" t="s">
        <v>155</v>
      </c>
      <c r="AEO3" s="319" t="s">
        <v>349</v>
      </c>
      <c r="AEP3" s="319" t="s">
        <v>332</v>
      </c>
      <c r="AEQ3" s="319" t="s">
        <v>330</v>
      </c>
      <c r="AER3" s="319" t="s">
        <v>350</v>
      </c>
      <c r="AES3" s="319" t="s">
        <v>348</v>
      </c>
      <c r="AET3" s="319" t="s">
        <v>333</v>
      </c>
      <c r="AEU3" s="319" t="s">
        <v>351</v>
      </c>
      <c r="AEV3" s="319"/>
      <c r="AEW3" s="319" t="s">
        <v>346</v>
      </c>
      <c r="AEX3" s="319" t="s">
        <v>152</v>
      </c>
      <c r="AEY3" s="319" t="s">
        <v>104</v>
      </c>
      <c r="AEZ3" s="319" t="s">
        <v>153</v>
      </c>
      <c r="AFA3" s="319" t="s">
        <v>330</v>
      </c>
      <c r="AFB3" s="319" t="s">
        <v>331</v>
      </c>
      <c r="AFC3" s="319" t="s">
        <v>338</v>
      </c>
      <c r="AFD3" s="319" t="s">
        <v>151</v>
      </c>
      <c r="AFE3" s="319" t="s">
        <v>347</v>
      </c>
      <c r="AFF3" s="319" t="s">
        <v>348</v>
      </c>
      <c r="AFG3" s="319" t="s">
        <v>333</v>
      </c>
      <c r="AFH3" s="319" t="s">
        <v>155</v>
      </c>
      <c r="AFI3" s="319" t="s">
        <v>349</v>
      </c>
      <c r="AFJ3" s="319" t="s">
        <v>332</v>
      </c>
      <c r="AFK3" s="319" t="s">
        <v>330</v>
      </c>
      <c r="AFL3" s="319" t="s">
        <v>347</v>
      </c>
      <c r="AFM3" s="319" t="s">
        <v>348</v>
      </c>
      <c r="AFN3" s="319" t="s">
        <v>333</v>
      </c>
      <c r="AFO3" s="319" t="s">
        <v>351</v>
      </c>
      <c r="AFP3" s="319"/>
      <c r="AFQ3" s="319" t="s">
        <v>346</v>
      </c>
      <c r="AFR3" s="319" t="s">
        <v>152</v>
      </c>
      <c r="AFS3" s="319" t="s">
        <v>104</v>
      </c>
      <c r="AFT3" s="319" t="s">
        <v>153</v>
      </c>
      <c r="AFU3" s="319" t="s">
        <v>330</v>
      </c>
      <c r="AFV3" s="319" t="s">
        <v>331</v>
      </c>
      <c r="AFW3" s="319" t="s">
        <v>338</v>
      </c>
      <c r="AFX3" s="319" t="s">
        <v>151</v>
      </c>
      <c r="AFY3" s="319" t="s">
        <v>347</v>
      </c>
      <c r="AFZ3" s="319" t="s">
        <v>348</v>
      </c>
      <c r="AGA3" s="319" t="s">
        <v>333</v>
      </c>
      <c r="AGB3" s="319" t="s">
        <v>155</v>
      </c>
      <c r="AGC3" s="319" t="s">
        <v>349</v>
      </c>
      <c r="AGD3" s="319" t="s">
        <v>332</v>
      </c>
      <c r="AGE3" s="319" t="s">
        <v>330</v>
      </c>
      <c r="AGF3" s="319" t="s">
        <v>347</v>
      </c>
      <c r="AGG3" s="319" t="s">
        <v>348</v>
      </c>
      <c r="AGH3" s="319" t="s">
        <v>333</v>
      </c>
      <c r="AGI3" s="319" t="s">
        <v>351</v>
      </c>
      <c r="AGJ3" s="319"/>
      <c r="AGK3" s="319"/>
      <c r="AGL3" s="319"/>
      <c r="AGM3" s="319">
        <v>1</v>
      </c>
      <c r="AGN3" s="319" t="str">
        <f t="shared" ref="AGN3:AGN38" si="66">ABP3</f>
        <v>Germany</v>
      </c>
      <c r="AGO3" s="322">
        <f ca="1">IF(OFFSET('Player Game Board'!P10,0,AGO1)&lt;&gt;"",OFFSET('Player Game Board'!P10,0,AGO1),0)</f>
        <v>3</v>
      </c>
      <c r="AGP3" s="322">
        <f ca="1">IF(OFFSET('Player Game Board'!Q10,0,AGO1)&lt;&gt;"",OFFSET('Player Game Board'!Q10,0,AGO1),0)</f>
        <v>1</v>
      </c>
      <c r="AGQ3" s="319" t="str">
        <f t="shared" ref="AGQ3:AGQ38" si="67">ABS3</f>
        <v>Scotland</v>
      </c>
      <c r="AGR3" s="319" t="str">
        <f ca="1">IF(AND(OFFSET('Player Game Board'!P10,0,AGO1)&lt;&gt;"",OFFSET('Player Game Board'!Q10,0,AGO1)&lt;&gt;""),IF(AGO3&gt;AGP3,"W",IF(AGO3=AGP3,"D","L")),"")</f>
        <v>W</v>
      </c>
      <c r="AGS3" s="319" t="str">
        <f t="shared" ref="AGS3:AGS18" ca="1" si="68">IF(AGR3&lt;&gt;"",IF(AGR3="W","L",IF(AGR3="L","W","D")),"")</f>
        <v>L</v>
      </c>
      <c r="AGT3" s="319"/>
      <c r="AGU3" s="319"/>
      <c r="AGV3" s="319" t="str">
        <f t="shared" ref="AGV3" ca="1" si="69">VLOOKUP(3,ACO4:ACP7,2,FALSE)</f>
        <v>Scotland</v>
      </c>
      <c r="AGW3" s="320">
        <f t="shared" ref="AGW3" ca="1" si="70">VLOOKUP(AGV3,ACP4:ACU40,2,FALSE)</f>
        <v>1</v>
      </c>
      <c r="AGX3" s="320">
        <f t="shared" ref="AGX3" ca="1" si="71">VLOOKUP(AGV3,ACP4:ACU40,3,FALSE)</f>
        <v>1</v>
      </c>
      <c r="AGY3" s="320">
        <f t="shared" ref="AGY3" ca="1" si="72">VLOOKUP(AGV3,ACP4:ACU40,4,FALSE)</f>
        <v>1</v>
      </c>
      <c r="AGZ3" s="320">
        <f t="shared" ref="AGZ3" ca="1" si="73">VLOOKUP(AGV3,ACP4:ACU40,5,FALSE)</f>
        <v>4</v>
      </c>
      <c r="AHA3" s="320">
        <f t="shared" ref="AHA3" ca="1" si="74">VLOOKUP(AGV3,ACP4:ACU40,6,FALSE)</f>
        <v>5</v>
      </c>
      <c r="AHB3" s="320">
        <f t="shared" ref="AHB3:AHB8" ca="1" si="75">AGZ3-AHA3+1000</f>
        <v>999</v>
      </c>
      <c r="AHC3" s="320">
        <f t="shared" ref="AHC3:AHC8" ca="1" si="76">AGW3*3+AGX3*1</f>
        <v>4</v>
      </c>
      <c r="AHD3" s="319">
        <f ca="1">VLOOKUP(AGV3,B4:J40,9,FALSE)</f>
        <v>43</v>
      </c>
      <c r="AHE3" s="319">
        <f t="shared" ref="AHE3" ca="1" si="77">RANK(AHC3,AHC3:AHC8)</f>
        <v>1</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1</v>
      </c>
      <c r="AHI3" s="319">
        <f t="shared" ref="AHI3:AHI8" ca="1" si="81">SUM(AHE3:AHH3)</f>
        <v>2</v>
      </c>
      <c r="AHJ3" s="319" t="s">
        <v>101</v>
      </c>
      <c r="AHK3" s="319">
        <v>1</v>
      </c>
      <c r="AHL3" s="319"/>
      <c r="AHM3" s="319"/>
      <c r="AHN3" s="319"/>
      <c r="AHO3" s="319" t="s">
        <v>152</v>
      </c>
      <c r="AHP3" s="319" t="s">
        <v>104</v>
      </c>
      <c r="AHQ3" s="319" t="s">
        <v>153</v>
      </c>
      <c r="AHR3" s="319" t="s">
        <v>330</v>
      </c>
      <c r="AHS3" s="319" t="s">
        <v>331</v>
      </c>
      <c r="AHT3" s="319" t="s">
        <v>338</v>
      </c>
      <c r="AHU3" s="319" t="s">
        <v>260</v>
      </c>
      <c r="AHV3" s="319" t="s">
        <v>339</v>
      </c>
      <c r="AHW3" s="319" t="s">
        <v>340</v>
      </c>
      <c r="AHX3" s="319"/>
      <c r="AHY3" s="319" t="s">
        <v>341</v>
      </c>
      <c r="AHZ3" s="319"/>
      <c r="AIA3" s="319"/>
      <c r="AIB3" s="319" t="s">
        <v>342</v>
      </c>
      <c r="AIC3" s="319" t="s">
        <v>343</v>
      </c>
      <c r="AID3" s="319" t="s">
        <v>344</v>
      </c>
      <c r="AIE3" s="319" t="s">
        <v>345</v>
      </c>
      <c r="AIF3" s="319"/>
      <c r="AIG3" s="319" t="s">
        <v>346</v>
      </c>
      <c r="AIH3" s="319" t="s">
        <v>152</v>
      </c>
      <c r="AII3" s="319" t="s">
        <v>104</v>
      </c>
      <c r="AIJ3" s="319" t="s">
        <v>153</v>
      </c>
      <c r="AIK3" s="319" t="s">
        <v>330</v>
      </c>
      <c r="AIL3" s="319" t="s">
        <v>331</v>
      </c>
      <c r="AIM3" s="319" t="s">
        <v>338</v>
      </c>
      <c r="AIN3" s="319" t="s">
        <v>151</v>
      </c>
      <c r="AIO3" s="319" t="s">
        <v>347</v>
      </c>
      <c r="AIP3" s="319" t="s">
        <v>348</v>
      </c>
      <c r="AIQ3" s="319" t="s">
        <v>333</v>
      </c>
      <c r="AIR3" s="319" t="s">
        <v>155</v>
      </c>
      <c r="AIS3" s="319" t="s">
        <v>349</v>
      </c>
      <c r="AIT3" s="319" t="s">
        <v>332</v>
      </c>
      <c r="AIU3" s="319" t="s">
        <v>330</v>
      </c>
      <c r="AIV3" s="319" t="s">
        <v>350</v>
      </c>
      <c r="AIW3" s="319" t="s">
        <v>348</v>
      </c>
      <c r="AIX3" s="319" t="s">
        <v>333</v>
      </c>
      <c r="AIY3" s="319" t="s">
        <v>351</v>
      </c>
      <c r="AIZ3" s="319"/>
      <c r="AJA3" s="319" t="s">
        <v>346</v>
      </c>
      <c r="AJB3" s="319" t="s">
        <v>152</v>
      </c>
      <c r="AJC3" s="319" t="s">
        <v>104</v>
      </c>
      <c r="AJD3" s="319" t="s">
        <v>153</v>
      </c>
      <c r="AJE3" s="319" t="s">
        <v>330</v>
      </c>
      <c r="AJF3" s="319" t="s">
        <v>331</v>
      </c>
      <c r="AJG3" s="319" t="s">
        <v>338</v>
      </c>
      <c r="AJH3" s="319" t="s">
        <v>151</v>
      </c>
      <c r="AJI3" s="319" t="s">
        <v>347</v>
      </c>
      <c r="AJJ3" s="319" t="s">
        <v>348</v>
      </c>
      <c r="AJK3" s="319" t="s">
        <v>333</v>
      </c>
      <c r="AJL3" s="319" t="s">
        <v>155</v>
      </c>
      <c r="AJM3" s="319" t="s">
        <v>349</v>
      </c>
      <c r="AJN3" s="319" t="s">
        <v>332</v>
      </c>
      <c r="AJO3" s="319" t="s">
        <v>330</v>
      </c>
      <c r="AJP3" s="319" t="s">
        <v>350</v>
      </c>
      <c r="AJQ3" s="319" t="s">
        <v>348</v>
      </c>
      <c r="AJR3" s="319" t="s">
        <v>333</v>
      </c>
      <c r="AJS3" s="319" t="s">
        <v>351</v>
      </c>
      <c r="AJT3" s="319"/>
      <c r="AJU3" s="319" t="s">
        <v>346</v>
      </c>
      <c r="AJV3" s="319" t="s">
        <v>152</v>
      </c>
      <c r="AJW3" s="319" t="s">
        <v>104</v>
      </c>
      <c r="AJX3" s="319" t="s">
        <v>153</v>
      </c>
      <c r="AJY3" s="319" t="s">
        <v>330</v>
      </c>
      <c r="AJZ3" s="319" t="s">
        <v>331</v>
      </c>
      <c r="AKA3" s="319" t="s">
        <v>338</v>
      </c>
      <c r="AKB3" s="319" t="s">
        <v>151</v>
      </c>
      <c r="AKC3" s="319" t="s">
        <v>347</v>
      </c>
      <c r="AKD3" s="319" t="s">
        <v>348</v>
      </c>
      <c r="AKE3" s="319" t="s">
        <v>333</v>
      </c>
      <c r="AKF3" s="319" t="s">
        <v>155</v>
      </c>
      <c r="AKG3" s="319" t="s">
        <v>349</v>
      </c>
      <c r="AKH3" s="319" t="s">
        <v>332</v>
      </c>
      <c r="AKI3" s="319" t="s">
        <v>330</v>
      </c>
      <c r="AKJ3" s="319" t="s">
        <v>347</v>
      </c>
      <c r="AKK3" s="319" t="s">
        <v>348</v>
      </c>
      <c r="AKL3" s="319" t="s">
        <v>333</v>
      </c>
      <c r="AKM3" s="319" t="s">
        <v>351</v>
      </c>
      <c r="AKN3" s="319"/>
      <c r="AKO3" s="319" t="s">
        <v>346</v>
      </c>
      <c r="AKP3" s="319" t="s">
        <v>152</v>
      </c>
      <c r="AKQ3" s="319" t="s">
        <v>104</v>
      </c>
      <c r="AKR3" s="319" t="s">
        <v>153</v>
      </c>
      <c r="AKS3" s="319" t="s">
        <v>330</v>
      </c>
      <c r="AKT3" s="319" t="s">
        <v>331</v>
      </c>
      <c r="AKU3" s="319" t="s">
        <v>338</v>
      </c>
      <c r="AKV3" s="319" t="s">
        <v>151</v>
      </c>
      <c r="AKW3" s="319" t="s">
        <v>347</v>
      </c>
      <c r="AKX3" s="319" t="s">
        <v>348</v>
      </c>
      <c r="AKY3" s="319" t="s">
        <v>333</v>
      </c>
      <c r="AKZ3" s="319" t="s">
        <v>155</v>
      </c>
      <c r="ALA3" s="319" t="s">
        <v>349</v>
      </c>
      <c r="ALB3" s="319" t="s">
        <v>332</v>
      </c>
      <c r="ALC3" s="319" t="s">
        <v>330</v>
      </c>
      <c r="ALD3" s="319" t="s">
        <v>347</v>
      </c>
      <c r="ALE3" s="319" t="s">
        <v>348</v>
      </c>
      <c r="ALF3" s="319" t="s">
        <v>333</v>
      </c>
      <c r="ALG3" s="319" t="s">
        <v>351</v>
      </c>
      <c r="ALH3" s="319"/>
      <c r="ALI3" s="319"/>
      <c r="ALJ3" s="319"/>
      <c r="ALK3" s="319">
        <v>1</v>
      </c>
      <c r="ALL3" s="319" t="str">
        <f t="shared" ref="ALL3:ALL38" si="82">AGN3</f>
        <v>Germany</v>
      </c>
      <c r="ALM3" s="322">
        <f ca="1">IF(OFFSET('Player Game Board'!P10,0,ALM1)&lt;&gt;"",OFFSET('Player Game Board'!P10,0,ALM1),0)</f>
        <v>0</v>
      </c>
      <c r="ALN3" s="322">
        <f ca="1">IF(OFFSET('Player Game Board'!Q10,0,ALM1)&lt;&gt;"",OFFSET('Player Game Board'!Q10,0,ALM1),0)</f>
        <v>0</v>
      </c>
      <c r="ALO3" s="319" t="str">
        <f t="shared" ref="ALO3:ALO38" si="83">AGQ3</f>
        <v>Scotland</v>
      </c>
      <c r="ALP3" s="319" t="str">
        <f ca="1">IF(AND(OFFSET('Player Game Board'!P10,0,ALM1)&lt;&gt;"",OFFSET('Player Game Board'!Q10,0,ALM1)&lt;&gt;""),IF(ALM3&gt;ALN3,"W",IF(ALM3=ALN3,"D","L")),"")</f>
        <v/>
      </c>
      <c r="ALQ3" s="319" t="str">
        <f t="shared" ref="ALQ3:ALQ18" ca="1" si="84">IF(ALP3&lt;&gt;"",IF(ALP3="W","L",IF(ALP3="L","W","D")),"")</f>
        <v/>
      </c>
      <c r="ALR3" s="319"/>
      <c r="ALS3" s="319"/>
      <c r="ALT3" s="319" t="str">
        <f t="shared" ref="ALT3" ca="1" si="85">VLOOKUP(3,AHM4:AHN7,2,FALSE)</f>
        <v>Scotland</v>
      </c>
      <c r="ALU3" s="320">
        <f t="shared" ref="ALU3" ca="1" si="86">VLOOKUP(ALT3,AHN4:AHS40,2,FALSE)</f>
        <v>0</v>
      </c>
      <c r="ALV3" s="320">
        <f t="shared" ref="ALV3" ca="1" si="87">VLOOKUP(ALT3,AHN4:AHS40,3,FALSE)</f>
        <v>0</v>
      </c>
      <c r="ALW3" s="320">
        <f t="shared" ref="ALW3" ca="1" si="88">VLOOKUP(ALT3,AHN4:AHS40,4,FALSE)</f>
        <v>0</v>
      </c>
      <c r="ALX3" s="320">
        <f t="shared" ref="ALX3" ca="1" si="89">VLOOKUP(ALT3,AHN4:AHS40,5,FALSE)</f>
        <v>0</v>
      </c>
      <c r="ALY3" s="320">
        <f t="shared" ref="ALY3" ca="1" si="90">VLOOKUP(ALT3,AHN4:AHS40,6,FALSE)</f>
        <v>0</v>
      </c>
      <c r="ALZ3" s="320">
        <f t="shared" ref="ALZ3:ALZ8" ca="1" si="91">ALX3-ALY3+1000</f>
        <v>1000</v>
      </c>
      <c r="AMA3" s="320">
        <f t="shared" ref="AMA3:AMA8" ca="1" si="92">ALU3*3+ALV3*1</f>
        <v>0</v>
      </c>
      <c r="AMB3" s="319">
        <f ca="1">VLOOKUP(ALT3,B4:J40,9,FALSE)</f>
        <v>43</v>
      </c>
      <c r="AMC3" s="319">
        <f t="shared" ref="AMC3" ca="1" si="93">RANK(AMA3,AMA3:AMA8)</f>
        <v>1</v>
      </c>
      <c r="AMD3" s="319">
        <f t="shared" ref="AMD3" ca="1" si="94">SUMPRODUCT((AMC3:AMC8=AMC3)*(ALZ3:ALZ8&gt;ALZ3))</f>
        <v>0</v>
      </c>
      <c r="AME3" s="319">
        <f t="shared" ref="AME3" ca="1" si="95">SUMPRODUCT((AMC3:AMC8=AMC3)*(ALZ3:ALZ8=ALZ3)*(ALX3:ALX8&gt;ALX3))</f>
        <v>0</v>
      </c>
      <c r="AMF3" s="319">
        <f t="shared" ref="AMF3" ca="1" si="96">SUMPRODUCT((AMC3:AMC8=AMC3)*(ALZ3:ALZ8=ALZ3)*(ALX3:ALX8=ALX3)*(AMB3:AMB8&gt;AMB3))</f>
        <v>0</v>
      </c>
      <c r="AMG3" s="319">
        <f t="shared" ref="AMG3:AMG8" ca="1" si="97">SUM(AMC3:AMF3)</f>
        <v>1</v>
      </c>
      <c r="AMH3" s="319" t="s">
        <v>101</v>
      </c>
      <c r="AMI3" s="319">
        <v>1</v>
      </c>
      <c r="AMJ3" s="319"/>
      <c r="AMK3" s="319"/>
      <c r="AML3" s="319"/>
      <c r="AMM3" s="319" t="s">
        <v>152</v>
      </c>
      <c r="AMN3" s="319" t="s">
        <v>104</v>
      </c>
      <c r="AMO3" s="319" t="s">
        <v>153</v>
      </c>
      <c r="AMP3" s="319" t="s">
        <v>330</v>
      </c>
      <c r="AMQ3" s="319" t="s">
        <v>331</v>
      </c>
      <c r="AMR3" s="319" t="s">
        <v>338</v>
      </c>
      <c r="AMS3" s="319" t="s">
        <v>260</v>
      </c>
      <c r="AMT3" s="319" t="s">
        <v>339</v>
      </c>
      <c r="AMU3" s="319" t="s">
        <v>340</v>
      </c>
      <c r="AMV3" s="319"/>
      <c r="AMW3" s="319" t="s">
        <v>341</v>
      </c>
      <c r="AMX3" s="319"/>
      <c r="AMY3" s="319"/>
      <c r="AMZ3" s="319" t="s">
        <v>342</v>
      </c>
      <c r="ANA3" s="319" t="s">
        <v>343</v>
      </c>
      <c r="ANB3" s="319" t="s">
        <v>344</v>
      </c>
      <c r="ANC3" s="319" t="s">
        <v>345</v>
      </c>
      <c r="AND3" s="319"/>
      <c r="ANE3" s="319" t="s">
        <v>346</v>
      </c>
      <c r="ANF3" s="319" t="s">
        <v>152</v>
      </c>
      <c r="ANG3" s="319" t="s">
        <v>104</v>
      </c>
      <c r="ANH3" s="319" t="s">
        <v>153</v>
      </c>
      <c r="ANI3" s="319" t="s">
        <v>330</v>
      </c>
      <c r="ANJ3" s="319" t="s">
        <v>331</v>
      </c>
      <c r="ANK3" s="319" t="s">
        <v>338</v>
      </c>
      <c r="ANL3" s="319" t="s">
        <v>151</v>
      </c>
      <c r="ANM3" s="319" t="s">
        <v>347</v>
      </c>
      <c r="ANN3" s="319" t="s">
        <v>348</v>
      </c>
      <c r="ANO3" s="319" t="s">
        <v>333</v>
      </c>
      <c r="ANP3" s="319" t="s">
        <v>155</v>
      </c>
      <c r="ANQ3" s="319" t="s">
        <v>349</v>
      </c>
      <c r="ANR3" s="319" t="s">
        <v>332</v>
      </c>
      <c r="ANS3" s="319" t="s">
        <v>330</v>
      </c>
      <c r="ANT3" s="319" t="s">
        <v>350</v>
      </c>
      <c r="ANU3" s="319" t="s">
        <v>348</v>
      </c>
      <c r="ANV3" s="319" t="s">
        <v>333</v>
      </c>
      <c r="ANW3" s="319" t="s">
        <v>351</v>
      </c>
      <c r="ANX3" s="319"/>
      <c r="ANY3" s="319" t="s">
        <v>346</v>
      </c>
      <c r="ANZ3" s="319" t="s">
        <v>152</v>
      </c>
      <c r="AOA3" s="319" t="s">
        <v>104</v>
      </c>
      <c r="AOB3" s="319" t="s">
        <v>153</v>
      </c>
      <c r="AOC3" s="319" t="s">
        <v>330</v>
      </c>
      <c r="AOD3" s="319" t="s">
        <v>331</v>
      </c>
      <c r="AOE3" s="319" t="s">
        <v>338</v>
      </c>
      <c r="AOF3" s="319" t="s">
        <v>151</v>
      </c>
      <c r="AOG3" s="319" t="s">
        <v>347</v>
      </c>
      <c r="AOH3" s="319" t="s">
        <v>348</v>
      </c>
      <c r="AOI3" s="319" t="s">
        <v>333</v>
      </c>
      <c r="AOJ3" s="319" t="s">
        <v>155</v>
      </c>
      <c r="AOK3" s="319" t="s">
        <v>349</v>
      </c>
      <c r="AOL3" s="319" t="s">
        <v>332</v>
      </c>
      <c r="AOM3" s="319" t="s">
        <v>330</v>
      </c>
      <c r="AON3" s="319" t="s">
        <v>350</v>
      </c>
      <c r="AOO3" s="319" t="s">
        <v>348</v>
      </c>
      <c r="AOP3" s="319" t="s">
        <v>333</v>
      </c>
      <c r="AOQ3" s="319" t="s">
        <v>351</v>
      </c>
      <c r="AOR3" s="319"/>
      <c r="AOS3" s="319" t="s">
        <v>346</v>
      </c>
      <c r="AOT3" s="319" t="s">
        <v>152</v>
      </c>
      <c r="AOU3" s="319" t="s">
        <v>104</v>
      </c>
      <c r="AOV3" s="319" t="s">
        <v>153</v>
      </c>
      <c r="AOW3" s="319" t="s">
        <v>330</v>
      </c>
      <c r="AOX3" s="319" t="s">
        <v>331</v>
      </c>
      <c r="AOY3" s="319" t="s">
        <v>338</v>
      </c>
      <c r="AOZ3" s="319" t="s">
        <v>151</v>
      </c>
      <c r="APA3" s="319" t="s">
        <v>347</v>
      </c>
      <c r="APB3" s="319" t="s">
        <v>348</v>
      </c>
      <c r="APC3" s="319" t="s">
        <v>333</v>
      </c>
      <c r="APD3" s="319" t="s">
        <v>155</v>
      </c>
      <c r="APE3" s="319" t="s">
        <v>349</v>
      </c>
      <c r="APF3" s="319" t="s">
        <v>332</v>
      </c>
      <c r="APG3" s="319" t="s">
        <v>330</v>
      </c>
      <c r="APH3" s="319" t="s">
        <v>347</v>
      </c>
      <c r="API3" s="319" t="s">
        <v>348</v>
      </c>
      <c r="APJ3" s="319" t="s">
        <v>333</v>
      </c>
      <c r="APK3" s="319" t="s">
        <v>351</v>
      </c>
      <c r="APL3" s="319"/>
      <c r="APM3" s="319" t="s">
        <v>346</v>
      </c>
      <c r="APN3" s="319" t="s">
        <v>152</v>
      </c>
      <c r="APO3" s="319" t="s">
        <v>104</v>
      </c>
      <c r="APP3" s="319" t="s">
        <v>153</v>
      </c>
      <c r="APQ3" s="319" t="s">
        <v>330</v>
      </c>
      <c r="APR3" s="319" t="s">
        <v>331</v>
      </c>
      <c r="APS3" s="319" t="s">
        <v>338</v>
      </c>
      <c r="APT3" s="319" t="s">
        <v>151</v>
      </c>
      <c r="APU3" s="319" t="s">
        <v>347</v>
      </c>
      <c r="APV3" s="319" t="s">
        <v>348</v>
      </c>
      <c r="APW3" s="319" t="s">
        <v>333</v>
      </c>
      <c r="APX3" s="319" t="s">
        <v>155</v>
      </c>
      <c r="APY3" s="319" t="s">
        <v>349</v>
      </c>
      <c r="APZ3" s="319" t="s">
        <v>332</v>
      </c>
      <c r="AQA3" s="319" t="s">
        <v>330</v>
      </c>
      <c r="AQB3" s="319" t="s">
        <v>347</v>
      </c>
      <c r="AQC3" s="319" t="s">
        <v>348</v>
      </c>
      <c r="AQD3" s="319" t="s">
        <v>333</v>
      </c>
      <c r="AQE3" s="319" t="s">
        <v>351</v>
      </c>
      <c r="AQF3" s="319"/>
      <c r="AQG3" s="319"/>
      <c r="AQH3" s="319"/>
      <c r="AQI3" s="319">
        <v>1</v>
      </c>
      <c r="AQJ3" s="319" t="str">
        <f t="shared" ref="AQJ3:AQJ38" si="98">ALL3</f>
        <v>Germany</v>
      </c>
      <c r="AQK3" s="322">
        <f ca="1">IF(OFFSET('Player Game Board'!P10,0,AQK1)&lt;&gt;"",OFFSET('Player Game Board'!P10,0,AQK1),0)</f>
        <v>0</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
      </c>
      <c r="AQO3" s="319" t="str">
        <f t="shared" ref="AQO3:AQO18" ca="1" si="100">IF(AQN3&lt;&gt;"",IF(AQN3="W","L",IF(AQN3="L","W","D")),"")</f>
        <v/>
      </c>
      <c r="AQP3" s="319"/>
      <c r="AQQ3" s="319"/>
      <c r="AQR3" s="319" t="str">
        <f t="shared" ref="AQR3" ca="1" si="101">VLOOKUP(3,AMK4:AML7,2,FALSE)</f>
        <v>Scotland</v>
      </c>
      <c r="AQS3" s="320">
        <f t="shared" ref="AQS3" ca="1" si="102">VLOOKUP(AQR3,AML4:AMQ40,2,FALSE)</f>
        <v>0</v>
      </c>
      <c r="AQT3" s="320">
        <f t="shared" ref="AQT3" ca="1" si="103">VLOOKUP(AQR3,AML4:AMQ40,3,FALSE)</f>
        <v>0</v>
      </c>
      <c r="AQU3" s="320">
        <f t="shared" ref="AQU3" ca="1" si="104">VLOOKUP(AQR3,AML4:AMQ40,4,FALSE)</f>
        <v>0</v>
      </c>
      <c r="AQV3" s="320">
        <f t="shared" ref="AQV3" ca="1" si="105">VLOOKUP(AQR3,AML4:AMQ40,5,FALSE)</f>
        <v>0</v>
      </c>
      <c r="AQW3" s="320">
        <f t="shared" ref="AQW3" ca="1" si="106">VLOOKUP(AQR3,AML4:AMQ40,6,FALSE)</f>
        <v>0</v>
      </c>
      <c r="AQX3" s="320">
        <f t="shared" ref="AQX3:AQX8" ca="1" si="107">AQV3-AQW3+1000</f>
        <v>1000</v>
      </c>
      <c r="AQY3" s="320">
        <f t="shared" ref="AQY3:AQY8" ca="1" si="108">AQS3*3+AQT3*1</f>
        <v>0</v>
      </c>
      <c r="AQZ3" s="319">
        <f ca="1">VLOOKUP(AQR3,B4:J40,9,FALSE)</f>
        <v>43</v>
      </c>
      <c r="ARA3" s="319">
        <f t="shared" ref="ARA3" ca="1" si="109">RANK(AQY3,AQY3:AQY8)</f>
        <v>1</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1</v>
      </c>
      <c r="ARF3" s="319" t="s">
        <v>101</v>
      </c>
      <c r="ARG3" s="319">
        <v>1</v>
      </c>
      <c r="ARH3" s="319"/>
      <c r="ARI3" s="319"/>
      <c r="ARJ3" s="319"/>
      <c r="ARK3" s="319" t="s">
        <v>152</v>
      </c>
      <c r="ARL3" s="319" t="s">
        <v>104</v>
      </c>
      <c r="ARM3" s="319" t="s">
        <v>153</v>
      </c>
      <c r="ARN3" s="319" t="s">
        <v>330</v>
      </c>
      <c r="ARO3" s="319" t="s">
        <v>331</v>
      </c>
      <c r="ARP3" s="319" t="s">
        <v>338</v>
      </c>
      <c r="ARQ3" s="319" t="s">
        <v>260</v>
      </c>
      <c r="ARR3" s="319" t="s">
        <v>339</v>
      </c>
      <c r="ARS3" s="319" t="s">
        <v>340</v>
      </c>
      <c r="ART3" s="319"/>
      <c r="ARU3" s="319" t="s">
        <v>341</v>
      </c>
      <c r="ARV3" s="319"/>
      <c r="ARW3" s="319"/>
      <c r="ARX3" s="319" t="s">
        <v>342</v>
      </c>
      <c r="ARY3" s="319" t="s">
        <v>343</v>
      </c>
      <c r="ARZ3" s="319" t="s">
        <v>344</v>
      </c>
      <c r="ASA3" s="319" t="s">
        <v>345</v>
      </c>
      <c r="ASB3" s="319"/>
      <c r="ASC3" s="319" t="s">
        <v>346</v>
      </c>
      <c r="ASD3" s="319" t="s">
        <v>152</v>
      </c>
      <c r="ASE3" s="319" t="s">
        <v>104</v>
      </c>
      <c r="ASF3" s="319" t="s">
        <v>153</v>
      </c>
      <c r="ASG3" s="319" t="s">
        <v>330</v>
      </c>
      <c r="ASH3" s="319" t="s">
        <v>331</v>
      </c>
      <c r="ASI3" s="319" t="s">
        <v>338</v>
      </c>
      <c r="ASJ3" s="319" t="s">
        <v>151</v>
      </c>
      <c r="ASK3" s="319" t="s">
        <v>347</v>
      </c>
      <c r="ASL3" s="319" t="s">
        <v>348</v>
      </c>
      <c r="ASM3" s="319" t="s">
        <v>333</v>
      </c>
      <c r="ASN3" s="319" t="s">
        <v>155</v>
      </c>
      <c r="ASO3" s="319" t="s">
        <v>349</v>
      </c>
      <c r="ASP3" s="319" t="s">
        <v>332</v>
      </c>
      <c r="ASQ3" s="319" t="s">
        <v>330</v>
      </c>
      <c r="ASR3" s="319" t="s">
        <v>350</v>
      </c>
      <c r="ASS3" s="319" t="s">
        <v>348</v>
      </c>
      <c r="AST3" s="319" t="s">
        <v>333</v>
      </c>
      <c r="ASU3" s="319" t="s">
        <v>351</v>
      </c>
      <c r="ASV3" s="319"/>
      <c r="ASW3" s="319" t="s">
        <v>346</v>
      </c>
      <c r="ASX3" s="319" t="s">
        <v>152</v>
      </c>
      <c r="ASY3" s="319" t="s">
        <v>104</v>
      </c>
      <c r="ASZ3" s="319" t="s">
        <v>153</v>
      </c>
      <c r="ATA3" s="319" t="s">
        <v>330</v>
      </c>
      <c r="ATB3" s="319" t="s">
        <v>331</v>
      </c>
      <c r="ATC3" s="319" t="s">
        <v>338</v>
      </c>
      <c r="ATD3" s="319" t="s">
        <v>151</v>
      </c>
      <c r="ATE3" s="319" t="s">
        <v>347</v>
      </c>
      <c r="ATF3" s="319" t="s">
        <v>348</v>
      </c>
      <c r="ATG3" s="319" t="s">
        <v>333</v>
      </c>
      <c r="ATH3" s="319" t="s">
        <v>155</v>
      </c>
      <c r="ATI3" s="319" t="s">
        <v>349</v>
      </c>
      <c r="ATJ3" s="319" t="s">
        <v>332</v>
      </c>
      <c r="ATK3" s="319" t="s">
        <v>330</v>
      </c>
      <c r="ATL3" s="319" t="s">
        <v>350</v>
      </c>
      <c r="ATM3" s="319" t="s">
        <v>348</v>
      </c>
      <c r="ATN3" s="319" t="s">
        <v>333</v>
      </c>
      <c r="ATO3" s="319" t="s">
        <v>351</v>
      </c>
      <c r="ATP3" s="319"/>
      <c r="ATQ3" s="319" t="s">
        <v>346</v>
      </c>
      <c r="ATR3" s="319" t="s">
        <v>152</v>
      </c>
      <c r="ATS3" s="319" t="s">
        <v>104</v>
      </c>
      <c r="ATT3" s="319" t="s">
        <v>153</v>
      </c>
      <c r="ATU3" s="319" t="s">
        <v>330</v>
      </c>
      <c r="ATV3" s="319" t="s">
        <v>331</v>
      </c>
      <c r="ATW3" s="319" t="s">
        <v>338</v>
      </c>
      <c r="ATX3" s="319" t="s">
        <v>151</v>
      </c>
      <c r="ATY3" s="319" t="s">
        <v>347</v>
      </c>
      <c r="ATZ3" s="319" t="s">
        <v>348</v>
      </c>
      <c r="AUA3" s="319" t="s">
        <v>333</v>
      </c>
      <c r="AUB3" s="319" t="s">
        <v>155</v>
      </c>
      <c r="AUC3" s="319" t="s">
        <v>349</v>
      </c>
      <c r="AUD3" s="319" t="s">
        <v>332</v>
      </c>
      <c r="AUE3" s="319" t="s">
        <v>330</v>
      </c>
      <c r="AUF3" s="319" t="s">
        <v>347</v>
      </c>
      <c r="AUG3" s="319" t="s">
        <v>348</v>
      </c>
      <c r="AUH3" s="319" t="s">
        <v>333</v>
      </c>
      <c r="AUI3" s="319" t="s">
        <v>351</v>
      </c>
      <c r="AUJ3" s="319"/>
      <c r="AUK3" s="319" t="s">
        <v>346</v>
      </c>
      <c r="AUL3" s="319" t="s">
        <v>152</v>
      </c>
      <c r="AUM3" s="319" t="s">
        <v>104</v>
      </c>
      <c r="AUN3" s="319" t="s">
        <v>153</v>
      </c>
      <c r="AUO3" s="319" t="s">
        <v>330</v>
      </c>
      <c r="AUP3" s="319" t="s">
        <v>331</v>
      </c>
      <c r="AUQ3" s="319" t="s">
        <v>338</v>
      </c>
      <c r="AUR3" s="319" t="s">
        <v>151</v>
      </c>
      <c r="AUS3" s="319" t="s">
        <v>347</v>
      </c>
      <c r="AUT3" s="319" t="s">
        <v>348</v>
      </c>
      <c r="AUU3" s="319" t="s">
        <v>333</v>
      </c>
      <c r="AUV3" s="319" t="s">
        <v>155</v>
      </c>
      <c r="AUW3" s="319" t="s">
        <v>349</v>
      </c>
      <c r="AUX3" s="319" t="s">
        <v>332</v>
      </c>
      <c r="AUY3" s="319" t="s">
        <v>330</v>
      </c>
      <c r="AUZ3" s="319" t="s">
        <v>347</v>
      </c>
      <c r="AVA3" s="319" t="s">
        <v>348</v>
      </c>
      <c r="AVB3" s="319" t="s">
        <v>333</v>
      </c>
      <c r="AVC3" s="319" t="s">
        <v>351</v>
      </c>
      <c r="AVD3" s="319"/>
      <c r="AVE3" s="319"/>
      <c r="AVF3" s="319"/>
      <c r="AVG3" s="319">
        <v>1</v>
      </c>
      <c r="AVH3" s="319" t="str">
        <f t="shared" ref="AVH3:AVH38" si="114">AQJ3</f>
        <v>Germany</v>
      </c>
      <c r="AVI3" s="322">
        <f ca="1">IF(OFFSET('Player Game Board'!P10,0,AVI1)&lt;&gt;"",OFFSET('Player Game Board'!P10,0,AVI1),0)</f>
        <v>0</v>
      </c>
      <c r="AVJ3" s="322">
        <f ca="1">IF(OFFSET('Player Game Board'!Q10,0,AVI1)&lt;&gt;"",OFFSET('Player Game Board'!Q10,0,AVI1),0)</f>
        <v>0</v>
      </c>
      <c r="AVK3" s="319" t="str">
        <f t="shared" ref="AVK3:AVK38" si="115">AQM3</f>
        <v>Scotland</v>
      </c>
      <c r="AVL3" s="319" t="str">
        <f ca="1">IF(AND(OFFSET('Player Game Board'!P10,0,AVI1)&lt;&gt;"",OFFSET('Player Game Board'!Q10,0,AVI1)&lt;&gt;""),IF(AVI3&gt;AVJ3,"W",IF(AVI3=AVJ3,"D","L")),"")</f>
        <v/>
      </c>
      <c r="AVM3" s="319" t="str">
        <f t="shared" ref="AVM3:AVM18" ca="1" si="116">IF(AVL3&lt;&gt;"",IF(AVL3="W","L",IF(AVL3="L","W","D")),"")</f>
        <v/>
      </c>
      <c r="AVN3" s="319"/>
      <c r="AVO3" s="319"/>
      <c r="AVP3" s="319" t="str">
        <f t="shared" ref="AVP3" ca="1" si="117">VLOOKUP(3,ARI4:ARJ7,2,FALSE)</f>
        <v>Scotland</v>
      </c>
      <c r="AVQ3" s="320">
        <f t="shared" ref="AVQ3" ca="1" si="118">VLOOKUP(AVP3,ARJ4:ARO40,2,FALSE)</f>
        <v>0</v>
      </c>
      <c r="AVR3" s="320">
        <f t="shared" ref="AVR3" ca="1" si="119">VLOOKUP(AVP3,ARJ4:ARO40,3,FALSE)</f>
        <v>0</v>
      </c>
      <c r="AVS3" s="320">
        <f t="shared" ref="AVS3" ca="1" si="120">VLOOKUP(AVP3,ARJ4:ARO40,4,FALSE)</f>
        <v>0</v>
      </c>
      <c r="AVT3" s="320">
        <f t="shared" ref="AVT3" ca="1" si="121">VLOOKUP(AVP3,ARJ4:ARO40,5,FALSE)</f>
        <v>0</v>
      </c>
      <c r="AVU3" s="320">
        <f t="shared" ref="AVU3" ca="1" si="122">VLOOKUP(AVP3,ARJ4:ARO40,6,FALSE)</f>
        <v>0</v>
      </c>
      <c r="AVV3" s="320">
        <f t="shared" ref="AVV3:AVV8" ca="1" si="123">AVT3-AVU3+1000</f>
        <v>1000</v>
      </c>
      <c r="AVW3" s="320">
        <f t="shared" ref="AVW3:AVW8" ca="1" si="124">AVQ3*3+AVR3*1</f>
        <v>0</v>
      </c>
      <c r="AVX3" s="319">
        <f ca="1">VLOOKUP(AVP3,B4:J40,9,FALSE)</f>
        <v>43</v>
      </c>
      <c r="AVY3" s="319">
        <f t="shared" ref="AVY3" ca="1" si="125">RANK(AVW3,AVW3:AVW8)</f>
        <v>1</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1</v>
      </c>
      <c r="AWD3" s="319" t="s">
        <v>101</v>
      </c>
      <c r="AWE3" s="319">
        <v>1</v>
      </c>
      <c r="AWF3" s="319"/>
      <c r="AWG3" s="319"/>
      <c r="AWH3" s="319"/>
      <c r="AWI3" s="319" t="s">
        <v>152</v>
      </c>
      <c r="AWJ3" s="319" t="s">
        <v>104</v>
      </c>
      <c r="AWK3" s="319" t="s">
        <v>153</v>
      </c>
      <c r="AWL3" s="319" t="s">
        <v>330</v>
      </c>
      <c r="AWM3" s="319" t="s">
        <v>331</v>
      </c>
      <c r="AWN3" s="319" t="s">
        <v>338</v>
      </c>
      <c r="AWO3" s="319" t="s">
        <v>260</v>
      </c>
      <c r="AWP3" s="319" t="s">
        <v>339</v>
      </c>
      <c r="AWQ3" s="319" t="s">
        <v>340</v>
      </c>
      <c r="AWR3" s="319"/>
      <c r="AWS3" s="319" t="s">
        <v>341</v>
      </c>
      <c r="AWT3" s="319"/>
      <c r="AWU3" s="319"/>
      <c r="AWV3" s="319" t="s">
        <v>342</v>
      </c>
      <c r="AWW3" s="319" t="s">
        <v>343</v>
      </c>
      <c r="AWX3" s="319" t="s">
        <v>344</v>
      </c>
      <c r="AWY3" s="319" t="s">
        <v>345</v>
      </c>
      <c r="AWZ3" s="319"/>
      <c r="AXA3" s="319" t="s">
        <v>346</v>
      </c>
      <c r="AXB3" s="319" t="s">
        <v>152</v>
      </c>
      <c r="AXC3" s="319" t="s">
        <v>104</v>
      </c>
      <c r="AXD3" s="319" t="s">
        <v>153</v>
      </c>
      <c r="AXE3" s="319" t="s">
        <v>330</v>
      </c>
      <c r="AXF3" s="319" t="s">
        <v>331</v>
      </c>
      <c r="AXG3" s="319" t="s">
        <v>338</v>
      </c>
      <c r="AXH3" s="319" t="s">
        <v>151</v>
      </c>
      <c r="AXI3" s="319" t="s">
        <v>347</v>
      </c>
      <c r="AXJ3" s="319" t="s">
        <v>348</v>
      </c>
      <c r="AXK3" s="319" t="s">
        <v>333</v>
      </c>
      <c r="AXL3" s="319" t="s">
        <v>155</v>
      </c>
      <c r="AXM3" s="319" t="s">
        <v>349</v>
      </c>
      <c r="AXN3" s="319" t="s">
        <v>332</v>
      </c>
      <c r="AXO3" s="319" t="s">
        <v>330</v>
      </c>
      <c r="AXP3" s="319" t="s">
        <v>350</v>
      </c>
      <c r="AXQ3" s="319" t="s">
        <v>348</v>
      </c>
      <c r="AXR3" s="319" t="s">
        <v>333</v>
      </c>
      <c r="AXS3" s="319" t="s">
        <v>351</v>
      </c>
      <c r="AXT3" s="319"/>
      <c r="AXU3" s="319" t="s">
        <v>346</v>
      </c>
      <c r="AXV3" s="319" t="s">
        <v>152</v>
      </c>
      <c r="AXW3" s="319" t="s">
        <v>104</v>
      </c>
      <c r="AXX3" s="319" t="s">
        <v>153</v>
      </c>
      <c r="AXY3" s="319" t="s">
        <v>330</v>
      </c>
      <c r="AXZ3" s="319" t="s">
        <v>331</v>
      </c>
      <c r="AYA3" s="319" t="s">
        <v>338</v>
      </c>
      <c r="AYB3" s="319" t="s">
        <v>151</v>
      </c>
      <c r="AYC3" s="319" t="s">
        <v>347</v>
      </c>
      <c r="AYD3" s="319" t="s">
        <v>348</v>
      </c>
      <c r="AYE3" s="319" t="s">
        <v>333</v>
      </c>
      <c r="AYF3" s="319" t="s">
        <v>155</v>
      </c>
      <c r="AYG3" s="319" t="s">
        <v>349</v>
      </c>
      <c r="AYH3" s="319" t="s">
        <v>332</v>
      </c>
      <c r="AYI3" s="319" t="s">
        <v>330</v>
      </c>
      <c r="AYJ3" s="319" t="s">
        <v>350</v>
      </c>
      <c r="AYK3" s="319" t="s">
        <v>348</v>
      </c>
      <c r="AYL3" s="319" t="s">
        <v>333</v>
      </c>
      <c r="AYM3" s="319" t="s">
        <v>351</v>
      </c>
      <c r="AYN3" s="319"/>
      <c r="AYO3" s="319" t="s">
        <v>346</v>
      </c>
      <c r="AYP3" s="319" t="s">
        <v>152</v>
      </c>
      <c r="AYQ3" s="319" t="s">
        <v>104</v>
      </c>
      <c r="AYR3" s="319" t="s">
        <v>153</v>
      </c>
      <c r="AYS3" s="319" t="s">
        <v>330</v>
      </c>
      <c r="AYT3" s="319" t="s">
        <v>331</v>
      </c>
      <c r="AYU3" s="319" t="s">
        <v>338</v>
      </c>
      <c r="AYV3" s="319" t="s">
        <v>151</v>
      </c>
      <c r="AYW3" s="319" t="s">
        <v>347</v>
      </c>
      <c r="AYX3" s="319" t="s">
        <v>348</v>
      </c>
      <c r="AYY3" s="319" t="s">
        <v>333</v>
      </c>
      <c r="AYZ3" s="319" t="s">
        <v>155</v>
      </c>
      <c r="AZA3" s="319" t="s">
        <v>349</v>
      </c>
      <c r="AZB3" s="319" t="s">
        <v>332</v>
      </c>
      <c r="AZC3" s="319" t="s">
        <v>330</v>
      </c>
      <c r="AZD3" s="319" t="s">
        <v>347</v>
      </c>
      <c r="AZE3" s="319" t="s">
        <v>348</v>
      </c>
      <c r="AZF3" s="319" t="s">
        <v>333</v>
      </c>
      <c r="AZG3" s="319" t="s">
        <v>351</v>
      </c>
      <c r="AZH3" s="319"/>
      <c r="AZI3" s="319" t="s">
        <v>346</v>
      </c>
      <c r="AZJ3" s="319" t="s">
        <v>152</v>
      </c>
      <c r="AZK3" s="319" t="s">
        <v>104</v>
      </c>
      <c r="AZL3" s="319" t="s">
        <v>153</v>
      </c>
      <c r="AZM3" s="319" t="s">
        <v>330</v>
      </c>
      <c r="AZN3" s="319" t="s">
        <v>331</v>
      </c>
      <c r="AZO3" s="319" t="s">
        <v>338</v>
      </c>
      <c r="AZP3" s="319" t="s">
        <v>151</v>
      </c>
      <c r="AZQ3" s="319" t="s">
        <v>347</v>
      </c>
      <c r="AZR3" s="319" t="s">
        <v>348</v>
      </c>
      <c r="AZS3" s="319" t="s">
        <v>333</v>
      </c>
      <c r="AZT3" s="319" t="s">
        <v>155</v>
      </c>
      <c r="AZU3" s="319" t="s">
        <v>349</v>
      </c>
      <c r="AZV3" s="319" t="s">
        <v>332</v>
      </c>
      <c r="AZW3" s="319" t="s">
        <v>330</v>
      </c>
      <c r="AZX3" s="319" t="s">
        <v>347</v>
      </c>
      <c r="AZY3" s="319" t="s">
        <v>348</v>
      </c>
      <c r="AZZ3" s="319" t="s">
        <v>333</v>
      </c>
      <c r="BAA3" s="319" t="s">
        <v>351</v>
      </c>
      <c r="BAB3" s="319"/>
      <c r="BAC3" s="319"/>
      <c r="BAD3" s="319"/>
      <c r="BAE3" s="319">
        <v>1</v>
      </c>
      <c r="BAF3" s="319" t="str">
        <f t="shared" ref="BAF3:BAF38" si="130">AVH3</f>
        <v>Germany</v>
      </c>
      <c r="BAG3" s="322">
        <f ca="1">IF(OFFSET('Player Game Board'!P10,0,BAG1)&lt;&gt;"",OFFSET('Player Game Board'!P10,0,BAG1),0)</f>
        <v>0</v>
      </c>
      <c r="BAH3" s="322">
        <f ca="1">IF(OFFSET('Player Game Board'!Q10,0,BAG1)&lt;&gt;"",OFFSET('Player Game Board'!Q10,0,BAG1),0)</f>
        <v>0</v>
      </c>
      <c r="BAI3" s="319" t="str">
        <f t="shared" ref="BAI3:BAI38" si="131">AVK3</f>
        <v>Scotland</v>
      </c>
      <c r="BAJ3" s="319" t="str">
        <f ca="1">IF(AND(OFFSET('Player Game Board'!P10,0,BAG1)&lt;&gt;"",OFFSET('Player Game Board'!Q10,0,BAG1)&lt;&gt;""),IF(BAG3&gt;BAH3,"W",IF(BAG3=BAH3,"D","L")),"")</f>
        <v/>
      </c>
      <c r="BAK3" s="319" t="str">
        <f t="shared" ref="BAK3:BAK18" ca="1" si="132">IF(BAJ3&lt;&gt;"",IF(BAJ3="W","L",IF(BAJ3="L","W","D")),"")</f>
        <v/>
      </c>
      <c r="BAL3" s="319"/>
      <c r="BAM3" s="319"/>
      <c r="BAN3" s="319" t="str">
        <f t="shared" ref="BAN3" ca="1" si="133">VLOOKUP(3,AWG4:AWH7,2,FALSE)</f>
        <v>Scotland</v>
      </c>
      <c r="BAO3" s="320">
        <f t="shared" ref="BAO3" ca="1" si="134">VLOOKUP(BAN3,AWH4:AWM40,2,FALSE)</f>
        <v>0</v>
      </c>
      <c r="BAP3" s="320">
        <f t="shared" ref="BAP3" ca="1" si="135">VLOOKUP(BAN3,AWH4:AWM40,3,FALSE)</f>
        <v>0</v>
      </c>
      <c r="BAQ3" s="320">
        <f t="shared" ref="BAQ3" ca="1" si="136">VLOOKUP(BAN3,AWH4:AWM40,4,FALSE)</f>
        <v>0</v>
      </c>
      <c r="BAR3" s="320">
        <f t="shared" ref="BAR3" ca="1" si="137">VLOOKUP(BAN3,AWH4:AWM40,5,FALSE)</f>
        <v>0</v>
      </c>
      <c r="BAS3" s="320">
        <f t="shared" ref="BAS3" ca="1" si="138">VLOOKUP(BAN3,AWH4:AWM40,6,FALSE)</f>
        <v>0</v>
      </c>
      <c r="BAT3" s="320">
        <f t="shared" ref="BAT3:BAT8" ca="1" si="139">BAR3-BAS3+1000</f>
        <v>1000</v>
      </c>
      <c r="BAU3" s="320">
        <f t="shared" ref="BAU3:BAU8" ca="1" si="140">BAO3*3+BAP3*1</f>
        <v>0</v>
      </c>
      <c r="BAV3" s="319">
        <f ca="1">VLOOKUP(BAN3,B4:J40,9,FALSE)</f>
        <v>43</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101</v>
      </c>
      <c r="BBC3" s="319">
        <v>1</v>
      </c>
      <c r="BBD3" s="319"/>
      <c r="BBE3" s="319"/>
      <c r="BBF3" s="319"/>
      <c r="BBG3" s="319" t="s">
        <v>152</v>
      </c>
      <c r="BBH3" s="319" t="s">
        <v>104</v>
      </c>
      <c r="BBI3" s="319" t="s">
        <v>153</v>
      </c>
      <c r="BBJ3" s="319" t="s">
        <v>330</v>
      </c>
      <c r="BBK3" s="319" t="s">
        <v>331</v>
      </c>
      <c r="BBL3" s="319" t="s">
        <v>338</v>
      </c>
      <c r="BBM3" s="319" t="s">
        <v>260</v>
      </c>
      <c r="BBN3" s="319" t="s">
        <v>339</v>
      </c>
      <c r="BBO3" s="319" t="s">
        <v>340</v>
      </c>
      <c r="BBP3" s="319"/>
      <c r="BBQ3" s="319" t="s">
        <v>341</v>
      </c>
      <c r="BBR3" s="319"/>
      <c r="BBS3" s="319"/>
      <c r="BBT3" s="319" t="s">
        <v>342</v>
      </c>
      <c r="BBU3" s="319" t="s">
        <v>343</v>
      </c>
      <c r="BBV3" s="319" t="s">
        <v>344</v>
      </c>
      <c r="BBW3" s="319" t="s">
        <v>345</v>
      </c>
      <c r="BBX3" s="319"/>
      <c r="BBY3" s="319" t="s">
        <v>346</v>
      </c>
      <c r="BBZ3" s="319" t="s">
        <v>152</v>
      </c>
      <c r="BCA3" s="319" t="s">
        <v>104</v>
      </c>
      <c r="BCB3" s="319" t="s">
        <v>153</v>
      </c>
      <c r="BCC3" s="319" t="s">
        <v>330</v>
      </c>
      <c r="BCD3" s="319" t="s">
        <v>331</v>
      </c>
      <c r="BCE3" s="319" t="s">
        <v>338</v>
      </c>
      <c r="BCF3" s="319" t="s">
        <v>151</v>
      </c>
      <c r="BCG3" s="319" t="s">
        <v>347</v>
      </c>
      <c r="BCH3" s="319" t="s">
        <v>348</v>
      </c>
      <c r="BCI3" s="319" t="s">
        <v>333</v>
      </c>
      <c r="BCJ3" s="319" t="s">
        <v>155</v>
      </c>
      <c r="BCK3" s="319" t="s">
        <v>349</v>
      </c>
      <c r="BCL3" s="319" t="s">
        <v>332</v>
      </c>
      <c r="BCM3" s="319" t="s">
        <v>330</v>
      </c>
      <c r="BCN3" s="319" t="s">
        <v>350</v>
      </c>
      <c r="BCO3" s="319" t="s">
        <v>348</v>
      </c>
      <c r="BCP3" s="319" t="s">
        <v>333</v>
      </c>
      <c r="BCQ3" s="319" t="s">
        <v>351</v>
      </c>
      <c r="BCR3" s="319"/>
      <c r="BCS3" s="319" t="s">
        <v>346</v>
      </c>
      <c r="BCT3" s="319" t="s">
        <v>152</v>
      </c>
      <c r="BCU3" s="319" t="s">
        <v>104</v>
      </c>
      <c r="BCV3" s="319" t="s">
        <v>153</v>
      </c>
      <c r="BCW3" s="319" t="s">
        <v>330</v>
      </c>
      <c r="BCX3" s="319" t="s">
        <v>331</v>
      </c>
      <c r="BCY3" s="319" t="s">
        <v>338</v>
      </c>
      <c r="BCZ3" s="319" t="s">
        <v>151</v>
      </c>
      <c r="BDA3" s="319" t="s">
        <v>347</v>
      </c>
      <c r="BDB3" s="319" t="s">
        <v>348</v>
      </c>
      <c r="BDC3" s="319" t="s">
        <v>333</v>
      </c>
      <c r="BDD3" s="319" t="s">
        <v>155</v>
      </c>
      <c r="BDE3" s="319" t="s">
        <v>349</v>
      </c>
      <c r="BDF3" s="319" t="s">
        <v>332</v>
      </c>
      <c r="BDG3" s="319" t="s">
        <v>330</v>
      </c>
      <c r="BDH3" s="319" t="s">
        <v>350</v>
      </c>
      <c r="BDI3" s="319" t="s">
        <v>348</v>
      </c>
      <c r="BDJ3" s="319" t="s">
        <v>333</v>
      </c>
      <c r="BDK3" s="319" t="s">
        <v>351</v>
      </c>
      <c r="BDL3" s="319"/>
      <c r="BDM3" s="319" t="s">
        <v>346</v>
      </c>
      <c r="BDN3" s="319" t="s">
        <v>152</v>
      </c>
      <c r="BDO3" s="319" t="s">
        <v>104</v>
      </c>
      <c r="BDP3" s="319" t="s">
        <v>153</v>
      </c>
      <c r="BDQ3" s="319" t="s">
        <v>330</v>
      </c>
      <c r="BDR3" s="319" t="s">
        <v>331</v>
      </c>
      <c r="BDS3" s="319" t="s">
        <v>338</v>
      </c>
      <c r="BDT3" s="319" t="s">
        <v>151</v>
      </c>
      <c r="BDU3" s="319" t="s">
        <v>347</v>
      </c>
      <c r="BDV3" s="319" t="s">
        <v>348</v>
      </c>
      <c r="BDW3" s="319" t="s">
        <v>333</v>
      </c>
      <c r="BDX3" s="319" t="s">
        <v>155</v>
      </c>
      <c r="BDY3" s="319" t="s">
        <v>349</v>
      </c>
      <c r="BDZ3" s="319" t="s">
        <v>332</v>
      </c>
      <c r="BEA3" s="319" t="s">
        <v>330</v>
      </c>
      <c r="BEB3" s="319" t="s">
        <v>347</v>
      </c>
      <c r="BEC3" s="319" t="s">
        <v>348</v>
      </c>
      <c r="BED3" s="319" t="s">
        <v>333</v>
      </c>
      <c r="BEE3" s="319" t="s">
        <v>351</v>
      </c>
      <c r="BEF3" s="319"/>
      <c r="BEG3" s="319" t="s">
        <v>346</v>
      </c>
      <c r="BEH3" s="319" t="s">
        <v>152</v>
      </c>
      <c r="BEI3" s="319" t="s">
        <v>104</v>
      </c>
      <c r="BEJ3" s="319" t="s">
        <v>153</v>
      </c>
      <c r="BEK3" s="319" t="s">
        <v>330</v>
      </c>
      <c r="BEL3" s="319" t="s">
        <v>331</v>
      </c>
      <c r="BEM3" s="319" t="s">
        <v>338</v>
      </c>
      <c r="BEN3" s="319" t="s">
        <v>151</v>
      </c>
      <c r="BEO3" s="319" t="s">
        <v>347</v>
      </c>
      <c r="BEP3" s="319" t="s">
        <v>348</v>
      </c>
      <c r="BEQ3" s="319" t="s">
        <v>333</v>
      </c>
      <c r="BER3" s="319" t="s">
        <v>155</v>
      </c>
      <c r="BES3" s="319" t="s">
        <v>349</v>
      </c>
      <c r="BET3" s="319" t="s">
        <v>332</v>
      </c>
      <c r="BEU3" s="319" t="s">
        <v>330</v>
      </c>
      <c r="BEV3" s="319" t="s">
        <v>347</v>
      </c>
      <c r="BEW3" s="319" t="s">
        <v>348</v>
      </c>
      <c r="BEX3" s="319" t="s">
        <v>333</v>
      </c>
      <c r="BEY3" s="319" t="s">
        <v>351</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101</v>
      </c>
      <c r="BGA3" s="319">
        <v>1</v>
      </c>
      <c r="BGB3" s="319"/>
    </row>
    <row r="4" spans="1:1536" ht="13.8" x14ac:dyDescent="0.3">
      <c r="A4" s="319">
        <f>VLOOKUP(B4,CW4:CX8,2,FALSE)</f>
        <v>1</v>
      </c>
      <c r="B4" s="319" t="str">
        <f>'Language Table'!C14</f>
        <v>Germany</v>
      </c>
      <c r="C4" s="319">
        <f>SUMPRODUCT((CZ3:CZ42=B4)*(DD3:DD42="W"))+SUMPRODUCT((DC3:DC42=B4)*(DE3:DE42="W"))</f>
        <v>1</v>
      </c>
      <c r="D4" s="319">
        <f>SUMPRODUCT((CZ3:CZ42=B4)*(DD3:DD42="D"))+SUMPRODUCT((DC3:DC42=B4)*(DE3:DE42="D"))</f>
        <v>0</v>
      </c>
      <c r="E4" s="319">
        <f>SUMPRODUCT((CZ3:CZ42=B4)*(DD3:DD42="L"))+SUMPRODUCT((DC3:DC42=B4)*(DE3:DE42="L"))</f>
        <v>0</v>
      </c>
      <c r="F4" s="319">
        <f>SUMIF(CZ3:CZ60,B4,DA3:DA60)+SUMIF(DC3:DC60,B4,DB3:DB60)</f>
        <v>5</v>
      </c>
      <c r="G4" s="319">
        <f>SUMIF(DC3:DC60,B4,DA3:DA60)+SUMIF(CZ3:CZ60,B4,DB3:DB60)</f>
        <v>1</v>
      </c>
      <c r="H4" s="319">
        <f>F4-G4+1000</f>
        <v>1004</v>
      </c>
      <c r="I4" s="319">
        <f>C4*3+D4*1</f>
        <v>3</v>
      </c>
      <c r="J4" s="319">
        <v>54</v>
      </c>
      <c r="K4" s="319">
        <f>IF(COUNTIF(I4:I8,4)&lt;&gt;4,RANK(I4,I4:I8),I44)</f>
        <v>1</v>
      </c>
      <c r="L4" s="319"/>
      <c r="M4" s="319">
        <f>SUMPRODUCT((K4:K7=K4)*(J4:J7&lt;J4))+K4</f>
        <v>2</v>
      </c>
      <c r="N4" s="319" t="str">
        <f>INDEX(B4:B8,MATCH(1,M4:M8,0),0)</f>
        <v>Switzerland</v>
      </c>
      <c r="O4" s="319">
        <f>INDEX(K4:K8,MATCH(N4,B4:B8,0),0)</f>
        <v>1</v>
      </c>
      <c r="P4" s="319" t="str">
        <f>IF(O5=1,N4,"")</f>
        <v>Switzerland</v>
      </c>
      <c r="Q4" s="319" t="str">
        <f>IF(O6=2,N5,"")</f>
        <v/>
      </c>
      <c r="R4" s="319" t="str">
        <f>IF(O7=3,N6,"")</f>
        <v>Scotland</v>
      </c>
      <c r="S4" s="319" t="str">
        <f>IF(O8=4,N7,"")</f>
        <v/>
      </c>
      <c r="T4" s="319"/>
      <c r="U4" s="319" t="str">
        <f>IF(P4&lt;&gt;"",P4,"")</f>
        <v>Switzerland</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f>IF(U4&lt;&gt;"",V4*3+W4*1,"")</f>
        <v>0</v>
      </c>
      <c r="AC4" s="319">
        <f>IF(U4&lt;&gt;"",VLOOKUP(U4,B4:H40,7,FALSE),"")</f>
        <v>1002</v>
      </c>
      <c r="AD4" s="319">
        <f>IF(U4&lt;&gt;"",VLOOKUP(U4,B4:H40,5,FALSE),"")</f>
        <v>3</v>
      </c>
      <c r="AE4" s="319">
        <f>IF(U4&lt;&gt;"",VLOOKUP(U4,B4:J40,9,FALSE),"")</f>
        <v>34</v>
      </c>
      <c r="AF4" s="319">
        <f>AB4</f>
        <v>0</v>
      </c>
      <c r="AG4" s="319">
        <f>IF(U4&lt;&gt;"",RANK(AF4,AF4:AF8),"")</f>
        <v>1</v>
      </c>
      <c r="AH4" s="319">
        <f>IF(U4&lt;&gt;"",SUMPRODUCT((AF4:AF8=AF4)*(AA4:AA8&gt;AA4)),"")</f>
        <v>0</v>
      </c>
      <c r="AI4" s="319">
        <f>IF(U4&lt;&gt;"",SUMPRODUCT((AF4:AF8=AF4)*(AA4:AA8=AA4)*(Y4:Y8&gt;Y4)),"")</f>
        <v>0</v>
      </c>
      <c r="AJ4" s="319">
        <f>IF(U4&lt;&gt;"",SUMPRODUCT((AF4:AF8=AF4)*(AA4:AA8=AA4)*(Y4:Y8=Y4)*(AC4:AC8&gt;AC4)),"")</f>
        <v>1</v>
      </c>
      <c r="AK4" s="319">
        <f>IF(U4&lt;&gt;"",SUMPRODUCT((AF4:AF8=AF4)*(AA4:AA8=AA4)*(Y4:Y8=Y4)*(AC4:AC8=AC4)*(AD4:AD8&gt;AD4)),"")</f>
        <v>0</v>
      </c>
      <c r="AL4" s="319">
        <f>IF(U4&lt;&gt;"",SUMPRODUCT((AF4:AF8=AF4)*(AA4:AA8=AA4)*(Y4:Y8=Y4)*(AC4:AC8=AC4)*(AD4:AD8=AD4)*(AE4:AE8&gt;AE4)),"")</f>
        <v>0</v>
      </c>
      <c r="AM4" s="319">
        <f>IF(U4&lt;&gt;"",IF(AM44&lt;&gt;"",IF(T43=3,AM44,AM44+T43),SUM(AG4:AL4)),"")</f>
        <v>2</v>
      </c>
      <c r="AN4" s="319" t="str">
        <f>IF(U4&lt;&gt;"",INDEX(U4:U8,MATCH(1,AM4:AM8,0),0),"")</f>
        <v>Germany</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Albania</v>
      </c>
      <c r="DI4" s="320">
        <f>Matches!U14</f>
        <v>0</v>
      </c>
      <c r="DJ4" s="320">
        <f>Matches!V14</f>
        <v>0</v>
      </c>
      <c r="DK4" s="320">
        <f>Matches!W14</f>
        <v>1</v>
      </c>
      <c r="DL4" s="320">
        <f>Matches!X14</f>
        <v>1</v>
      </c>
      <c r="DM4" s="320">
        <f>Matches!Z14</f>
        <v>2</v>
      </c>
      <c r="DN4" s="320">
        <f>Matches!AA14</f>
        <v>-1</v>
      </c>
      <c r="DO4" s="320">
        <f>Matches!AB14</f>
        <v>0</v>
      </c>
      <c r="DP4" s="319">
        <f>VLOOKUP(DH4,B4:J40,9,FALSE)</f>
        <v>44</v>
      </c>
      <c r="DQ4" s="319">
        <f>RANK(DO4,DO3:DO8)</f>
        <v>2</v>
      </c>
      <c r="DR4" s="319">
        <f>SUMPRODUCT((DQ3:DQ8=DQ4)*(DN3:DN8&gt;DN4))</f>
        <v>0</v>
      </c>
      <c r="DS4" s="319">
        <f>SUMPRODUCT((DQ3:DQ8=DQ4)*(DN3:DN8=DN4)*(DL3:DL8&gt;DL4))</f>
        <v>0</v>
      </c>
      <c r="DT4" s="319">
        <f>SUMPRODUCT((DQ3:DQ8=DQ4)*(DN3:DN8=DN4)*(DL3:DL8=DL4)*(DP3:DP8&gt;DP4))</f>
        <v>0</v>
      </c>
      <c r="DU4" s="319">
        <f t="shared" ref="DU4:DU8" si="163">SUM(DQ4:DT4)</f>
        <v>2</v>
      </c>
      <c r="DV4" s="319" t="s">
        <v>102</v>
      </c>
      <c r="DW4" s="319">
        <v>2</v>
      </c>
      <c r="DX4" s="319"/>
      <c r="DY4" s="319">
        <f ca="1">VLOOKUP(DZ4,HU4:HV8,2,FALSE)</f>
        <v>1</v>
      </c>
      <c r="DZ4" s="319" t="str">
        <f>B4</f>
        <v>Germany</v>
      </c>
      <c r="EA4" s="319">
        <f ca="1">SUMPRODUCT((HX3:HX42=DZ4)*(IB3:IB42="W"))+SUMPRODUCT((IA3:IA42=DZ4)*(IC3:IC42="W"))</f>
        <v>2</v>
      </c>
      <c r="EB4" s="319">
        <f ca="1">SUMPRODUCT((HX3:HX42=DZ4)*(IB3:IB42="D"))+SUMPRODUCT((IA3:IA42=DZ4)*(IC3:IC42="D"))</f>
        <v>1</v>
      </c>
      <c r="EC4" s="319">
        <f ca="1">SUMPRODUCT((HX3:HX42=DZ4)*(IB3:IB42="L"))+SUMPRODUCT((IA3:IA42=DZ4)*(IC3:IC42="L"))</f>
        <v>0</v>
      </c>
      <c r="ED4" s="319">
        <f ca="1">SUMIF(HX3:HX60,DZ4,HY3:HY60)+SUMIF(IA3:IA60,DZ4,HZ3:HZ60)</f>
        <v>8</v>
      </c>
      <c r="EE4" s="319">
        <f ca="1">SUMIF(IA3:IA60,DZ4,HY3:HY60)+SUMIF(HX3:HX60,DZ4,HZ3:HZ60)</f>
        <v>3</v>
      </c>
      <c r="EF4" s="319">
        <f ca="1">ED4-EE4+1000</f>
        <v>1005</v>
      </c>
      <c r="EG4" s="319">
        <f ca="1">EA4*3+EB4*1</f>
        <v>7</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0</v>
      </c>
      <c r="HZ4" s="322">
        <f ca="1">IF(OFFSET('Player Game Board'!Q11,0,HY1)&lt;&gt;"",OFFSET('Player Game Board'!Q11,0,HY1),0)</f>
        <v>4</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Croatia</v>
      </c>
      <c r="IG4" s="320">
        <f ca="1">VLOOKUP(IF4,DZ4:EE40,2,FALSE)</f>
        <v>1</v>
      </c>
      <c r="IH4" s="320">
        <f ca="1">VLOOKUP(IF4,DZ4:EE40,3,FALSE)</f>
        <v>0</v>
      </c>
      <c r="II4" s="320">
        <f ca="1">VLOOKUP(IF4,DZ4:EE40,4,FALSE)</f>
        <v>2</v>
      </c>
      <c r="IJ4" s="320">
        <f ca="1">VLOOKUP(IF4,DZ4:EE40,5,FALSE)</f>
        <v>4</v>
      </c>
      <c r="IK4" s="320">
        <f ca="1">VLOOKUP(IF4,DZ4:EE40,6,FALSE)</f>
        <v>6</v>
      </c>
      <c r="IL4" s="320">
        <f t="shared" ref="IL4:IL8" ca="1" si="167">IJ4-IK4+1000</f>
        <v>998</v>
      </c>
      <c r="IM4" s="320">
        <f t="shared" ref="IM4:IM8" ca="1" si="168">IG4*3+IH4*1</f>
        <v>3</v>
      </c>
      <c r="IN4" s="319">
        <f ca="1">VLOOKUP(IF4,B4:J40,9,FALSE)</f>
        <v>40</v>
      </c>
      <c r="IO4" s="319">
        <f ca="1">RANK(IM4,IM3:IM8)</f>
        <v>4</v>
      </c>
      <c r="IP4" s="319">
        <f ca="1">SUMPRODUCT((IO3:IO8=IO4)*(IL3:IL8&gt;IL4))</f>
        <v>0</v>
      </c>
      <c r="IQ4" s="319">
        <f ca="1">SUMPRODUCT((IO3:IO8=IO4)*(IL3:IL8=IL4)*(IJ3:IJ8&gt;IJ4))</f>
        <v>0</v>
      </c>
      <c r="IR4" s="319">
        <f ca="1">SUMPRODUCT((IO3:IO8=IO4)*(IL3:IL8=IL4)*(IJ3:IJ8=IJ4)*(IN3:IN8&gt;IN4))</f>
        <v>0</v>
      </c>
      <c r="IS4" s="319">
        <f t="shared" ref="IS4:IS8" ca="1" si="169">SUM(IO4:IR4)</f>
        <v>4</v>
      </c>
      <c r="IT4" s="319" t="s">
        <v>102</v>
      </c>
      <c r="IU4" s="319">
        <v>2</v>
      </c>
      <c r="IV4" s="319"/>
      <c r="IW4" s="319">
        <f ca="1">VLOOKUP(IX4,MS4:MT8,2,FALSE)</f>
        <v>1</v>
      </c>
      <c r="IX4" s="319" t="str">
        <f>DZ4</f>
        <v>Germany</v>
      </c>
      <c r="IY4" s="319">
        <f ca="1">SUMPRODUCT((MV3:MV42=IX4)*(MZ3:MZ42="W"))+SUMPRODUCT((MY3:MY42=IX4)*(NA3:NA42="W"))</f>
        <v>2</v>
      </c>
      <c r="IZ4" s="319">
        <f ca="1">SUMPRODUCT((MV3:MV42=IX4)*(MZ3:MZ42="D"))+SUMPRODUCT((MY3:MY42=IX4)*(NA3:NA42="D"))</f>
        <v>1</v>
      </c>
      <c r="JA4" s="319">
        <f ca="1">SUMPRODUCT((MV3:MV42=IX4)*(MZ3:MZ42="L"))+SUMPRODUCT((MY3:MY42=IX4)*(NA3:NA42="L"))</f>
        <v>0</v>
      </c>
      <c r="JB4" s="319">
        <f ca="1">SUMIF(MV3:MV60,IX4,MW3:MW60)+SUMIF(MY3:MY60,IX4,MX3:MX60)</f>
        <v>9</v>
      </c>
      <c r="JC4" s="319">
        <f ca="1">SUMIF(MY3:MY60,IX4,MW3:MW60)+SUMIF(MV3:MV60,IX4,MX3:MX60)</f>
        <v>2</v>
      </c>
      <c r="JD4" s="319">
        <f ca="1">JB4-JC4+1000</f>
        <v>1007</v>
      </c>
      <c r="JE4" s="319">
        <f ca="1">IY4*3+IZ4*1</f>
        <v>7</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1</v>
      </c>
      <c r="MX4" s="322">
        <f ca="1">IF(OFFSET('Player Game Board'!Q11,0,MW1)&lt;&gt;"",OFFSET('Player Game Board'!Q11,0,MW1),0)</f>
        <v>1</v>
      </c>
      <c r="MY4" s="319" t="str">
        <f t="shared" ref="MY4:MY38" si="171">IA4</f>
        <v>Switzerland</v>
      </c>
      <c r="MZ4" s="319" t="str">
        <f ca="1">IF(AND(OFFSET('Player Game Board'!P11,0,MW1)&lt;&gt;"",OFFSET('Player Game Board'!Q11,0,MW1)&lt;&gt;""),IF(MW4&gt;MX4,"W",IF(MW4=MX4,"D","L")),"")</f>
        <v>D</v>
      </c>
      <c r="NA4" s="319" t="str">
        <f t="shared" ref="NA4:NA38" ca="1" si="172">IF(MZ4&lt;&gt;"",IF(MZ4="W","L",IF(MZ4="L","W","D")),"")</f>
        <v>D</v>
      </c>
      <c r="NB4" s="319"/>
      <c r="NC4" s="319"/>
      <c r="ND4" s="319" t="str">
        <f ca="1">VLOOKUP(3,IW11:IX14,2,FALSE)</f>
        <v>Croatia</v>
      </c>
      <c r="NE4" s="320">
        <f ca="1">VLOOKUP(ND4,IX4:JC40,2,FALSE)</f>
        <v>1</v>
      </c>
      <c r="NF4" s="320">
        <f ca="1">VLOOKUP(ND4,IX4:JC40,3,FALSE)</f>
        <v>1</v>
      </c>
      <c r="NG4" s="320">
        <f ca="1">VLOOKUP(ND4,IX4:JC40,4,FALSE)</f>
        <v>1</v>
      </c>
      <c r="NH4" s="320">
        <f ca="1">VLOOKUP(ND4,IX4:JC40,5,FALSE)</f>
        <v>5</v>
      </c>
      <c r="NI4" s="320">
        <f ca="1">VLOOKUP(ND4,IX4:JC40,6,FALSE)</f>
        <v>3</v>
      </c>
      <c r="NJ4" s="320">
        <f t="shared" ref="NJ4:NJ8" ca="1" si="173">NH4-NI4+1000</f>
        <v>1002</v>
      </c>
      <c r="NK4" s="320">
        <f t="shared" ref="NK4:NK8" ca="1" si="174">NE4*3+NF4*1</f>
        <v>4</v>
      </c>
      <c r="NL4" s="319">
        <f ca="1">VLOOKUP(ND4,B4:J40,9,FALSE)</f>
        <v>40</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102</v>
      </c>
      <c r="NS4" s="319">
        <v>2</v>
      </c>
      <c r="NT4" s="319"/>
      <c r="NU4" s="319">
        <f t="shared" ref="NU4" ca="1" si="176">VLOOKUP(NV4,RQ4:RR8,2,FALSE)</f>
        <v>1</v>
      </c>
      <c r="NV4" s="319" t="str">
        <f t="shared" ref="NV4:NV7" si="177">IX4</f>
        <v>Germany</v>
      </c>
      <c r="NW4" s="319">
        <f t="shared" ref="NW4" ca="1" si="178">SUMPRODUCT((RT3:RT42=NV4)*(RX3:RX42="W"))+SUMPRODUCT((RW3:RW42=NV4)*(RY3:RY42="W"))</f>
        <v>3</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7</v>
      </c>
      <c r="OA4" s="319">
        <f t="shared" ref="OA4" ca="1" si="182">SUMIF(RW3:RW60,NV4,RU3:RU60)+SUMIF(RT3:RT60,NV4,RV3:RV60)</f>
        <v>1</v>
      </c>
      <c r="OB4" s="319">
        <f t="shared" ref="OB4:OB7" ca="1" si="183">NZ4-OA4+1000</f>
        <v>1006</v>
      </c>
      <c r="OC4" s="319">
        <f t="shared" ref="OC4:OC7" ca="1" si="184">NW4*3+NX4*1</f>
        <v>9</v>
      </c>
      <c r="OD4" s="319">
        <f>JF4</f>
        <v>54</v>
      </c>
      <c r="OE4" s="319">
        <f t="shared" ref="OE4" ca="1" si="185">IF(COUNTIF(OC4:OC8,4)&lt;&gt;4,RANK(OC4,OC4:OC8),OC44)</f>
        <v>1</v>
      </c>
      <c r="OF4" s="319"/>
      <c r="OG4" s="319">
        <f t="shared" ref="OG4" ca="1" si="186">SUMPRODUCT((OE4:OE7=OE4)*(OD4:OD7&lt;OD4))+OE4</f>
        <v>1</v>
      </c>
      <c r="OH4" s="319" t="str">
        <f t="shared" ref="OH4" ca="1" si="187">INDEX(NV4:NV8,MATCH(1,OG4:OG8,0),0)</f>
        <v>Germany</v>
      </c>
      <c r="OI4" s="319">
        <f t="shared" ref="OI4" ca="1" si="188">INDEX(OE4:OE8,MATCH(OH4,NV4:NV8,0),0)</f>
        <v>1</v>
      </c>
      <c r="OJ4" s="319" t="str">
        <f t="shared" ref="OJ4" ca="1" si="189">IF(OI5=1,OH4,"")</f>
        <v/>
      </c>
      <c r="OK4" s="319" t="str">
        <f t="shared" ref="OK4" ca="1" si="190">IF(OI6=2,OH5,"")</f>
        <v/>
      </c>
      <c r="OL4" s="319" t="str">
        <f t="shared" ref="OL4" ca="1" si="191">IF(OI7=3,OH6,"")</f>
        <v>Switzerland</v>
      </c>
      <c r="OM4" s="319" t="str">
        <f t="shared" ref="OM4" si="192">IF(OI8=4,OH7,"")</f>
        <v/>
      </c>
      <c r="ON4" s="319"/>
      <c r="OO4" s="319" t="str">
        <f t="shared" ref="OO4:OO7" ca="1" si="193">IF(OJ4&lt;&gt;"",OJ4,"")</f>
        <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t="str">
        <f t="shared" ref="OV4:OV7" ca="1" si="200">IF(OO4&lt;&gt;"",OP4*3+OQ4*1,"")</f>
        <v/>
      </c>
      <c r="OW4" s="319" t="str">
        <f t="shared" ref="OW4" ca="1" si="201">IF(OO4&lt;&gt;"",VLOOKUP(OO4,NV4:OB40,7,FALSE),"")</f>
        <v/>
      </c>
      <c r="OX4" s="319" t="str">
        <f t="shared" ref="OX4" ca="1" si="202">IF(OO4&lt;&gt;"",VLOOKUP(OO4,NV4:OB40,5,FALSE),"")</f>
        <v/>
      </c>
      <c r="OY4" s="319" t="str">
        <f t="shared" ref="OY4" ca="1" si="203">IF(OO4&lt;&gt;"",VLOOKUP(OO4,NV4:OD40,9,FALSE),"")</f>
        <v/>
      </c>
      <c r="OZ4" s="319" t="str">
        <f t="shared" ref="OZ4:OZ7" ca="1" si="204">OV4</f>
        <v/>
      </c>
      <c r="PA4" s="319" t="str">
        <f t="shared" ref="PA4" ca="1" si="205">IF(OO4&lt;&gt;"",RANK(OZ4,OZ4:OZ8),"")</f>
        <v/>
      </c>
      <c r="PB4" s="319" t="str">
        <f t="shared" ref="PB4" ca="1" si="206">IF(OO4&lt;&gt;"",SUMPRODUCT((OZ4:OZ8=OZ4)*(OU4:OU8&gt;OU4)),"")</f>
        <v/>
      </c>
      <c r="PC4" s="319" t="str">
        <f t="shared" ref="PC4" ca="1" si="207">IF(OO4&lt;&gt;"",SUMPRODUCT((OZ4:OZ8=OZ4)*(OU4:OU8=OU4)*(OS4:OS8&gt;OS4)),"")</f>
        <v/>
      </c>
      <c r="PD4" s="319" t="str">
        <f t="shared" ref="PD4" ca="1" si="208">IF(OO4&lt;&gt;"",SUMPRODUCT((OZ4:OZ8=OZ4)*(OU4:OU8=OU4)*(OS4:OS8=OS4)*(OW4:OW8&gt;OW4)),"")</f>
        <v/>
      </c>
      <c r="PE4" s="319" t="str">
        <f t="shared" ref="PE4" ca="1" si="209">IF(OO4&lt;&gt;"",SUMPRODUCT((OZ4:OZ8=OZ4)*(OU4:OU8=OU4)*(OS4:OS8=OS4)*(OW4:OW8=OW4)*(OX4:OX8&gt;OX4)),"")</f>
        <v/>
      </c>
      <c r="PF4" s="319" t="str">
        <f t="shared" ref="PF4" ca="1" si="210">IF(OO4&lt;&gt;"",SUMPRODUCT((OZ4:OZ8=OZ4)*(OU4:OU8=OU4)*(OS4:OS8=OS4)*(OW4:OW8=OW4)*(OX4:OX8=OX4)*(OY4:OY8&gt;OY4)),"")</f>
        <v/>
      </c>
      <c r="PG4" s="319" t="str">
        <f ca="1">IF(OO4&lt;&gt;"",IF(PG44&lt;&gt;"",IF(ON43=3,PG44,PG44+ON43),SUM(PA4:PF4)),"")</f>
        <v/>
      </c>
      <c r="PH4" s="319" t="str">
        <f t="shared" ref="PH4" ca="1" si="211">IF(OO4&lt;&gt;"",INDEX(OO4:OO8,MATCH(1,PG4:PG8,0),0),"")</f>
        <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2</v>
      </c>
      <c r="RV4" s="322">
        <f ca="1">IF(OFFSET('Player Game Board'!Q11,0,RU1)&lt;&gt;"",OFFSET('Player Game Board'!Q11,0,RU1),0)</f>
        <v>0</v>
      </c>
      <c r="RW4" s="319" t="str">
        <f t="shared" si="19"/>
        <v>Switzerland</v>
      </c>
      <c r="RX4" s="319" t="str">
        <f ca="1">IF(AND(OFFSET('Player Game Board'!P11,0,RU1)&lt;&gt;"",OFFSET('Player Game Board'!Q11,0,RU1)&lt;&gt;""),IF(RU4&gt;RV4,"W",IF(RU4=RV4,"D","L")),"")</f>
        <v>W</v>
      </c>
      <c r="RY4" s="319" t="str">
        <f t="shared" ca="1" si="20"/>
        <v>L</v>
      </c>
      <c r="RZ4" s="319"/>
      <c r="SA4" s="319"/>
      <c r="SB4" s="319" t="str">
        <f t="shared" ref="SB4" ca="1" si="213">VLOOKUP(3,NU11:NV14,2,FALSE)</f>
        <v>Croatia</v>
      </c>
      <c r="SC4" s="320">
        <f t="shared" ref="SC4" ca="1" si="214">VLOOKUP(SB4,NV4:OA40,2,FALSE)</f>
        <v>1</v>
      </c>
      <c r="SD4" s="320">
        <f t="shared" ref="SD4" ca="1" si="215">VLOOKUP(SB4,NV4:OA40,3,FALSE)</f>
        <v>0</v>
      </c>
      <c r="SE4" s="320">
        <f t="shared" ref="SE4" ca="1" si="216">VLOOKUP(SB4,NV4:OA40,4,FALSE)</f>
        <v>2</v>
      </c>
      <c r="SF4" s="320">
        <f t="shared" ref="SF4" ca="1" si="217">VLOOKUP(SB4,NV4:OA40,5,FALSE)</f>
        <v>4</v>
      </c>
      <c r="SG4" s="320">
        <f t="shared" ref="SG4" ca="1" si="218">VLOOKUP(SB4,NV4:OA40,6,FALSE)</f>
        <v>4</v>
      </c>
      <c r="SH4" s="320">
        <f t="shared" ca="1" si="27"/>
        <v>1000</v>
      </c>
      <c r="SI4" s="320">
        <f t="shared" ca="1" si="28"/>
        <v>3</v>
      </c>
      <c r="SJ4" s="319">
        <f ca="1">VLOOKUP(SB4,B4:J40,9,FALSE)</f>
        <v>40</v>
      </c>
      <c r="SK4" s="319">
        <f t="shared" ref="SK4" ca="1" si="219">RANK(SI4,SI3:SI8)</f>
        <v>2</v>
      </c>
      <c r="SL4" s="319">
        <f t="shared" ref="SL4" ca="1" si="220">SUMPRODUCT((SK3:SK8=SK4)*(SH3:SH8&gt;SH4))</f>
        <v>0</v>
      </c>
      <c r="SM4" s="319">
        <f t="shared" ref="SM4" ca="1" si="221">SUMPRODUCT((SK3:SK8=SK4)*(SH3:SH8=SH4)*(SF3:SF8&gt;SF4))</f>
        <v>0</v>
      </c>
      <c r="SN4" s="319">
        <f t="shared" ref="SN4" ca="1" si="222">SUMPRODUCT((SK3:SK8=SK4)*(SH3:SH8=SH4)*(SF3:SF8=SF4)*(SJ3:SJ8&gt;SJ4))</f>
        <v>0</v>
      </c>
      <c r="SO4" s="319">
        <f t="shared" ca="1" si="33"/>
        <v>2</v>
      </c>
      <c r="SP4" s="319" t="s">
        <v>102</v>
      </c>
      <c r="SQ4" s="319">
        <v>2</v>
      </c>
      <c r="SR4" s="319"/>
      <c r="SS4" s="319">
        <f t="shared" ref="SS4" ca="1" si="223">VLOOKUP(ST4,WO4:WP8,2,FALSE)</f>
        <v>1</v>
      </c>
      <c r="ST4" s="319" t="str">
        <f t="shared" ref="ST4:ST7" si="224">NV4</f>
        <v>Germany</v>
      </c>
      <c r="SU4" s="319">
        <f t="shared" ref="SU4" ca="1" si="225">SUMPRODUCT((WR3:WR42=ST4)*(WV3:WV42="W"))+SUMPRODUCT((WU3:WU42=ST4)*(WW3:WW42="W"))</f>
        <v>2</v>
      </c>
      <c r="SV4" s="319">
        <f t="shared" ref="SV4" ca="1" si="226">SUMPRODUCT((WR3:WR42=ST4)*(WV3:WV42="D"))+SUMPRODUCT((WU3:WU42=ST4)*(WW3:WW42="D"))</f>
        <v>1</v>
      </c>
      <c r="SW4" s="319">
        <f t="shared" ref="SW4" ca="1" si="227">SUMPRODUCT((WR3:WR42=ST4)*(WV3:WV42="L"))+SUMPRODUCT((WU3:WU42=ST4)*(WW3:WW42="L"))</f>
        <v>0</v>
      </c>
      <c r="SX4" s="319">
        <f t="shared" ref="SX4" ca="1" si="228">SUMIF(WR3:WR60,ST4,WS3:WS60)+SUMIF(WU3:WU60,ST4,WT3:WT60)</f>
        <v>7</v>
      </c>
      <c r="SY4" s="319">
        <f t="shared" ref="SY4" ca="1" si="229">SUMIF(WU3:WU60,ST4,WS3:WS60)+SUMIF(WR3:WR60,ST4,WT3:WT60)</f>
        <v>3</v>
      </c>
      <c r="SZ4" s="319">
        <f t="shared" ref="SZ4:SZ7" ca="1" si="230">SX4-SY4+1000</f>
        <v>1004</v>
      </c>
      <c r="TA4" s="319">
        <f t="shared" ref="TA4:TA7" ca="1" si="231">SU4*3+SV4*1</f>
        <v>7</v>
      </c>
      <c r="TB4" s="319">
        <f>OD4</f>
        <v>54</v>
      </c>
      <c r="TC4" s="319">
        <f t="shared" ref="TC4" ca="1" si="232">IF(COUNTIF(TA4:TA8,4)&lt;&gt;4,RANK(TA4,TA4:TA8),TA44)</f>
        <v>1</v>
      </c>
      <c r="TD4" s="319"/>
      <c r="TE4" s="319">
        <f t="shared" ref="TE4" ca="1" si="233">SUMPRODUCT((TC4:TC7=TC4)*(TB4:TB7&lt;TB4))+TC4</f>
        <v>1</v>
      </c>
      <c r="TF4" s="319" t="str">
        <f t="shared" ref="TF4" ca="1" si="234">INDEX(ST4:ST8,MATCH(1,TE4:TE8,0),0)</f>
        <v>Germany</v>
      </c>
      <c r="TG4" s="319">
        <f t="shared" ref="TG4" ca="1" si="235">INDEX(TC4:TC8,MATCH(TF4,ST4:ST8,0),0)</f>
        <v>1</v>
      </c>
      <c r="TH4" s="319" t="str">
        <f t="shared" ref="TH4" ca="1" si="236">IF(TG5=1,TF4,"")</f>
        <v/>
      </c>
      <c r="TI4" s="319" t="str">
        <f t="shared" ref="TI4" ca="1" si="237">IF(TG6=2,TF5,"")</f>
        <v/>
      </c>
      <c r="TJ4" s="319" t="str">
        <f t="shared" ref="TJ4" ca="1" si="238">IF(TG7=3,TF6,"")</f>
        <v/>
      </c>
      <c r="TK4" s="319" t="str">
        <f t="shared" ref="TK4" si="239">IF(TG8=4,TF7,"")</f>
        <v/>
      </c>
      <c r="TL4" s="319"/>
      <c r="TM4" s="319" t="str">
        <f t="shared" ref="TM4:TM7" ca="1" si="240">IF(TH4&lt;&gt;"",TH4,"")</f>
        <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t="str">
        <f t="shared" ref="TT4:TT7" ca="1" si="247">IF(TM4&lt;&gt;"",TN4*3+TO4*1,"")</f>
        <v/>
      </c>
      <c r="TU4" s="319" t="str">
        <f t="shared" ref="TU4" ca="1" si="248">IF(TM4&lt;&gt;"",VLOOKUP(TM4,ST4:SZ40,7,FALSE),"")</f>
        <v/>
      </c>
      <c r="TV4" s="319" t="str">
        <f t="shared" ref="TV4" ca="1" si="249">IF(TM4&lt;&gt;"",VLOOKUP(TM4,ST4:SZ40,5,FALSE),"")</f>
        <v/>
      </c>
      <c r="TW4" s="319" t="str">
        <f t="shared" ref="TW4" ca="1" si="250">IF(TM4&lt;&gt;"",VLOOKUP(TM4,ST4:TB40,9,FALSE),"")</f>
        <v/>
      </c>
      <c r="TX4" s="319" t="str">
        <f t="shared" ref="TX4:TX7" ca="1" si="251">TT4</f>
        <v/>
      </c>
      <c r="TY4" s="319" t="str">
        <f t="shared" ref="TY4" ca="1" si="252">IF(TM4&lt;&gt;"",RANK(TX4,TX4:TX8),"")</f>
        <v/>
      </c>
      <c r="TZ4" s="319" t="str">
        <f t="shared" ref="TZ4" ca="1" si="253">IF(TM4&lt;&gt;"",SUMPRODUCT((TX4:TX8=TX4)*(TS4:TS8&gt;TS4)),"")</f>
        <v/>
      </c>
      <c r="UA4" s="319" t="str">
        <f t="shared" ref="UA4" ca="1" si="254">IF(TM4&lt;&gt;"",SUMPRODUCT((TX4:TX8=TX4)*(TS4:TS8=TS4)*(TQ4:TQ8&gt;TQ4)),"")</f>
        <v/>
      </c>
      <c r="UB4" s="319" t="str">
        <f t="shared" ref="UB4" ca="1" si="255">IF(TM4&lt;&gt;"",SUMPRODUCT((TX4:TX8=TX4)*(TS4:TS8=TS4)*(TQ4:TQ8=TQ4)*(TU4:TU8&gt;TU4)),"")</f>
        <v/>
      </c>
      <c r="UC4" s="319" t="str">
        <f t="shared" ref="UC4" ca="1" si="256">IF(TM4&lt;&gt;"",SUMPRODUCT((TX4:TX8=TX4)*(TS4:TS8=TS4)*(TQ4:TQ8=TQ4)*(TU4:TU8=TU4)*(TV4:TV8&gt;TV4)),"")</f>
        <v/>
      </c>
      <c r="UD4" s="319" t="str">
        <f t="shared" ref="UD4" ca="1" si="257">IF(TM4&lt;&gt;"",SUMPRODUCT((TX4:TX8=TX4)*(TS4:TS8=TS4)*(TQ4:TQ8=TQ4)*(TU4:TU8=TU4)*(TV4:TV8=TV4)*(TW4:TW8&gt;TW4)),"")</f>
        <v/>
      </c>
      <c r="UE4" s="319" t="str">
        <f ca="1">IF(TM4&lt;&gt;"",IF(UE44&lt;&gt;"",IF(TL43=3,UE44,UE44+TL43),SUM(TY4:UD4)),"")</f>
        <v/>
      </c>
      <c r="UF4" s="319" t="str">
        <f t="shared" ref="UF4" ca="1" si="258">IF(TM4&lt;&gt;"",INDEX(TM4:TM8,MATCH(1,UE4:UE8,0),0),"")</f>
        <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1</v>
      </c>
      <c r="WT4" s="322">
        <f ca="1">IF(OFFSET('Player Game Board'!Q11,0,WS1)&lt;&gt;"",OFFSET('Player Game Board'!Q11,0,WS1),0)</f>
        <v>1</v>
      </c>
      <c r="WU4" s="319" t="str">
        <f t="shared" si="35"/>
        <v>Switzerland</v>
      </c>
      <c r="WV4" s="319" t="str">
        <f ca="1">IF(AND(OFFSET('Player Game Board'!P11,0,WS1)&lt;&gt;"",OFFSET('Player Game Board'!Q11,0,WS1)&lt;&gt;""),IF(WS4&gt;WT4,"W",IF(WS4=WT4,"D","L")),"")</f>
        <v>D</v>
      </c>
      <c r="WW4" s="319" t="str">
        <f t="shared" ca="1" si="36"/>
        <v>D</v>
      </c>
      <c r="WX4" s="319"/>
      <c r="WY4" s="319"/>
      <c r="WZ4" s="319" t="str">
        <f t="shared" ref="WZ4" ca="1" si="260">VLOOKUP(3,SS11:ST14,2,FALSE)</f>
        <v>Croatia</v>
      </c>
      <c r="XA4" s="320">
        <f t="shared" ref="XA4" ca="1" si="261">VLOOKUP(WZ4,ST4:SY40,2,FALSE)</f>
        <v>1</v>
      </c>
      <c r="XB4" s="320">
        <f t="shared" ref="XB4" ca="1" si="262">VLOOKUP(WZ4,ST4:SY40,3,FALSE)</f>
        <v>0</v>
      </c>
      <c r="XC4" s="320">
        <f t="shared" ref="XC4" ca="1" si="263">VLOOKUP(WZ4,ST4:SY40,4,FALSE)</f>
        <v>2</v>
      </c>
      <c r="XD4" s="320">
        <f t="shared" ref="XD4" ca="1" si="264">VLOOKUP(WZ4,ST4:SY40,5,FALSE)</f>
        <v>4</v>
      </c>
      <c r="XE4" s="320">
        <f t="shared" ref="XE4" ca="1" si="265">VLOOKUP(WZ4,ST4:SY40,6,FALSE)</f>
        <v>4</v>
      </c>
      <c r="XF4" s="320">
        <f t="shared" ca="1" si="43"/>
        <v>1000</v>
      </c>
      <c r="XG4" s="320">
        <f t="shared" ca="1" si="44"/>
        <v>3</v>
      </c>
      <c r="XH4" s="319">
        <f ca="1">VLOOKUP(WZ4,B4:J40,9,FALSE)</f>
        <v>40</v>
      </c>
      <c r="XI4" s="319">
        <f t="shared" ref="XI4" ca="1" si="266">RANK(XG4,XG3:XG8)</f>
        <v>3</v>
      </c>
      <c r="XJ4" s="319">
        <f t="shared" ref="XJ4" ca="1" si="267">SUMPRODUCT((XI3:XI8=XI4)*(XF3:XF8&gt;XF4))</f>
        <v>0</v>
      </c>
      <c r="XK4" s="319">
        <f t="shared" ref="XK4" ca="1" si="268">SUMPRODUCT((XI3:XI8=XI4)*(XF3:XF8=XF4)*(XD3:XD8&gt;XD4))</f>
        <v>0</v>
      </c>
      <c r="XL4" s="319">
        <f t="shared" ref="XL4" ca="1" si="269">SUMPRODUCT((XI3:XI8=XI4)*(XF3:XF8=XF4)*(XD3:XD8=XD4)*(XH3:XH8&gt;XH4))</f>
        <v>0</v>
      </c>
      <c r="XM4" s="319">
        <f t="shared" ca="1" si="49"/>
        <v>3</v>
      </c>
      <c r="XN4" s="319" t="s">
        <v>102</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9</v>
      </c>
      <c r="XW4" s="319">
        <f t="shared" ref="XW4" ca="1" si="276">SUMIF(ABS3:ABS60,XR4,ABQ3:ABQ60)+SUMIF(ABP3:ABP60,XR4,ABR3:ABR60)</f>
        <v>1</v>
      </c>
      <c r="XX4" s="319">
        <f t="shared" ref="XX4:XX7" ca="1" si="277">XV4-XW4+1000</f>
        <v>1008</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Spain</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51</v>
      </c>
      <c r="ACG4" s="319">
        <f t="shared" ref="ACG4" ca="1" si="313">RANK(ACE4,ACE3:ACE8)</f>
        <v>1</v>
      </c>
      <c r="ACH4" s="319">
        <f t="shared" ref="ACH4" ca="1" si="314">SUMPRODUCT((ACG3:ACG8=ACG4)*(ACD3:ACD8&gt;ACD4))</f>
        <v>0</v>
      </c>
      <c r="ACI4" s="319">
        <f t="shared" ref="ACI4" ca="1" si="315">SUMPRODUCT((ACG3:ACG8=ACG4)*(ACD3:ACD8=ACD4)*(ACB3:ACB8&gt;ACB4))</f>
        <v>1</v>
      </c>
      <c r="ACJ4" s="319">
        <f t="shared" ref="ACJ4" ca="1" si="316">SUMPRODUCT((ACG3:ACG8=ACG4)*(ACD3:ACD8=ACD4)*(ACB3:ACB8=ACB4)*(ACF3:ACF8&gt;ACF4))</f>
        <v>0</v>
      </c>
      <c r="ACK4" s="319">
        <f t="shared" ca="1" si="65"/>
        <v>2</v>
      </c>
      <c r="ACL4" s="319" t="s">
        <v>102</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3</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7</v>
      </c>
      <c r="ACU4" s="319">
        <f t="shared" ref="ACU4" ca="1" si="323">SUMIF(AGQ3:AGQ60,ACP4,AGO3:AGO60)+SUMIF(AGN3:AGN60,ACP4,AGP3:AGP60)</f>
        <v>2</v>
      </c>
      <c r="ACV4" s="319">
        <f t="shared" ref="ACV4:ACV7" ca="1" si="324">ACT4-ACU4+1000</f>
        <v>1005</v>
      </c>
      <c r="ACW4" s="319">
        <f t="shared" ref="ACW4:ACW7" ca="1" si="325">ACQ4*3+ACR4*1</f>
        <v>9</v>
      </c>
      <c r="ACX4" s="319">
        <f>XZ4</f>
        <v>54</v>
      </c>
      <c r="ACY4" s="319">
        <f t="shared" ref="ACY4" ca="1" si="326">IF(COUNTIF(ACW4:ACW8,4)&lt;&gt;4,RANK(ACW4,ACW4:ACW8),ACW44)</f>
        <v>1</v>
      </c>
      <c r="ACZ4" s="319"/>
      <c r="ADA4" s="319">
        <f t="shared" ref="ADA4" ca="1" si="327">SUMPRODUCT((ACY4:ACY7=ACY4)*(ACX4:ACX7&lt;ACX4))+ACY4</f>
        <v>1</v>
      </c>
      <c r="ADB4" s="319" t="str">
        <f t="shared" ref="ADB4" ca="1" si="328">INDEX(ACP4:ACP8,MATCH(1,ADA4:ADA8,0),0)</f>
        <v>Germany</v>
      </c>
      <c r="ADC4" s="319">
        <f t="shared" ref="ADC4" ca="1" si="329">INDEX(ACY4:ACY8,MATCH(ADB4,ACP4:ACP8,0),0)</f>
        <v>1</v>
      </c>
      <c r="ADD4" s="319" t="str">
        <f t="shared" ref="ADD4" ca="1" si="330">IF(ADC5=1,ADB4,"")</f>
        <v/>
      </c>
      <c r="ADE4" s="319" t="str">
        <f t="shared" ref="ADE4" ca="1" si="331">IF(ADC6=2,ADB5,"")</f>
        <v>Switzerland</v>
      </c>
      <c r="ADF4" s="319" t="str">
        <f t="shared" ref="ADF4" ca="1" si="332">IF(ADC7=3,ADB6,"")</f>
        <v/>
      </c>
      <c r="ADG4" s="319" t="str">
        <f t="shared" ref="ADG4" si="333">IF(ADC8=4,ADB7,"")</f>
        <v/>
      </c>
      <c r="ADH4" s="319"/>
      <c r="ADI4" s="319" t="str">
        <f t="shared" ref="ADI4:ADI7" ca="1" si="334">IF(ADD4&lt;&gt;"",ADD4,"")</f>
        <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t="str">
        <f t="shared" ref="ADP4:ADP7" ca="1" si="341">IF(ADI4&lt;&gt;"",ADJ4*3+ADK4*1,"")</f>
        <v/>
      </c>
      <c r="ADQ4" s="319" t="str">
        <f t="shared" ref="ADQ4" ca="1" si="342">IF(ADI4&lt;&gt;"",VLOOKUP(ADI4,ACP4:ACV40,7,FALSE),"")</f>
        <v/>
      </c>
      <c r="ADR4" s="319" t="str">
        <f t="shared" ref="ADR4" ca="1" si="343">IF(ADI4&lt;&gt;"",VLOOKUP(ADI4,ACP4:ACV40,5,FALSE),"")</f>
        <v/>
      </c>
      <c r="ADS4" s="319" t="str">
        <f t="shared" ref="ADS4" ca="1" si="344">IF(ADI4&lt;&gt;"",VLOOKUP(ADI4,ACP4:ACX40,9,FALSE),"")</f>
        <v/>
      </c>
      <c r="ADT4" s="319" t="str">
        <f t="shared" ref="ADT4:ADT7" ca="1" si="345">ADP4</f>
        <v/>
      </c>
      <c r="ADU4" s="319" t="str">
        <f t="shared" ref="ADU4" ca="1" si="346">IF(ADI4&lt;&gt;"",RANK(ADT4,ADT4:ADT8),"")</f>
        <v/>
      </c>
      <c r="ADV4" s="319" t="str">
        <f t="shared" ref="ADV4" ca="1" si="347">IF(ADI4&lt;&gt;"",SUMPRODUCT((ADT4:ADT8=ADT4)*(ADO4:ADO8&gt;ADO4)),"")</f>
        <v/>
      </c>
      <c r="ADW4" s="319" t="str">
        <f t="shared" ref="ADW4" ca="1" si="348">IF(ADI4&lt;&gt;"",SUMPRODUCT((ADT4:ADT8=ADT4)*(ADO4:ADO8=ADO4)*(ADM4:ADM8&gt;ADM4)),"")</f>
        <v/>
      </c>
      <c r="ADX4" s="319" t="str">
        <f t="shared" ref="ADX4" ca="1" si="349">IF(ADI4&lt;&gt;"",SUMPRODUCT((ADT4:ADT8=ADT4)*(ADO4:ADO8=ADO4)*(ADM4:ADM8=ADM4)*(ADQ4:ADQ8&gt;ADQ4)),"")</f>
        <v/>
      </c>
      <c r="ADY4" s="319" t="str">
        <f t="shared" ref="ADY4" ca="1" si="350">IF(ADI4&lt;&gt;"",SUMPRODUCT((ADT4:ADT8=ADT4)*(ADO4:ADO8=ADO4)*(ADM4:ADM8=ADM4)*(ADQ4:ADQ8=ADQ4)*(ADR4:ADR8&gt;ADR4)),"")</f>
        <v/>
      </c>
      <c r="ADZ4" s="319" t="str">
        <f t="shared" ref="ADZ4" ca="1" si="351">IF(ADI4&lt;&gt;"",SUMPRODUCT((ADT4:ADT8=ADT4)*(ADO4:ADO8=ADO4)*(ADM4:ADM8=ADM4)*(ADQ4:ADQ8=ADQ4)*(ADR4:ADR8=ADR4)*(ADS4:ADS8&gt;ADS4)),"")</f>
        <v/>
      </c>
      <c r="AEA4" s="319" t="str">
        <f ca="1">IF(ADI4&lt;&gt;"",IF(AEA44&lt;&gt;"",IF(ADH43=3,AEA44,AEA44+ADH43),SUM(ADU4:ADZ4)),"")</f>
        <v/>
      </c>
      <c r="AEB4" s="319" t="str">
        <f t="shared" ref="AEB4" ca="1" si="352">IF(ADI4&lt;&gt;"",INDEX(ADI4:ADI8,MATCH(1,AEA4:AEA8,0),0),"")</f>
        <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1</v>
      </c>
      <c r="AGP4" s="322">
        <f ca="1">IF(OFFSET('Player Game Board'!Q11,0,AGO1)&lt;&gt;"",OFFSET('Player Game Board'!Q11,0,AGO1),0)</f>
        <v>2</v>
      </c>
      <c r="AGQ4" s="319" t="str">
        <f t="shared" si="67"/>
        <v>Switzerland</v>
      </c>
      <c r="AGR4" s="319" t="str">
        <f ca="1">IF(AND(OFFSET('Player Game Board'!P11,0,AGO1)&lt;&gt;"",OFFSET('Player Game Board'!Q11,0,AGO1)&lt;&gt;""),IF(AGO4&gt;AGP4,"W",IF(AGO4=AGP4,"D","L")),"")</f>
        <v>L</v>
      </c>
      <c r="AGS4" s="319" t="str">
        <f t="shared" ca="1" si="68"/>
        <v>W</v>
      </c>
      <c r="AGT4" s="319"/>
      <c r="AGU4" s="319"/>
      <c r="AGV4" s="319" t="str">
        <f t="shared" ref="AGV4" ca="1" si="354">VLOOKUP(3,ACO11:ACP14,2,FALSE)</f>
        <v>Croatia</v>
      </c>
      <c r="AGW4" s="320">
        <f t="shared" ref="AGW4" ca="1" si="355">VLOOKUP(AGV4,ACP4:ACU40,2,FALSE)</f>
        <v>1</v>
      </c>
      <c r="AGX4" s="320">
        <f t="shared" ref="AGX4" ca="1" si="356">VLOOKUP(AGV4,ACP4:ACU40,3,FALSE)</f>
        <v>0</v>
      </c>
      <c r="AGY4" s="320">
        <f t="shared" ref="AGY4" ca="1" si="357">VLOOKUP(AGV4,ACP4:ACU40,4,FALSE)</f>
        <v>2</v>
      </c>
      <c r="AGZ4" s="320">
        <f t="shared" ref="AGZ4" ca="1" si="358">VLOOKUP(AGV4,ACP4:ACU40,5,FALSE)</f>
        <v>4</v>
      </c>
      <c r="AHA4" s="320">
        <f t="shared" ref="AHA4" ca="1" si="359">VLOOKUP(AGV4,ACP4:ACU40,6,FALSE)</f>
        <v>4</v>
      </c>
      <c r="AHB4" s="320">
        <f t="shared" ca="1" si="75"/>
        <v>1000</v>
      </c>
      <c r="AHC4" s="320">
        <f t="shared" ca="1" si="76"/>
        <v>3</v>
      </c>
      <c r="AHD4" s="319">
        <f ca="1">VLOOKUP(AGV4,B4:J40,9,FALSE)</f>
        <v>40</v>
      </c>
      <c r="AHE4" s="319">
        <f t="shared" ref="AHE4" ca="1" si="360">RANK(AHC4,AHC3:AHC8)</f>
        <v>3</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0</v>
      </c>
      <c r="AHI4" s="319">
        <f t="shared" ca="1" si="81"/>
        <v>3</v>
      </c>
      <c r="AHJ4" s="319" t="s">
        <v>102</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0</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0</v>
      </c>
      <c r="AHS4" s="319">
        <f t="shared" ref="AHS4" ca="1" si="370">SUMIF(ALO3:ALO60,AHN4,ALM3:ALM60)+SUMIF(ALL3:ALL60,AHN4,ALN3:ALN60)</f>
        <v>0</v>
      </c>
      <c r="AHT4" s="319">
        <f t="shared" ref="AHT4:AHT7" ca="1" si="371">AHR4-AHS4+1000</f>
        <v>1000</v>
      </c>
      <c r="AHU4" s="319">
        <f t="shared" ref="AHU4:AHU7" ca="1" si="372">AHO4*3+AHP4*1</f>
        <v>0</v>
      </c>
      <c r="AHV4" s="319">
        <f>ACX4</f>
        <v>54</v>
      </c>
      <c r="AHW4" s="319">
        <f t="shared" ref="AHW4" ca="1" si="373">IF(COUNTIF(AHU4:AHU8,4)&lt;&gt;4,RANK(AHU4,AHU4:AHU8),AHU44)</f>
        <v>1</v>
      </c>
      <c r="AHX4" s="319"/>
      <c r="AHY4" s="319">
        <f t="shared" ref="AHY4" ca="1" si="374">SUMPRODUCT((AHW4:AHW7=AHW4)*(AHV4:AHV7&lt;AHV4))+AHW4</f>
        <v>4</v>
      </c>
      <c r="AHZ4" s="319" t="str">
        <f t="shared" ref="AHZ4" ca="1" si="375">INDEX(AHN4:AHN8,MATCH(1,AHY4:AHY8,0),0)</f>
        <v>Switzerland</v>
      </c>
      <c r="AIA4" s="319">
        <f t="shared" ref="AIA4" ca="1" si="376">INDEX(AHW4:AHW8,MATCH(AHZ4,AHN4:AHN8,0),0)</f>
        <v>1</v>
      </c>
      <c r="AIB4" s="319" t="str">
        <f t="shared" ref="AIB4" ca="1" si="377">IF(AIA5=1,AHZ4,"")</f>
        <v>Switzerland</v>
      </c>
      <c r="AIC4" s="319" t="str">
        <f t="shared" ref="AIC4" ca="1" si="378">IF(AIA6=2,AHZ5,"")</f>
        <v/>
      </c>
      <c r="AID4" s="319" t="str">
        <f t="shared" ref="AID4" ca="1" si="379">IF(AIA7=3,AHZ6,"")</f>
        <v/>
      </c>
      <c r="AIE4" s="319" t="str">
        <f t="shared" ref="AIE4" si="380">IF(AIA8=4,AHZ7,"")</f>
        <v/>
      </c>
      <c r="AIF4" s="319"/>
      <c r="AIG4" s="319" t="str">
        <f t="shared" ref="AIG4:AIG7" ca="1" si="381">IF(AIB4&lt;&gt;"",AIB4,"")</f>
        <v>Switzerland</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f t="shared" ref="AIN4:AIN7" ca="1" si="388">IF(AIG4&lt;&gt;"",AIH4*3+AII4*1,"")</f>
        <v>0</v>
      </c>
      <c r="AIO4" s="319">
        <f t="shared" ref="AIO4" ca="1" si="389">IF(AIG4&lt;&gt;"",VLOOKUP(AIG4,AHN4:AHT40,7,FALSE),"")</f>
        <v>1000</v>
      </c>
      <c r="AIP4" s="319">
        <f t="shared" ref="AIP4" ca="1" si="390">IF(AIG4&lt;&gt;"",VLOOKUP(AIG4,AHN4:AHT40,5,FALSE),"")</f>
        <v>0</v>
      </c>
      <c r="AIQ4" s="319">
        <f t="shared" ref="AIQ4" ca="1" si="391">IF(AIG4&lt;&gt;"",VLOOKUP(AIG4,AHN4:AHV40,9,FALSE),"")</f>
        <v>34</v>
      </c>
      <c r="AIR4" s="319">
        <f t="shared" ref="AIR4:AIR7" ca="1" si="392">AIN4</f>
        <v>0</v>
      </c>
      <c r="AIS4" s="319">
        <f t="shared" ref="AIS4" ca="1" si="393">IF(AIG4&lt;&gt;"",RANK(AIR4,AIR4:AIR8),"")</f>
        <v>1</v>
      </c>
      <c r="AIT4" s="319">
        <f t="shared" ref="AIT4" ca="1" si="394">IF(AIG4&lt;&gt;"",SUMPRODUCT((AIR4:AIR8=AIR4)*(AIM4:AIM8&gt;AIM4)),"")</f>
        <v>0</v>
      </c>
      <c r="AIU4" s="319">
        <f t="shared" ref="AIU4" ca="1" si="395">IF(AIG4&lt;&gt;"",SUMPRODUCT((AIR4:AIR8=AIR4)*(AIM4:AIM8=AIM4)*(AIK4:AIK8&gt;AIK4)),"")</f>
        <v>0</v>
      </c>
      <c r="AIV4" s="319">
        <f t="shared" ref="AIV4" ca="1" si="396">IF(AIG4&lt;&gt;"",SUMPRODUCT((AIR4:AIR8=AIR4)*(AIM4:AIM8=AIM4)*(AIK4:AIK8=AIK4)*(AIO4:AIO8&gt;AIO4)),"")</f>
        <v>0</v>
      </c>
      <c r="AIW4" s="319">
        <f t="shared" ref="AIW4" ca="1" si="397">IF(AIG4&lt;&gt;"",SUMPRODUCT((AIR4:AIR8=AIR4)*(AIM4:AIM8=AIM4)*(AIK4:AIK8=AIK4)*(AIO4:AIO8=AIO4)*(AIP4:AIP8&gt;AIP4)),"")</f>
        <v>0</v>
      </c>
      <c r="AIX4" s="319">
        <f t="shared" ref="AIX4" ca="1" si="398">IF(AIG4&lt;&gt;"",SUMPRODUCT((AIR4:AIR8=AIR4)*(AIM4:AIM8=AIM4)*(AIK4:AIK8=AIK4)*(AIO4:AIO8=AIO4)*(AIP4:AIP8=AIP4)*(AIQ4:AIQ8&gt;AIQ4)),"")</f>
        <v>3</v>
      </c>
      <c r="AIY4" s="319">
        <f ca="1">IF(AIG4&lt;&gt;"",IF(AIY44&lt;&gt;"",IF(AIF43=3,AIY44,AIY44+AIF43),SUM(AIS4:AIX4)),"")</f>
        <v>4</v>
      </c>
      <c r="AIZ4" s="319" t="str">
        <f t="shared" ref="AIZ4" ca="1" si="399">IF(AIG4&lt;&gt;"",INDEX(AIG4:AIG8,MATCH(1,AIY4:AIY8,0),0),"")</f>
        <v>Germany</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0</v>
      </c>
      <c r="ALN4" s="322">
        <f ca="1">IF(OFFSET('Player Game Board'!Q11,0,ALM1)&lt;&gt;"",OFFSET('Player Game Board'!Q11,0,ALM1),0)</f>
        <v>0</v>
      </c>
      <c r="ALO4" s="319" t="str">
        <f t="shared" si="83"/>
        <v>Switzerland</v>
      </c>
      <c r="ALP4" s="319" t="str">
        <f ca="1">IF(AND(OFFSET('Player Game Board'!P11,0,ALM1)&lt;&gt;"",OFFSET('Player Game Board'!Q11,0,ALM1)&lt;&gt;""),IF(ALM4&gt;ALN4,"W",IF(ALM4=ALN4,"D","L")),"")</f>
        <v/>
      </c>
      <c r="ALQ4" s="319" t="str">
        <f t="shared" ca="1" si="84"/>
        <v/>
      </c>
      <c r="ALR4" s="319"/>
      <c r="ALS4" s="319"/>
      <c r="ALT4" s="319" t="str">
        <f t="shared" ref="ALT4" ca="1" si="401">VLOOKUP(3,AHM11:AHN14,2,FALSE)</f>
        <v>Croatia</v>
      </c>
      <c r="ALU4" s="320">
        <f t="shared" ref="ALU4" ca="1" si="402">VLOOKUP(ALT4,AHN4:AHS40,2,FALSE)</f>
        <v>0</v>
      </c>
      <c r="ALV4" s="320">
        <f t="shared" ref="ALV4" ca="1" si="403">VLOOKUP(ALT4,AHN4:AHS40,3,FALSE)</f>
        <v>0</v>
      </c>
      <c r="ALW4" s="320">
        <f t="shared" ref="ALW4" ca="1" si="404">VLOOKUP(ALT4,AHN4:AHS40,4,FALSE)</f>
        <v>0</v>
      </c>
      <c r="ALX4" s="320">
        <f t="shared" ref="ALX4" ca="1" si="405">VLOOKUP(ALT4,AHN4:AHS40,5,FALSE)</f>
        <v>0</v>
      </c>
      <c r="ALY4" s="320">
        <f t="shared" ref="ALY4" ca="1" si="406">VLOOKUP(ALT4,AHN4:AHS40,6,FALSE)</f>
        <v>0</v>
      </c>
      <c r="ALZ4" s="320">
        <f t="shared" ca="1" si="91"/>
        <v>1000</v>
      </c>
      <c r="AMA4" s="320">
        <f t="shared" ca="1" si="92"/>
        <v>0</v>
      </c>
      <c r="AMB4" s="319">
        <f ca="1">VLOOKUP(ALT4,B4:J40,9,FALSE)</f>
        <v>40</v>
      </c>
      <c r="AMC4" s="319">
        <f t="shared" ref="AMC4" ca="1" si="407">RANK(AMA4,AMA3:AMA8)</f>
        <v>1</v>
      </c>
      <c r="AMD4" s="319">
        <f t="shared" ref="AMD4" ca="1" si="408">SUMPRODUCT((AMC3:AMC8=AMC4)*(ALZ3:ALZ8&gt;ALZ4))</f>
        <v>0</v>
      </c>
      <c r="AME4" s="319">
        <f t="shared" ref="AME4" ca="1" si="409">SUMPRODUCT((AMC3:AMC8=AMC4)*(ALZ3:ALZ8=ALZ4)*(ALX3:ALX8&gt;ALX4))</f>
        <v>0</v>
      </c>
      <c r="AMF4" s="319">
        <f t="shared" ref="AMF4" ca="1" si="410">SUMPRODUCT((AMC3:AMC8=AMC4)*(ALZ3:ALZ8=ALZ4)*(ALX3:ALX8=ALX4)*(AMB3:AMB8&gt;AMB4))</f>
        <v>2</v>
      </c>
      <c r="AMG4" s="319">
        <f t="shared" ca="1" si="97"/>
        <v>3</v>
      </c>
      <c r="AMH4" s="319" t="s">
        <v>102</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0</v>
      </c>
      <c r="AMN4" s="319">
        <f t="shared" ref="AMN4" ca="1" si="414">SUMPRODUCT((AQJ3:AQJ42=AML4)*(AQN3:AQN42="D"))+SUMPRODUCT((AQM3:AQM42=AML4)*(AQO3:AQO42="D"))</f>
        <v>0</v>
      </c>
      <c r="AMO4" s="319">
        <f t="shared" ref="AMO4" ca="1" si="415">SUMPRODUCT((AQJ3:AQJ42=AML4)*(AQN3:AQN42="L"))+SUMPRODUCT((AQM3:AQM42=AML4)*(AQO3:AQO42="L"))</f>
        <v>0</v>
      </c>
      <c r="AMP4" s="319">
        <f t="shared" ref="AMP4" ca="1" si="416">SUMIF(AQJ3:AQJ60,AML4,AQK3:AQK60)+SUMIF(AQM3:AQM60,AML4,AQL3:AQL60)</f>
        <v>0</v>
      </c>
      <c r="AMQ4" s="319">
        <f t="shared" ref="AMQ4" ca="1" si="417">SUMIF(AQM3:AQM60,AML4,AQK3:AQK60)+SUMIF(AQJ3:AQJ60,AML4,AQL3:AQL60)</f>
        <v>0</v>
      </c>
      <c r="AMR4" s="319">
        <f t="shared" ref="AMR4:AMR7" ca="1" si="418">AMP4-AMQ4+1000</f>
        <v>1000</v>
      </c>
      <c r="AMS4" s="319">
        <f t="shared" ref="AMS4:AMS7" ca="1" si="419">AMM4*3+AMN4*1</f>
        <v>0</v>
      </c>
      <c r="AMT4" s="319">
        <f>AHV4</f>
        <v>54</v>
      </c>
      <c r="AMU4" s="319">
        <f t="shared" ref="AMU4" ca="1" si="420">IF(COUNTIF(AMS4:AMS8,4)&lt;&gt;4,RANK(AMS4,AMS4:AMS8),AMS44)</f>
        <v>1</v>
      </c>
      <c r="AMV4" s="319"/>
      <c r="AMW4" s="319">
        <f t="shared" ref="AMW4" ca="1" si="421">SUMPRODUCT((AMU4:AMU7=AMU4)*(AMT4:AMT7&lt;AMT4))+AMU4</f>
        <v>4</v>
      </c>
      <c r="AMX4" s="319" t="str">
        <f t="shared" ref="AMX4" ca="1" si="422">INDEX(AML4:AML8,MATCH(1,AMW4:AMW8,0),0)</f>
        <v>Switzerland</v>
      </c>
      <c r="AMY4" s="319">
        <f t="shared" ref="AMY4" ca="1" si="423">INDEX(AMU4:AMU8,MATCH(AMX4,AML4:AML8,0),0)</f>
        <v>1</v>
      </c>
      <c r="AMZ4" s="319" t="str">
        <f t="shared" ref="AMZ4" ca="1" si="424">IF(AMY5=1,AMX4,"")</f>
        <v>Switzerland</v>
      </c>
      <c r="ANA4" s="319" t="str">
        <f t="shared" ref="ANA4" ca="1" si="425">IF(AMY6=2,AMX5,"")</f>
        <v/>
      </c>
      <c r="ANB4" s="319" t="str">
        <f t="shared" ref="ANB4" ca="1" si="426">IF(AMY7=3,AMX6,"")</f>
        <v/>
      </c>
      <c r="ANC4" s="319" t="str">
        <f t="shared" ref="ANC4" si="427">IF(AMY8=4,AMX7,"")</f>
        <v/>
      </c>
      <c r="AND4" s="319"/>
      <c r="ANE4" s="319" t="str">
        <f t="shared" ref="ANE4:ANE7" ca="1" si="428">IF(AMZ4&lt;&gt;"",AMZ4,"")</f>
        <v>Switzerland</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f t="shared" ref="ANL4:ANL7" ca="1" si="435">IF(ANE4&lt;&gt;"",ANF4*3+ANG4*1,"")</f>
        <v>0</v>
      </c>
      <c r="ANM4" s="319">
        <f t="shared" ref="ANM4" ca="1" si="436">IF(ANE4&lt;&gt;"",VLOOKUP(ANE4,AML4:AMR40,7,FALSE),"")</f>
        <v>1000</v>
      </c>
      <c r="ANN4" s="319">
        <f t="shared" ref="ANN4" ca="1" si="437">IF(ANE4&lt;&gt;"",VLOOKUP(ANE4,AML4:AMR40,5,FALSE),"")</f>
        <v>0</v>
      </c>
      <c r="ANO4" s="319">
        <f t="shared" ref="ANO4" ca="1" si="438">IF(ANE4&lt;&gt;"",VLOOKUP(ANE4,AML4:AMT40,9,FALSE),"")</f>
        <v>34</v>
      </c>
      <c r="ANP4" s="319">
        <f t="shared" ref="ANP4:ANP7" ca="1" si="439">ANL4</f>
        <v>0</v>
      </c>
      <c r="ANQ4" s="319">
        <f t="shared" ref="ANQ4" ca="1" si="440">IF(ANE4&lt;&gt;"",RANK(ANP4,ANP4:ANP8),"")</f>
        <v>1</v>
      </c>
      <c r="ANR4" s="319">
        <f t="shared" ref="ANR4" ca="1" si="441">IF(ANE4&lt;&gt;"",SUMPRODUCT((ANP4:ANP8=ANP4)*(ANK4:ANK8&gt;ANK4)),"")</f>
        <v>0</v>
      </c>
      <c r="ANS4" s="319">
        <f t="shared" ref="ANS4" ca="1" si="442">IF(ANE4&lt;&gt;"",SUMPRODUCT((ANP4:ANP8=ANP4)*(ANK4:ANK8=ANK4)*(ANI4:ANI8&gt;ANI4)),"")</f>
        <v>0</v>
      </c>
      <c r="ANT4" s="319">
        <f t="shared" ref="ANT4" ca="1" si="443">IF(ANE4&lt;&gt;"",SUMPRODUCT((ANP4:ANP8=ANP4)*(ANK4:ANK8=ANK4)*(ANI4:ANI8=ANI4)*(ANM4:ANM8&gt;ANM4)),"")</f>
        <v>0</v>
      </c>
      <c r="ANU4" s="319">
        <f t="shared" ref="ANU4" ca="1" si="444">IF(ANE4&lt;&gt;"",SUMPRODUCT((ANP4:ANP8=ANP4)*(ANK4:ANK8=ANK4)*(ANI4:ANI8=ANI4)*(ANM4:ANM8=ANM4)*(ANN4:ANN8&gt;ANN4)),"")</f>
        <v>0</v>
      </c>
      <c r="ANV4" s="319">
        <f t="shared" ref="ANV4" ca="1" si="445">IF(ANE4&lt;&gt;"",SUMPRODUCT((ANP4:ANP8=ANP4)*(ANK4:ANK8=ANK4)*(ANI4:ANI8=ANI4)*(ANM4:ANM8=ANM4)*(ANN4:ANN8=ANN4)*(ANO4:ANO8&gt;ANO4)),"")</f>
        <v>3</v>
      </c>
      <c r="ANW4" s="319">
        <f ca="1">IF(ANE4&lt;&gt;"",IF(ANW44&lt;&gt;"",IF(AND43=3,ANW44,ANW44+AND43),SUM(ANQ4:ANV4)),"")</f>
        <v>4</v>
      </c>
      <c r="ANX4" s="319" t="str">
        <f t="shared" ref="ANX4" ca="1" si="446">IF(ANE4&lt;&gt;"",INDEX(ANE4:ANE8,MATCH(1,ANW4:ANW8,0),0),"")</f>
        <v>Germany</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0</v>
      </c>
      <c r="AQL4" s="322">
        <f ca="1">IF(OFFSET('Player Game Board'!Q11,0,AQK1)&lt;&gt;"",OFFSET('Player Game Board'!Q11,0,AQK1),0)</f>
        <v>0</v>
      </c>
      <c r="AQM4" s="319" t="str">
        <f t="shared" si="99"/>
        <v>Switzerland</v>
      </c>
      <c r="AQN4" s="319" t="str">
        <f ca="1">IF(AND(OFFSET('Player Game Board'!P11,0,AQK1)&lt;&gt;"",OFFSET('Player Game Board'!Q11,0,AQK1)&lt;&gt;""),IF(AQK4&gt;AQL4,"W",IF(AQK4=AQL4,"D","L")),"")</f>
        <v/>
      </c>
      <c r="AQO4" s="319" t="str">
        <f t="shared" ca="1" si="100"/>
        <v/>
      </c>
      <c r="AQP4" s="319"/>
      <c r="AQQ4" s="319"/>
      <c r="AQR4" s="319" t="str">
        <f t="shared" ref="AQR4" ca="1" si="448">VLOOKUP(3,AMK11:AML14,2,FALSE)</f>
        <v>Croatia</v>
      </c>
      <c r="AQS4" s="320">
        <f t="shared" ref="AQS4" ca="1" si="449">VLOOKUP(AQR4,AML4:AMQ40,2,FALSE)</f>
        <v>0</v>
      </c>
      <c r="AQT4" s="320">
        <f t="shared" ref="AQT4" ca="1" si="450">VLOOKUP(AQR4,AML4:AMQ40,3,FALSE)</f>
        <v>0</v>
      </c>
      <c r="AQU4" s="320">
        <f t="shared" ref="AQU4" ca="1" si="451">VLOOKUP(AQR4,AML4:AMQ40,4,FALSE)</f>
        <v>0</v>
      </c>
      <c r="AQV4" s="320">
        <f t="shared" ref="AQV4" ca="1" si="452">VLOOKUP(AQR4,AML4:AMQ40,5,FALSE)</f>
        <v>0</v>
      </c>
      <c r="AQW4" s="320">
        <f t="shared" ref="AQW4" ca="1" si="453">VLOOKUP(AQR4,AML4:AMQ40,6,FALSE)</f>
        <v>0</v>
      </c>
      <c r="AQX4" s="320">
        <f t="shared" ca="1" si="107"/>
        <v>1000</v>
      </c>
      <c r="AQY4" s="320">
        <f t="shared" ca="1" si="108"/>
        <v>0</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2</v>
      </c>
      <c r="ARE4" s="319">
        <f t="shared" ca="1" si="113"/>
        <v>3</v>
      </c>
      <c r="ARF4" s="319" t="s">
        <v>102</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0</v>
      </c>
      <c r="ARL4" s="319">
        <f t="shared" ref="ARL4" ca="1" si="461">SUMPRODUCT((AVH3:AVH42=ARJ4)*(AVL3:AVL42="D"))+SUMPRODUCT((AVK3:AVK42=ARJ4)*(AVM3:AVM42="D"))</f>
        <v>0</v>
      </c>
      <c r="ARM4" s="319">
        <f t="shared" ref="ARM4" ca="1" si="462">SUMPRODUCT((AVH3:AVH42=ARJ4)*(AVL3:AVL42="L"))+SUMPRODUCT((AVK3:AVK42=ARJ4)*(AVM3:AVM42="L"))</f>
        <v>0</v>
      </c>
      <c r="ARN4" s="319">
        <f t="shared" ref="ARN4" ca="1" si="463">SUMIF(AVH3:AVH60,ARJ4,AVI3:AVI60)+SUMIF(AVK3:AVK60,ARJ4,AVJ3:AVJ60)</f>
        <v>0</v>
      </c>
      <c r="ARO4" s="319">
        <f t="shared" ref="ARO4" ca="1" si="464">SUMIF(AVK3:AVK60,ARJ4,AVI3:AVI60)+SUMIF(AVH3:AVH60,ARJ4,AVJ3:AVJ60)</f>
        <v>0</v>
      </c>
      <c r="ARP4" s="319">
        <f t="shared" ref="ARP4:ARP7" ca="1" si="465">ARN4-ARO4+1000</f>
        <v>1000</v>
      </c>
      <c r="ARQ4" s="319">
        <f t="shared" ref="ARQ4:ARQ7" ca="1" si="466">ARK4*3+ARL4*1</f>
        <v>0</v>
      </c>
      <c r="ARR4" s="319">
        <f>AMT4</f>
        <v>54</v>
      </c>
      <c r="ARS4" s="319">
        <f t="shared" ref="ARS4" ca="1" si="467">IF(COUNTIF(ARQ4:ARQ8,4)&lt;&gt;4,RANK(ARQ4,ARQ4:ARQ8),ARQ44)</f>
        <v>1</v>
      </c>
      <c r="ART4" s="319"/>
      <c r="ARU4" s="319">
        <f t="shared" ref="ARU4" ca="1" si="468">SUMPRODUCT((ARS4:ARS7=ARS4)*(ARR4:ARR7&lt;ARR4))+ARS4</f>
        <v>4</v>
      </c>
      <c r="ARV4" s="319" t="str">
        <f t="shared" ref="ARV4" ca="1" si="469">INDEX(ARJ4:ARJ8,MATCH(1,ARU4:ARU8,0),0)</f>
        <v>Switzerland</v>
      </c>
      <c r="ARW4" s="319">
        <f t="shared" ref="ARW4" ca="1" si="470">INDEX(ARS4:ARS8,MATCH(ARV4,ARJ4:ARJ8,0),0)</f>
        <v>1</v>
      </c>
      <c r="ARX4" s="319" t="str">
        <f t="shared" ref="ARX4" ca="1" si="471">IF(ARW5=1,ARV4,"")</f>
        <v>Switzerland</v>
      </c>
      <c r="ARY4" s="319" t="str">
        <f t="shared" ref="ARY4" ca="1" si="472">IF(ARW6=2,ARV5,"")</f>
        <v/>
      </c>
      <c r="ARZ4" s="319" t="str">
        <f t="shared" ref="ARZ4" ca="1" si="473">IF(ARW7=3,ARV6,"")</f>
        <v/>
      </c>
      <c r="ASA4" s="319" t="str">
        <f t="shared" ref="ASA4" si="474">IF(ARW8=4,ARV7,"")</f>
        <v/>
      </c>
      <c r="ASB4" s="319"/>
      <c r="ASC4" s="319" t="str">
        <f t="shared" ref="ASC4:ASC7" ca="1" si="475">IF(ARX4&lt;&gt;"",ARX4,"")</f>
        <v>Switzerland</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f t="shared" ref="ASJ4:ASJ7" ca="1" si="482">IF(ASC4&lt;&gt;"",ASD4*3+ASE4*1,"")</f>
        <v>0</v>
      </c>
      <c r="ASK4" s="319">
        <f t="shared" ref="ASK4" ca="1" si="483">IF(ASC4&lt;&gt;"",VLOOKUP(ASC4,ARJ4:ARP40,7,FALSE),"")</f>
        <v>1000</v>
      </c>
      <c r="ASL4" s="319">
        <f t="shared" ref="ASL4" ca="1" si="484">IF(ASC4&lt;&gt;"",VLOOKUP(ASC4,ARJ4:ARP40,5,FALSE),"")</f>
        <v>0</v>
      </c>
      <c r="ASM4" s="319">
        <f t="shared" ref="ASM4" ca="1" si="485">IF(ASC4&lt;&gt;"",VLOOKUP(ASC4,ARJ4:ARR40,9,FALSE),"")</f>
        <v>34</v>
      </c>
      <c r="ASN4" s="319">
        <f t="shared" ref="ASN4:ASN7" ca="1" si="486">ASJ4</f>
        <v>0</v>
      </c>
      <c r="ASO4" s="319">
        <f t="shared" ref="ASO4" ca="1" si="487">IF(ASC4&lt;&gt;"",RANK(ASN4,ASN4:ASN8),"")</f>
        <v>1</v>
      </c>
      <c r="ASP4" s="319">
        <f t="shared" ref="ASP4" ca="1" si="488">IF(ASC4&lt;&gt;"",SUMPRODUCT((ASN4:ASN8=ASN4)*(ASI4:ASI8&gt;ASI4)),"")</f>
        <v>0</v>
      </c>
      <c r="ASQ4" s="319">
        <f t="shared" ref="ASQ4" ca="1" si="489">IF(ASC4&lt;&gt;"",SUMPRODUCT((ASN4:ASN8=ASN4)*(ASI4:ASI8=ASI4)*(ASG4:ASG8&gt;ASG4)),"")</f>
        <v>0</v>
      </c>
      <c r="ASR4" s="319">
        <f t="shared" ref="ASR4" ca="1" si="490">IF(ASC4&lt;&gt;"",SUMPRODUCT((ASN4:ASN8=ASN4)*(ASI4:ASI8=ASI4)*(ASG4:ASG8=ASG4)*(ASK4:ASK8&gt;ASK4)),"")</f>
        <v>0</v>
      </c>
      <c r="ASS4" s="319">
        <f t="shared" ref="ASS4" ca="1" si="491">IF(ASC4&lt;&gt;"",SUMPRODUCT((ASN4:ASN8=ASN4)*(ASI4:ASI8=ASI4)*(ASG4:ASG8=ASG4)*(ASK4:ASK8=ASK4)*(ASL4:ASL8&gt;ASL4)),"")</f>
        <v>0</v>
      </c>
      <c r="AST4" s="319">
        <f t="shared" ref="AST4" ca="1" si="492">IF(ASC4&lt;&gt;"",SUMPRODUCT((ASN4:ASN8=ASN4)*(ASI4:ASI8=ASI4)*(ASG4:ASG8=ASG4)*(ASK4:ASK8=ASK4)*(ASL4:ASL8=ASL4)*(ASM4:ASM8&gt;ASM4)),"")</f>
        <v>3</v>
      </c>
      <c r="ASU4" s="319">
        <f ca="1">IF(ASC4&lt;&gt;"",IF(ASU44&lt;&gt;"",IF(ASB43=3,ASU44,ASU44+ASB43),SUM(ASO4:AST4)),"")</f>
        <v>4</v>
      </c>
      <c r="ASV4" s="319" t="str">
        <f t="shared" ref="ASV4" ca="1" si="493">IF(ASC4&lt;&gt;"",INDEX(ASC4:ASC8,MATCH(1,ASU4:ASU8,0),0),"")</f>
        <v>Germany</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0</v>
      </c>
      <c r="AVK4" s="319" t="str">
        <f t="shared" si="115"/>
        <v>Switzerland</v>
      </c>
      <c r="AVL4" s="319" t="str">
        <f ca="1">IF(AND(OFFSET('Player Game Board'!P11,0,AVI1)&lt;&gt;"",OFFSET('Player Game Board'!Q11,0,AVI1)&lt;&gt;""),IF(AVI4&gt;AVJ4,"W",IF(AVI4=AVJ4,"D","L")),"")</f>
        <v/>
      </c>
      <c r="AVM4" s="319" t="str">
        <f t="shared" ca="1" si="116"/>
        <v/>
      </c>
      <c r="AVN4" s="319"/>
      <c r="AVO4" s="319"/>
      <c r="AVP4" s="319" t="str">
        <f t="shared" ref="AVP4" ca="1" si="495">VLOOKUP(3,ARI11:ARJ14,2,FALSE)</f>
        <v>Croatia</v>
      </c>
      <c r="AVQ4" s="320">
        <f t="shared" ref="AVQ4" ca="1" si="496">VLOOKUP(AVP4,ARJ4:ARO40,2,FALSE)</f>
        <v>0</v>
      </c>
      <c r="AVR4" s="320">
        <f t="shared" ref="AVR4" ca="1" si="497">VLOOKUP(AVP4,ARJ4:ARO40,3,FALSE)</f>
        <v>0</v>
      </c>
      <c r="AVS4" s="320">
        <f t="shared" ref="AVS4" ca="1" si="498">VLOOKUP(AVP4,ARJ4:ARO40,4,FALSE)</f>
        <v>0</v>
      </c>
      <c r="AVT4" s="320">
        <f t="shared" ref="AVT4" ca="1" si="499">VLOOKUP(AVP4,ARJ4:ARO40,5,FALSE)</f>
        <v>0</v>
      </c>
      <c r="AVU4" s="320">
        <f t="shared" ref="AVU4" ca="1" si="500">VLOOKUP(AVP4,ARJ4:ARO40,6,FALSE)</f>
        <v>0</v>
      </c>
      <c r="AVV4" s="320">
        <f t="shared" ca="1" si="123"/>
        <v>1000</v>
      </c>
      <c r="AVW4" s="320">
        <f t="shared" ca="1" si="124"/>
        <v>0</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2</v>
      </c>
      <c r="AWC4" s="319">
        <f t="shared" ca="1" si="129"/>
        <v>3</v>
      </c>
      <c r="AWD4" s="319" t="s">
        <v>102</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0</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0</v>
      </c>
      <c r="AWM4" s="319">
        <f t="shared" ref="AWM4" ca="1" si="511">SUMIF(BAI3:BAI60,AWH4,BAG3:BAG60)+SUMIF(BAF3:BAF60,AWH4,BAH3:BAH60)</f>
        <v>0</v>
      </c>
      <c r="AWN4" s="319">
        <f t="shared" ref="AWN4:AWN7" ca="1" si="512">AWL4-AWM4+1000</f>
        <v>1000</v>
      </c>
      <c r="AWO4" s="319">
        <f t="shared" ref="AWO4:AWO7" ca="1" si="513">AWI4*3+AWJ4*1</f>
        <v>0</v>
      </c>
      <c r="AWP4" s="319">
        <f>ARR4</f>
        <v>54</v>
      </c>
      <c r="AWQ4" s="319">
        <f t="shared" ref="AWQ4" ca="1" si="514">IF(COUNTIF(AWO4:AWO8,4)&lt;&gt;4,RANK(AWO4,AWO4:AWO8),AWO44)</f>
        <v>1</v>
      </c>
      <c r="AWR4" s="319"/>
      <c r="AWS4" s="319">
        <f t="shared" ref="AWS4" ca="1" si="515">SUMPRODUCT((AWQ4:AWQ7=AWQ4)*(AWP4:AWP7&lt;AWP4))+AWQ4</f>
        <v>4</v>
      </c>
      <c r="AWT4" s="319" t="str">
        <f t="shared" ref="AWT4" ca="1" si="516">INDEX(AWH4:AWH8,MATCH(1,AWS4:AWS8,0),0)</f>
        <v>Switzerland</v>
      </c>
      <c r="AWU4" s="319">
        <f t="shared" ref="AWU4" ca="1" si="517">INDEX(AWQ4:AWQ8,MATCH(AWT4,AWH4:AWH8,0),0)</f>
        <v>1</v>
      </c>
      <c r="AWV4" s="319" t="str">
        <f t="shared" ref="AWV4" ca="1" si="518">IF(AWU5=1,AWT4,"")</f>
        <v>Switzerland</v>
      </c>
      <c r="AWW4" s="319" t="str">
        <f t="shared" ref="AWW4" ca="1" si="519">IF(AWU6=2,AWT5,"")</f>
        <v/>
      </c>
      <c r="AWX4" s="319" t="str">
        <f t="shared" ref="AWX4" ca="1" si="520">IF(AWU7=3,AWT6,"")</f>
        <v/>
      </c>
      <c r="AWY4" s="319" t="str">
        <f t="shared" ref="AWY4" si="521">IF(AWU8=4,AWT7,"")</f>
        <v/>
      </c>
      <c r="AWZ4" s="319"/>
      <c r="AXA4" s="319" t="str">
        <f t="shared" ref="AXA4:AXA7" ca="1" si="522">IF(AWV4&lt;&gt;"",AWV4,"")</f>
        <v>Switzerland</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f t="shared" ref="AXH4:AXH7" ca="1" si="529">IF(AXA4&lt;&gt;"",AXB4*3+AXC4*1,"")</f>
        <v>0</v>
      </c>
      <c r="AXI4" s="319">
        <f t="shared" ref="AXI4" ca="1" si="530">IF(AXA4&lt;&gt;"",VLOOKUP(AXA4,AWH4:AWN40,7,FALSE),"")</f>
        <v>1000</v>
      </c>
      <c r="AXJ4" s="319">
        <f t="shared" ref="AXJ4" ca="1" si="531">IF(AXA4&lt;&gt;"",VLOOKUP(AXA4,AWH4:AWN40,5,FALSE),"")</f>
        <v>0</v>
      </c>
      <c r="AXK4" s="319">
        <f t="shared" ref="AXK4" ca="1" si="532">IF(AXA4&lt;&gt;"",VLOOKUP(AXA4,AWH4:AWP40,9,FALSE),"")</f>
        <v>34</v>
      </c>
      <c r="AXL4" s="319">
        <f t="shared" ref="AXL4:AXL7" ca="1" si="533">AXH4</f>
        <v>0</v>
      </c>
      <c r="AXM4" s="319">
        <f t="shared" ref="AXM4" ca="1" si="534">IF(AXA4&lt;&gt;"",RANK(AXL4,AXL4:AXL8),"")</f>
        <v>1</v>
      </c>
      <c r="AXN4" s="319">
        <f t="shared" ref="AXN4" ca="1" si="535">IF(AXA4&lt;&gt;"",SUMPRODUCT((AXL4:AXL8=AXL4)*(AXG4:AXG8&gt;AXG4)),"")</f>
        <v>0</v>
      </c>
      <c r="AXO4" s="319">
        <f t="shared" ref="AXO4" ca="1" si="536">IF(AXA4&lt;&gt;"",SUMPRODUCT((AXL4:AXL8=AXL4)*(AXG4:AXG8=AXG4)*(AXE4:AXE8&gt;AXE4)),"")</f>
        <v>0</v>
      </c>
      <c r="AXP4" s="319">
        <f t="shared" ref="AXP4" ca="1" si="537">IF(AXA4&lt;&gt;"",SUMPRODUCT((AXL4:AXL8=AXL4)*(AXG4:AXG8=AXG4)*(AXE4:AXE8=AXE4)*(AXI4:AXI8&gt;AXI4)),"")</f>
        <v>0</v>
      </c>
      <c r="AXQ4" s="319">
        <f t="shared" ref="AXQ4" ca="1" si="538">IF(AXA4&lt;&gt;"",SUMPRODUCT((AXL4:AXL8=AXL4)*(AXG4:AXG8=AXG4)*(AXE4:AXE8=AXE4)*(AXI4:AXI8=AXI4)*(AXJ4:AXJ8&gt;AXJ4)),"")</f>
        <v>0</v>
      </c>
      <c r="AXR4" s="319">
        <f t="shared" ref="AXR4" ca="1" si="539">IF(AXA4&lt;&gt;"",SUMPRODUCT((AXL4:AXL8=AXL4)*(AXG4:AXG8=AXG4)*(AXE4:AXE8=AXE4)*(AXI4:AXI8=AXI4)*(AXJ4:AXJ8=AXJ4)*(AXK4:AXK8&gt;AXK4)),"")</f>
        <v>3</v>
      </c>
      <c r="AXS4" s="319">
        <f ca="1">IF(AXA4&lt;&gt;"",IF(AXS44&lt;&gt;"",IF(AWZ43=3,AXS44,AXS44+AWZ43),SUM(AXM4:AXR4)),"")</f>
        <v>4</v>
      </c>
      <c r="AXT4" s="319" t="str">
        <f t="shared" ref="AXT4" ca="1" si="540">IF(AXA4&lt;&gt;"",INDEX(AXA4:AXA8,MATCH(1,AXS4:AXS8,0),0),"")</f>
        <v>Germany</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0</v>
      </c>
      <c r="BAH4" s="322">
        <f ca="1">IF(OFFSET('Player Game Board'!Q11,0,BAG1)&lt;&gt;"",OFFSET('Player Game Board'!Q11,0,BAG1),0)</f>
        <v>0</v>
      </c>
      <c r="BAI4" s="319" t="str">
        <f t="shared" si="131"/>
        <v>Switzerland</v>
      </c>
      <c r="BAJ4" s="319" t="str">
        <f ca="1">IF(AND(OFFSET('Player Game Board'!P11,0,BAG1)&lt;&gt;"",OFFSET('Player Game Board'!Q11,0,BAG1)&lt;&gt;""),IF(BAG4&gt;BAH4,"W",IF(BAG4=BAH4,"D","L")),"")</f>
        <v/>
      </c>
      <c r="BAK4" s="319" t="str">
        <f t="shared" ca="1" si="132"/>
        <v/>
      </c>
      <c r="BAL4" s="319"/>
      <c r="BAM4" s="319"/>
      <c r="BAN4" s="319" t="str">
        <f t="shared" ref="BAN4" ca="1" si="542">VLOOKUP(3,AWG11:AWH14,2,FALSE)</f>
        <v>Croatia</v>
      </c>
      <c r="BAO4" s="320">
        <f t="shared" ref="BAO4" ca="1" si="543">VLOOKUP(BAN4,AWH4:AWM40,2,FALSE)</f>
        <v>0</v>
      </c>
      <c r="BAP4" s="320">
        <f t="shared" ref="BAP4" ca="1" si="544">VLOOKUP(BAN4,AWH4:AWM40,3,FALSE)</f>
        <v>0</v>
      </c>
      <c r="BAQ4" s="320">
        <f t="shared" ref="BAQ4" ca="1" si="545">VLOOKUP(BAN4,AWH4:AWM40,4,FALSE)</f>
        <v>0</v>
      </c>
      <c r="BAR4" s="320">
        <f t="shared" ref="BAR4" ca="1" si="546">VLOOKUP(BAN4,AWH4:AWM40,5,FALSE)</f>
        <v>0</v>
      </c>
      <c r="BAS4" s="320">
        <f t="shared" ref="BAS4" ca="1" si="547">VLOOKUP(BAN4,AWH4:AWM40,6,FALSE)</f>
        <v>0</v>
      </c>
      <c r="BAT4" s="320">
        <f t="shared" ca="1" si="139"/>
        <v>1000</v>
      </c>
      <c r="BAU4" s="320">
        <f t="shared" ca="1" si="140"/>
        <v>0</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2</v>
      </c>
      <c r="BBA4" s="319">
        <f t="shared" ca="1" si="145"/>
        <v>3</v>
      </c>
      <c r="BBB4" s="319" t="s">
        <v>102</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102</v>
      </c>
      <c r="BGA4" s="319">
        <v>2</v>
      </c>
      <c r="BGB4" s="319"/>
    </row>
    <row r="5" spans="1:1536" ht="13.8" x14ac:dyDescent="0.3">
      <c r="A5" s="319">
        <f>VLOOKUP(B5,CW4:CX8,2,FALSE)</f>
        <v>4</v>
      </c>
      <c r="B5" s="319" t="str">
        <f>'Language Table'!C20</f>
        <v>Scotland</v>
      </c>
      <c r="C5" s="319">
        <f>SUMPRODUCT((CZ3:CZ42=B5)*(DD3:DD42="W"))+SUMPRODUCT((DC3:DC42=B5)*(DE3:DE42="W"))</f>
        <v>0</v>
      </c>
      <c r="D5" s="319">
        <f>SUMPRODUCT((CZ3:CZ42=B5)*(DD3:DD42="D"))+SUMPRODUCT((DC3:DC42=B5)*(DE3:DE42="D"))</f>
        <v>0</v>
      </c>
      <c r="E5" s="319">
        <f>SUMPRODUCT((CZ3:CZ42=B5)*(DD3:DD42="L"))+SUMPRODUCT((DC3:DC42=B5)*(DE3:DE42="L"))</f>
        <v>1</v>
      </c>
      <c r="F5" s="319">
        <f>SUMIF(CZ3:CZ60,B5,DA3:DA60)+SUMIF(DC3:DC60,B5,DB3:DB60)</f>
        <v>1</v>
      </c>
      <c r="G5" s="319">
        <f>SUMIF(DC3:DC60,B5,DA3:DA60)+SUMIF(CZ3:CZ60,B5,DB3:DB60)</f>
        <v>5</v>
      </c>
      <c r="H5" s="319">
        <f t="shared" ref="H5:H7" si="599">F5-G5+1000</f>
        <v>996</v>
      </c>
      <c r="I5" s="319">
        <f t="shared" ref="I5:I7" si="600">C5*3+D5*1</f>
        <v>0</v>
      </c>
      <c r="J5" s="319">
        <v>43</v>
      </c>
      <c r="K5" s="319">
        <f>IF(COUNTIF(I4:I8,4)&lt;&gt;4,RANK(I5,I4:I8),I45)</f>
        <v>3</v>
      </c>
      <c r="L5" s="319"/>
      <c r="M5" s="319">
        <f>SUMPRODUCT((K4:K7=K5)*(J4:J7&lt;J5))+K5</f>
        <v>3</v>
      </c>
      <c r="N5" s="319" t="str">
        <f>INDEX(B4:B8,MATCH(2,M4:M8,0),0)</f>
        <v>Germany</v>
      </c>
      <c r="O5" s="319">
        <f>INDEX(K4:K8,MATCH(N5,B4:B8,0),0)</f>
        <v>1</v>
      </c>
      <c r="P5" s="319" t="str">
        <f>IF(P4&lt;&gt;"",N5,"")</f>
        <v>Germany</v>
      </c>
      <c r="Q5" s="319" t="str">
        <f>IF(Q4&lt;&gt;"",N6,"")</f>
        <v/>
      </c>
      <c r="R5" s="319" t="str">
        <f>IF(R4&lt;&gt;"",N7,"")</f>
        <v>Hungary</v>
      </c>
      <c r="S5" s="319" t="str">
        <f>IF(S4&lt;&gt;"",N8,"")</f>
        <v/>
      </c>
      <c r="T5" s="319"/>
      <c r="U5" s="319" t="str">
        <f t="shared" ref="U5:U7" si="601">IF(P5&lt;&gt;"",P5,"")</f>
        <v>Germany</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f t="shared" ref="AB5:AB7" si="602">IF(U5&lt;&gt;"",V5*3+W5*1,"")</f>
        <v>0</v>
      </c>
      <c r="AC5" s="319">
        <f>IF(U5&lt;&gt;"",VLOOKUP(U5,B4:H40,7,FALSE),"")</f>
        <v>1004</v>
      </c>
      <c r="AD5" s="319">
        <f>IF(U5&lt;&gt;"",VLOOKUP(U5,B4:H40,5,FALSE),"")</f>
        <v>5</v>
      </c>
      <c r="AE5" s="319">
        <f>IF(U5&lt;&gt;"",VLOOKUP(U5,B4:J40,9,FALSE),"")</f>
        <v>54</v>
      </c>
      <c r="AF5" s="319">
        <f t="shared" ref="AF5:AF7" si="603">AB5</f>
        <v>0</v>
      </c>
      <c r="AG5" s="319">
        <f>IF(U5&lt;&gt;"",RANK(AF5,AF4:AF8),"")</f>
        <v>1</v>
      </c>
      <c r="AH5" s="319">
        <f>IF(U5&lt;&gt;"",SUMPRODUCT((AF4:AF8=AF5)*(AA4:AA8&gt;AA5)),"")</f>
        <v>0</v>
      </c>
      <c r="AI5" s="319">
        <f>IF(U5&lt;&gt;"",SUMPRODUCT((AF4:AF8=AF5)*(AA4:AA8=AA5)*(Y4:Y8&gt;Y5)),"")</f>
        <v>0</v>
      </c>
      <c r="AJ5" s="319">
        <f>IF(U5&lt;&gt;"",SUMPRODUCT((AF4:AF8=AF5)*(AA4:AA8=AA5)*(Y4:Y8=Y5)*(AC4:AC8&gt;AC5)),"")</f>
        <v>0</v>
      </c>
      <c r="AK5" s="319">
        <f>IF(U5&lt;&gt;"",SUMPRODUCT((AF4:AF8=AF5)*(AA4:AA8=AA5)*(Y4:Y8=Y5)*(AC4:AC8=AC5)*(AD4:AD8&gt;AD5)),"")</f>
        <v>0</v>
      </c>
      <c r="AL5" s="319">
        <f>IF(U5&lt;&gt;"",SUMPRODUCT((AF4:AF8=AF5)*(AA4:AA8=AA5)*(Y4:Y8=Y5)*(AC4:AC8=AC5)*(AD4:AD8=AD5)*(AE4:AE8&gt;AE5)),"")</f>
        <v>0</v>
      </c>
      <c r="AM5" s="319">
        <f>IF(U5&lt;&gt;"",IF(AM45&lt;&gt;"",IF(T43=3,AM45,AM45+T43),SUM(AG5:AL5)),"")</f>
        <v>1</v>
      </c>
      <c r="AN5" s="319" t="str">
        <f>IF(U5&lt;&gt;"",INDEX(U4:U8,MATCH(2,AM4:AM8,0),0),"")</f>
        <v>Switzerland</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1</v>
      </c>
      <c r="DK5" s="320">
        <f>Matches!W19</f>
        <v>0</v>
      </c>
      <c r="DL5" s="320">
        <f>Matches!X19</f>
        <v>1</v>
      </c>
      <c r="DM5" s="320">
        <f>Matches!Z19</f>
        <v>1</v>
      </c>
      <c r="DN5" s="320">
        <f>Matches!AA19</f>
        <v>0</v>
      </c>
      <c r="DO5" s="320">
        <f>Matches!AB19</f>
        <v>1</v>
      </c>
      <c r="DP5" s="319">
        <f>VLOOKUP(DH5,B4:J40,9,FALSE)</f>
        <v>39</v>
      </c>
      <c r="DQ5" s="319">
        <f>RANK(DO5,DO3:DO8)</f>
        <v>1</v>
      </c>
      <c r="DR5" s="319">
        <f>SUMPRODUCT((DQ3:DQ8=DQ5)*(DN3:DN8&gt;DN5))</f>
        <v>0</v>
      </c>
      <c r="DS5" s="319">
        <f>SUMPRODUCT((DQ3:DQ8=DQ5)*(DN3:DN8=DN5)*(DL3:DL8&gt;DL5))</f>
        <v>0</v>
      </c>
      <c r="DT5" s="319">
        <f>SUMPRODUCT((DQ3:DQ8=DQ5)*(DN3:DN8=DN5)*(DL3:DL8=DL5)*(DP3:DP8&gt;DP5))</f>
        <v>0</v>
      </c>
      <c r="DU5" s="319">
        <f t="shared" si="163"/>
        <v>1</v>
      </c>
      <c r="DV5" s="319" t="s">
        <v>103</v>
      </c>
      <c r="DW5" s="319">
        <v>3</v>
      </c>
      <c r="DX5" s="319"/>
      <c r="DY5" s="319">
        <f ca="1">VLOOKUP(DZ5,HU4:HV8,2,FALSE)</f>
        <v>3</v>
      </c>
      <c r="DZ5" s="319" t="str">
        <f t="shared" ref="DZ5:DZ7" si="606">B5</f>
        <v>Scotland</v>
      </c>
      <c r="EA5" s="319">
        <f ca="1">SUMPRODUCT((HX3:HX42=DZ5)*(IB3:IB42="W"))+SUMPRODUCT((IA3:IA42=DZ5)*(IC3:IC42="W"))</f>
        <v>1</v>
      </c>
      <c r="EB5" s="319">
        <f ca="1">SUMPRODUCT((HX3:HX42=DZ5)*(IB3:IB42="D"))+SUMPRODUCT((IA3:IA42=DZ5)*(IC3:IC42="D"))</f>
        <v>1</v>
      </c>
      <c r="EC5" s="319">
        <f ca="1">SUMPRODUCT((HX3:HX42=DZ5)*(IB3:IB42="L"))+SUMPRODUCT((IA3:IA42=DZ5)*(IC3:IC42="L"))</f>
        <v>1</v>
      </c>
      <c r="ED5" s="319">
        <f ca="1">SUMIF(HX3:HX60,DZ5,HY3:HY60)+SUMIF(IA3:IA60,DZ5,HZ3:HZ60)</f>
        <v>6</v>
      </c>
      <c r="EE5" s="319">
        <f ca="1">SUMIF(IA3:IA60,DZ5,HY3:HY60)+SUMIF(HX3:HX60,DZ5,HZ3:HZ60)</f>
        <v>6</v>
      </c>
      <c r="EF5" s="319">
        <f t="shared" ref="EF5:EF7" ca="1" si="607">ED5-EE5+1000</f>
        <v>1000</v>
      </c>
      <c r="EG5" s="319">
        <f t="shared" ref="EG5:EG7" ca="1" si="608">EA5*3+EB5*1</f>
        <v>4</v>
      </c>
      <c r="EH5" s="319">
        <f t="shared" ref="EH5:EH40" si="609">J5</f>
        <v>43</v>
      </c>
      <c r="EI5" s="319">
        <f ca="1">IF(COUNTIF(EG4:EG8,4)&lt;&gt;4,RANK(EG5,EG4:EG8),EG45)</f>
        <v>3</v>
      </c>
      <c r="EJ5" s="319"/>
      <c r="EK5" s="319">
        <f ca="1">SUMPRODUCT((EI4:EI7=EI5)*(EH4:EH7&lt;EH5))+EI5</f>
        <v>3</v>
      </c>
      <c r="EL5" s="319" t="str">
        <f ca="1">INDEX(DZ4:DZ8,MATCH(2,EK4:EK8,0),0)</f>
        <v>Switzerland</v>
      </c>
      <c r="EM5" s="319">
        <f ca="1">INDEX(EI4:EI8,MATCH(EL5,DZ4:DZ8,0),0)</f>
        <v>2</v>
      </c>
      <c r="EN5" s="319" t="str">
        <f ca="1">IF(EN4&lt;&gt;"",EL5,"")</f>
        <v/>
      </c>
      <c r="EO5" s="319" t="str">
        <f ca="1">IF(EO4&lt;&gt;"",EL6,"")</f>
        <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0</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0</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0</v>
      </c>
      <c r="FS5" s="319">
        <f ca="1">FQ5-FR5+1000</f>
        <v>1000</v>
      </c>
      <c r="FT5" s="319" t="str">
        <f t="shared" ref="FT5:FT7" ca="1" si="613">IF(FM5&lt;&gt;"",FN5*3+FO5*1,"")</f>
        <v/>
      </c>
      <c r="FU5" s="319" t="str">
        <f ca="1">IF(FM5&lt;&gt;"",VLOOKUP(FM5,DZ4:EF40,7,FALSE),"")</f>
        <v/>
      </c>
      <c r="FV5" s="319" t="str">
        <f ca="1">IF(FM5&lt;&gt;"",VLOOKUP(FM5,DZ4:EF40,5,FALSE),"")</f>
        <v/>
      </c>
      <c r="FW5" s="319" t="str">
        <f ca="1">IF(FM5&lt;&gt;"",VLOOKUP(FM5,DZ4:EH40,9,FALSE),"")</f>
        <v/>
      </c>
      <c r="FX5" s="319" t="str">
        <f t="shared" ref="FX5:FX7" ca="1" si="614">FT5</f>
        <v/>
      </c>
      <c r="FY5" s="319" t="str">
        <f ca="1">IF(FM5&lt;&gt;"",RANK(FX5,FX4:FX8),"")</f>
        <v/>
      </c>
      <c r="FZ5" s="319" t="str">
        <f ca="1">IF(FM5&lt;&gt;"",SUMPRODUCT((FX4:FX8=FX5)*(FS4:FS8&gt;FS5)),"")</f>
        <v/>
      </c>
      <c r="GA5" s="319" t="str">
        <f ca="1">IF(FM5&lt;&gt;"",SUMPRODUCT((FX4:FX8=FX5)*(FS4:FS8=FS5)*(FQ4:FQ8&gt;FQ5)),"")</f>
        <v/>
      </c>
      <c r="GB5" s="319" t="str">
        <f ca="1">IF(FM5&lt;&gt;"",SUMPRODUCT((FX4:FX8=FX5)*(FS4:FS8=FS5)*(FQ4:FQ8=FQ5)*(FU4:FU8&gt;FU5)),"")</f>
        <v/>
      </c>
      <c r="GC5" s="319" t="str">
        <f ca="1">IF(FM5&lt;&gt;"",SUMPRODUCT((FX4:FX8=FX5)*(FS4:FS8=FS5)*(FQ4:FQ8=FQ5)*(FU4:FU8=FU5)*(FV4:FV8&gt;FV5)),"")</f>
        <v/>
      </c>
      <c r="GD5" s="319" t="str">
        <f ca="1">IF(FM5&lt;&gt;"",SUMPRODUCT((FX4:FX8=FX5)*(FS4:FS8=FS5)*(FQ4:FQ8=FQ5)*(FU4:FU8=FU5)*(FV4:FV8=FV5)*(FW4:FW8&gt;FW5)),"")</f>
        <v/>
      </c>
      <c r="GE5" s="319" t="str">
        <f ca="1">IF(FM5&lt;&gt;"",IF(GE45&lt;&gt;"",IF(FL43=3,GE45,GE45+FL43),SUM(FY5:GD5)+1),"")</f>
        <v/>
      </c>
      <c r="GF5" s="319" t="str">
        <f ca="1">IF(FM5&lt;&gt;"",INDEX(FM5:FM8,MATCH(2,GE5:GE8,0),0),"")</f>
        <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Switzerland</v>
      </c>
      <c r="HV5" s="319">
        <v>2</v>
      </c>
      <c r="HW5" s="319">
        <v>3</v>
      </c>
      <c r="HX5" s="319" t="str">
        <f t="shared" si="164"/>
        <v>Spain</v>
      </c>
      <c r="HY5" s="322">
        <f ca="1">IF(OFFSET('Player Game Board'!P12,0,HY1)&lt;&gt;"",OFFSET('Player Game Board'!P12,0,HY1),0)</f>
        <v>3</v>
      </c>
      <c r="HZ5" s="322">
        <f ca="1">IF(OFFSET('Player Game Board'!Q12,0,HY1)&lt;&gt;"",OFFSET('Player Game Board'!Q12,0,HY1),0)</f>
        <v>0</v>
      </c>
      <c r="IA5" s="319" t="str">
        <f t="shared" si="165"/>
        <v>Croatia</v>
      </c>
      <c r="IB5" s="319" t="str">
        <f ca="1">IF(AND(OFFSET('Player Game Board'!P12,0,HY1)&lt;&gt;"",OFFSET('Player Game Board'!Q12,0,HY1)&lt;&gt;""),IF(HY5&gt;HZ5,"W",IF(HY5=HZ5,"D","L")),"")</f>
        <v>W</v>
      </c>
      <c r="IC5" s="319" t="str">
        <f t="shared" ca="1" si="166"/>
        <v>L</v>
      </c>
      <c r="ID5" s="319"/>
      <c r="IE5" s="319"/>
      <c r="IF5" s="319" t="str">
        <f ca="1">VLOOKUP(3,DY18:DZ21,2,FALSE)</f>
        <v>Slovenia</v>
      </c>
      <c r="IG5" s="320">
        <f ca="1">VLOOKUP(IF5,DZ4:EE40,2,FALSE)</f>
        <v>0</v>
      </c>
      <c r="IH5" s="320">
        <f ca="1">VLOOKUP(IF5,DZ4:EE40,3,FALSE)</f>
        <v>2</v>
      </c>
      <c r="II5" s="320">
        <f ca="1">VLOOKUP(IF5,DZ4:EE40,4,FALSE)</f>
        <v>1</v>
      </c>
      <c r="IJ5" s="320">
        <f ca="1">VLOOKUP(IF5,DZ4:EE40,5,FALSE)</f>
        <v>2</v>
      </c>
      <c r="IK5" s="320">
        <f ca="1">VLOOKUP(IF5,DZ4:EE40,6,FALSE)</f>
        <v>5</v>
      </c>
      <c r="IL5" s="320">
        <f t="shared" ca="1" si="167"/>
        <v>997</v>
      </c>
      <c r="IM5" s="320">
        <f t="shared" ca="1" si="168"/>
        <v>2</v>
      </c>
      <c r="IN5" s="319">
        <f ca="1">VLOOKUP(IF5,B4:J40,9,FALSE)</f>
        <v>39</v>
      </c>
      <c r="IO5" s="319">
        <f ca="1">RANK(IM5,IM3:IM8)</f>
        <v>5</v>
      </c>
      <c r="IP5" s="319">
        <f ca="1">SUMPRODUCT((IO3:IO8=IO5)*(IL3:IL8&gt;IL5))</f>
        <v>0</v>
      </c>
      <c r="IQ5" s="319">
        <f ca="1">SUMPRODUCT((IO3:IO8=IO5)*(IL3:IL8=IL5)*(IJ3:IJ8&gt;IJ5))</f>
        <v>0</v>
      </c>
      <c r="IR5" s="319">
        <f ca="1">SUMPRODUCT((IO3:IO8=IO5)*(IL3:IL8=IL5)*(IJ3:IJ8=IJ5)*(IN3:IN8&gt;IN5))</f>
        <v>0</v>
      </c>
      <c r="IS5" s="319">
        <f t="shared" ca="1" si="169"/>
        <v>5</v>
      </c>
      <c r="IT5" s="319" t="s">
        <v>103</v>
      </c>
      <c r="IU5" s="319">
        <v>3</v>
      </c>
      <c r="IV5" s="319"/>
      <c r="IW5" s="319">
        <f ca="1">VLOOKUP(IX5,MS4:MT8,2,FALSE)</f>
        <v>2</v>
      </c>
      <c r="IX5" s="319" t="str">
        <f t="shared" ref="IX5:IX7" si="615">DZ5</f>
        <v>Scotland</v>
      </c>
      <c r="IY5" s="319">
        <f ca="1">SUMPRODUCT((MV3:MV42=IX5)*(MZ3:MZ42="W"))+SUMPRODUCT((MY3:MY42=IX5)*(NA3:NA42="W"))</f>
        <v>1</v>
      </c>
      <c r="IZ5" s="319">
        <f ca="1">SUMPRODUCT((MV3:MV42=IX5)*(MZ3:MZ42="D"))+SUMPRODUCT((MY3:MY42=IX5)*(NA3:NA42="D"))</f>
        <v>1</v>
      </c>
      <c r="JA5" s="319">
        <f ca="1">SUMPRODUCT((MV3:MV42=IX5)*(MZ3:MZ42="L"))+SUMPRODUCT((MY3:MY42=IX5)*(NA3:NA42="L"))</f>
        <v>1</v>
      </c>
      <c r="JB5" s="319">
        <f ca="1">SUMIF(MV3:MV60,IX5,MW3:MW60)+SUMIF(MY3:MY60,IX5,MX3:MX60)</f>
        <v>3</v>
      </c>
      <c r="JC5" s="319">
        <f ca="1">SUMIF(MY3:MY60,IX5,MW3:MW60)+SUMIF(MV3:MV60,IX5,MX3:MX60)</f>
        <v>4</v>
      </c>
      <c r="JD5" s="319">
        <f t="shared" ref="JD5:JD7" ca="1" si="616">JB5-JC5+1000</f>
        <v>999</v>
      </c>
      <c r="JE5" s="319">
        <f t="shared" ref="JE5:JE7" ca="1" si="617">IY5*3+IZ5*1</f>
        <v>4</v>
      </c>
      <c r="JF5" s="319">
        <f t="shared" ref="JF5:JF40" si="618">EH5</f>
        <v>43</v>
      </c>
      <c r="JG5" s="319">
        <f ca="1">IF(COUNTIF(JE4:JE8,4)&lt;&gt;4,RANK(JE5,JE4:JE8),JE45)</f>
        <v>2</v>
      </c>
      <c r="JH5" s="319"/>
      <c r="JI5" s="319">
        <f ca="1">SUMPRODUCT((JG4:JG7=JG5)*(JF4:JF7&lt;JF5))+JG5</f>
        <v>2</v>
      </c>
      <c r="JJ5" s="319" t="str">
        <f ca="1">INDEX(IX4:IX8,MATCH(2,JI4:JI8,0),0)</f>
        <v>Scotland</v>
      </c>
      <c r="JK5" s="319">
        <f ca="1">INDEX(JG4:JG8,MATCH(JJ5,IX4:IX8,0),0)</f>
        <v>2</v>
      </c>
      <c r="JL5" s="319" t="str">
        <f ca="1">IF(JL4&lt;&gt;"",JJ5,"")</f>
        <v/>
      </c>
      <c r="JM5" s="319" t="str">
        <f ca="1">IF(JM4&lt;&gt;"",JJ6,"")</f>
        <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0</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19">
        <f ca="1">KO5-KP5+1000</f>
        <v>1000</v>
      </c>
      <c r="KR5" s="319" t="str">
        <f t="shared" ref="KR5:KR7" ca="1" si="622">IF(KK5&lt;&gt;"",KL5*3+KM5*1,"")</f>
        <v/>
      </c>
      <c r="KS5" s="319" t="str">
        <f ca="1">IF(KK5&lt;&gt;"",VLOOKUP(KK5,IX4:JD40,7,FALSE),"")</f>
        <v/>
      </c>
      <c r="KT5" s="319" t="str">
        <f ca="1">IF(KK5&lt;&gt;"",VLOOKUP(KK5,IX4:JD40,5,FALSE),"")</f>
        <v/>
      </c>
      <c r="KU5" s="319" t="str">
        <f ca="1">IF(KK5&lt;&gt;"",VLOOKUP(KK5,IX4:JF40,9,FALSE),"")</f>
        <v/>
      </c>
      <c r="KV5" s="319" t="str">
        <f t="shared" ref="KV5:KV7" ca="1" si="623">KR5</f>
        <v/>
      </c>
      <c r="KW5" s="319" t="str">
        <f ca="1">IF(KK5&lt;&gt;"",RANK(KV5,KV4:KV8),"")</f>
        <v/>
      </c>
      <c r="KX5" s="319" t="str">
        <f ca="1">IF(KK5&lt;&gt;"",SUMPRODUCT((KV4:KV8=KV5)*(KQ4:KQ8&gt;KQ5)),"")</f>
        <v/>
      </c>
      <c r="KY5" s="319" t="str">
        <f ca="1">IF(KK5&lt;&gt;"",SUMPRODUCT((KV4:KV8=KV5)*(KQ4:KQ8=KQ5)*(KO4:KO8&gt;KO5)),"")</f>
        <v/>
      </c>
      <c r="KZ5" s="319" t="str">
        <f ca="1">IF(KK5&lt;&gt;"",SUMPRODUCT((KV4:KV8=KV5)*(KQ4:KQ8=KQ5)*(KO4:KO8=KO5)*(KS4:KS8&gt;KS5)),"")</f>
        <v/>
      </c>
      <c r="LA5" s="319" t="str">
        <f ca="1">IF(KK5&lt;&gt;"",SUMPRODUCT((KV4:KV8=KV5)*(KQ4:KQ8=KQ5)*(KO4:KO8=KO5)*(KS4:KS8=KS5)*(KT4:KT8&gt;KT5)),"")</f>
        <v/>
      </c>
      <c r="LB5" s="319" t="str">
        <f ca="1">IF(KK5&lt;&gt;"",SUMPRODUCT((KV4:KV8=KV5)*(KQ4:KQ8=KQ5)*(KO4:KO8=KO5)*(KS4:KS8=KS5)*(KT4:KT8=KT5)*(KU4:KU8&gt;KU5)),"")</f>
        <v/>
      </c>
      <c r="LC5" s="319" t="str">
        <f ca="1">IF(KK5&lt;&gt;"",IF(LC45&lt;&gt;"",IF(KJ43=3,LC45,LC45+KJ43),SUM(KW5:LB5)+1),"")</f>
        <v/>
      </c>
      <c r="LD5" s="319" t="str">
        <f ca="1">IF(KK5&lt;&gt;"",INDEX(KK5:KK8,MATCH(2,LC5:LC8,0),0),"")</f>
        <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Scotland</v>
      </c>
      <c r="MT5" s="319">
        <v>2</v>
      </c>
      <c r="MU5" s="319">
        <v>3</v>
      </c>
      <c r="MV5" s="319" t="str">
        <f t="shared" si="170"/>
        <v>Spain</v>
      </c>
      <c r="MW5" s="322">
        <f ca="1">IF(OFFSET('Player Game Board'!P12,0,MW1)&lt;&gt;"",OFFSET('Player Game Board'!P12,0,MW1),0)</f>
        <v>1</v>
      </c>
      <c r="MX5" s="322">
        <f ca="1">IF(OFFSET('Player Game Board'!Q12,0,MW1)&lt;&gt;"",OFFSET('Player Game Board'!Q12,0,MW1),0)</f>
        <v>0</v>
      </c>
      <c r="MY5" s="319" t="str">
        <f t="shared" si="171"/>
        <v>Croatia</v>
      </c>
      <c r="MZ5" s="319" t="str">
        <f ca="1">IF(AND(OFFSET('Player Game Board'!P12,0,MW1)&lt;&gt;"",OFFSET('Player Game Board'!Q12,0,MW1)&lt;&gt;""),IF(MW5&gt;MX5,"W",IF(MW5=MX5,"D","L")),"")</f>
        <v>W</v>
      </c>
      <c r="NA5" s="319" t="str">
        <f t="shared" ca="1" si="172"/>
        <v>L</v>
      </c>
      <c r="NB5" s="319"/>
      <c r="NC5" s="319"/>
      <c r="ND5" s="319" t="str">
        <f ca="1">VLOOKUP(3,IW18:IX21,2,FALSE)</f>
        <v>Slovenia</v>
      </c>
      <c r="NE5" s="320">
        <f ca="1">VLOOKUP(ND5,IX4:JC40,2,FALSE)</f>
        <v>0</v>
      </c>
      <c r="NF5" s="320">
        <f ca="1">VLOOKUP(ND5,IX4:JC40,3,FALSE)</f>
        <v>2</v>
      </c>
      <c r="NG5" s="320">
        <f ca="1">VLOOKUP(ND5,IX4:JC40,4,FALSE)</f>
        <v>1</v>
      </c>
      <c r="NH5" s="320">
        <f ca="1">VLOOKUP(ND5,IX4:JC40,5,FALSE)</f>
        <v>2</v>
      </c>
      <c r="NI5" s="320">
        <f ca="1">VLOOKUP(ND5,IX4:JC40,6,FALSE)</f>
        <v>3</v>
      </c>
      <c r="NJ5" s="320">
        <f t="shared" ca="1" si="173"/>
        <v>999</v>
      </c>
      <c r="NK5" s="320">
        <f t="shared" ca="1" si="174"/>
        <v>2</v>
      </c>
      <c r="NL5" s="319">
        <f ca="1">VLOOKUP(ND5,B4:J40,9,FALSE)</f>
        <v>39</v>
      </c>
      <c r="NM5" s="319">
        <f ca="1">RANK(NK5,NK3:NK8)</f>
        <v>3</v>
      </c>
      <c r="NN5" s="319">
        <f ca="1">SUMPRODUCT((NM3:NM8=NM5)*(NJ3:NJ8&gt;NJ5))</f>
        <v>0</v>
      </c>
      <c r="NO5" s="319">
        <f ca="1">SUMPRODUCT((NM3:NM8=NM5)*(NJ3:NJ8=NJ5)*(NH3:NH8&gt;NH5))</f>
        <v>3</v>
      </c>
      <c r="NP5" s="319">
        <f ca="1">SUMPRODUCT((NM3:NM8=NM5)*(NJ3:NJ8=NJ5)*(NH3:NH8=NH5)*(NL3:NL8&gt;NL5))</f>
        <v>0</v>
      </c>
      <c r="NQ5" s="319">
        <f t="shared" ca="1" si="175"/>
        <v>6</v>
      </c>
      <c r="NR5" s="319" t="s">
        <v>103</v>
      </c>
      <c r="NS5" s="319">
        <v>3</v>
      </c>
      <c r="NT5" s="319"/>
      <c r="NU5" s="319">
        <f t="shared" ref="NU5" ca="1" si="624">VLOOKUP(NV5,RQ4:RR8,2,FALSE)</f>
        <v>3</v>
      </c>
      <c r="NV5" s="319" t="str">
        <f t="shared" si="177"/>
        <v>Scotland</v>
      </c>
      <c r="NW5" s="319">
        <f t="shared" ref="NW5" ca="1" si="625">SUMPRODUCT((RT3:RT42=NV5)*(RX3:RX42="W"))+SUMPRODUCT((RW3:RW42=NV5)*(RY3:RY42="W"))</f>
        <v>0</v>
      </c>
      <c r="NX5" s="319">
        <f t="shared" ref="NX5" ca="1" si="626">SUMPRODUCT((RT3:RT42=NV5)*(RX3:RX42="D"))+SUMPRODUCT((RW3:RW42=NV5)*(RY3:RY42="D"))</f>
        <v>1</v>
      </c>
      <c r="NY5" s="319">
        <f t="shared" ref="NY5" ca="1" si="627">SUMPRODUCT((RT3:RT42=NV5)*(RX3:RX42="L"))+SUMPRODUCT((RW3:RW42=NV5)*(RY3:RY42="L"))</f>
        <v>2</v>
      </c>
      <c r="NZ5" s="319">
        <f t="shared" ref="NZ5" ca="1" si="628">SUMIF(RT3:RT60,NV5,RU3:RU60)+SUMIF(RW3:RW60,NV5,RV3:RV60)</f>
        <v>0</v>
      </c>
      <c r="OA5" s="319">
        <f t="shared" ref="OA5" ca="1" si="629">SUMIF(RW3:RW60,NV5,RU3:RU60)+SUMIF(RT3:RT60,NV5,RV3:RV60)</f>
        <v>4</v>
      </c>
      <c r="OB5" s="319">
        <f t="shared" ca="1" si="183"/>
        <v>996</v>
      </c>
      <c r="OC5" s="319">
        <f t="shared" ca="1" si="184"/>
        <v>1</v>
      </c>
      <c r="OD5" s="319">
        <f t="shared" ref="OD5:OD40" si="630">JF5</f>
        <v>43</v>
      </c>
      <c r="OE5" s="319">
        <f t="shared" ref="OE5" ca="1" si="631">IF(COUNTIF(OC4:OC8,4)&lt;&gt;4,RANK(OC5,OC4:OC8),OC45)</f>
        <v>3</v>
      </c>
      <c r="OF5" s="319"/>
      <c r="OG5" s="319">
        <f t="shared" ref="OG5" ca="1" si="632">SUMPRODUCT((OE4:OE7=OE5)*(OD4:OD7&lt;OD5))+OE5</f>
        <v>4</v>
      </c>
      <c r="OH5" s="319" t="str">
        <f t="shared" ref="OH5" ca="1" si="633">INDEX(NV4:NV8,MATCH(2,OG4:OG8,0),0)</f>
        <v>Hungary</v>
      </c>
      <c r="OI5" s="319">
        <f t="shared" ref="OI5" ca="1" si="634">INDEX(OE4:OE8,MATCH(OH5,NV4:NV8,0),0)</f>
        <v>2</v>
      </c>
      <c r="OJ5" s="319" t="str">
        <f t="shared" ref="OJ5" ca="1" si="635">IF(OJ4&lt;&gt;"",OH5,"")</f>
        <v/>
      </c>
      <c r="OK5" s="319" t="str">
        <f t="shared" ref="OK5" ca="1" si="636">IF(OK4&lt;&gt;"",OH6,"")</f>
        <v/>
      </c>
      <c r="OL5" s="319" t="str">
        <f t="shared" ref="OL5" ca="1" si="637">IF(OL4&lt;&gt;"",OH7,"")</f>
        <v>Scotland</v>
      </c>
      <c r="OM5" s="319" t="str">
        <f t="shared" ref="OM5" si="638">IF(OM4&lt;&gt;"",OH8,"")</f>
        <v/>
      </c>
      <c r="ON5" s="319"/>
      <c r="OO5" s="319" t="str">
        <f t="shared" ca="1" si="193"/>
        <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t="str">
        <f t="shared" ca="1" si="200"/>
        <v/>
      </c>
      <c r="OW5" s="319" t="str">
        <f t="shared" ref="OW5" ca="1" si="644">IF(OO5&lt;&gt;"",VLOOKUP(OO5,NV4:OB40,7,FALSE),"")</f>
        <v/>
      </c>
      <c r="OX5" s="319" t="str">
        <f t="shared" ref="OX5" ca="1" si="645">IF(OO5&lt;&gt;"",VLOOKUP(OO5,NV4:OB40,5,FALSE),"")</f>
        <v/>
      </c>
      <c r="OY5" s="319" t="str">
        <f t="shared" ref="OY5" ca="1" si="646">IF(OO5&lt;&gt;"",VLOOKUP(OO5,NV4:OD40,9,FALSE),"")</f>
        <v/>
      </c>
      <c r="OZ5" s="319" t="str">
        <f t="shared" ca="1" si="204"/>
        <v/>
      </c>
      <c r="PA5" s="319" t="str">
        <f t="shared" ref="PA5" ca="1" si="647">IF(OO5&lt;&gt;"",RANK(OZ5,OZ4:OZ8),"")</f>
        <v/>
      </c>
      <c r="PB5" s="319" t="str">
        <f t="shared" ref="PB5" ca="1" si="648">IF(OO5&lt;&gt;"",SUMPRODUCT((OZ4:OZ8=OZ5)*(OU4:OU8&gt;OU5)),"")</f>
        <v/>
      </c>
      <c r="PC5" s="319" t="str">
        <f t="shared" ref="PC5" ca="1" si="649">IF(OO5&lt;&gt;"",SUMPRODUCT((OZ4:OZ8=OZ5)*(OU4:OU8=OU5)*(OS4:OS8&gt;OS5)),"")</f>
        <v/>
      </c>
      <c r="PD5" s="319" t="str">
        <f t="shared" ref="PD5" ca="1" si="650">IF(OO5&lt;&gt;"",SUMPRODUCT((OZ4:OZ8=OZ5)*(OU4:OU8=OU5)*(OS4:OS8=OS5)*(OW4:OW8&gt;OW5)),"")</f>
        <v/>
      </c>
      <c r="PE5" s="319" t="str">
        <f t="shared" ref="PE5" ca="1" si="651">IF(OO5&lt;&gt;"",SUMPRODUCT((OZ4:OZ8=OZ5)*(OU4:OU8=OU5)*(OS4:OS8=OS5)*(OW4:OW8=OW5)*(OX4:OX8&gt;OX5)),"")</f>
        <v/>
      </c>
      <c r="PF5" s="319" t="str">
        <f t="shared" ref="PF5" ca="1" si="652">IF(OO5&lt;&gt;"",SUMPRODUCT((OZ4:OZ8=OZ5)*(OU4:OU8=OU5)*(OS4:OS8=OS5)*(OW4:OW8=OW5)*(OX4:OX8=OX5)*(OY4:OY8&gt;OY5)),"")</f>
        <v/>
      </c>
      <c r="PG5" s="319" t="str">
        <f ca="1">IF(OO5&lt;&gt;"",IF(PG45&lt;&gt;"",IF(ON43=3,PG45,PG45+ON43),SUM(PA5:PF5)),"")</f>
        <v/>
      </c>
      <c r="PH5" s="319" t="str">
        <f t="shared" ref="PH5" ca="1" si="653">IF(OO5&lt;&gt;"",INDEX(OO4:OO8,MATCH(2,PG4:PG8,0),0),"")</f>
        <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Hungary</v>
      </c>
      <c r="RR5" s="319">
        <v>2</v>
      </c>
      <c r="RS5" s="319">
        <v>3</v>
      </c>
      <c r="RT5" s="319" t="str">
        <f t="shared" si="18"/>
        <v>Spain</v>
      </c>
      <c r="RU5" s="322">
        <f ca="1">IF(OFFSET('Player Game Board'!P12,0,RU1)&lt;&gt;"",OFFSET('Player Game Board'!P12,0,RU1),0)</f>
        <v>2</v>
      </c>
      <c r="RV5" s="322">
        <f ca="1">IF(OFFSET('Player Game Board'!Q12,0,RU1)&lt;&gt;"",OFFSET('Player Game Board'!Q12,0,RU1),0)</f>
        <v>1</v>
      </c>
      <c r="RW5" s="319" t="str">
        <f t="shared" si="19"/>
        <v>Croatia</v>
      </c>
      <c r="RX5" s="319" t="str">
        <f ca="1">IF(AND(OFFSET('Player Game Board'!P12,0,RU1)&lt;&gt;"",OFFSET('Player Game Board'!Q12,0,RU1)&lt;&gt;""),IF(RU5&gt;RV5,"W",IF(RU5=RV5,"D","L")),"")</f>
        <v>W</v>
      </c>
      <c r="RY5" s="319" t="str">
        <f t="shared" ca="1" si="20"/>
        <v>L</v>
      </c>
      <c r="RZ5" s="319"/>
      <c r="SA5" s="319"/>
      <c r="SB5" s="319" t="str">
        <f t="shared" ref="SB5" ca="1" si="674">VLOOKUP(3,NU18:NV21,2,FALSE)</f>
        <v>Denmark</v>
      </c>
      <c r="SC5" s="320">
        <f t="shared" ref="SC5" ca="1" si="675">VLOOKUP(SB5,NV4:OA40,2,FALSE)</f>
        <v>1</v>
      </c>
      <c r="SD5" s="320">
        <f t="shared" ref="SD5" ca="1" si="676">VLOOKUP(SB5,NV4:OA40,3,FALSE)</f>
        <v>1</v>
      </c>
      <c r="SE5" s="320">
        <f t="shared" ref="SE5" ca="1" si="677">VLOOKUP(SB5,NV4:OA40,4,FALSE)</f>
        <v>1</v>
      </c>
      <c r="SF5" s="320">
        <f t="shared" ref="SF5" ca="1" si="678">VLOOKUP(SB5,NV4:OA40,5,FALSE)</f>
        <v>3</v>
      </c>
      <c r="SG5" s="320">
        <f t="shared" ref="SG5" ca="1" si="679">VLOOKUP(SB5,NV4:OA40,6,FALSE)</f>
        <v>3</v>
      </c>
      <c r="SH5" s="320">
        <f t="shared" ca="1" si="27"/>
        <v>1000</v>
      </c>
      <c r="SI5" s="320">
        <f t="shared" ca="1" si="28"/>
        <v>4</v>
      </c>
      <c r="SJ5" s="319">
        <f ca="1">VLOOKUP(SB5,B4:J40,9,FALSE)</f>
        <v>45</v>
      </c>
      <c r="SK5" s="319">
        <f t="shared" ref="SK5" ca="1" si="680">RANK(SI5,SI3:SI8)</f>
        <v>1</v>
      </c>
      <c r="SL5" s="319">
        <f t="shared" ref="SL5" ca="1" si="681">SUMPRODUCT((SK3:SK8=SK5)*(SH3:SH8&gt;SH5))</f>
        <v>0</v>
      </c>
      <c r="SM5" s="319">
        <f t="shared" ref="SM5" ca="1" si="682">SUMPRODUCT((SK3:SK8=SK5)*(SH3:SH8=SH5)*(SF3:SF8&gt;SF5))</f>
        <v>0</v>
      </c>
      <c r="SN5" s="319">
        <f t="shared" ref="SN5" ca="1" si="683">SUMPRODUCT((SK3:SK8=SK5)*(SH3:SH8=SH5)*(SF3:SF8=SF5)*(SJ3:SJ8&gt;SJ5))</f>
        <v>0</v>
      </c>
      <c r="SO5" s="319">
        <f t="shared" ca="1" si="33"/>
        <v>1</v>
      </c>
      <c r="SP5" s="319" t="s">
        <v>103</v>
      </c>
      <c r="SQ5" s="319">
        <v>3</v>
      </c>
      <c r="SR5" s="319"/>
      <c r="SS5" s="319">
        <f t="shared" ref="SS5" ca="1" si="684">VLOOKUP(ST5,WO4:WP8,2,FALSE)</f>
        <v>3</v>
      </c>
      <c r="ST5" s="319" t="str">
        <f t="shared" si="224"/>
        <v>Scotland</v>
      </c>
      <c r="SU5" s="319">
        <f t="shared" ref="SU5" ca="1" si="685">SUMPRODUCT((WR3:WR42=ST5)*(WV3:WV42="W"))+SUMPRODUCT((WU3:WU42=ST5)*(WW3:WW42="W"))</f>
        <v>1</v>
      </c>
      <c r="SV5" s="319">
        <f t="shared" ref="SV5" ca="1" si="686">SUMPRODUCT((WR3:WR42=ST5)*(WV3:WV42="D"))+SUMPRODUCT((WU3:WU42=ST5)*(WW3:WW42="D"))</f>
        <v>0</v>
      </c>
      <c r="SW5" s="319">
        <f t="shared" ref="SW5" ca="1" si="687">SUMPRODUCT((WR3:WR42=ST5)*(WV3:WV42="L"))+SUMPRODUCT((WU3:WU42=ST5)*(WW3:WW42="L"))</f>
        <v>2</v>
      </c>
      <c r="SX5" s="319">
        <f t="shared" ref="SX5" ca="1" si="688">SUMIF(WR3:WR60,ST5,WS3:WS60)+SUMIF(WU3:WU60,ST5,WT3:WT60)</f>
        <v>3</v>
      </c>
      <c r="SY5" s="319">
        <f t="shared" ref="SY5" ca="1" si="689">SUMIF(WU3:WU60,ST5,WS3:WS60)+SUMIF(WR3:WR60,ST5,WT3:WT60)</f>
        <v>4</v>
      </c>
      <c r="SZ5" s="319">
        <f t="shared" ca="1" si="230"/>
        <v>999</v>
      </c>
      <c r="TA5" s="319">
        <f t="shared" ca="1" si="231"/>
        <v>3</v>
      </c>
      <c r="TB5" s="319">
        <f t="shared" ref="TB5:TB40" si="690">OD5</f>
        <v>43</v>
      </c>
      <c r="TC5" s="319">
        <f t="shared" ref="TC5" ca="1" si="691">IF(COUNTIF(TA4:TA8,4)&lt;&gt;4,RANK(TA5,TA4:TA8),TA45)</f>
        <v>3</v>
      </c>
      <c r="TD5" s="319"/>
      <c r="TE5" s="319">
        <f t="shared" ref="TE5" ca="1" si="692">SUMPRODUCT((TC4:TC7=TC5)*(TB4:TB7&lt;TB5))+TC5</f>
        <v>3</v>
      </c>
      <c r="TF5" s="319" t="str">
        <f t="shared" ref="TF5" ca="1" si="693">INDEX(ST4:ST8,MATCH(2,TE4:TE8,0),0)</f>
        <v>Switzerland</v>
      </c>
      <c r="TG5" s="319">
        <f t="shared" ref="TG5" ca="1" si="694">INDEX(TC4:TC8,MATCH(TF5,ST4:ST8,0),0)</f>
        <v>2</v>
      </c>
      <c r="TH5" s="319" t="str">
        <f t="shared" ref="TH5" ca="1" si="695">IF(TH4&lt;&gt;"",TF5,"")</f>
        <v/>
      </c>
      <c r="TI5" s="319" t="str">
        <f t="shared" ref="TI5" ca="1" si="696">IF(TI4&lt;&gt;"",TF6,"")</f>
        <v/>
      </c>
      <c r="TJ5" s="319" t="str">
        <f t="shared" ref="TJ5" ca="1" si="697">IF(TJ4&lt;&gt;"",TF7,"")</f>
        <v/>
      </c>
      <c r="TK5" s="319" t="str">
        <f t="shared" ref="TK5" si="698">IF(TK4&lt;&gt;"",TF8,"")</f>
        <v/>
      </c>
      <c r="TL5" s="319"/>
      <c r="TM5" s="319" t="str">
        <f t="shared" ca="1" si="240"/>
        <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t="str">
        <f t="shared" ca="1" si="247"/>
        <v/>
      </c>
      <c r="TU5" s="319" t="str">
        <f t="shared" ref="TU5" ca="1" si="704">IF(TM5&lt;&gt;"",VLOOKUP(TM5,ST4:SZ40,7,FALSE),"")</f>
        <v/>
      </c>
      <c r="TV5" s="319" t="str">
        <f t="shared" ref="TV5" ca="1" si="705">IF(TM5&lt;&gt;"",VLOOKUP(TM5,ST4:SZ40,5,FALSE),"")</f>
        <v/>
      </c>
      <c r="TW5" s="319" t="str">
        <f t="shared" ref="TW5" ca="1" si="706">IF(TM5&lt;&gt;"",VLOOKUP(TM5,ST4:TB40,9,FALSE),"")</f>
        <v/>
      </c>
      <c r="TX5" s="319" t="str">
        <f t="shared" ca="1" si="251"/>
        <v/>
      </c>
      <c r="TY5" s="319" t="str">
        <f t="shared" ref="TY5" ca="1" si="707">IF(TM5&lt;&gt;"",RANK(TX5,TX4:TX8),"")</f>
        <v/>
      </c>
      <c r="TZ5" s="319" t="str">
        <f t="shared" ref="TZ5" ca="1" si="708">IF(TM5&lt;&gt;"",SUMPRODUCT((TX4:TX8=TX5)*(TS4:TS8&gt;TS5)),"")</f>
        <v/>
      </c>
      <c r="UA5" s="319" t="str">
        <f t="shared" ref="UA5" ca="1" si="709">IF(TM5&lt;&gt;"",SUMPRODUCT((TX4:TX8=TX5)*(TS4:TS8=TS5)*(TQ4:TQ8&gt;TQ5)),"")</f>
        <v/>
      </c>
      <c r="UB5" s="319" t="str">
        <f t="shared" ref="UB5" ca="1" si="710">IF(TM5&lt;&gt;"",SUMPRODUCT((TX4:TX8=TX5)*(TS4:TS8=TS5)*(TQ4:TQ8=TQ5)*(TU4:TU8&gt;TU5)),"")</f>
        <v/>
      </c>
      <c r="UC5" s="319" t="str">
        <f t="shared" ref="UC5" ca="1" si="711">IF(TM5&lt;&gt;"",SUMPRODUCT((TX4:TX8=TX5)*(TS4:TS8=TS5)*(TQ4:TQ8=TQ5)*(TU4:TU8=TU5)*(TV4:TV8&gt;TV5)),"")</f>
        <v/>
      </c>
      <c r="UD5" s="319" t="str">
        <f t="shared" ref="UD5" ca="1" si="712">IF(TM5&lt;&gt;"",SUMPRODUCT((TX4:TX8=TX5)*(TS4:TS8=TS5)*(TQ4:TQ8=TQ5)*(TU4:TU8=TU5)*(TV4:TV8=TV5)*(TW4:TW8&gt;TW5)),"")</f>
        <v/>
      </c>
      <c r="UE5" s="319" t="str">
        <f ca="1">IF(TM5&lt;&gt;"",IF(UE45&lt;&gt;"",IF(TL43=3,UE45,UE45+TL43),SUM(TY5:UD5)),"")</f>
        <v/>
      </c>
      <c r="UF5" s="319" t="str">
        <f t="shared" ref="UF5" ca="1" si="713">IF(TM5&lt;&gt;"",INDEX(TM4:TM8,MATCH(2,UE4:UE8,0),0),"")</f>
        <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Switzerland</v>
      </c>
      <c r="WP5" s="319">
        <v>2</v>
      </c>
      <c r="WQ5" s="319">
        <v>3</v>
      </c>
      <c r="WR5" s="319" t="str">
        <f t="shared" si="34"/>
        <v>Spain</v>
      </c>
      <c r="WS5" s="322">
        <f ca="1">IF(OFFSET('Player Game Board'!P12,0,WS1)&lt;&gt;"",OFFSET('Player Game Board'!P12,0,WS1),0)</f>
        <v>2</v>
      </c>
      <c r="WT5" s="322">
        <f ca="1">IF(OFFSET('Player Game Board'!Q12,0,WS1)&lt;&gt;"",OFFSET('Player Game Board'!Q12,0,WS1),0)</f>
        <v>1</v>
      </c>
      <c r="WU5" s="319" t="str">
        <f t="shared" si="35"/>
        <v>Croatia</v>
      </c>
      <c r="WV5" s="319" t="str">
        <f ca="1">IF(AND(OFFSET('Player Game Board'!P12,0,WS1)&lt;&gt;"",OFFSET('Player Game Board'!Q12,0,WS1)&lt;&gt;""),IF(WS5&gt;WT5,"W",IF(WS5=WT5,"D","L")),"")</f>
        <v>W</v>
      </c>
      <c r="WW5" s="319" t="str">
        <f t="shared" ca="1" si="36"/>
        <v>L</v>
      </c>
      <c r="WX5" s="319"/>
      <c r="WY5" s="319"/>
      <c r="WZ5" s="319" t="str">
        <f t="shared" ref="WZ5" ca="1" si="734">VLOOKUP(3,SS18:ST21,2,FALSE)</f>
        <v>Slovenia</v>
      </c>
      <c r="XA5" s="320">
        <f t="shared" ref="XA5" ca="1" si="735">VLOOKUP(WZ5,ST4:SY40,2,FALSE)</f>
        <v>0</v>
      </c>
      <c r="XB5" s="320">
        <f t="shared" ref="XB5" ca="1" si="736">VLOOKUP(WZ5,ST4:SY40,3,FALSE)</f>
        <v>1</v>
      </c>
      <c r="XC5" s="320">
        <f t="shared" ref="XC5" ca="1" si="737">VLOOKUP(WZ5,ST4:SY40,4,FALSE)</f>
        <v>2</v>
      </c>
      <c r="XD5" s="320">
        <f t="shared" ref="XD5" ca="1" si="738">VLOOKUP(WZ5,ST4:SY40,5,FALSE)</f>
        <v>2</v>
      </c>
      <c r="XE5" s="320">
        <f t="shared" ref="XE5" ca="1" si="739">VLOOKUP(WZ5,ST4:SY40,6,FALSE)</f>
        <v>5</v>
      </c>
      <c r="XF5" s="320">
        <f t="shared" ca="1" si="43"/>
        <v>997</v>
      </c>
      <c r="XG5" s="320">
        <f t="shared" ca="1" si="44"/>
        <v>1</v>
      </c>
      <c r="XH5" s="319">
        <f ca="1">VLOOKUP(WZ5,B4:J40,9,FALSE)</f>
        <v>39</v>
      </c>
      <c r="XI5" s="319">
        <f t="shared" ref="XI5" ca="1" si="740">RANK(XG5,XG3:XG8)</f>
        <v>6</v>
      </c>
      <c r="XJ5" s="319">
        <f t="shared" ref="XJ5" ca="1" si="741">SUMPRODUCT((XI3:XI8=XI5)*(XF3:XF8&gt;XF5))</f>
        <v>0</v>
      </c>
      <c r="XK5" s="319">
        <f t="shared" ref="XK5" ca="1" si="742">SUMPRODUCT((XI3:XI8=XI5)*(XF3:XF8=XF5)*(XD3:XD8&gt;XD5))</f>
        <v>0</v>
      </c>
      <c r="XL5" s="319">
        <f t="shared" ref="XL5" ca="1" si="743">SUMPRODUCT((XI3:XI8=XI5)*(XF3:XF8=XF5)*(XD3:XD8=XD5)*(XH3:XH8&gt;XH5))</f>
        <v>0</v>
      </c>
      <c r="XM5" s="319">
        <f t="shared" ca="1" si="49"/>
        <v>6</v>
      </c>
      <c r="XN5" s="319" t="s">
        <v>103</v>
      </c>
      <c r="XO5" s="319">
        <v>3</v>
      </c>
      <c r="XP5" s="319"/>
      <c r="XQ5" s="319">
        <f t="shared" ref="XQ5" ca="1" si="744">VLOOKUP(XR5,ABM4:ABN8,2,FALSE)</f>
        <v>2</v>
      </c>
      <c r="XR5" s="319" t="str">
        <f t="shared" si="271"/>
        <v>Scotland</v>
      </c>
      <c r="XS5" s="319">
        <f t="shared" ref="XS5" ca="1" si="745">SUMPRODUCT((ABP3:ABP42=XR5)*(ABT3:ABT42="W"))+SUMPRODUCT((ABS3:ABS42=XR5)*(ABU3:ABU42="W"))</f>
        <v>2</v>
      </c>
      <c r="XT5" s="319">
        <f t="shared" ref="XT5" ca="1" si="746">SUMPRODUCT((ABP3:ABP42=XR5)*(ABT3:ABT42="D"))+SUMPRODUCT((ABS3:ABS42=XR5)*(ABU3:ABU42="D"))</f>
        <v>0</v>
      </c>
      <c r="XU5" s="319">
        <f t="shared" ref="XU5" ca="1" si="747">SUMPRODUCT((ABP3:ABP42=XR5)*(ABT3:ABT42="L"))+SUMPRODUCT((ABS3:ABS42=XR5)*(ABU3:ABU42="L"))</f>
        <v>1</v>
      </c>
      <c r="XV5" s="319">
        <f t="shared" ref="XV5" ca="1" si="748">SUMIF(ABP3:ABP60,XR5,ABQ3:ABQ60)+SUMIF(ABS3:ABS60,XR5,ABR3:ABR60)</f>
        <v>5</v>
      </c>
      <c r="XW5" s="319">
        <f t="shared" ref="XW5" ca="1" si="749">SUMIF(ABS3:ABS60,XR5,ABQ3:ABQ60)+SUMIF(ABP3:ABP60,XR5,ABR3:ABR60)</f>
        <v>5</v>
      </c>
      <c r="XX5" s="319">
        <f t="shared" ca="1" si="277"/>
        <v>1000</v>
      </c>
      <c r="XY5" s="319">
        <f t="shared" ca="1" si="278"/>
        <v>6</v>
      </c>
      <c r="XZ5" s="319">
        <f t="shared" ref="XZ5:XZ40" si="750">TB5</f>
        <v>43</v>
      </c>
      <c r="YA5" s="319">
        <f t="shared" ref="YA5" ca="1" si="751">IF(COUNTIF(XY4:XY8,4)&lt;&gt;4,RANK(XY5,XY4:XY8),XY45)</f>
        <v>2</v>
      </c>
      <c r="YB5" s="319"/>
      <c r="YC5" s="319">
        <f t="shared" ref="YC5" ca="1" si="752">SUMPRODUCT((YA4:YA7=YA5)*(XZ4:XZ7&lt;XZ5))+YA5</f>
        <v>2</v>
      </c>
      <c r="YD5" s="319" t="str">
        <f t="shared" ref="YD5" ca="1" si="753">INDEX(XR4:XR8,MATCH(2,YC4:YC8,0),0)</f>
        <v>Scotland</v>
      </c>
      <c r="YE5" s="319">
        <f t="shared" ref="YE5" ca="1" si="754">INDEX(YA4:YA8,MATCH(YD5,XR4:XR8,0),0)</f>
        <v>2</v>
      </c>
      <c r="YF5" s="319" t="str">
        <f t="shared" ref="YF5" ca="1" si="755">IF(YF4&lt;&gt;"",YD5,"")</f>
        <v/>
      </c>
      <c r="YG5" s="319" t="str">
        <f t="shared" ref="YG5" ca="1" si="756">IF(YG4&lt;&gt;"",YD6,"")</f>
        <v/>
      </c>
      <c r="YH5" s="319" t="str">
        <f t="shared" ref="YH5" ca="1" si="757">IF(YH4&lt;&gt;"",YD7,"")</f>
        <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Scotland</v>
      </c>
      <c r="ABN5" s="319">
        <v>2</v>
      </c>
      <c r="ABO5" s="319">
        <v>3</v>
      </c>
      <c r="ABP5" s="319" t="str">
        <f t="shared" si="50"/>
        <v>Spain</v>
      </c>
      <c r="ABQ5" s="322">
        <f ca="1">IF(OFFSET('Player Game Board'!P12,0,ABQ1)&lt;&gt;"",OFFSET('Player Game Board'!P12,0,ABQ1),0)</f>
        <v>1</v>
      </c>
      <c r="ABR5" s="322">
        <f ca="1">IF(OFFSET('Player Game Board'!Q12,0,ABQ1)&lt;&gt;"",OFFSET('Player Game Board'!Q12,0,ABQ1),0)</f>
        <v>1</v>
      </c>
      <c r="ABS5" s="319" t="str">
        <f t="shared" si="51"/>
        <v>Croatia</v>
      </c>
      <c r="ABT5" s="319" t="str">
        <f ca="1">IF(AND(OFFSET('Player Game Board'!P12,0,ABQ1)&lt;&gt;"",OFFSET('Player Game Board'!Q12,0,ABQ1)&lt;&gt;""),IF(ABQ5&gt;ABR5,"W",IF(ABQ5=ABR5,"D","L")),"")</f>
        <v>D</v>
      </c>
      <c r="ABU5" s="319" t="str">
        <f t="shared" ca="1" si="52"/>
        <v>D</v>
      </c>
      <c r="ABV5" s="319"/>
      <c r="ABW5" s="319"/>
      <c r="ABX5" s="319" t="str">
        <f t="shared" ref="ABX5" ca="1" si="794">VLOOKUP(3,XQ18:XR21,2,FALSE)</f>
        <v>Serbia</v>
      </c>
      <c r="ABY5" s="320">
        <f t="shared" ref="ABY5" ca="1" si="795">VLOOKUP(ABX5,XR4:XW40,2,FALSE)</f>
        <v>1</v>
      </c>
      <c r="ABZ5" s="320">
        <f t="shared" ref="ABZ5" ca="1" si="796">VLOOKUP(ABX5,XR4:XW40,3,FALSE)</f>
        <v>1</v>
      </c>
      <c r="ACA5" s="320">
        <f t="shared" ref="ACA5" ca="1" si="797">VLOOKUP(ABX5,XR4:XW40,4,FALSE)</f>
        <v>1</v>
      </c>
      <c r="ACB5" s="320">
        <f t="shared" ref="ACB5" ca="1" si="798">VLOOKUP(ABX5,XR4:XW40,5,FALSE)</f>
        <v>5</v>
      </c>
      <c r="ACC5" s="320">
        <f t="shared" ref="ACC5" ca="1" si="799">VLOOKUP(ABX5,XR4:XW40,6,FALSE)</f>
        <v>4</v>
      </c>
      <c r="ACD5" s="320">
        <f t="shared" ca="1" si="59"/>
        <v>1001</v>
      </c>
      <c r="ACE5" s="320">
        <f t="shared" ca="1" si="60"/>
        <v>4</v>
      </c>
      <c r="ACF5" s="319">
        <f ca="1">VLOOKUP(ABX5,B4:J40,9,FALSE)</f>
        <v>35</v>
      </c>
      <c r="ACG5" s="319">
        <f t="shared" ref="ACG5" ca="1" si="800">RANK(ACE5,ACE3:ACE8)</f>
        <v>1</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1</v>
      </c>
      <c r="ACL5" s="319" t="s">
        <v>103</v>
      </c>
      <c r="ACM5" s="319">
        <v>3</v>
      </c>
      <c r="ACN5" s="319"/>
      <c r="ACO5" s="319">
        <f t="shared" ref="ACO5" ca="1" si="804">VLOOKUP(ACP5,AGK4:AGL8,2,FALSE)</f>
        <v>3</v>
      </c>
      <c r="ACP5" s="319" t="str">
        <f t="shared" si="318"/>
        <v>Scotland</v>
      </c>
      <c r="ACQ5" s="319">
        <f t="shared" ref="ACQ5" ca="1" si="805">SUMPRODUCT((AGN3:AGN42=ACP5)*(AGR3:AGR42="W"))+SUMPRODUCT((AGQ3:AGQ42=ACP5)*(AGS3:AGS42="W"))</f>
        <v>1</v>
      </c>
      <c r="ACR5" s="319">
        <f t="shared" ref="ACR5" ca="1" si="806">SUMPRODUCT((AGN3:AGN42=ACP5)*(AGR3:AGR42="D"))+SUMPRODUCT((AGQ3:AGQ42=ACP5)*(AGS3:AGS42="D"))</f>
        <v>1</v>
      </c>
      <c r="ACS5" s="319">
        <f t="shared" ref="ACS5" ca="1" si="807">SUMPRODUCT((AGN3:AGN42=ACP5)*(AGR3:AGR42="L"))+SUMPRODUCT((AGQ3:AGQ42=ACP5)*(AGS3:AGS42="L"))</f>
        <v>1</v>
      </c>
      <c r="ACT5" s="319">
        <f t="shared" ref="ACT5" ca="1" si="808">SUMIF(AGN3:AGN60,ACP5,AGO3:AGO60)+SUMIF(AGQ3:AGQ60,ACP5,AGP3:AGP60)</f>
        <v>4</v>
      </c>
      <c r="ACU5" s="319">
        <f t="shared" ref="ACU5" ca="1" si="809">SUMIF(AGQ3:AGQ60,ACP5,AGO3:AGO60)+SUMIF(AGN3:AGN60,ACP5,AGP3:AGP60)</f>
        <v>5</v>
      </c>
      <c r="ACV5" s="319">
        <f t="shared" ca="1" si="324"/>
        <v>999</v>
      </c>
      <c r="ACW5" s="319">
        <f t="shared" ca="1" si="325"/>
        <v>4</v>
      </c>
      <c r="ACX5" s="319">
        <f t="shared" ref="ACX5:ACX40" si="810">XZ5</f>
        <v>43</v>
      </c>
      <c r="ACY5" s="319">
        <f t="shared" ref="ACY5" ca="1" si="811">IF(COUNTIF(ACW4:ACW8,4)&lt;&gt;4,RANK(ACW5,ACW4:ACW8),ACW45)</f>
        <v>2</v>
      </c>
      <c r="ACZ5" s="319"/>
      <c r="ADA5" s="319">
        <f t="shared" ref="ADA5" ca="1" si="812">SUMPRODUCT((ACY4:ACY7=ACY5)*(ACX4:ACX7&lt;ACX5))+ACY5</f>
        <v>3</v>
      </c>
      <c r="ADB5" s="319" t="str">
        <f t="shared" ref="ADB5" ca="1" si="813">INDEX(ACP4:ACP8,MATCH(2,ADA4:ADA8,0),0)</f>
        <v>Switzerland</v>
      </c>
      <c r="ADC5" s="319">
        <f t="shared" ref="ADC5" ca="1" si="814">INDEX(ACY4:ACY8,MATCH(ADB5,ACP4:ACP8,0),0)</f>
        <v>2</v>
      </c>
      <c r="ADD5" s="319" t="str">
        <f t="shared" ref="ADD5" ca="1" si="815">IF(ADD4&lt;&gt;"",ADB5,"")</f>
        <v/>
      </c>
      <c r="ADE5" s="319" t="str">
        <f t="shared" ref="ADE5" ca="1" si="816">IF(ADE4&lt;&gt;"",ADB6,"")</f>
        <v>Scotland</v>
      </c>
      <c r="ADF5" s="319" t="str">
        <f t="shared" ref="ADF5" ca="1" si="817">IF(ADF4&lt;&gt;"",ADB7,"")</f>
        <v/>
      </c>
      <c r="ADG5" s="319" t="str">
        <f t="shared" ref="ADG5" si="818">IF(ADG4&lt;&gt;"",ADB8,"")</f>
        <v/>
      </c>
      <c r="ADH5" s="319"/>
      <c r="ADI5" s="319" t="str">
        <f t="shared" ca="1" si="334"/>
        <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t="str">
        <f t="shared" ca="1" si="341"/>
        <v/>
      </c>
      <c r="ADQ5" s="319" t="str">
        <f t="shared" ref="ADQ5" ca="1" si="824">IF(ADI5&lt;&gt;"",VLOOKUP(ADI5,ACP4:ACV40,7,FALSE),"")</f>
        <v/>
      </c>
      <c r="ADR5" s="319" t="str">
        <f t="shared" ref="ADR5" ca="1" si="825">IF(ADI5&lt;&gt;"",VLOOKUP(ADI5,ACP4:ACV40,5,FALSE),"")</f>
        <v/>
      </c>
      <c r="ADS5" s="319" t="str">
        <f t="shared" ref="ADS5" ca="1" si="826">IF(ADI5&lt;&gt;"",VLOOKUP(ADI5,ACP4:ACX40,9,FALSE),"")</f>
        <v/>
      </c>
      <c r="ADT5" s="319" t="str">
        <f t="shared" ca="1" si="345"/>
        <v/>
      </c>
      <c r="ADU5" s="319" t="str">
        <f t="shared" ref="ADU5" ca="1" si="827">IF(ADI5&lt;&gt;"",RANK(ADT5,ADT4:ADT8),"")</f>
        <v/>
      </c>
      <c r="ADV5" s="319" t="str">
        <f t="shared" ref="ADV5" ca="1" si="828">IF(ADI5&lt;&gt;"",SUMPRODUCT((ADT4:ADT8=ADT5)*(ADO4:ADO8&gt;ADO5)),"")</f>
        <v/>
      </c>
      <c r="ADW5" s="319" t="str">
        <f t="shared" ref="ADW5" ca="1" si="829">IF(ADI5&lt;&gt;"",SUMPRODUCT((ADT4:ADT8=ADT5)*(ADO4:ADO8=ADO5)*(ADM4:ADM8&gt;ADM5)),"")</f>
        <v/>
      </c>
      <c r="ADX5" s="319" t="str">
        <f t="shared" ref="ADX5" ca="1" si="830">IF(ADI5&lt;&gt;"",SUMPRODUCT((ADT4:ADT8=ADT5)*(ADO4:ADO8=ADO5)*(ADM4:ADM8=ADM5)*(ADQ4:ADQ8&gt;ADQ5)),"")</f>
        <v/>
      </c>
      <c r="ADY5" s="319" t="str">
        <f t="shared" ref="ADY5" ca="1" si="831">IF(ADI5&lt;&gt;"",SUMPRODUCT((ADT4:ADT8=ADT5)*(ADO4:ADO8=ADO5)*(ADM4:ADM8=ADM5)*(ADQ4:ADQ8=ADQ5)*(ADR4:ADR8&gt;ADR5)),"")</f>
        <v/>
      </c>
      <c r="ADZ5" s="319" t="str">
        <f t="shared" ref="ADZ5" ca="1" si="832">IF(ADI5&lt;&gt;"",SUMPRODUCT((ADT4:ADT8=ADT5)*(ADO4:ADO8=ADO5)*(ADM4:ADM8=ADM5)*(ADQ4:ADQ8=ADQ5)*(ADR4:ADR8=ADR5)*(ADS4:ADS8&gt;ADS5)),"")</f>
        <v/>
      </c>
      <c r="AEA5" s="319" t="str">
        <f ca="1">IF(ADI5&lt;&gt;"",IF(AEA45&lt;&gt;"",IF(ADH43=3,AEA45,AEA45+ADH43),SUM(ADU5:ADZ5)),"")</f>
        <v/>
      </c>
      <c r="AEB5" s="319" t="str">
        <f t="shared" ref="AEB5" ca="1" si="833">IF(ADI5&lt;&gt;"",INDEX(ADI4:ADI8,MATCH(2,AEA4:AEA8,0),0),"")</f>
        <v/>
      </c>
      <c r="AEC5" s="319" t="str">
        <f t="shared" ref="AEC5:AEC7" ca="1" si="834">IF(ADE4&lt;&gt;"",ADE4,"")</f>
        <v>Switzerland</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1</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1</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1</v>
      </c>
      <c r="AEI5" s="319">
        <f t="shared" ref="AEI5:AEI7" ca="1" si="840">AEG5-AEH5+1000</f>
        <v>1000</v>
      </c>
      <c r="AEJ5" s="319">
        <f t="shared" ref="AEJ5:AEJ7" ca="1" si="841">IF(AEC5&lt;&gt;"",AED5*3+AEE5*1,"")</f>
        <v>1</v>
      </c>
      <c r="AEK5" s="319">
        <f t="shared" ref="AEK5" ca="1" si="842">IF(AEC5&lt;&gt;"",VLOOKUP(AEC5,ACP4:ACV40,7,FALSE),"")</f>
        <v>1000</v>
      </c>
      <c r="AEL5" s="319">
        <f t="shared" ref="AEL5" ca="1" si="843">IF(AEC5&lt;&gt;"",VLOOKUP(AEC5,ACP4:ACV40,5,FALSE),"")</f>
        <v>4</v>
      </c>
      <c r="AEM5" s="319">
        <f t="shared" ref="AEM5" ca="1" si="844">IF(AEC5&lt;&gt;"",VLOOKUP(AEC5,ACP4:ACX40,9,FALSE),"")</f>
        <v>34</v>
      </c>
      <c r="AEN5" s="319">
        <f t="shared" ref="AEN5:AEN7" ca="1" si="845">AEJ5</f>
        <v>1</v>
      </c>
      <c r="AEO5" s="319">
        <f t="shared" ref="AEO5" ca="1" si="846">IF(AEC5&lt;&gt;"",RANK(AEN5,AEN4:AEN8),"")</f>
        <v>1</v>
      </c>
      <c r="AEP5" s="319">
        <f t="shared" ref="AEP5" ca="1" si="847">IF(AEC5&lt;&gt;"",SUMPRODUCT((AEN4:AEN8=AEN5)*(AEI4:AEI8&gt;AEI5)),"")</f>
        <v>0</v>
      </c>
      <c r="AEQ5" s="319">
        <f t="shared" ref="AEQ5" ca="1" si="848">IF(AEC5&lt;&gt;"",SUMPRODUCT((AEN4:AEN8=AEN5)*(AEI4:AEI8=AEI5)*(AEG4:AEG8&gt;AEG5)),"")</f>
        <v>0</v>
      </c>
      <c r="AER5" s="319">
        <f t="shared" ref="AER5" ca="1" si="849">IF(AEC5&lt;&gt;"",SUMPRODUCT((AEN4:AEN8=AEN5)*(AEI4:AEI8=AEI5)*(AEG4:AEG8=AEG5)*(AEK4:AEK8&gt;AEK5)),"")</f>
        <v>0</v>
      </c>
      <c r="AES5" s="319">
        <f t="shared" ref="AES5" ca="1" si="850">IF(AEC5&lt;&gt;"",SUMPRODUCT((AEN4:AEN8=AEN5)*(AEI4:AEI8=AEI5)*(AEG4:AEG8=AEG5)*(AEK4:AEK8=AEK5)*(AEL4:AEL8&gt;AEL5)),"")</f>
        <v>0</v>
      </c>
      <c r="AET5" s="319">
        <f t="shared" ref="AET5" ca="1" si="851">IF(AEC5&lt;&gt;"",SUMPRODUCT((AEN4:AEN8=AEN5)*(AEI4:AEI8=AEI5)*(AEG4:AEG8=AEG5)*(AEK4:AEK8=AEK5)*(AEL4:AEL8=AEL5)*(AEM4:AEM8&gt;AEM5)),"")</f>
        <v>0</v>
      </c>
      <c r="AEU5" s="319">
        <f ca="1">IF(AEC5&lt;&gt;"",IF(AEU45&lt;&gt;"",IF(AEB43=3,AEU45,AEU45+AEB43),SUM(AEO5:AET5)+1),"")</f>
        <v>2</v>
      </c>
      <c r="AEV5" s="319" t="str">
        <f t="shared" ref="AEV5" ca="1" si="852">IF(AEC5&lt;&gt;"",INDEX(AEC5:AEC8,MATCH(2,AEU5:AEU8,0),0),"")</f>
        <v>Switzerland</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Switzerland</v>
      </c>
      <c r="AGL5" s="319">
        <v>2</v>
      </c>
      <c r="AGM5" s="319">
        <v>3</v>
      </c>
      <c r="AGN5" s="319" t="str">
        <f t="shared" si="66"/>
        <v>Spain</v>
      </c>
      <c r="AGO5" s="322">
        <f ca="1">IF(OFFSET('Player Game Board'!P12,0,AGO1)&lt;&gt;"",OFFSET('Player Game Board'!P12,0,AGO1),0)</f>
        <v>2</v>
      </c>
      <c r="AGP5" s="322">
        <f ca="1">IF(OFFSET('Player Game Board'!Q12,0,AGO1)&lt;&gt;"",OFFSET('Player Game Board'!Q12,0,AGO1),0)</f>
        <v>1</v>
      </c>
      <c r="AGQ5" s="319" t="str">
        <f t="shared" si="67"/>
        <v>Croatia</v>
      </c>
      <c r="AGR5" s="319" t="str">
        <f ca="1">IF(AND(OFFSET('Player Game Board'!P12,0,AGO1)&lt;&gt;"",OFFSET('Player Game Board'!Q12,0,AGO1)&lt;&gt;""),IF(AGO5&gt;AGP5,"W",IF(AGO5=AGP5,"D","L")),"")</f>
        <v>W</v>
      </c>
      <c r="AGS5" s="319" t="str">
        <f t="shared" ca="1" si="68"/>
        <v>L</v>
      </c>
      <c r="AGT5" s="319"/>
      <c r="AGU5" s="319"/>
      <c r="AGV5" s="319" t="str">
        <f t="shared" ref="AGV5" ca="1" si="854">VLOOKUP(3,ACO18:ACP21,2,FALSE)</f>
        <v>Serbia</v>
      </c>
      <c r="AGW5" s="320">
        <f t="shared" ref="AGW5" ca="1" si="855">VLOOKUP(AGV5,ACP4:ACU40,2,FALSE)</f>
        <v>1</v>
      </c>
      <c r="AGX5" s="320">
        <f t="shared" ref="AGX5" ca="1" si="856">VLOOKUP(AGV5,ACP4:ACU40,3,FALSE)</f>
        <v>0</v>
      </c>
      <c r="AGY5" s="320">
        <f t="shared" ref="AGY5" ca="1" si="857">VLOOKUP(AGV5,ACP4:ACU40,4,FALSE)</f>
        <v>2</v>
      </c>
      <c r="AGZ5" s="320">
        <f t="shared" ref="AGZ5" ca="1" si="858">VLOOKUP(AGV5,ACP4:ACU40,5,FALSE)</f>
        <v>4</v>
      </c>
      <c r="AHA5" s="320">
        <f t="shared" ref="AHA5" ca="1" si="859">VLOOKUP(AGV5,ACP4:ACU40,6,FALSE)</f>
        <v>6</v>
      </c>
      <c r="AHB5" s="320">
        <f t="shared" ca="1" si="75"/>
        <v>998</v>
      </c>
      <c r="AHC5" s="320">
        <f t="shared" ca="1" si="76"/>
        <v>3</v>
      </c>
      <c r="AHD5" s="319">
        <f ca="1">VLOOKUP(AGV5,B4:J40,9,FALSE)</f>
        <v>35</v>
      </c>
      <c r="AHE5" s="319">
        <f t="shared" ref="AHE5" ca="1" si="860">RANK(AHC5,AHC3:AHC8)</f>
        <v>3</v>
      </c>
      <c r="AHF5" s="319">
        <f t="shared" ref="AHF5" ca="1" si="861">SUMPRODUCT((AHE3:AHE8=AHE5)*(AHB3:AHB8&gt;AHB5))</f>
        <v>1</v>
      </c>
      <c r="AHG5" s="319">
        <f t="shared" ref="AHG5" ca="1" si="862">SUMPRODUCT((AHE3:AHE8=AHE5)*(AHB3:AHB8=AHB5)*(AGZ3:AGZ8&gt;AGZ5))</f>
        <v>0</v>
      </c>
      <c r="AHH5" s="319">
        <f t="shared" ref="AHH5" ca="1" si="863">SUMPRODUCT((AHE3:AHE8=AHE5)*(AHB3:AHB8=AHB5)*(AGZ3:AGZ8=AGZ5)*(AHD3:AHD8&gt;AHD5))</f>
        <v>0</v>
      </c>
      <c r="AHI5" s="319">
        <f t="shared" ca="1" si="81"/>
        <v>4</v>
      </c>
      <c r="AHJ5" s="319" t="s">
        <v>103</v>
      </c>
      <c r="AHK5" s="319">
        <v>3</v>
      </c>
      <c r="AHL5" s="319"/>
      <c r="AHM5" s="319">
        <f t="shared" ref="AHM5" ca="1" si="864">VLOOKUP(AHN5,ALI4:ALJ8,2,FALSE)</f>
        <v>3</v>
      </c>
      <c r="AHN5" s="319" t="str">
        <f t="shared" si="365"/>
        <v>Scotland</v>
      </c>
      <c r="AHO5" s="319">
        <f t="shared" ref="AHO5" ca="1" si="865">SUMPRODUCT((ALL3:ALL42=AHN5)*(ALP3:ALP42="W"))+SUMPRODUCT((ALO3:ALO42=AHN5)*(ALQ3:ALQ42="W"))</f>
        <v>0</v>
      </c>
      <c r="AHP5" s="319">
        <f t="shared" ref="AHP5" ca="1" si="866">SUMPRODUCT((ALL3:ALL42=AHN5)*(ALP3:ALP42="D"))+SUMPRODUCT((ALO3:ALO42=AHN5)*(ALQ3:ALQ42="D"))</f>
        <v>0</v>
      </c>
      <c r="AHQ5" s="319">
        <f t="shared" ref="AHQ5" ca="1" si="867">SUMPRODUCT((ALL3:ALL42=AHN5)*(ALP3:ALP42="L"))+SUMPRODUCT((ALO3:ALO42=AHN5)*(ALQ3:ALQ42="L"))</f>
        <v>0</v>
      </c>
      <c r="AHR5" s="319">
        <f t="shared" ref="AHR5" ca="1" si="868">SUMIF(ALL3:ALL60,AHN5,ALM3:ALM60)+SUMIF(ALO3:ALO60,AHN5,ALN3:ALN60)</f>
        <v>0</v>
      </c>
      <c r="AHS5" s="319">
        <f t="shared" ref="AHS5" ca="1" si="869">SUMIF(ALO3:ALO60,AHN5,ALM3:ALM60)+SUMIF(ALL3:ALL60,AHN5,ALN3:ALN60)</f>
        <v>0</v>
      </c>
      <c r="AHT5" s="319">
        <f t="shared" ca="1" si="371"/>
        <v>1000</v>
      </c>
      <c r="AHU5" s="319">
        <f t="shared" ca="1" si="372"/>
        <v>0</v>
      </c>
      <c r="AHV5" s="319">
        <f t="shared" ref="AHV5:AHV40" si="870">ACX5</f>
        <v>43</v>
      </c>
      <c r="AHW5" s="319">
        <f t="shared" ref="AHW5" ca="1" si="871">IF(COUNTIF(AHU4:AHU8,4)&lt;&gt;4,RANK(AHU5,AHU4:AHU8),AHU45)</f>
        <v>1</v>
      </c>
      <c r="AHX5" s="319"/>
      <c r="AHY5" s="319">
        <f t="shared" ref="AHY5" ca="1" si="872">SUMPRODUCT((AHW4:AHW7=AHW5)*(AHV4:AHV7&lt;AHV5))+AHW5</f>
        <v>2</v>
      </c>
      <c r="AHZ5" s="319" t="str">
        <f t="shared" ref="AHZ5" ca="1" si="873">INDEX(AHN4:AHN8,MATCH(2,AHY4:AHY8,0),0)</f>
        <v>Scotland</v>
      </c>
      <c r="AIA5" s="319">
        <f t="shared" ref="AIA5" ca="1" si="874">INDEX(AHW4:AHW8,MATCH(AHZ5,AHN4:AHN8,0),0)</f>
        <v>1</v>
      </c>
      <c r="AIB5" s="319" t="str">
        <f t="shared" ref="AIB5" ca="1" si="875">IF(AIB4&lt;&gt;"",AHZ5,"")</f>
        <v>Scotland</v>
      </c>
      <c r="AIC5" s="319" t="str">
        <f t="shared" ref="AIC5" ca="1" si="876">IF(AIC4&lt;&gt;"",AHZ6,"")</f>
        <v/>
      </c>
      <c r="AID5" s="319" t="str">
        <f t="shared" ref="AID5" ca="1" si="877">IF(AID4&lt;&gt;"",AHZ7,"")</f>
        <v/>
      </c>
      <c r="AIE5" s="319" t="str">
        <f t="shared" ref="AIE5" si="878">IF(AIE4&lt;&gt;"",AHZ8,"")</f>
        <v/>
      </c>
      <c r="AIF5" s="319"/>
      <c r="AIG5" s="319" t="str">
        <f t="shared" ca="1" si="381"/>
        <v>Scotland</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f t="shared" ca="1" si="388"/>
        <v>0</v>
      </c>
      <c r="AIO5" s="319">
        <f t="shared" ref="AIO5" ca="1" si="884">IF(AIG5&lt;&gt;"",VLOOKUP(AIG5,AHN4:AHT40,7,FALSE),"")</f>
        <v>1000</v>
      </c>
      <c r="AIP5" s="319">
        <f t="shared" ref="AIP5" ca="1" si="885">IF(AIG5&lt;&gt;"",VLOOKUP(AIG5,AHN4:AHT40,5,FALSE),"")</f>
        <v>0</v>
      </c>
      <c r="AIQ5" s="319">
        <f t="shared" ref="AIQ5" ca="1" si="886">IF(AIG5&lt;&gt;"",VLOOKUP(AIG5,AHN4:AHV40,9,FALSE),"")</f>
        <v>43</v>
      </c>
      <c r="AIR5" s="319">
        <f t="shared" ca="1" si="392"/>
        <v>0</v>
      </c>
      <c r="AIS5" s="319">
        <f t="shared" ref="AIS5" ca="1" si="887">IF(AIG5&lt;&gt;"",RANK(AIR5,AIR4:AIR8),"")</f>
        <v>1</v>
      </c>
      <c r="AIT5" s="319">
        <f t="shared" ref="AIT5" ca="1" si="888">IF(AIG5&lt;&gt;"",SUMPRODUCT((AIR4:AIR8=AIR5)*(AIM4:AIM8&gt;AIM5)),"")</f>
        <v>0</v>
      </c>
      <c r="AIU5" s="319">
        <f t="shared" ref="AIU5" ca="1" si="889">IF(AIG5&lt;&gt;"",SUMPRODUCT((AIR4:AIR8=AIR5)*(AIM4:AIM8=AIM5)*(AIK4:AIK8&gt;AIK5)),"")</f>
        <v>0</v>
      </c>
      <c r="AIV5" s="319">
        <f t="shared" ref="AIV5" ca="1" si="890">IF(AIG5&lt;&gt;"",SUMPRODUCT((AIR4:AIR8=AIR5)*(AIM4:AIM8=AIM5)*(AIK4:AIK8=AIK5)*(AIO4:AIO8&gt;AIO5)),"")</f>
        <v>0</v>
      </c>
      <c r="AIW5" s="319">
        <f t="shared" ref="AIW5" ca="1" si="891">IF(AIG5&lt;&gt;"",SUMPRODUCT((AIR4:AIR8=AIR5)*(AIM4:AIM8=AIM5)*(AIK4:AIK8=AIK5)*(AIO4:AIO8=AIO5)*(AIP4:AIP8&gt;AIP5)),"")</f>
        <v>0</v>
      </c>
      <c r="AIX5" s="319">
        <f t="shared" ref="AIX5" ca="1" si="892">IF(AIG5&lt;&gt;"",SUMPRODUCT((AIR4:AIR8=AIR5)*(AIM4:AIM8=AIM5)*(AIK4:AIK8=AIK5)*(AIO4:AIO8=AIO5)*(AIP4:AIP8=AIP5)*(AIQ4:AIQ8&gt;AIQ5)),"")</f>
        <v>2</v>
      </c>
      <c r="AIY5" s="319">
        <f ca="1">IF(AIG5&lt;&gt;"",IF(AIY45&lt;&gt;"",IF(AIF43=3,AIY45,AIY45+AIF43),SUM(AIS5:AIX5)),"")</f>
        <v>3</v>
      </c>
      <c r="AIZ5" s="319" t="str">
        <f t="shared" ref="AIZ5" ca="1" si="893">IF(AIG5&lt;&gt;"",INDEX(AIG4:AIG8,MATCH(2,AIY4:AIY8,0),0),"")</f>
        <v>Hungary</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Hungary</v>
      </c>
      <c r="ALJ5" s="319">
        <v>2</v>
      </c>
      <c r="ALK5" s="319">
        <v>3</v>
      </c>
      <c r="ALL5" s="319" t="str">
        <f t="shared" si="82"/>
        <v>Spain</v>
      </c>
      <c r="ALM5" s="322">
        <f ca="1">IF(OFFSET('Player Game Board'!P12,0,ALM1)&lt;&gt;"",OFFSET('Player Game Board'!P12,0,ALM1),0)</f>
        <v>0</v>
      </c>
      <c r="ALN5" s="322">
        <f ca="1">IF(OFFSET('Player Game Board'!Q12,0,ALM1)&lt;&gt;"",OFFSET('Player Game Board'!Q12,0,ALM1),0)</f>
        <v>0</v>
      </c>
      <c r="ALO5" s="319" t="str">
        <f t="shared" si="83"/>
        <v>Croatia</v>
      </c>
      <c r="ALP5" s="319" t="str">
        <f ca="1">IF(AND(OFFSET('Player Game Board'!P12,0,ALM1)&lt;&gt;"",OFFSET('Player Game Board'!Q12,0,ALM1)&lt;&gt;""),IF(ALM5&gt;ALN5,"W",IF(ALM5=ALN5,"D","L")),"")</f>
        <v/>
      </c>
      <c r="ALQ5" s="319" t="str">
        <f t="shared" ca="1" si="84"/>
        <v/>
      </c>
      <c r="ALR5" s="319"/>
      <c r="ALS5" s="319"/>
      <c r="ALT5" s="319" t="str">
        <f t="shared" ref="ALT5" ca="1" si="914">VLOOKUP(3,AHM18:AHN21,2,FALSE)</f>
        <v>Slovenia</v>
      </c>
      <c r="ALU5" s="320">
        <f t="shared" ref="ALU5" ca="1" si="915">VLOOKUP(ALT5,AHN4:AHS40,2,FALSE)</f>
        <v>0</v>
      </c>
      <c r="ALV5" s="320">
        <f t="shared" ref="ALV5" ca="1" si="916">VLOOKUP(ALT5,AHN4:AHS40,3,FALSE)</f>
        <v>0</v>
      </c>
      <c r="ALW5" s="320">
        <f t="shared" ref="ALW5" ca="1" si="917">VLOOKUP(ALT5,AHN4:AHS40,4,FALSE)</f>
        <v>0</v>
      </c>
      <c r="ALX5" s="320">
        <f t="shared" ref="ALX5" ca="1" si="918">VLOOKUP(ALT5,AHN4:AHS40,5,FALSE)</f>
        <v>0</v>
      </c>
      <c r="ALY5" s="320">
        <f t="shared" ref="ALY5" ca="1" si="919">VLOOKUP(ALT5,AHN4:AHS40,6,FALSE)</f>
        <v>0</v>
      </c>
      <c r="ALZ5" s="320">
        <f t="shared" ca="1" si="91"/>
        <v>1000</v>
      </c>
      <c r="AMA5" s="320">
        <f t="shared" ca="1" si="92"/>
        <v>0</v>
      </c>
      <c r="AMB5" s="319">
        <f ca="1">VLOOKUP(ALT5,B4:J40,9,FALSE)</f>
        <v>39</v>
      </c>
      <c r="AMC5" s="319">
        <f t="shared" ref="AMC5" ca="1" si="920">RANK(AMA5,AMA3:AMA8)</f>
        <v>1</v>
      </c>
      <c r="AMD5" s="319">
        <f t="shared" ref="AMD5" ca="1" si="921">SUMPRODUCT((AMC3:AMC8=AMC5)*(ALZ3:ALZ8&gt;ALZ5))</f>
        <v>0</v>
      </c>
      <c r="AME5" s="319">
        <f t="shared" ref="AME5" ca="1" si="922">SUMPRODUCT((AMC3:AMC8=AMC5)*(ALZ3:ALZ8=ALZ5)*(ALX3:ALX8&gt;ALX5))</f>
        <v>0</v>
      </c>
      <c r="AMF5" s="319">
        <f t="shared" ref="AMF5" ca="1" si="923">SUMPRODUCT((AMC3:AMC8=AMC5)*(ALZ3:ALZ8=ALZ5)*(ALX3:ALX8=ALX5)*(AMB3:AMB8&gt;AMB5))</f>
        <v>3</v>
      </c>
      <c r="AMG5" s="319">
        <f t="shared" ca="1" si="97"/>
        <v>4</v>
      </c>
      <c r="AMH5" s="319" t="s">
        <v>103</v>
      </c>
      <c r="AMI5" s="319">
        <v>3</v>
      </c>
      <c r="AMJ5" s="319"/>
      <c r="AMK5" s="319">
        <f t="shared" ref="AMK5" ca="1" si="924">VLOOKUP(AML5,AQG4:AQH8,2,FALSE)</f>
        <v>3</v>
      </c>
      <c r="AML5" s="319" t="str">
        <f t="shared" si="412"/>
        <v>Scotland</v>
      </c>
      <c r="AMM5" s="319">
        <f t="shared" ref="AMM5" ca="1" si="925">SUMPRODUCT((AQJ3:AQJ42=AML5)*(AQN3:AQN42="W"))+SUMPRODUCT((AQM3:AQM42=AML5)*(AQO3:AQO42="W"))</f>
        <v>0</v>
      </c>
      <c r="AMN5" s="319">
        <f t="shared" ref="AMN5" ca="1" si="926">SUMPRODUCT((AQJ3:AQJ42=AML5)*(AQN3:AQN42="D"))+SUMPRODUCT((AQM3:AQM42=AML5)*(AQO3:AQO42="D"))</f>
        <v>0</v>
      </c>
      <c r="AMO5" s="319">
        <f t="shared" ref="AMO5" ca="1" si="927">SUMPRODUCT((AQJ3:AQJ42=AML5)*(AQN3:AQN42="L"))+SUMPRODUCT((AQM3:AQM42=AML5)*(AQO3:AQO42="L"))</f>
        <v>0</v>
      </c>
      <c r="AMP5" s="319">
        <f t="shared" ref="AMP5" ca="1" si="928">SUMIF(AQJ3:AQJ60,AML5,AQK3:AQK60)+SUMIF(AQM3:AQM60,AML5,AQL3:AQL60)</f>
        <v>0</v>
      </c>
      <c r="AMQ5" s="319">
        <f t="shared" ref="AMQ5" ca="1" si="929">SUMIF(AQM3:AQM60,AML5,AQK3:AQK60)+SUMIF(AQJ3:AQJ60,AML5,AQL3:AQL60)</f>
        <v>0</v>
      </c>
      <c r="AMR5" s="319">
        <f t="shared" ca="1" si="418"/>
        <v>1000</v>
      </c>
      <c r="AMS5" s="319">
        <f t="shared" ca="1" si="419"/>
        <v>0</v>
      </c>
      <c r="AMT5" s="319">
        <f t="shared" ref="AMT5:AMT40" si="930">AHV5</f>
        <v>43</v>
      </c>
      <c r="AMU5" s="319">
        <f t="shared" ref="AMU5" ca="1" si="931">IF(COUNTIF(AMS4:AMS8,4)&lt;&gt;4,RANK(AMS5,AMS4:AMS8),AMS45)</f>
        <v>1</v>
      </c>
      <c r="AMV5" s="319"/>
      <c r="AMW5" s="319">
        <f t="shared" ref="AMW5" ca="1" si="932">SUMPRODUCT((AMU4:AMU7=AMU5)*(AMT4:AMT7&lt;AMT5))+AMU5</f>
        <v>2</v>
      </c>
      <c r="AMX5" s="319" t="str">
        <f t="shared" ref="AMX5" ca="1" si="933">INDEX(AML4:AML8,MATCH(2,AMW4:AMW8,0),0)</f>
        <v>Scotland</v>
      </c>
      <c r="AMY5" s="319">
        <f t="shared" ref="AMY5" ca="1" si="934">INDEX(AMU4:AMU8,MATCH(AMX5,AML4:AML8,0),0)</f>
        <v>1</v>
      </c>
      <c r="AMZ5" s="319" t="str">
        <f t="shared" ref="AMZ5" ca="1" si="935">IF(AMZ4&lt;&gt;"",AMX5,"")</f>
        <v>Scotland</v>
      </c>
      <c r="ANA5" s="319" t="str">
        <f t="shared" ref="ANA5" ca="1" si="936">IF(ANA4&lt;&gt;"",AMX6,"")</f>
        <v/>
      </c>
      <c r="ANB5" s="319" t="str">
        <f t="shared" ref="ANB5" ca="1" si="937">IF(ANB4&lt;&gt;"",AMX7,"")</f>
        <v/>
      </c>
      <c r="ANC5" s="319" t="str">
        <f t="shared" ref="ANC5" si="938">IF(ANC4&lt;&gt;"",AMX8,"")</f>
        <v/>
      </c>
      <c r="AND5" s="319"/>
      <c r="ANE5" s="319" t="str">
        <f t="shared" ca="1" si="428"/>
        <v>Scotland</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f t="shared" ca="1" si="435"/>
        <v>0</v>
      </c>
      <c r="ANM5" s="319">
        <f t="shared" ref="ANM5" ca="1" si="944">IF(ANE5&lt;&gt;"",VLOOKUP(ANE5,AML4:AMR40,7,FALSE),"")</f>
        <v>1000</v>
      </c>
      <c r="ANN5" s="319">
        <f t="shared" ref="ANN5" ca="1" si="945">IF(ANE5&lt;&gt;"",VLOOKUP(ANE5,AML4:AMR40,5,FALSE),"")</f>
        <v>0</v>
      </c>
      <c r="ANO5" s="319">
        <f t="shared" ref="ANO5" ca="1" si="946">IF(ANE5&lt;&gt;"",VLOOKUP(ANE5,AML4:AMT40,9,FALSE),"")</f>
        <v>43</v>
      </c>
      <c r="ANP5" s="319">
        <f t="shared" ca="1" si="439"/>
        <v>0</v>
      </c>
      <c r="ANQ5" s="319">
        <f t="shared" ref="ANQ5" ca="1" si="947">IF(ANE5&lt;&gt;"",RANK(ANP5,ANP4:ANP8),"")</f>
        <v>1</v>
      </c>
      <c r="ANR5" s="319">
        <f t="shared" ref="ANR5" ca="1" si="948">IF(ANE5&lt;&gt;"",SUMPRODUCT((ANP4:ANP8=ANP5)*(ANK4:ANK8&gt;ANK5)),"")</f>
        <v>0</v>
      </c>
      <c r="ANS5" s="319">
        <f t="shared" ref="ANS5" ca="1" si="949">IF(ANE5&lt;&gt;"",SUMPRODUCT((ANP4:ANP8=ANP5)*(ANK4:ANK8=ANK5)*(ANI4:ANI8&gt;ANI5)),"")</f>
        <v>0</v>
      </c>
      <c r="ANT5" s="319">
        <f t="shared" ref="ANT5" ca="1" si="950">IF(ANE5&lt;&gt;"",SUMPRODUCT((ANP4:ANP8=ANP5)*(ANK4:ANK8=ANK5)*(ANI4:ANI8=ANI5)*(ANM4:ANM8&gt;ANM5)),"")</f>
        <v>0</v>
      </c>
      <c r="ANU5" s="319">
        <f t="shared" ref="ANU5" ca="1" si="951">IF(ANE5&lt;&gt;"",SUMPRODUCT((ANP4:ANP8=ANP5)*(ANK4:ANK8=ANK5)*(ANI4:ANI8=ANI5)*(ANM4:ANM8=ANM5)*(ANN4:ANN8&gt;ANN5)),"")</f>
        <v>0</v>
      </c>
      <c r="ANV5" s="319">
        <f t="shared" ref="ANV5" ca="1" si="952">IF(ANE5&lt;&gt;"",SUMPRODUCT((ANP4:ANP8=ANP5)*(ANK4:ANK8=ANK5)*(ANI4:ANI8=ANI5)*(ANM4:ANM8=ANM5)*(ANN4:ANN8=ANN5)*(ANO4:ANO8&gt;ANO5)),"")</f>
        <v>2</v>
      </c>
      <c r="ANW5" s="319">
        <f ca="1">IF(ANE5&lt;&gt;"",IF(ANW45&lt;&gt;"",IF(AND43=3,ANW45,ANW45+AND43),SUM(ANQ5:ANV5)),"")</f>
        <v>3</v>
      </c>
      <c r="ANX5" s="319" t="str">
        <f t="shared" ref="ANX5" ca="1" si="953">IF(ANE5&lt;&gt;"",INDEX(ANE4:ANE8,MATCH(2,ANW4:ANW8,0),0),"")</f>
        <v>Hungary</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Hungary</v>
      </c>
      <c r="AQH5" s="319">
        <v>2</v>
      </c>
      <c r="AQI5" s="319">
        <v>3</v>
      </c>
      <c r="AQJ5" s="319" t="str">
        <f t="shared" si="98"/>
        <v>Spain</v>
      </c>
      <c r="AQK5" s="322">
        <f ca="1">IF(OFFSET('Player Game Board'!P12,0,AQK1)&lt;&gt;"",OFFSET('Player Game Board'!P12,0,AQK1),0)</f>
        <v>0</v>
      </c>
      <c r="AQL5" s="322">
        <f ca="1">IF(OFFSET('Player Game Board'!Q12,0,AQK1)&lt;&gt;"",OFFSET('Player Game Board'!Q12,0,AQK1),0)</f>
        <v>0</v>
      </c>
      <c r="AQM5" s="319" t="str">
        <f t="shared" si="99"/>
        <v>Croatia</v>
      </c>
      <c r="AQN5" s="319" t="str">
        <f ca="1">IF(AND(OFFSET('Player Game Board'!P12,0,AQK1)&lt;&gt;"",OFFSET('Player Game Board'!Q12,0,AQK1)&lt;&gt;""),IF(AQK5&gt;AQL5,"W",IF(AQK5=AQL5,"D","L")),"")</f>
        <v/>
      </c>
      <c r="AQO5" s="319" t="str">
        <f t="shared" ca="1" si="100"/>
        <v/>
      </c>
      <c r="AQP5" s="319"/>
      <c r="AQQ5" s="319"/>
      <c r="AQR5" s="319" t="str">
        <f t="shared" ref="AQR5" ca="1" si="974">VLOOKUP(3,AMK18:AML21,2,FALSE)</f>
        <v>Slovenia</v>
      </c>
      <c r="AQS5" s="320">
        <f t="shared" ref="AQS5" ca="1" si="975">VLOOKUP(AQR5,AML4:AMQ40,2,FALSE)</f>
        <v>0</v>
      </c>
      <c r="AQT5" s="320">
        <f t="shared" ref="AQT5" ca="1" si="976">VLOOKUP(AQR5,AML4:AMQ40,3,FALSE)</f>
        <v>0</v>
      </c>
      <c r="AQU5" s="320">
        <f t="shared" ref="AQU5" ca="1" si="977">VLOOKUP(AQR5,AML4:AMQ40,4,FALSE)</f>
        <v>0</v>
      </c>
      <c r="AQV5" s="320">
        <f t="shared" ref="AQV5" ca="1" si="978">VLOOKUP(AQR5,AML4:AMQ40,5,FALSE)</f>
        <v>0</v>
      </c>
      <c r="AQW5" s="320">
        <f t="shared" ref="AQW5" ca="1" si="979">VLOOKUP(AQR5,AML4:AMQ40,6,FALSE)</f>
        <v>0</v>
      </c>
      <c r="AQX5" s="320">
        <f t="shared" ca="1" si="107"/>
        <v>1000</v>
      </c>
      <c r="AQY5" s="320">
        <f t="shared" ca="1" si="108"/>
        <v>0</v>
      </c>
      <c r="AQZ5" s="319">
        <f ca="1">VLOOKUP(AQR5,B4:J40,9,FALSE)</f>
        <v>39</v>
      </c>
      <c r="ARA5" s="319">
        <f t="shared" ref="ARA5" ca="1" si="980">RANK(AQY5,AQY3:AQY8)</f>
        <v>1</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3</v>
      </c>
      <c r="ARE5" s="319">
        <f t="shared" ca="1" si="113"/>
        <v>4</v>
      </c>
      <c r="ARF5" s="319" t="s">
        <v>103</v>
      </c>
      <c r="ARG5" s="319">
        <v>3</v>
      </c>
      <c r="ARH5" s="319"/>
      <c r="ARI5" s="319">
        <f t="shared" ref="ARI5" ca="1" si="984">VLOOKUP(ARJ5,AVE4:AVF8,2,FALSE)</f>
        <v>3</v>
      </c>
      <c r="ARJ5" s="319" t="str">
        <f t="shared" si="459"/>
        <v>Scotland</v>
      </c>
      <c r="ARK5" s="319">
        <f t="shared" ref="ARK5" ca="1" si="985">SUMPRODUCT((AVH3:AVH42=ARJ5)*(AVL3:AVL42="W"))+SUMPRODUCT((AVK3:AVK42=ARJ5)*(AVM3:AVM42="W"))</f>
        <v>0</v>
      </c>
      <c r="ARL5" s="319">
        <f t="shared" ref="ARL5" ca="1" si="986">SUMPRODUCT((AVH3:AVH42=ARJ5)*(AVL3:AVL42="D"))+SUMPRODUCT((AVK3:AVK42=ARJ5)*(AVM3:AVM42="D"))</f>
        <v>0</v>
      </c>
      <c r="ARM5" s="319">
        <f t="shared" ref="ARM5" ca="1" si="987">SUMPRODUCT((AVH3:AVH42=ARJ5)*(AVL3:AVL42="L"))+SUMPRODUCT((AVK3:AVK42=ARJ5)*(AVM3:AVM42="L"))</f>
        <v>0</v>
      </c>
      <c r="ARN5" s="319">
        <f t="shared" ref="ARN5" ca="1" si="988">SUMIF(AVH3:AVH60,ARJ5,AVI3:AVI60)+SUMIF(AVK3:AVK60,ARJ5,AVJ3:AVJ60)</f>
        <v>0</v>
      </c>
      <c r="ARO5" s="319">
        <f t="shared" ref="ARO5" ca="1" si="989">SUMIF(AVK3:AVK60,ARJ5,AVI3:AVI60)+SUMIF(AVH3:AVH60,ARJ5,AVJ3:AVJ60)</f>
        <v>0</v>
      </c>
      <c r="ARP5" s="319">
        <f t="shared" ca="1" si="465"/>
        <v>1000</v>
      </c>
      <c r="ARQ5" s="319">
        <f t="shared" ca="1" si="466"/>
        <v>0</v>
      </c>
      <c r="ARR5" s="319">
        <f t="shared" ref="ARR5:ARR40" si="990">AMT5</f>
        <v>43</v>
      </c>
      <c r="ARS5" s="319">
        <f t="shared" ref="ARS5" ca="1" si="991">IF(COUNTIF(ARQ4:ARQ8,4)&lt;&gt;4,RANK(ARQ5,ARQ4:ARQ8),ARQ45)</f>
        <v>1</v>
      </c>
      <c r="ART5" s="319"/>
      <c r="ARU5" s="319">
        <f t="shared" ref="ARU5" ca="1" si="992">SUMPRODUCT((ARS4:ARS7=ARS5)*(ARR4:ARR7&lt;ARR5))+ARS5</f>
        <v>2</v>
      </c>
      <c r="ARV5" s="319" t="str">
        <f t="shared" ref="ARV5" ca="1" si="993">INDEX(ARJ4:ARJ8,MATCH(2,ARU4:ARU8,0),0)</f>
        <v>Scotland</v>
      </c>
      <c r="ARW5" s="319">
        <f t="shared" ref="ARW5" ca="1" si="994">INDEX(ARS4:ARS8,MATCH(ARV5,ARJ4:ARJ8,0),0)</f>
        <v>1</v>
      </c>
      <c r="ARX5" s="319" t="str">
        <f t="shared" ref="ARX5" ca="1" si="995">IF(ARX4&lt;&gt;"",ARV5,"")</f>
        <v>Scotland</v>
      </c>
      <c r="ARY5" s="319" t="str">
        <f t="shared" ref="ARY5" ca="1" si="996">IF(ARY4&lt;&gt;"",ARV6,"")</f>
        <v/>
      </c>
      <c r="ARZ5" s="319" t="str">
        <f t="shared" ref="ARZ5" ca="1" si="997">IF(ARZ4&lt;&gt;"",ARV7,"")</f>
        <v/>
      </c>
      <c r="ASA5" s="319" t="str">
        <f t="shared" ref="ASA5" si="998">IF(ASA4&lt;&gt;"",ARV8,"")</f>
        <v/>
      </c>
      <c r="ASB5" s="319"/>
      <c r="ASC5" s="319" t="str">
        <f t="shared" ca="1" si="475"/>
        <v>Scotland</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f t="shared" ca="1" si="482"/>
        <v>0</v>
      </c>
      <c r="ASK5" s="319">
        <f t="shared" ref="ASK5" ca="1" si="1004">IF(ASC5&lt;&gt;"",VLOOKUP(ASC5,ARJ4:ARP40,7,FALSE),"")</f>
        <v>1000</v>
      </c>
      <c r="ASL5" s="319">
        <f t="shared" ref="ASL5" ca="1" si="1005">IF(ASC5&lt;&gt;"",VLOOKUP(ASC5,ARJ4:ARP40,5,FALSE),"")</f>
        <v>0</v>
      </c>
      <c r="ASM5" s="319">
        <f t="shared" ref="ASM5" ca="1" si="1006">IF(ASC5&lt;&gt;"",VLOOKUP(ASC5,ARJ4:ARR40,9,FALSE),"")</f>
        <v>43</v>
      </c>
      <c r="ASN5" s="319">
        <f t="shared" ca="1" si="486"/>
        <v>0</v>
      </c>
      <c r="ASO5" s="319">
        <f t="shared" ref="ASO5" ca="1" si="1007">IF(ASC5&lt;&gt;"",RANK(ASN5,ASN4:ASN8),"")</f>
        <v>1</v>
      </c>
      <c r="ASP5" s="319">
        <f t="shared" ref="ASP5" ca="1" si="1008">IF(ASC5&lt;&gt;"",SUMPRODUCT((ASN4:ASN8=ASN5)*(ASI4:ASI8&gt;ASI5)),"")</f>
        <v>0</v>
      </c>
      <c r="ASQ5" s="319">
        <f t="shared" ref="ASQ5" ca="1" si="1009">IF(ASC5&lt;&gt;"",SUMPRODUCT((ASN4:ASN8=ASN5)*(ASI4:ASI8=ASI5)*(ASG4:ASG8&gt;ASG5)),"")</f>
        <v>0</v>
      </c>
      <c r="ASR5" s="319">
        <f t="shared" ref="ASR5" ca="1" si="1010">IF(ASC5&lt;&gt;"",SUMPRODUCT((ASN4:ASN8=ASN5)*(ASI4:ASI8=ASI5)*(ASG4:ASG8=ASG5)*(ASK4:ASK8&gt;ASK5)),"")</f>
        <v>0</v>
      </c>
      <c r="ASS5" s="319">
        <f t="shared" ref="ASS5" ca="1" si="1011">IF(ASC5&lt;&gt;"",SUMPRODUCT((ASN4:ASN8=ASN5)*(ASI4:ASI8=ASI5)*(ASG4:ASG8=ASG5)*(ASK4:ASK8=ASK5)*(ASL4:ASL8&gt;ASL5)),"")</f>
        <v>0</v>
      </c>
      <c r="AST5" s="319">
        <f t="shared" ref="AST5" ca="1" si="1012">IF(ASC5&lt;&gt;"",SUMPRODUCT((ASN4:ASN8=ASN5)*(ASI4:ASI8=ASI5)*(ASG4:ASG8=ASG5)*(ASK4:ASK8=ASK5)*(ASL4:ASL8=ASL5)*(ASM4:ASM8&gt;ASM5)),"")</f>
        <v>2</v>
      </c>
      <c r="ASU5" s="319">
        <f ca="1">IF(ASC5&lt;&gt;"",IF(ASU45&lt;&gt;"",IF(ASB43=3,ASU45,ASU45+ASB43),SUM(ASO5:AST5)),"")</f>
        <v>3</v>
      </c>
      <c r="ASV5" s="319" t="str">
        <f t="shared" ref="ASV5" ca="1" si="1013">IF(ASC5&lt;&gt;"",INDEX(ASC4:ASC8,MATCH(2,ASU4:ASU8,0),0),"")</f>
        <v>Hungary</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Hungary</v>
      </c>
      <c r="AVF5" s="319">
        <v>2</v>
      </c>
      <c r="AVG5" s="319">
        <v>3</v>
      </c>
      <c r="AVH5" s="319" t="str">
        <f t="shared" si="114"/>
        <v>Spain</v>
      </c>
      <c r="AVI5" s="322">
        <f ca="1">IF(OFFSET('Player Game Board'!P12,0,AVI1)&lt;&gt;"",OFFSET('Player Game Board'!P12,0,AVI1),0)</f>
        <v>0</v>
      </c>
      <c r="AVJ5" s="322">
        <f ca="1">IF(OFFSET('Player Game Board'!Q12,0,AVI1)&lt;&gt;"",OFFSET('Player Game Board'!Q12,0,AVI1),0)</f>
        <v>0</v>
      </c>
      <c r="AVK5" s="319" t="str">
        <f t="shared" si="115"/>
        <v>Croatia</v>
      </c>
      <c r="AVL5" s="319" t="str">
        <f ca="1">IF(AND(OFFSET('Player Game Board'!P12,0,AVI1)&lt;&gt;"",OFFSET('Player Game Board'!Q12,0,AVI1)&lt;&gt;""),IF(AVI5&gt;AVJ5,"W",IF(AVI5=AVJ5,"D","L")),"")</f>
        <v/>
      </c>
      <c r="AVM5" s="319" t="str">
        <f t="shared" ca="1" si="116"/>
        <v/>
      </c>
      <c r="AVN5" s="319"/>
      <c r="AVO5" s="319"/>
      <c r="AVP5" s="319" t="str">
        <f t="shared" ref="AVP5" ca="1" si="1034">VLOOKUP(3,ARI18:ARJ21,2,FALSE)</f>
        <v>Slovenia</v>
      </c>
      <c r="AVQ5" s="320">
        <f t="shared" ref="AVQ5" ca="1" si="1035">VLOOKUP(AVP5,ARJ4:ARO40,2,FALSE)</f>
        <v>0</v>
      </c>
      <c r="AVR5" s="320">
        <f t="shared" ref="AVR5" ca="1" si="1036">VLOOKUP(AVP5,ARJ4:ARO40,3,FALSE)</f>
        <v>0</v>
      </c>
      <c r="AVS5" s="320">
        <f t="shared" ref="AVS5" ca="1" si="1037">VLOOKUP(AVP5,ARJ4:ARO40,4,FALSE)</f>
        <v>0</v>
      </c>
      <c r="AVT5" s="320">
        <f t="shared" ref="AVT5" ca="1" si="1038">VLOOKUP(AVP5,ARJ4:ARO40,5,FALSE)</f>
        <v>0</v>
      </c>
      <c r="AVU5" s="320">
        <f t="shared" ref="AVU5" ca="1" si="1039">VLOOKUP(AVP5,ARJ4:ARO40,6,FALSE)</f>
        <v>0</v>
      </c>
      <c r="AVV5" s="320">
        <f t="shared" ca="1" si="123"/>
        <v>1000</v>
      </c>
      <c r="AVW5" s="320">
        <f t="shared" ca="1" si="124"/>
        <v>0</v>
      </c>
      <c r="AVX5" s="319">
        <f ca="1">VLOOKUP(AVP5,B4:J40,9,FALSE)</f>
        <v>39</v>
      </c>
      <c r="AVY5" s="319">
        <f t="shared" ref="AVY5" ca="1" si="1040">RANK(AVW5,AVW3:AVW8)</f>
        <v>1</v>
      </c>
      <c r="AVZ5" s="319">
        <f t="shared" ref="AVZ5" ca="1" si="1041">SUMPRODUCT((AVY3:AVY8=AVY5)*(AVV3:AVV8&gt;AVV5))</f>
        <v>0</v>
      </c>
      <c r="AWA5" s="319">
        <f t="shared" ref="AWA5" ca="1" si="1042">SUMPRODUCT((AVY3:AVY8=AVY5)*(AVV3:AVV8=AVV5)*(AVT3:AVT8&gt;AVT5))</f>
        <v>0</v>
      </c>
      <c r="AWB5" s="319">
        <f t="shared" ref="AWB5" ca="1" si="1043">SUMPRODUCT((AVY3:AVY8=AVY5)*(AVV3:AVV8=AVV5)*(AVT3:AVT8=AVT5)*(AVX3:AVX8&gt;AVX5))</f>
        <v>3</v>
      </c>
      <c r="AWC5" s="319">
        <f t="shared" ca="1" si="129"/>
        <v>4</v>
      </c>
      <c r="AWD5" s="319" t="s">
        <v>103</v>
      </c>
      <c r="AWE5" s="319">
        <v>3</v>
      </c>
      <c r="AWF5" s="319"/>
      <c r="AWG5" s="319">
        <f t="shared" ref="AWG5" ca="1" si="1044">VLOOKUP(AWH5,BAC4:BAD8,2,FALSE)</f>
        <v>3</v>
      </c>
      <c r="AWH5" s="319" t="str">
        <f t="shared" si="506"/>
        <v>Scotland</v>
      </c>
      <c r="AWI5" s="319">
        <f t="shared" ref="AWI5" ca="1" si="1045">SUMPRODUCT((BAF3:BAF42=AWH5)*(BAJ3:BAJ42="W"))+SUMPRODUCT((BAI3:BAI42=AWH5)*(BAK3:BAK42="W"))</f>
        <v>0</v>
      </c>
      <c r="AWJ5" s="319">
        <f t="shared" ref="AWJ5" ca="1" si="1046">SUMPRODUCT((BAF3:BAF42=AWH5)*(BAJ3:BAJ42="D"))+SUMPRODUCT((BAI3:BAI42=AWH5)*(BAK3:BAK42="D"))</f>
        <v>0</v>
      </c>
      <c r="AWK5" s="319">
        <f t="shared" ref="AWK5" ca="1" si="1047">SUMPRODUCT((BAF3:BAF42=AWH5)*(BAJ3:BAJ42="L"))+SUMPRODUCT((BAI3:BAI42=AWH5)*(BAK3:BAK42="L"))</f>
        <v>0</v>
      </c>
      <c r="AWL5" s="319">
        <f t="shared" ref="AWL5" ca="1" si="1048">SUMIF(BAF3:BAF60,AWH5,BAG3:BAG60)+SUMIF(BAI3:BAI60,AWH5,BAH3:BAH60)</f>
        <v>0</v>
      </c>
      <c r="AWM5" s="319">
        <f t="shared" ref="AWM5" ca="1" si="1049">SUMIF(BAI3:BAI60,AWH5,BAG3:BAG60)+SUMIF(BAF3:BAF60,AWH5,BAH3:BAH60)</f>
        <v>0</v>
      </c>
      <c r="AWN5" s="319">
        <f t="shared" ca="1" si="512"/>
        <v>1000</v>
      </c>
      <c r="AWO5" s="319">
        <f t="shared" ca="1" si="513"/>
        <v>0</v>
      </c>
      <c r="AWP5" s="319">
        <f t="shared" ref="AWP5:AWP40" si="1050">ARR5</f>
        <v>43</v>
      </c>
      <c r="AWQ5" s="319">
        <f t="shared" ref="AWQ5" ca="1" si="1051">IF(COUNTIF(AWO4:AWO8,4)&lt;&gt;4,RANK(AWO5,AWO4:AWO8),AWO45)</f>
        <v>1</v>
      </c>
      <c r="AWR5" s="319"/>
      <c r="AWS5" s="319">
        <f t="shared" ref="AWS5" ca="1" si="1052">SUMPRODUCT((AWQ4:AWQ7=AWQ5)*(AWP4:AWP7&lt;AWP5))+AWQ5</f>
        <v>2</v>
      </c>
      <c r="AWT5" s="319" t="str">
        <f t="shared" ref="AWT5" ca="1" si="1053">INDEX(AWH4:AWH8,MATCH(2,AWS4:AWS8,0),0)</f>
        <v>Scotland</v>
      </c>
      <c r="AWU5" s="319">
        <f t="shared" ref="AWU5" ca="1" si="1054">INDEX(AWQ4:AWQ8,MATCH(AWT5,AWH4:AWH8,0),0)</f>
        <v>1</v>
      </c>
      <c r="AWV5" s="319" t="str">
        <f t="shared" ref="AWV5" ca="1" si="1055">IF(AWV4&lt;&gt;"",AWT5,"")</f>
        <v>Scotland</v>
      </c>
      <c r="AWW5" s="319" t="str">
        <f t="shared" ref="AWW5" ca="1" si="1056">IF(AWW4&lt;&gt;"",AWT6,"")</f>
        <v/>
      </c>
      <c r="AWX5" s="319" t="str">
        <f t="shared" ref="AWX5" ca="1" si="1057">IF(AWX4&lt;&gt;"",AWT7,"")</f>
        <v/>
      </c>
      <c r="AWY5" s="319" t="str">
        <f t="shared" ref="AWY5" si="1058">IF(AWY4&lt;&gt;"",AWT8,"")</f>
        <v/>
      </c>
      <c r="AWZ5" s="319"/>
      <c r="AXA5" s="319" t="str">
        <f t="shared" ca="1" si="522"/>
        <v>Scotland</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f t="shared" ca="1" si="529"/>
        <v>0</v>
      </c>
      <c r="AXI5" s="319">
        <f t="shared" ref="AXI5" ca="1" si="1064">IF(AXA5&lt;&gt;"",VLOOKUP(AXA5,AWH4:AWN40,7,FALSE),"")</f>
        <v>1000</v>
      </c>
      <c r="AXJ5" s="319">
        <f t="shared" ref="AXJ5" ca="1" si="1065">IF(AXA5&lt;&gt;"",VLOOKUP(AXA5,AWH4:AWN40,5,FALSE),"")</f>
        <v>0</v>
      </c>
      <c r="AXK5" s="319">
        <f t="shared" ref="AXK5" ca="1" si="1066">IF(AXA5&lt;&gt;"",VLOOKUP(AXA5,AWH4:AWP40,9,FALSE),"")</f>
        <v>43</v>
      </c>
      <c r="AXL5" s="319">
        <f t="shared" ca="1" si="533"/>
        <v>0</v>
      </c>
      <c r="AXM5" s="319">
        <f t="shared" ref="AXM5" ca="1" si="1067">IF(AXA5&lt;&gt;"",RANK(AXL5,AXL4:AXL8),"")</f>
        <v>1</v>
      </c>
      <c r="AXN5" s="319">
        <f t="shared" ref="AXN5" ca="1" si="1068">IF(AXA5&lt;&gt;"",SUMPRODUCT((AXL4:AXL8=AXL5)*(AXG4:AXG8&gt;AXG5)),"")</f>
        <v>0</v>
      </c>
      <c r="AXO5" s="319">
        <f t="shared" ref="AXO5" ca="1" si="1069">IF(AXA5&lt;&gt;"",SUMPRODUCT((AXL4:AXL8=AXL5)*(AXG4:AXG8=AXG5)*(AXE4:AXE8&gt;AXE5)),"")</f>
        <v>0</v>
      </c>
      <c r="AXP5" s="319">
        <f t="shared" ref="AXP5" ca="1" si="1070">IF(AXA5&lt;&gt;"",SUMPRODUCT((AXL4:AXL8=AXL5)*(AXG4:AXG8=AXG5)*(AXE4:AXE8=AXE5)*(AXI4:AXI8&gt;AXI5)),"")</f>
        <v>0</v>
      </c>
      <c r="AXQ5" s="319">
        <f t="shared" ref="AXQ5" ca="1" si="1071">IF(AXA5&lt;&gt;"",SUMPRODUCT((AXL4:AXL8=AXL5)*(AXG4:AXG8=AXG5)*(AXE4:AXE8=AXE5)*(AXI4:AXI8=AXI5)*(AXJ4:AXJ8&gt;AXJ5)),"")</f>
        <v>0</v>
      </c>
      <c r="AXR5" s="319">
        <f t="shared" ref="AXR5" ca="1" si="1072">IF(AXA5&lt;&gt;"",SUMPRODUCT((AXL4:AXL8=AXL5)*(AXG4:AXG8=AXG5)*(AXE4:AXE8=AXE5)*(AXI4:AXI8=AXI5)*(AXJ4:AXJ8=AXJ5)*(AXK4:AXK8&gt;AXK5)),"")</f>
        <v>2</v>
      </c>
      <c r="AXS5" s="319">
        <f ca="1">IF(AXA5&lt;&gt;"",IF(AXS45&lt;&gt;"",IF(AWZ43=3,AXS45,AXS45+AWZ43),SUM(AXM5:AXR5)),"")</f>
        <v>3</v>
      </c>
      <c r="AXT5" s="319" t="str">
        <f t="shared" ref="AXT5" ca="1" si="1073">IF(AXA5&lt;&gt;"",INDEX(AXA4:AXA8,MATCH(2,AXS4:AXS8,0),0),"")</f>
        <v>Hungary</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Hungary</v>
      </c>
      <c r="BAD5" s="319">
        <v>2</v>
      </c>
      <c r="BAE5" s="319">
        <v>3</v>
      </c>
      <c r="BAF5" s="319" t="str">
        <f t="shared" si="130"/>
        <v>Spain</v>
      </c>
      <c r="BAG5" s="322">
        <f ca="1">IF(OFFSET('Player Game Board'!P12,0,BAG1)&lt;&gt;"",OFFSET('Player Game Board'!P12,0,BAG1),0)</f>
        <v>0</v>
      </c>
      <c r="BAH5" s="322">
        <f ca="1">IF(OFFSET('Player Game Board'!Q12,0,BAG1)&lt;&gt;"",OFFSET('Player Game Board'!Q12,0,BAG1),0)</f>
        <v>0</v>
      </c>
      <c r="BAI5" s="319" t="str">
        <f t="shared" si="131"/>
        <v>Croatia</v>
      </c>
      <c r="BAJ5" s="319" t="str">
        <f ca="1">IF(AND(OFFSET('Player Game Board'!P12,0,BAG1)&lt;&gt;"",OFFSET('Player Game Board'!Q12,0,BAG1)&lt;&gt;""),IF(BAG5&gt;BAH5,"W",IF(BAG5=BAH5,"D","L")),"")</f>
        <v/>
      </c>
      <c r="BAK5" s="319" t="str">
        <f t="shared" ca="1" si="132"/>
        <v/>
      </c>
      <c r="BAL5" s="319"/>
      <c r="BAM5" s="319"/>
      <c r="BAN5" s="319" t="str">
        <f t="shared" ref="BAN5" ca="1" si="1094">VLOOKUP(3,AWG18:AWH21,2,FALSE)</f>
        <v>Slovenia</v>
      </c>
      <c r="BAO5" s="320">
        <f t="shared" ref="BAO5" ca="1" si="1095">VLOOKUP(BAN5,AWH4:AWM40,2,FALSE)</f>
        <v>0</v>
      </c>
      <c r="BAP5" s="320">
        <f t="shared" ref="BAP5" ca="1" si="1096">VLOOKUP(BAN5,AWH4:AWM40,3,FALSE)</f>
        <v>0</v>
      </c>
      <c r="BAQ5" s="320">
        <f t="shared" ref="BAQ5" ca="1" si="1097">VLOOKUP(BAN5,AWH4:AWM40,4,FALSE)</f>
        <v>0</v>
      </c>
      <c r="BAR5" s="320">
        <f t="shared" ref="BAR5" ca="1" si="1098">VLOOKUP(BAN5,AWH4:AWM40,5,FALSE)</f>
        <v>0</v>
      </c>
      <c r="BAS5" s="320">
        <f t="shared" ref="BAS5" ca="1" si="1099">VLOOKUP(BAN5,AWH4:AWM40,6,FALSE)</f>
        <v>0</v>
      </c>
      <c r="BAT5" s="320">
        <f t="shared" ca="1" si="139"/>
        <v>1000</v>
      </c>
      <c r="BAU5" s="320">
        <f t="shared" ca="1" si="140"/>
        <v>0</v>
      </c>
      <c r="BAV5" s="319">
        <f ca="1">VLOOKUP(BAN5,B4:J40,9,FALSE)</f>
        <v>39</v>
      </c>
      <c r="BAW5" s="319">
        <f t="shared" ref="BAW5" ca="1" si="1100">RANK(BAU5,BAU3:BAU8)</f>
        <v>1</v>
      </c>
      <c r="BAX5" s="319">
        <f t="shared" ref="BAX5" ca="1" si="1101">SUMPRODUCT((BAW3:BAW8=BAW5)*(BAT3:BAT8&gt;BAT5))</f>
        <v>0</v>
      </c>
      <c r="BAY5" s="319">
        <f t="shared" ref="BAY5" ca="1" si="1102">SUMPRODUCT((BAW3:BAW8=BAW5)*(BAT3:BAT8=BAT5)*(BAR3:BAR8&gt;BAR5))</f>
        <v>0</v>
      </c>
      <c r="BAZ5" s="319">
        <f t="shared" ref="BAZ5" ca="1" si="1103">SUMPRODUCT((BAW3:BAW8=BAW5)*(BAT3:BAT8=BAT5)*(BAR3:BAR8=BAR5)*(BAV3:BAV8&gt;BAV5))</f>
        <v>3</v>
      </c>
      <c r="BBA5" s="319">
        <f t="shared" ca="1" si="145"/>
        <v>4</v>
      </c>
      <c r="BBB5" s="319" t="s">
        <v>103</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103</v>
      </c>
      <c r="BGA5" s="319">
        <v>3</v>
      </c>
      <c r="BGB5" s="319"/>
    </row>
    <row r="6" spans="1:1536" ht="13.8" x14ac:dyDescent="0.3">
      <c r="A6" s="319">
        <f>VLOOKUP(B6,CW4:CX8,2,FALSE)</f>
        <v>3</v>
      </c>
      <c r="B6" s="319" t="str">
        <f>'Language Table'!C15</f>
        <v>Hungary</v>
      </c>
      <c r="C6" s="319">
        <f>SUMPRODUCT((CZ3:CZ42=B6)*(DD3:DD42="W"))+SUMPRODUCT((DC3:DC42=B6)*(DE3:DE42="W"))</f>
        <v>0</v>
      </c>
      <c r="D6" s="319">
        <f>SUMPRODUCT((CZ3:CZ42=B6)*(DD3:DD42="D"))+SUMPRODUCT((DC3:DC42=B6)*(DE3:DE42="D"))</f>
        <v>0</v>
      </c>
      <c r="E6" s="319">
        <f>SUMPRODUCT((CZ3:CZ42=B6)*(DD3:DD42="L"))+SUMPRODUCT((DC3:DC42=B6)*(DE3:DE42="L"))</f>
        <v>1</v>
      </c>
      <c r="F6" s="319">
        <f>SUMIF(CZ3:CZ60,B6,DA3:DA60)+SUMIF(DC3:DC60,B6,DB3:DB60)</f>
        <v>1</v>
      </c>
      <c r="G6" s="319">
        <f>SUMIF(DC3:DC60,B6,DA3:DA60)+SUMIF(CZ3:CZ60,B6,DB3:DB60)</f>
        <v>3</v>
      </c>
      <c r="H6" s="319">
        <f t="shared" si="599"/>
        <v>998</v>
      </c>
      <c r="I6" s="319">
        <f t="shared" si="600"/>
        <v>0</v>
      </c>
      <c r="J6" s="319">
        <v>48</v>
      </c>
      <c r="K6" s="319">
        <f>IF(COUNTIF(I4:I8,4)&lt;&gt;4,RANK(I6,I4:I8),I46)</f>
        <v>3</v>
      </c>
      <c r="L6" s="319"/>
      <c r="M6" s="319">
        <f>SUMPRODUCT((K4:K7=K6)*(J4:J7&lt;J6))+K6</f>
        <v>4</v>
      </c>
      <c r="N6" s="319" t="str">
        <f>INDEX(B4:B8,MATCH(3,M4:M8,0),0)</f>
        <v>Scotland</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Scotland</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f t="shared" ref="BP6:BP7" si="1164">IF(BI6&lt;&gt;"",BJ6*3+BK6*1,"")</f>
        <v>0</v>
      </c>
      <c r="BQ6" s="319">
        <f>IF(BI6&lt;&gt;"",VLOOKUP(BI6,B4:H40,7,FALSE),"")</f>
        <v>996</v>
      </c>
      <c r="BR6" s="319">
        <f>IF(BI6&lt;&gt;"",VLOOKUP(BI6,B4:H40,5,FALSE),"")</f>
        <v>1</v>
      </c>
      <c r="BS6" s="319">
        <f>IF(BI6&lt;&gt;"",VLOOKUP(BI6,B4:J40,9,FALSE),"")</f>
        <v>43</v>
      </c>
      <c r="BT6" s="319">
        <f t="shared" ref="BT6:BT7" si="1165">BP6</f>
        <v>0</v>
      </c>
      <c r="BU6" s="319">
        <f>IF(BI6&lt;&gt;"",RANK(BT6,BT4:BT8),"")</f>
        <v>1</v>
      </c>
      <c r="BV6" s="319">
        <f>IF(BI6&lt;&gt;"",SUMPRODUCT((BT4:BT8=BT6)*(BO4:BO8&gt;BO6)),"")</f>
        <v>0</v>
      </c>
      <c r="BW6" s="319">
        <f>IF(BI6&lt;&gt;"",SUMPRODUCT((BT4:BT8=BT6)*(BO4:BO8=BO6)*(BM4:BM8&gt;BM6)),"")</f>
        <v>0</v>
      </c>
      <c r="BX6" s="319">
        <f>IF(BI6&lt;&gt;"",SUMPRODUCT((BT4:BT8=BT6)*(BO4:BO8=BO6)*(BM4:BM8=BM6)*(BQ4:BQ8&gt;BQ6)),"")</f>
        <v>1</v>
      </c>
      <c r="BY6" s="319">
        <f>IF(BI6&lt;&gt;"",SUMPRODUCT((BT4:BT8=BT6)*(BO4:BO8=BO6)*(BM4:BM8=BM6)*(BQ4:BQ8=BQ6)*(BR4:BR8&gt;BR6)),"")</f>
        <v>0</v>
      </c>
      <c r="BZ6" s="319">
        <f>IF(BI6&lt;&gt;"",SUMPRODUCT((BT4:BT8=BT6)*(BO4:BO8=BO6)*(BM4:BM8=BM6)*(BQ4:BQ8=BQ6)*(BR4:BR8=BR6)*(BS4:BS8&gt;BS6)),"")</f>
        <v>0</v>
      </c>
      <c r="CA6" s="319">
        <f>IF(BI6&lt;&gt;"",SUM(BU6:BZ6)+2,"")</f>
        <v>4</v>
      </c>
      <c r="CB6" s="319" t="str">
        <f>IF(BI6&lt;&gt;"",INDEX(BI6:BI8,MATCH(3,CA6:CA8,0),0),"")</f>
        <v>Hungary</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Hungary</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Poland</v>
      </c>
      <c r="DI6" s="320">
        <f>Matches!U24</f>
        <v>0</v>
      </c>
      <c r="DJ6" s="320">
        <f>Matches!V24</f>
        <v>0</v>
      </c>
      <c r="DK6" s="320">
        <f>Matches!W24</f>
        <v>1</v>
      </c>
      <c r="DL6" s="320">
        <f>Matches!X24</f>
        <v>1</v>
      </c>
      <c r="DM6" s="320">
        <f>Matches!Z24</f>
        <v>2</v>
      </c>
      <c r="DN6" s="320">
        <f>Matches!AA24</f>
        <v>-1</v>
      </c>
      <c r="DO6" s="320">
        <f>Matches!AB24</f>
        <v>0</v>
      </c>
      <c r="DP6" s="319">
        <f>VLOOKUP(DH6,B4:J40,9,FALSE)</f>
        <v>0</v>
      </c>
      <c r="DQ6" s="319">
        <f>RANK(DO6,DO3:DO8)</f>
        <v>2</v>
      </c>
      <c r="DR6" s="319">
        <f>SUMPRODUCT((DQ3:DQ8=DQ6)*(DN3:DN8&gt;DN6))</f>
        <v>0</v>
      </c>
      <c r="DS6" s="319">
        <f>SUMPRODUCT((DQ3:DQ8=DQ6)*(DN3:DN8=DN6)*(DL3:DL8&gt;DL6))</f>
        <v>0</v>
      </c>
      <c r="DT6" s="319">
        <f>SUMPRODUCT((DQ3:DQ8=DQ6)*(DN3:DN8=DN6)*(DL3:DL8=DL6)*(DP3:DP8&gt;DP6))</f>
        <v>2</v>
      </c>
      <c r="DU6" s="319">
        <f t="shared" si="163"/>
        <v>4</v>
      </c>
      <c r="DV6" s="319" t="s">
        <v>104</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1</v>
      </c>
      <c r="EE6" s="319">
        <f ca="1">SUMIF(IA3:IA60,DZ6,HY3:HY60)+SUMIF(HX3:HX60,DZ6,HZ3:HZ60)</f>
        <v>10</v>
      </c>
      <c r="EF6" s="319">
        <f t="shared" ca="1" si="607"/>
        <v>991</v>
      </c>
      <c r="EG6" s="319">
        <f t="shared" ca="1" si="608"/>
        <v>0</v>
      </c>
      <c r="EH6" s="319">
        <f t="shared" si="609"/>
        <v>48</v>
      </c>
      <c r="EI6" s="319">
        <f ca="1">IF(COUNTIF(EG4:EG8,4)&lt;&gt;4,RANK(EG6,EG4:EG8),EG46)</f>
        <v>4</v>
      </c>
      <c r="EJ6" s="319"/>
      <c r="EK6" s="319">
        <f ca="1">SUMPRODUCT((EI4:EI7=EI6)*(EH4:EH7&lt;EH6))+EI6</f>
        <v>4</v>
      </c>
      <c r="EL6" s="319" t="str">
        <f ca="1">INDEX(DZ4:DZ8,MATCH(3,EK4:EK8,0),0)</f>
        <v>Scotland</v>
      </c>
      <c r="EM6" s="319">
        <f ca="1">INDEX(EI4:EI8,MATCH(EL6,DZ4:DZ8,0),0)</f>
        <v>3</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0</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0</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0</v>
      </c>
      <c r="FS6" s="319">
        <f ca="1">FQ6-FR6+1000</f>
        <v>1000</v>
      </c>
      <c r="FT6" s="319" t="str">
        <f t="shared" ca="1" si="613"/>
        <v/>
      </c>
      <c r="FU6" s="319" t="str">
        <f ca="1">IF(FM6&lt;&gt;"",VLOOKUP(FM6,DZ4:EF40,7,FALSE),"")</f>
        <v/>
      </c>
      <c r="FV6" s="319" t="str">
        <f ca="1">IF(FM6&lt;&gt;"",VLOOKUP(FM6,DZ4:EF40,5,FALSE),"")</f>
        <v/>
      </c>
      <c r="FW6" s="319" t="str">
        <f ca="1">IF(FM6&lt;&gt;"",VLOOKUP(FM6,DZ4:EH40,9,FALSE),"")</f>
        <v/>
      </c>
      <c r="FX6" s="319" t="str">
        <f t="shared" ca="1" si="614"/>
        <v/>
      </c>
      <c r="FY6" s="319" t="str">
        <f ca="1">IF(FM6&lt;&gt;"",RANK(FX6,FX4:FX8),"")</f>
        <v/>
      </c>
      <c r="FZ6" s="319" t="str">
        <f ca="1">IF(FM6&lt;&gt;"",SUMPRODUCT((FX4:FX8=FX6)*(FS4:FS8&gt;FS6)),"")</f>
        <v/>
      </c>
      <c r="GA6" s="319" t="str">
        <f ca="1">IF(FM6&lt;&gt;"",SUMPRODUCT((FX4:FX8=FX6)*(FS4:FS8=FS6)*(FQ4:FQ8&gt;FQ6)),"")</f>
        <v/>
      </c>
      <c r="GB6" s="319" t="str">
        <f ca="1">IF(FM6&lt;&gt;"",SUMPRODUCT((FX4:FX8=FX6)*(FS4:FS8=FS6)*(FQ4:FQ8=FQ6)*(FU4:FU8&gt;FU6)),"")</f>
        <v/>
      </c>
      <c r="GC6" s="319" t="str">
        <f ca="1">IF(FM6&lt;&gt;"",SUMPRODUCT((FX4:FX8=FX6)*(FS4:FS8=FS6)*(FQ4:FQ8=FQ6)*(FU4:FU8=FU6)*(FV4:FV8&gt;FV6)),"")</f>
        <v/>
      </c>
      <c r="GD6" s="319" t="str">
        <f ca="1">IF(FM6&lt;&gt;"",SUMPRODUCT((FX4:FX8=FX6)*(FS4:FS8=FS6)*(FQ4:FQ8=FQ6)*(FU4:FU8=FU6)*(FV4:FV8=FV6)*(FW4:FW8&gt;FW6)),"")</f>
        <v/>
      </c>
      <c r="GE6" s="319" t="str">
        <f ca="1">IF(FM6&lt;&gt;"",IF(GE46&lt;&gt;"",IF(FL43=3,GE46,GE46+FL43),SUM(FY6:GD6)+1),"")</f>
        <v/>
      </c>
      <c r="GF6" s="319" t="str">
        <f ca="1">IF(FM6&lt;&gt;"",INDEX(FM5:FM8,MATCH(3,GE5:GE8,0),0),"")</f>
        <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Scotland</v>
      </c>
      <c r="HV6" s="319">
        <v>3</v>
      </c>
      <c r="HW6" s="319">
        <v>4</v>
      </c>
      <c r="HX6" s="319" t="str">
        <f t="shared" si="164"/>
        <v>Italy</v>
      </c>
      <c r="HY6" s="322">
        <f ca="1">IF(OFFSET('Player Game Board'!P13,0,HY1)&lt;&gt;"",OFFSET('Player Game Board'!P13,0,HY1),0)</f>
        <v>3</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Austria</v>
      </c>
      <c r="IG6" s="320">
        <f ca="1">VLOOKUP(IF6,DZ4:EE40,2,FALSE)</f>
        <v>1</v>
      </c>
      <c r="IH6" s="320">
        <f ca="1">VLOOKUP(IF6,DZ4:EE40,3,FALSE)</f>
        <v>1</v>
      </c>
      <c r="II6" s="320">
        <f ca="1">VLOOKUP(IF6,DZ4:EE40,4,FALSE)</f>
        <v>1</v>
      </c>
      <c r="IJ6" s="320">
        <f ca="1">VLOOKUP(IF6,DZ4:EE40,5,FALSE)</f>
        <v>5</v>
      </c>
      <c r="IK6" s="320">
        <f ca="1">VLOOKUP(IF6,DZ4:EE40,6,FALSE)</f>
        <v>6</v>
      </c>
      <c r="IL6" s="320">
        <f t="shared" ca="1" si="167"/>
        <v>999</v>
      </c>
      <c r="IM6" s="320">
        <f t="shared" ca="1" si="168"/>
        <v>4</v>
      </c>
      <c r="IN6" s="319">
        <f ca="1">VLOOKUP(IF6,B4:J40,9,FALSE)</f>
        <v>41</v>
      </c>
      <c r="IO6" s="319">
        <f ca="1">RANK(IM6,IM3:IM8)</f>
        <v>1</v>
      </c>
      <c r="IP6" s="319">
        <f ca="1">SUMPRODUCT((IO3:IO8=IO6)*(IL3:IL8&gt;IL6))</f>
        <v>1</v>
      </c>
      <c r="IQ6" s="319">
        <f ca="1">SUMPRODUCT((IO3:IO8=IO6)*(IL3:IL8=IL6)*(IJ3:IJ8&gt;IJ6))</f>
        <v>0</v>
      </c>
      <c r="IR6" s="319">
        <f ca="1">SUMPRODUCT((IO3:IO8=IO6)*(IL3:IL8=IL6)*(IJ3:IJ8=IJ6)*(IN3:IN8&gt;IN6))</f>
        <v>0</v>
      </c>
      <c r="IS6" s="319">
        <f t="shared" ca="1" si="169"/>
        <v>2</v>
      </c>
      <c r="IT6" s="319" t="s">
        <v>104</v>
      </c>
      <c r="IU6" s="319">
        <v>4</v>
      </c>
      <c r="IV6" s="319"/>
      <c r="IW6" s="319">
        <f ca="1">VLOOKUP(IX6,MS4:MT8,2,FALSE)</f>
        <v>3</v>
      </c>
      <c r="IX6" s="319" t="str">
        <f t="shared" si="615"/>
        <v>Hungary</v>
      </c>
      <c r="IY6" s="319">
        <f ca="1">SUMPRODUCT((MV3:MV42=IX6)*(MZ3:MZ42="W"))+SUMPRODUCT((MY3:MY42=IX6)*(NA3:NA42="W"))</f>
        <v>0</v>
      </c>
      <c r="IZ6" s="319">
        <f ca="1">SUMPRODUCT((MV3:MV42=IX6)*(MZ3:MZ42="D"))+SUMPRODUCT((MY3:MY42=IX6)*(NA3:NA42="D"))</f>
        <v>3</v>
      </c>
      <c r="JA6" s="319">
        <f ca="1">SUMPRODUCT((MV3:MV42=IX6)*(MZ3:MZ42="L"))+SUMPRODUCT((MY3:MY42=IX6)*(NA3:NA42="L"))</f>
        <v>0</v>
      </c>
      <c r="JB6" s="319">
        <f ca="1">SUMIF(MV3:MV60,IX6,MW3:MW60)+SUMIF(MY3:MY60,IX6,MX3:MX60)</f>
        <v>3</v>
      </c>
      <c r="JC6" s="319">
        <f ca="1">SUMIF(MY3:MY60,IX6,MW3:MW60)+SUMIF(MV3:MV60,IX6,MX3:MX60)</f>
        <v>3</v>
      </c>
      <c r="JD6" s="319">
        <f t="shared" ca="1" si="616"/>
        <v>1000</v>
      </c>
      <c r="JE6" s="319">
        <f t="shared" ca="1" si="617"/>
        <v>3</v>
      </c>
      <c r="JF6" s="319">
        <f t="shared" si="618"/>
        <v>48</v>
      </c>
      <c r="JG6" s="319">
        <f ca="1">IF(COUNTIF(JE4:JE8,4)&lt;&gt;4,RANK(JE6,JE4:JE8),JE46)</f>
        <v>3</v>
      </c>
      <c r="JH6" s="319"/>
      <c r="JI6" s="319">
        <f ca="1">SUMPRODUCT((JG4:JG7=JG6)*(JF4:JF7&lt;JF6))+JG6</f>
        <v>3</v>
      </c>
      <c r="JJ6" s="319" t="str">
        <f ca="1">INDEX(IX4:IX8,MATCH(3,JI4:JI8,0),0)</f>
        <v>Hungary</v>
      </c>
      <c r="JK6" s="319">
        <f ca="1">INDEX(JG4:JG8,MATCH(JJ6,IX4:IX8,0),0)</f>
        <v>3</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0</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19">
        <f ca="1">KO6-KP6+1000</f>
        <v>1000</v>
      </c>
      <c r="KR6" s="319" t="str">
        <f t="shared" ca="1" si="622"/>
        <v/>
      </c>
      <c r="KS6" s="319" t="str">
        <f ca="1">IF(KK6&lt;&gt;"",VLOOKUP(KK6,IX4:JD40,7,FALSE),"")</f>
        <v/>
      </c>
      <c r="KT6" s="319" t="str">
        <f ca="1">IF(KK6&lt;&gt;"",VLOOKUP(KK6,IX4:JD40,5,FALSE),"")</f>
        <v/>
      </c>
      <c r="KU6" s="319" t="str">
        <f ca="1">IF(KK6&lt;&gt;"",VLOOKUP(KK6,IX4:JF40,9,FALSE),"")</f>
        <v/>
      </c>
      <c r="KV6" s="319" t="str">
        <f t="shared" ca="1" si="623"/>
        <v/>
      </c>
      <c r="KW6" s="319" t="str">
        <f ca="1">IF(KK6&lt;&gt;"",RANK(KV6,KV4:KV8),"")</f>
        <v/>
      </c>
      <c r="KX6" s="319" t="str">
        <f ca="1">IF(KK6&lt;&gt;"",SUMPRODUCT((KV4:KV8=KV6)*(KQ4:KQ8&gt;KQ6)),"")</f>
        <v/>
      </c>
      <c r="KY6" s="319" t="str">
        <f ca="1">IF(KK6&lt;&gt;"",SUMPRODUCT((KV4:KV8=KV6)*(KQ4:KQ8=KQ6)*(KO4:KO8&gt;KO6)),"")</f>
        <v/>
      </c>
      <c r="KZ6" s="319" t="str">
        <f ca="1">IF(KK6&lt;&gt;"",SUMPRODUCT((KV4:KV8=KV6)*(KQ4:KQ8=KQ6)*(KO4:KO8=KO6)*(KS4:KS8&gt;KS6)),"")</f>
        <v/>
      </c>
      <c r="LA6" s="319" t="str">
        <f ca="1">IF(KK6&lt;&gt;"",SUMPRODUCT((KV4:KV8=KV6)*(KQ4:KQ8=KQ6)*(KO4:KO8=KO6)*(KS4:KS8=KS6)*(KT4:KT8&gt;KT6)),"")</f>
        <v/>
      </c>
      <c r="LB6" s="319" t="str">
        <f ca="1">IF(KK6&lt;&gt;"",SUMPRODUCT((KV4:KV8=KV6)*(KQ4:KQ8=KQ6)*(KO4:KO8=KO6)*(KS4:KS8=KS6)*(KT4:KT8=KT6)*(KU4:KU8&gt;KU6)),"")</f>
        <v/>
      </c>
      <c r="LC6" s="319" t="str">
        <f ca="1">IF(KK6&lt;&gt;"",IF(LC46&lt;&gt;"",IF(KJ43=3,LC46,LC46+KJ43),SUM(KW6:LB6)+1),"")</f>
        <v/>
      </c>
      <c r="LD6" s="319" t="str">
        <f ca="1">IF(KK6&lt;&gt;"",INDEX(KK5:KK8,MATCH(3,LC5:LC8,0),0),"")</f>
        <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2</v>
      </c>
      <c r="MX6" s="322">
        <f ca="1">IF(OFFSET('Player Game Board'!Q13,0,MW1)&lt;&gt;"",OFFSET('Player Game Board'!Q13,0,MW1),0)</f>
        <v>0</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Netherlands</v>
      </c>
      <c r="NE6" s="320">
        <f ca="1">VLOOKUP(ND6,IX4:JC40,2,FALSE)</f>
        <v>0</v>
      </c>
      <c r="NF6" s="320">
        <f ca="1">VLOOKUP(ND6,IX4:JC40,3,FALSE)</f>
        <v>2</v>
      </c>
      <c r="NG6" s="320">
        <f ca="1">VLOOKUP(ND6,IX4:JC40,4,FALSE)</f>
        <v>1</v>
      </c>
      <c r="NH6" s="320">
        <f ca="1">VLOOKUP(ND6,IX4:JC40,5,FALSE)</f>
        <v>3</v>
      </c>
      <c r="NI6" s="320">
        <f ca="1">VLOOKUP(ND6,IX4:JC40,6,FALSE)</f>
        <v>4</v>
      </c>
      <c r="NJ6" s="320">
        <f t="shared" ca="1" si="173"/>
        <v>999</v>
      </c>
      <c r="NK6" s="320">
        <f t="shared" ca="1" si="174"/>
        <v>2</v>
      </c>
      <c r="NL6" s="319">
        <f ca="1">VLOOKUP(ND6,B4:J40,9,FALSE)</f>
        <v>42</v>
      </c>
      <c r="NM6" s="319">
        <f ca="1">RANK(NK6,NK3:NK8)</f>
        <v>3</v>
      </c>
      <c r="NN6" s="319">
        <f ca="1">SUMPRODUCT((NM3:NM8=NM6)*(NJ3:NJ8&gt;NJ6))</f>
        <v>0</v>
      </c>
      <c r="NO6" s="319">
        <f ca="1">SUMPRODUCT((NM3:NM8=NM6)*(NJ3:NJ8=NJ6)*(NH3:NH8&gt;NH6))</f>
        <v>2</v>
      </c>
      <c r="NP6" s="319">
        <f ca="1">SUMPRODUCT((NM3:NM8=NM6)*(NJ3:NJ8=NJ6)*(NH3:NH8=NH6)*(NL3:NL8&gt;NL6))</f>
        <v>0</v>
      </c>
      <c r="NQ6" s="319">
        <f t="shared" ca="1" si="175"/>
        <v>5</v>
      </c>
      <c r="NR6" s="319" t="s">
        <v>104</v>
      </c>
      <c r="NS6" s="319">
        <v>4</v>
      </c>
      <c r="NT6" s="319"/>
      <c r="NU6" s="319">
        <f t="shared" ref="NU6" ca="1" si="1170">VLOOKUP(NV6,RQ4:RR8,2,FALSE)</f>
        <v>2</v>
      </c>
      <c r="NV6" s="319" t="str">
        <f t="shared" si="177"/>
        <v>Hungary</v>
      </c>
      <c r="NW6" s="319">
        <f t="shared" ref="NW6" ca="1" si="1171">SUMPRODUCT((RT3:RT42=NV6)*(RX3:RX42="W"))+SUMPRODUCT((RW3:RW42=NV6)*(RY3:RY42="W"))</f>
        <v>2</v>
      </c>
      <c r="NX6" s="319">
        <f t="shared" ref="NX6" ca="1" si="1172">SUMPRODUCT((RT3:RT42=NV6)*(RX3:RX42="D"))+SUMPRODUCT((RW3:RW42=NV6)*(RY3:RY42="D"))</f>
        <v>0</v>
      </c>
      <c r="NY6" s="319">
        <f t="shared" ref="NY6" ca="1" si="1173">SUMPRODUCT((RT3:RT42=NV6)*(RX3:RX42="L"))+SUMPRODUCT((RW3:RW42=NV6)*(RY3:RY42="L"))</f>
        <v>1</v>
      </c>
      <c r="NZ6" s="319">
        <f t="shared" ref="NZ6" ca="1" si="1174">SUMIF(RT3:RT60,NV6,RU3:RU60)+SUMIF(RW3:RW60,NV6,RV3:RV60)</f>
        <v>4</v>
      </c>
      <c r="OA6" s="319">
        <f t="shared" ref="OA6" ca="1" si="1175">SUMIF(RW3:RW60,NV6,RU3:RU60)+SUMIF(RT3:RT60,NV6,RV3:RV60)</f>
        <v>2</v>
      </c>
      <c r="OB6" s="319">
        <f t="shared" ca="1" si="183"/>
        <v>1002</v>
      </c>
      <c r="OC6" s="319">
        <f t="shared" ca="1" si="184"/>
        <v>6</v>
      </c>
      <c r="OD6" s="319">
        <f t="shared" si="630"/>
        <v>48</v>
      </c>
      <c r="OE6" s="319">
        <f t="shared" ref="OE6" ca="1" si="1176">IF(COUNTIF(OC4:OC8,4)&lt;&gt;4,RANK(OC6,OC4:OC8),OC46)</f>
        <v>2</v>
      </c>
      <c r="OF6" s="319"/>
      <c r="OG6" s="319">
        <f t="shared" ref="OG6" ca="1" si="1177">SUMPRODUCT((OE4:OE7=OE6)*(OD4:OD7&lt;OD6))+OE6</f>
        <v>2</v>
      </c>
      <c r="OH6" s="319" t="str">
        <f t="shared" ref="OH6" ca="1" si="1178">INDEX(NV4:NV8,MATCH(3,OG4:OG8,0),0)</f>
        <v>Switzerland</v>
      </c>
      <c r="OI6" s="319">
        <f t="shared" ref="OI6" ca="1" si="1179">INDEX(OE4:OE8,MATCH(OH6,NV4:NV8,0),0)</f>
        <v>3</v>
      </c>
      <c r="OJ6" s="319" t="str">
        <f t="shared" ref="OJ6:OJ7" ca="1" si="1180">IF(AND(OJ5&lt;&gt;"",OI6=1),OH6,"")</f>
        <v/>
      </c>
      <c r="OK6" s="319" t="str">
        <f t="shared" ref="OK6:OK7" ca="1" si="1181">IF(AND(OK5&lt;&gt;"",OI7=2),OH7,"")</f>
        <v/>
      </c>
      <c r="OL6" s="319" t="str">
        <f t="shared" ref="OL6" ca="1" si="1182">IF(AND(OL5&lt;&gt;"",OI8=3),OH8,"")</f>
        <v/>
      </c>
      <c r="OM6" s="319"/>
      <c r="ON6" s="319"/>
      <c r="OO6" s="319" t="str">
        <f t="shared" ca="1" si="193"/>
        <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t="str">
        <f t="shared" ca="1" si="200"/>
        <v/>
      </c>
      <c r="OW6" s="319" t="str">
        <f t="shared" ref="OW6" ca="1" si="1188">IF(OO6&lt;&gt;"",VLOOKUP(OO6,NV4:OB40,7,FALSE),"")</f>
        <v/>
      </c>
      <c r="OX6" s="319" t="str">
        <f t="shared" ref="OX6" ca="1" si="1189">IF(OO6&lt;&gt;"",VLOOKUP(OO6,NV4:OB40,5,FALSE),"")</f>
        <v/>
      </c>
      <c r="OY6" s="319" t="str">
        <f t="shared" ref="OY6" ca="1" si="1190">IF(OO6&lt;&gt;"",VLOOKUP(OO6,NV4:OD40,9,FALSE),"")</f>
        <v/>
      </c>
      <c r="OZ6" s="319" t="str">
        <f t="shared" ca="1" si="204"/>
        <v/>
      </c>
      <c r="PA6" s="319" t="str">
        <f t="shared" ref="PA6" ca="1" si="1191">IF(OO6&lt;&gt;"",RANK(OZ6,OZ4:OZ8),"")</f>
        <v/>
      </c>
      <c r="PB6" s="319" t="str">
        <f t="shared" ref="PB6" ca="1" si="1192">IF(OO6&lt;&gt;"",SUMPRODUCT((OZ4:OZ8=OZ6)*(OU4:OU8&gt;OU6)),"")</f>
        <v/>
      </c>
      <c r="PC6" s="319" t="str">
        <f t="shared" ref="PC6" ca="1" si="1193">IF(OO6&lt;&gt;"",SUMPRODUCT((OZ4:OZ8=OZ6)*(OU4:OU8=OU6)*(OS4:OS8&gt;OS6)),"")</f>
        <v/>
      </c>
      <c r="PD6" s="319" t="str">
        <f t="shared" ref="PD6" ca="1" si="1194">IF(OO6&lt;&gt;"",SUMPRODUCT((OZ4:OZ8=OZ6)*(OU4:OU8=OU6)*(OS4:OS8=OS6)*(OW4:OW8&gt;OW6)),"")</f>
        <v/>
      </c>
      <c r="PE6" s="319" t="str">
        <f t="shared" ref="PE6" ca="1" si="1195">IF(OO6&lt;&gt;"",SUMPRODUCT((OZ4:OZ8=OZ6)*(OU4:OU8=OU6)*(OS4:OS8=OS6)*(OW4:OW8=OW6)*(OX4:OX8&gt;OX6)),"")</f>
        <v/>
      </c>
      <c r="PF6" s="319" t="str">
        <f t="shared" ref="PF6" ca="1" si="1196">IF(OO6&lt;&gt;"",SUMPRODUCT((OZ4:OZ8=OZ6)*(OU4:OU8=OU6)*(OS4:OS8=OS6)*(OW4:OW8=OW6)*(OX4:OX8=OX6)*(OY4:OY8&gt;OY6)),"")</f>
        <v/>
      </c>
      <c r="PG6" s="319" t="str">
        <f ca="1">IF(OO6&lt;&gt;"",IF(PG46&lt;&gt;"",IF(ON43=3,PG46,PG46+ON43),SUM(PA6:PF6)),"")</f>
        <v/>
      </c>
      <c r="PH6" s="319" t="str">
        <f t="shared" ref="PH6" ca="1" si="1197">IF(OO6&lt;&gt;"",INDEX(OO4:OO8,MATCH(3,PG4:PG8,0),0),"")</f>
        <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Switzerland</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1</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f t="shared" ref="QJ6:QJ7" ca="1" si="1220">IF(QC6&lt;&gt;"",QD6*3+QE6*1,"")</f>
        <v>1</v>
      </c>
      <c r="QK6" s="319">
        <f t="shared" ref="QK6" ca="1" si="1221">IF(QC6&lt;&gt;"",VLOOKUP(QC6,NV4:OB40,7,FALSE),"")</f>
        <v>996</v>
      </c>
      <c r="QL6" s="319">
        <f t="shared" ref="QL6" ca="1" si="1222">IF(QC6&lt;&gt;"",VLOOKUP(QC6,NV4:OB40,5,FALSE),"")</f>
        <v>0</v>
      </c>
      <c r="QM6" s="319">
        <f t="shared" ref="QM6" ca="1" si="1223">IF(QC6&lt;&gt;"",VLOOKUP(QC6,NV4:OD40,9,FALSE),"")</f>
        <v>34</v>
      </c>
      <c r="QN6" s="319">
        <f t="shared" ref="QN6:QN7" ca="1" si="1224">QJ6</f>
        <v>1</v>
      </c>
      <c r="QO6" s="319">
        <f t="shared" ref="QO6" ca="1" si="1225">IF(QC6&lt;&gt;"",RANK(QN6,QN4:QN8),"")</f>
        <v>1</v>
      </c>
      <c r="QP6" s="319">
        <f t="shared" ref="QP6" ca="1" si="1226">IF(QC6&lt;&gt;"",SUMPRODUCT((QN4:QN8=QN6)*(QI4:QI8&gt;QI6)),"")</f>
        <v>0</v>
      </c>
      <c r="QQ6" s="319">
        <f t="shared" ref="QQ6" ca="1" si="1227">IF(QC6&lt;&gt;"",SUMPRODUCT((QN4:QN8=QN6)*(QI4:QI8=QI6)*(QG4:QG8&gt;QG6)),"")</f>
        <v>0</v>
      </c>
      <c r="QR6" s="319">
        <f t="shared" ref="QR6" ca="1" si="1228">IF(QC6&lt;&gt;"",SUMPRODUCT((QN4:QN8=QN6)*(QI4:QI8=QI6)*(QG4:QG8=QG6)*(QK4:QK8&gt;QK6)),"")</f>
        <v>0</v>
      </c>
      <c r="QS6" s="319">
        <f t="shared" ref="QS6" ca="1" si="1229">IF(QC6&lt;&gt;"",SUMPRODUCT((QN4:QN8=QN6)*(QI4:QI8=QI6)*(QG4:QG8=QG6)*(QK4:QK8=QK6)*(QL4:QL8&gt;QL6)),"")</f>
        <v>0</v>
      </c>
      <c r="QT6" s="319">
        <f t="shared" ref="QT6" ca="1" si="1230">IF(QC6&lt;&gt;"",SUMPRODUCT((QN4:QN8=QN6)*(QI4:QI8=QI6)*(QG4:QG8=QG6)*(QK4:QK8=QK6)*(QL4:QL8=QL6)*(QM4:QM8&gt;QM6)),"")</f>
        <v>1</v>
      </c>
      <c r="QU6" s="319">
        <f t="shared" ref="QU6:QU7" ca="1" si="1231">IF(QC6&lt;&gt;"",SUM(QO6:QT6)+2,"")</f>
        <v>4</v>
      </c>
      <c r="QV6" s="319" t="str">
        <f t="shared" ref="QV6" ca="1" si="1232">IF(QC6&lt;&gt;"",INDEX(QC6:QC8,MATCH(3,QU6:QU8,0),0),"")</f>
        <v>Scotland</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Scotland</v>
      </c>
      <c r="RR6" s="319">
        <v>3</v>
      </c>
      <c r="RS6" s="319">
        <v>4</v>
      </c>
      <c r="RT6" s="319" t="str">
        <f t="shared" si="18"/>
        <v>Italy</v>
      </c>
      <c r="RU6" s="322">
        <f ca="1">IF(OFFSET('Player Game Board'!P13,0,RU1)&lt;&gt;"",OFFSET('Player Game Board'!P13,0,RU1),0)</f>
        <v>2</v>
      </c>
      <c r="RV6" s="322">
        <f ca="1">IF(OFFSET('Player Game Board'!Q13,0,RU1)&lt;&gt;"",OFFSET('Player Game Board'!Q13,0,RU1),0)</f>
        <v>0</v>
      </c>
      <c r="RW6" s="319" t="str">
        <f t="shared" si="19"/>
        <v>Albania</v>
      </c>
      <c r="RX6" s="319" t="str">
        <f ca="1">IF(AND(OFFSET('Player Game Board'!P13,0,RU1)&lt;&gt;"",OFFSET('Player Game Board'!Q13,0,RU1)&lt;&gt;""),IF(RU6&gt;RV6,"W",IF(RU6=RV6,"D","L")),"")</f>
        <v>W</v>
      </c>
      <c r="RY6" s="319" t="str">
        <f t="shared" ca="1" si="20"/>
        <v>L</v>
      </c>
      <c r="RZ6" s="319"/>
      <c r="SA6" s="319"/>
      <c r="SB6" s="319" t="str">
        <f t="shared" ref="SB6" ca="1" si="1234">VLOOKUP(3,NU25:NV28,2,FALSE)</f>
        <v>Austria</v>
      </c>
      <c r="SC6" s="320">
        <f t="shared" ref="SC6" ca="1" si="1235">VLOOKUP(SB6,NV4:OA40,2,FALSE)</f>
        <v>0</v>
      </c>
      <c r="SD6" s="320">
        <f t="shared" ref="SD6" ca="1" si="1236">VLOOKUP(SB6,NV4:OA40,3,FALSE)</f>
        <v>2</v>
      </c>
      <c r="SE6" s="320">
        <f t="shared" ref="SE6" ca="1" si="1237">VLOOKUP(SB6,NV4:OA40,4,FALSE)</f>
        <v>1</v>
      </c>
      <c r="SF6" s="320">
        <f t="shared" ref="SF6" ca="1" si="1238">VLOOKUP(SB6,NV4:OA40,5,FALSE)</f>
        <v>2</v>
      </c>
      <c r="SG6" s="320">
        <f t="shared" ref="SG6" ca="1" si="1239">VLOOKUP(SB6,NV4:OA40,6,FALSE)</f>
        <v>4</v>
      </c>
      <c r="SH6" s="320">
        <f t="shared" ca="1" si="27"/>
        <v>998</v>
      </c>
      <c r="SI6" s="320">
        <f t="shared" ca="1" si="28"/>
        <v>2</v>
      </c>
      <c r="SJ6" s="319">
        <f ca="1">VLOOKUP(SB6,B4:J40,9,FALSE)</f>
        <v>41</v>
      </c>
      <c r="SK6" s="319">
        <f t="shared" ref="SK6" ca="1" si="1240">RANK(SI6,SI3:SI8)</f>
        <v>4</v>
      </c>
      <c r="SL6" s="319">
        <f t="shared" ref="SL6" ca="1" si="1241">SUMPRODUCT((SK3:SK8=SK6)*(SH3:SH8&gt;SH6))</f>
        <v>1</v>
      </c>
      <c r="SM6" s="319">
        <f t="shared" ref="SM6" ca="1" si="1242">SUMPRODUCT((SK3:SK8=SK6)*(SH3:SH8=SH6)*(SF3:SF8&gt;SF6))</f>
        <v>0</v>
      </c>
      <c r="SN6" s="319">
        <f t="shared" ref="SN6" ca="1" si="1243">SUMPRODUCT((SK3:SK8=SK6)*(SH3:SH8=SH6)*(SF3:SF8=SF6)*(SJ3:SJ8&gt;SJ6))</f>
        <v>0</v>
      </c>
      <c r="SO6" s="319">
        <f t="shared" ca="1" si="33"/>
        <v>5</v>
      </c>
      <c r="SP6" s="319" t="s">
        <v>104</v>
      </c>
      <c r="SQ6" s="319">
        <v>4</v>
      </c>
      <c r="SR6" s="319"/>
      <c r="SS6" s="319">
        <f t="shared" ref="SS6" ca="1" si="1244">VLOOKUP(ST6,WO4:WP8,2,FALSE)</f>
        <v>4</v>
      </c>
      <c r="ST6" s="319" t="str">
        <f t="shared" si="224"/>
        <v>Hungary</v>
      </c>
      <c r="SU6" s="319">
        <f t="shared" ref="SU6" ca="1" si="1245">SUMPRODUCT((WR3:WR42=ST6)*(WV3:WV42="W"))+SUMPRODUCT((WU3:WU42=ST6)*(WW3:WW42="W"))</f>
        <v>0</v>
      </c>
      <c r="SV6" s="319">
        <f t="shared" ref="SV6" ca="1" si="1246">SUMPRODUCT((WR3:WR42=ST6)*(WV3:WV42="D"))+SUMPRODUCT((WU3:WU42=ST6)*(WW3:WW42="D"))</f>
        <v>1</v>
      </c>
      <c r="SW6" s="319">
        <f t="shared" ref="SW6" ca="1" si="1247">SUMPRODUCT((WR3:WR42=ST6)*(WV3:WV42="L"))+SUMPRODUCT((WU3:WU42=ST6)*(WW3:WW42="L"))</f>
        <v>2</v>
      </c>
      <c r="SX6" s="319">
        <f t="shared" ref="SX6" ca="1" si="1248">SUMIF(WR3:WR60,ST6,WS3:WS60)+SUMIF(WU3:WU60,ST6,WT3:WT60)</f>
        <v>1</v>
      </c>
      <c r="SY6" s="319">
        <f t="shared" ref="SY6" ca="1" si="1249">SUMIF(WU3:WU60,ST6,WS3:WS60)+SUMIF(WR3:WR60,ST6,WT3:WT60)</f>
        <v>5</v>
      </c>
      <c r="SZ6" s="319">
        <f t="shared" ca="1" si="230"/>
        <v>996</v>
      </c>
      <c r="TA6" s="319">
        <f t="shared" ca="1" si="231"/>
        <v>1</v>
      </c>
      <c r="TB6" s="319">
        <f t="shared" si="690"/>
        <v>48</v>
      </c>
      <c r="TC6" s="319">
        <f t="shared" ref="TC6" ca="1" si="1250">IF(COUNTIF(TA4:TA8,4)&lt;&gt;4,RANK(TA6,TA4:TA8),TA46)</f>
        <v>4</v>
      </c>
      <c r="TD6" s="319"/>
      <c r="TE6" s="319">
        <f t="shared" ref="TE6" ca="1" si="1251">SUMPRODUCT((TC4:TC7=TC6)*(TB4:TB7&lt;TB6))+TC6</f>
        <v>4</v>
      </c>
      <c r="TF6" s="319" t="str">
        <f t="shared" ref="TF6" ca="1" si="1252">INDEX(ST4:ST8,MATCH(3,TE4:TE8,0),0)</f>
        <v>Scotland</v>
      </c>
      <c r="TG6" s="319">
        <f t="shared" ref="TG6" ca="1" si="1253">INDEX(TC4:TC8,MATCH(TF6,ST4:ST8,0),0)</f>
        <v>3</v>
      </c>
      <c r="TH6" s="319" t="str">
        <f t="shared" ref="TH6:TH7" ca="1" si="1254">IF(AND(TH5&lt;&gt;"",TG6=1),TF6,"")</f>
        <v/>
      </c>
      <c r="TI6" s="319" t="str">
        <f t="shared" ref="TI6:TI7" ca="1" si="1255">IF(AND(TI5&lt;&gt;"",TG7=2),TF7,"")</f>
        <v/>
      </c>
      <c r="TJ6" s="319" t="str">
        <f t="shared" ref="TJ6" ca="1" si="1256">IF(AND(TJ5&lt;&gt;"",TG8=3),TF8,"")</f>
        <v/>
      </c>
      <c r="TK6" s="319"/>
      <c r="TL6" s="319"/>
      <c r="TM6" s="319" t="str">
        <f t="shared" ca="1" si="240"/>
        <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t="str">
        <f t="shared" ca="1" si="247"/>
        <v/>
      </c>
      <c r="TU6" s="319" t="str">
        <f t="shared" ref="TU6" ca="1" si="1262">IF(TM6&lt;&gt;"",VLOOKUP(TM6,ST4:SZ40,7,FALSE),"")</f>
        <v/>
      </c>
      <c r="TV6" s="319" t="str">
        <f t="shared" ref="TV6" ca="1" si="1263">IF(TM6&lt;&gt;"",VLOOKUP(TM6,ST4:SZ40,5,FALSE),"")</f>
        <v/>
      </c>
      <c r="TW6" s="319" t="str">
        <f t="shared" ref="TW6" ca="1" si="1264">IF(TM6&lt;&gt;"",VLOOKUP(TM6,ST4:TB40,9,FALSE),"")</f>
        <v/>
      </c>
      <c r="TX6" s="319" t="str">
        <f t="shared" ca="1" si="251"/>
        <v/>
      </c>
      <c r="TY6" s="319" t="str">
        <f t="shared" ref="TY6" ca="1" si="1265">IF(TM6&lt;&gt;"",RANK(TX6,TX4:TX8),"")</f>
        <v/>
      </c>
      <c r="TZ6" s="319" t="str">
        <f t="shared" ref="TZ6" ca="1" si="1266">IF(TM6&lt;&gt;"",SUMPRODUCT((TX4:TX8=TX6)*(TS4:TS8&gt;TS6)),"")</f>
        <v/>
      </c>
      <c r="UA6" s="319" t="str">
        <f t="shared" ref="UA6" ca="1" si="1267">IF(TM6&lt;&gt;"",SUMPRODUCT((TX4:TX8=TX6)*(TS4:TS8=TS6)*(TQ4:TQ8&gt;TQ6)),"")</f>
        <v/>
      </c>
      <c r="UB6" s="319" t="str">
        <f t="shared" ref="UB6" ca="1" si="1268">IF(TM6&lt;&gt;"",SUMPRODUCT((TX4:TX8=TX6)*(TS4:TS8=TS6)*(TQ4:TQ8=TQ6)*(TU4:TU8&gt;TU6)),"")</f>
        <v/>
      </c>
      <c r="UC6" s="319" t="str">
        <f t="shared" ref="UC6" ca="1" si="1269">IF(TM6&lt;&gt;"",SUMPRODUCT((TX4:TX8=TX6)*(TS4:TS8=TS6)*(TQ4:TQ8=TQ6)*(TU4:TU8=TU6)*(TV4:TV8&gt;TV6)),"")</f>
        <v/>
      </c>
      <c r="UD6" s="319" t="str">
        <f t="shared" ref="UD6" ca="1" si="1270">IF(TM6&lt;&gt;"",SUMPRODUCT((TX4:TX8=TX6)*(TS4:TS8=TS6)*(TQ4:TQ8=TQ6)*(TU4:TU8=TU6)*(TV4:TV8=TV6)*(TW4:TW8&gt;TW6)),"")</f>
        <v/>
      </c>
      <c r="UE6" s="319" t="str">
        <f ca="1">IF(TM6&lt;&gt;"",IF(UE46&lt;&gt;"",IF(TL43=3,UE46,UE46+TL43),SUM(TY6:UD6)),"")</f>
        <v/>
      </c>
      <c r="UF6" s="319" t="str">
        <f t="shared" ref="UF6" ca="1" si="1271">IF(TM6&lt;&gt;"",INDEX(TM4:TM8,MATCH(3,UE4:UE8,0),0),"")</f>
        <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4</v>
      </c>
      <c r="WT6" s="322">
        <f ca="1">IF(OFFSET('Player Game Board'!Q13,0,WS1)&lt;&gt;"",OFFSET('Player Game Board'!Q13,0,WS1),0)</f>
        <v>0</v>
      </c>
      <c r="WU6" s="319" t="str">
        <f t="shared" si="35"/>
        <v>Albania</v>
      </c>
      <c r="WV6" s="319" t="str">
        <f ca="1">IF(AND(OFFSET('Player Game Board'!P13,0,WS1)&lt;&gt;"",OFFSET('Player Game Board'!Q13,0,WS1)&lt;&gt;""),IF(WS6&gt;WT6,"W",IF(WS6=WT6,"D","L")),"")</f>
        <v>W</v>
      </c>
      <c r="WW6" s="319" t="str">
        <f t="shared" ca="1" si="36"/>
        <v>L</v>
      </c>
      <c r="WX6" s="319"/>
      <c r="WY6" s="319"/>
      <c r="WZ6" s="319" t="str">
        <f t="shared" ref="WZ6" ca="1" si="1308">VLOOKUP(3,SS25:ST28,2,FALSE)</f>
        <v>Poland</v>
      </c>
      <c r="XA6" s="320">
        <f t="shared" ref="XA6" ca="1" si="1309">VLOOKUP(WZ6,ST4:SY40,2,FALSE)</f>
        <v>0</v>
      </c>
      <c r="XB6" s="320">
        <f t="shared" ref="XB6" ca="1" si="1310">VLOOKUP(WZ6,ST4:SY40,3,FALSE)</f>
        <v>2</v>
      </c>
      <c r="XC6" s="320">
        <f t="shared" ref="XC6" ca="1" si="1311">VLOOKUP(WZ6,ST4:SY40,4,FALSE)</f>
        <v>1</v>
      </c>
      <c r="XD6" s="320">
        <f t="shared" ref="XD6" ca="1" si="1312">VLOOKUP(WZ6,ST4:SY40,5,FALSE)</f>
        <v>2</v>
      </c>
      <c r="XE6" s="320">
        <f t="shared" ref="XE6" ca="1" si="1313">VLOOKUP(WZ6,ST4:SY40,6,FALSE)</f>
        <v>3</v>
      </c>
      <c r="XF6" s="320">
        <f t="shared" ca="1" si="43"/>
        <v>999</v>
      </c>
      <c r="XG6" s="320">
        <f t="shared" ca="1" si="44"/>
        <v>2</v>
      </c>
      <c r="XH6" s="319">
        <f ca="1">VLOOKUP(WZ6,B4:J40,9,FALSE)</f>
        <v>0</v>
      </c>
      <c r="XI6" s="319">
        <f t="shared" ref="XI6" ca="1" si="1314">RANK(XG6,XG3:XG8)</f>
        <v>5</v>
      </c>
      <c r="XJ6" s="319">
        <f t="shared" ref="XJ6" ca="1" si="1315">SUMPRODUCT((XI3:XI8=XI6)*(XF3:XF8&gt;XF6))</f>
        <v>0</v>
      </c>
      <c r="XK6" s="319">
        <f t="shared" ref="XK6" ca="1" si="1316">SUMPRODUCT((XI3:XI8=XI6)*(XF3:XF8=XF6)*(XD3:XD8&gt;XD6))</f>
        <v>0</v>
      </c>
      <c r="XL6" s="319">
        <f t="shared" ref="XL6" ca="1" si="1317">SUMPRODUCT((XI3:XI8=XI6)*(XF3:XF8=XF6)*(XD3:XD8=XD6)*(XH3:XH8&gt;XH6))</f>
        <v>0</v>
      </c>
      <c r="XM6" s="319">
        <f t="shared" ca="1" si="49"/>
        <v>5</v>
      </c>
      <c r="XN6" s="319" t="s">
        <v>104</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0</v>
      </c>
      <c r="XU6" s="319">
        <f t="shared" ref="XU6" ca="1" si="1321">SUMPRODUCT((ABP3:ABP42=XR6)*(ABT3:ABT42="L"))+SUMPRODUCT((ABS3:ABS42=XR6)*(ABU3:ABU42="L"))</f>
        <v>3</v>
      </c>
      <c r="XV6" s="319">
        <f t="shared" ref="XV6" ca="1" si="1322">SUMIF(ABP3:ABP60,XR6,ABQ3:ABQ60)+SUMIF(ABS3:ABS60,XR6,ABR3:ABR60)</f>
        <v>1</v>
      </c>
      <c r="XW6" s="319">
        <f t="shared" ref="XW6" ca="1" si="1323">SUMIF(ABS3:ABS60,XR6,ABQ3:ABQ60)+SUMIF(ABP3:ABP60,XR6,ABR3:ABR60)</f>
        <v>7</v>
      </c>
      <c r="XX6" s="319">
        <f t="shared" ca="1" si="277"/>
        <v>994</v>
      </c>
      <c r="XY6" s="319">
        <f t="shared" ca="1" si="278"/>
        <v>0</v>
      </c>
      <c r="XZ6" s="319">
        <f t="shared" si="750"/>
        <v>48</v>
      </c>
      <c r="YA6" s="319">
        <f t="shared" ref="YA6" ca="1" si="1324">IF(COUNTIF(XY4:XY8,4)&lt;&gt;4,RANK(XY6,XY4:XY8),XY46)</f>
        <v>4</v>
      </c>
      <c r="YB6" s="319"/>
      <c r="YC6" s="319">
        <f t="shared" ref="YC6" ca="1" si="1325">SUMPRODUCT((YA4:YA7=YA6)*(XZ4:XZ7&lt;XZ6))+YA6</f>
        <v>4</v>
      </c>
      <c r="YD6" s="319" t="str">
        <f t="shared" ref="YD6" ca="1" si="1326">INDEX(XR4:XR8,MATCH(3,YC4:YC8,0),0)</f>
        <v>Switzerland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0</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0</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0</v>
      </c>
      <c r="AAE6" s="319">
        <f t="shared" ref="AAE6:AAE7" ca="1" si="1367">AAC6-AAD6+1000</f>
        <v>1000</v>
      </c>
      <c r="AAF6" s="319" t="str">
        <f t="shared" ref="AAF6:AAF7" ca="1" si="1368">IF(ZY6&lt;&gt;"",ZZ6*3+AAA6*1,"")</f>
        <v/>
      </c>
      <c r="AAG6" s="319" t="str">
        <f t="shared" ref="AAG6" ca="1" si="1369">IF(ZY6&lt;&gt;"",VLOOKUP(ZY6,XR4:XX40,7,FALSE),"")</f>
        <v/>
      </c>
      <c r="AAH6" s="319" t="str">
        <f t="shared" ref="AAH6" ca="1" si="1370">IF(ZY6&lt;&gt;"",VLOOKUP(ZY6,XR4:XX40,5,FALSE),"")</f>
        <v/>
      </c>
      <c r="AAI6" s="319" t="str">
        <f t="shared" ref="AAI6" ca="1" si="1371">IF(ZY6&lt;&gt;"",VLOOKUP(ZY6,XR4:XZ40,9,FALSE),"")</f>
        <v/>
      </c>
      <c r="AAJ6" s="319" t="str">
        <f t="shared" ref="AAJ6:AAJ7" ca="1" si="1372">AAF6</f>
        <v/>
      </c>
      <c r="AAK6" s="319" t="str">
        <f t="shared" ref="AAK6" ca="1" si="1373">IF(ZY6&lt;&gt;"",RANK(AAJ6,AAJ4:AAJ8),"")</f>
        <v/>
      </c>
      <c r="AAL6" s="319" t="str">
        <f t="shared" ref="AAL6" ca="1" si="1374">IF(ZY6&lt;&gt;"",SUMPRODUCT((AAJ4:AAJ8=AAJ6)*(AAE4:AAE8&gt;AAE6)),"")</f>
        <v/>
      </c>
      <c r="AAM6" s="319" t="str">
        <f t="shared" ref="AAM6" ca="1" si="1375">IF(ZY6&lt;&gt;"",SUMPRODUCT((AAJ4:AAJ8=AAJ6)*(AAE4:AAE8=AAE6)*(AAC4:AAC8&gt;AAC6)),"")</f>
        <v/>
      </c>
      <c r="AAN6" s="319" t="str">
        <f t="shared" ref="AAN6" ca="1" si="1376">IF(ZY6&lt;&gt;"",SUMPRODUCT((AAJ4:AAJ8=AAJ6)*(AAE4:AAE8=AAE6)*(AAC4:AAC8=AAC6)*(AAG4:AAG8&gt;AAG6)),"")</f>
        <v/>
      </c>
      <c r="AAO6" s="319" t="str">
        <f t="shared" ref="AAO6" ca="1" si="1377">IF(ZY6&lt;&gt;"",SUMPRODUCT((AAJ4:AAJ8=AAJ6)*(AAE4:AAE8=AAE6)*(AAC4:AAC8=AAC6)*(AAG4:AAG8=AAG6)*(AAH4:AAH8&gt;AAH6)),"")</f>
        <v/>
      </c>
      <c r="AAP6" s="319" t="str">
        <f t="shared" ref="AAP6" ca="1" si="1378">IF(ZY6&lt;&gt;"",SUMPRODUCT((AAJ4:AAJ8=AAJ6)*(AAE4:AAE8=AAE6)*(AAC4:AAC8=AAC6)*(AAG4:AAG8=AAG6)*(AAH4:AAH8=AAH6)*(AAI4:AAI8&gt;AAI6)),"")</f>
        <v/>
      </c>
      <c r="AAQ6" s="319" t="str">
        <f t="shared" ref="AAQ6:AAQ7" ca="1" si="1379">IF(ZY6&lt;&gt;"",SUM(AAK6:AAP6)+2,"")</f>
        <v/>
      </c>
      <c r="AAR6" s="319" t="str">
        <f t="shared" ref="AAR6" ca="1" si="1380">IF(ZY6&lt;&gt;"",INDEX(ZY6:ZY8,MATCH(3,AAQ6:AAQ8,0),0),"")</f>
        <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Switzerland</v>
      </c>
      <c r="ABN6" s="319">
        <v>3</v>
      </c>
      <c r="ABO6" s="319">
        <v>4</v>
      </c>
      <c r="ABP6" s="319" t="str">
        <f t="shared" si="50"/>
        <v>Italy</v>
      </c>
      <c r="ABQ6" s="322">
        <f ca="1">IF(OFFSET('Player Game Board'!P13,0,ABQ1)&lt;&gt;"",OFFSET('Player Game Board'!P13,0,ABQ1),0)</f>
        <v>3</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Austria</v>
      </c>
      <c r="ABY6" s="320">
        <f t="shared" ref="ABY6" ca="1" si="1383">VLOOKUP(ABX6,XR4:XW40,2,FALSE)</f>
        <v>1</v>
      </c>
      <c r="ABZ6" s="320">
        <f t="shared" ref="ABZ6" ca="1" si="1384">VLOOKUP(ABX6,XR4:XW40,3,FALSE)</f>
        <v>0</v>
      </c>
      <c r="ACA6" s="320">
        <f t="shared" ref="ACA6" ca="1" si="1385">VLOOKUP(ABX6,XR4:XW40,4,FALSE)</f>
        <v>2</v>
      </c>
      <c r="ACB6" s="320">
        <f t="shared" ref="ACB6" ca="1" si="1386">VLOOKUP(ABX6,XR4:XW40,5,FALSE)</f>
        <v>3</v>
      </c>
      <c r="ACC6" s="320">
        <f t="shared" ref="ACC6" ca="1" si="1387">VLOOKUP(ABX6,XR4:XW40,6,FALSE)</f>
        <v>3</v>
      </c>
      <c r="ACD6" s="320">
        <f t="shared" ca="1" si="59"/>
        <v>1000</v>
      </c>
      <c r="ACE6" s="320">
        <f t="shared" ca="1" si="60"/>
        <v>3</v>
      </c>
      <c r="ACF6" s="319">
        <f ca="1">VLOOKUP(ABX6,B4:J40,9,FALSE)</f>
        <v>41</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0</v>
      </c>
      <c r="ACK6" s="319">
        <f t="shared" ca="1" si="65"/>
        <v>3</v>
      </c>
      <c r="ACL6" s="319" t="s">
        <v>104</v>
      </c>
      <c r="ACM6" s="319">
        <v>4</v>
      </c>
      <c r="ACN6" s="319"/>
      <c r="ACO6" s="319">
        <f t="shared" ref="ACO6" ca="1" si="1392">VLOOKUP(ACP6,AGK4:AGL8,2,FALSE)</f>
        <v>4</v>
      </c>
      <c r="ACP6" s="319" t="str">
        <f t="shared" si="318"/>
        <v>Hungary</v>
      </c>
      <c r="ACQ6" s="319">
        <f t="shared" ref="ACQ6" ca="1" si="1393">SUMPRODUCT((AGN3:AGN42=ACP6)*(AGR3:AGR42="W"))+SUMPRODUCT((AGQ3:AGQ42=ACP6)*(AGS3:AGS42="W"))</f>
        <v>0</v>
      </c>
      <c r="ACR6" s="319">
        <f t="shared" ref="ACR6" ca="1" si="1394">SUMPRODUCT((AGN3:AGN42=ACP6)*(AGR3:AGR42="D"))+SUMPRODUCT((AGQ3:AGQ42=ACP6)*(AGS3:AGS42="D"))</f>
        <v>0</v>
      </c>
      <c r="ACS6" s="319">
        <f t="shared" ref="ACS6" ca="1" si="1395">SUMPRODUCT((AGN3:AGN42=ACP6)*(AGR3:AGR42="L"))+SUMPRODUCT((AGQ3:AGQ42=ACP6)*(AGS3:AGS42="L"))</f>
        <v>3</v>
      </c>
      <c r="ACT6" s="319">
        <f t="shared" ref="ACT6" ca="1" si="1396">SUMIF(AGN3:AGN60,ACP6,AGO3:AGO60)+SUMIF(AGQ3:AGQ60,ACP6,AGP3:AGP60)</f>
        <v>2</v>
      </c>
      <c r="ACU6" s="319">
        <f t="shared" ref="ACU6" ca="1" si="1397">SUMIF(AGQ3:AGQ60,ACP6,AGO3:AGO60)+SUMIF(AGN3:AGN60,ACP6,AGP3:AGP60)</f>
        <v>6</v>
      </c>
      <c r="ACV6" s="319">
        <f t="shared" ca="1" si="324"/>
        <v>996</v>
      </c>
      <c r="ACW6" s="319">
        <f t="shared" ca="1" si="325"/>
        <v>0</v>
      </c>
      <c r="ACX6" s="319">
        <f t="shared" si="810"/>
        <v>48</v>
      </c>
      <c r="ACY6" s="319">
        <f t="shared" ref="ACY6" ca="1" si="1398">IF(COUNTIF(ACW4:ACW8,4)&lt;&gt;4,RANK(ACW6,ACW4:ACW8),ACW46)</f>
        <v>4</v>
      </c>
      <c r="ACZ6" s="319"/>
      <c r="ADA6" s="319">
        <f t="shared" ref="ADA6" ca="1" si="1399">SUMPRODUCT((ACY4:ACY7=ACY6)*(ACX4:ACX7&lt;ACX6))+ACY6</f>
        <v>4</v>
      </c>
      <c r="ADB6" s="319" t="str">
        <f t="shared" ref="ADB6" ca="1" si="1400">INDEX(ACP4:ACP8,MATCH(3,ADA4:ADA8,0),0)</f>
        <v>Scotland</v>
      </c>
      <c r="ADC6" s="319">
        <f t="shared" ref="ADC6" ca="1" si="1401">INDEX(ACY4:ACY8,MATCH(ADB6,ACP4:ACP8,0),0)</f>
        <v>2</v>
      </c>
      <c r="ADD6" s="319" t="str">
        <f t="shared" ref="ADD6:ADD7" ca="1" si="1402">IF(AND(ADD5&lt;&gt;"",ADC6=1),ADB6,"")</f>
        <v/>
      </c>
      <c r="ADE6" s="319" t="str">
        <f t="shared" ref="ADE6:ADE7" ca="1" si="1403">IF(AND(ADE5&lt;&gt;"",ADC7=2),ADB7,"")</f>
        <v/>
      </c>
      <c r="ADF6" s="319" t="str">
        <f t="shared" ref="ADF6" ca="1" si="1404">IF(AND(ADF5&lt;&gt;"",ADC8=3),ADB8,"")</f>
        <v/>
      </c>
      <c r="ADG6" s="319"/>
      <c r="ADH6" s="319"/>
      <c r="ADI6" s="319" t="str">
        <f t="shared" ca="1" si="334"/>
        <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t="str">
        <f t="shared" ca="1" si="341"/>
        <v/>
      </c>
      <c r="ADQ6" s="319" t="str">
        <f t="shared" ref="ADQ6" ca="1" si="1410">IF(ADI6&lt;&gt;"",VLOOKUP(ADI6,ACP4:ACV40,7,FALSE),"")</f>
        <v/>
      </c>
      <c r="ADR6" s="319" t="str">
        <f t="shared" ref="ADR6" ca="1" si="1411">IF(ADI6&lt;&gt;"",VLOOKUP(ADI6,ACP4:ACV40,5,FALSE),"")</f>
        <v/>
      </c>
      <c r="ADS6" s="319" t="str">
        <f t="shared" ref="ADS6" ca="1" si="1412">IF(ADI6&lt;&gt;"",VLOOKUP(ADI6,ACP4:ACX40,9,FALSE),"")</f>
        <v/>
      </c>
      <c r="ADT6" s="319" t="str">
        <f t="shared" ca="1" si="345"/>
        <v/>
      </c>
      <c r="ADU6" s="319" t="str">
        <f t="shared" ref="ADU6" ca="1" si="1413">IF(ADI6&lt;&gt;"",RANK(ADT6,ADT4:ADT8),"")</f>
        <v/>
      </c>
      <c r="ADV6" s="319" t="str">
        <f t="shared" ref="ADV6" ca="1" si="1414">IF(ADI6&lt;&gt;"",SUMPRODUCT((ADT4:ADT8=ADT6)*(ADO4:ADO8&gt;ADO6)),"")</f>
        <v/>
      </c>
      <c r="ADW6" s="319" t="str">
        <f t="shared" ref="ADW6" ca="1" si="1415">IF(ADI6&lt;&gt;"",SUMPRODUCT((ADT4:ADT8=ADT6)*(ADO4:ADO8=ADO6)*(ADM4:ADM8&gt;ADM6)),"")</f>
        <v/>
      </c>
      <c r="ADX6" s="319" t="str">
        <f t="shared" ref="ADX6" ca="1" si="1416">IF(ADI6&lt;&gt;"",SUMPRODUCT((ADT4:ADT8=ADT6)*(ADO4:ADO8=ADO6)*(ADM4:ADM8=ADM6)*(ADQ4:ADQ8&gt;ADQ6)),"")</f>
        <v/>
      </c>
      <c r="ADY6" s="319" t="str">
        <f t="shared" ref="ADY6" ca="1" si="1417">IF(ADI6&lt;&gt;"",SUMPRODUCT((ADT4:ADT8=ADT6)*(ADO4:ADO8=ADO6)*(ADM4:ADM8=ADM6)*(ADQ4:ADQ8=ADQ6)*(ADR4:ADR8&gt;ADR6)),"")</f>
        <v/>
      </c>
      <c r="ADZ6" s="319" t="str">
        <f t="shared" ref="ADZ6" ca="1" si="1418">IF(ADI6&lt;&gt;"",SUMPRODUCT((ADT4:ADT8=ADT6)*(ADO4:ADO8=ADO6)*(ADM4:ADM8=ADM6)*(ADQ4:ADQ8=ADQ6)*(ADR4:ADR8=ADR6)*(ADS4:ADS8&gt;ADS6)),"")</f>
        <v/>
      </c>
      <c r="AEA6" s="319" t="str">
        <f ca="1">IF(ADI6&lt;&gt;"",IF(AEA46&lt;&gt;"",IF(ADH43=3,AEA46,AEA46+ADH43),SUM(ADU6:ADZ6)),"")</f>
        <v/>
      </c>
      <c r="AEB6" s="319" t="str">
        <f t="shared" ref="AEB6" ca="1" si="1419">IF(ADI6&lt;&gt;"",INDEX(ADI4:ADI8,MATCH(3,AEA4:AEA8,0),0),"")</f>
        <v/>
      </c>
      <c r="AEC6" s="319" t="str">
        <f t="shared" ca="1" si="834"/>
        <v>Scotland</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1</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1</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1</v>
      </c>
      <c r="AEI6" s="319">
        <f t="shared" ca="1" si="840"/>
        <v>1000</v>
      </c>
      <c r="AEJ6" s="319">
        <f t="shared" ca="1" si="841"/>
        <v>1</v>
      </c>
      <c r="AEK6" s="319">
        <f t="shared" ref="AEK6" ca="1" si="1425">IF(AEC6&lt;&gt;"",VLOOKUP(AEC6,ACP4:ACV40,7,FALSE),"")</f>
        <v>999</v>
      </c>
      <c r="AEL6" s="319">
        <f t="shared" ref="AEL6" ca="1" si="1426">IF(AEC6&lt;&gt;"",VLOOKUP(AEC6,ACP4:ACV40,5,FALSE),"")</f>
        <v>4</v>
      </c>
      <c r="AEM6" s="319">
        <f t="shared" ref="AEM6" ca="1" si="1427">IF(AEC6&lt;&gt;"",VLOOKUP(AEC6,ACP4:ACX40,9,FALSE),"")</f>
        <v>43</v>
      </c>
      <c r="AEN6" s="319">
        <f t="shared" ca="1" si="845"/>
        <v>1</v>
      </c>
      <c r="AEO6" s="319">
        <f t="shared" ref="AEO6" ca="1" si="1428">IF(AEC6&lt;&gt;"",RANK(AEN6,AEN4:AEN8),"")</f>
        <v>1</v>
      </c>
      <c r="AEP6" s="319">
        <f t="shared" ref="AEP6" ca="1" si="1429">IF(AEC6&lt;&gt;"",SUMPRODUCT((AEN4:AEN8=AEN6)*(AEI4:AEI8&gt;AEI6)),"")</f>
        <v>0</v>
      </c>
      <c r="AEQ6" s="319">
        <f t="shared" ref="AEQ6" ca="1" si="1430">IF(AEC6&lt;&gt;"",SUMPRODUCT((AEN4:AEN8=AEN6)*(AEI4:AEI8=AEI6)*(AEG4:AEG8&gt;AEG6)),"")</f>
        <v>0</v>
      </c>
      <c r="AER6" s="319">
        <f t="shared" ref="AER6" ca="1" si="1431">IF(AEC6&lt;&gt;"",SUMPRODUCT((AEN4:AEN8=AEN6)*(AEI4:AEI8=AEI6)*(AEG4:AEG8=AEG6)*(AEK4:AEK8&gt;AEK6)),"")</f>
        <v>1</v>
      </c>
      <c r="AES6" s="319">
        <f t="shared" ref="AES6" ca="1" si="1432">IF(AEC6&lt;&gt;"",SUMPRODUCT((AEN4:AEN8=AEN6)*(AEI4:AEI8=AEI6)*(AEG4:AEG8=AEG6)*(AEK4:AEK8=AEK6)*(AEL4:AEL8&gt;AEL6)),"")</f>
        <v>0</v>
      </c>
      <c r="AET6" s="319">
        <f t="shared" ref="AET6" ca="1" si="1433">IF(AEC6&lt;&gt;"",SUMPRODUCT((AEN4:AEN8=AEN6)*(AEI4:AEI8=AEI6)*(AEG4:AEG8=AEG6)*(AEK4:AEK8=AEK6)*(AEL4:AEL8=AEL6)*(AEM4:AEM8&gt;AEM6)),"")</f>
        <v>0</v>
      </c>
      <c r="AEU6" s="319">
        <f ca="1">IF(AEC6&lt;&gt;"",IF(AEU46&lt;&gt;"",IF(AEB43=3,AEU46,AEU46+AEB43),SUM(AEO6:AET6)+1),"")</f>
        <v>3</v>
      </c>
      <c r="AEV6" s="319" t="str">
        <f t="shared" ref="AEV6" ca="1" si="1434">IF(AEC6&lt;&gt;"",INDEX(AEC5:AEC8,MATCH(3,AEU5:AEU8,0),0),"")</f>
        <v>Scotland</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Scotland</v>
      </c>
      <c r="AGL6" s="319">
        <v>3</v>
      </c>
      <c r="AGM6" s="319">
        <v>4</v>
      </c>
      <c r="AGN6" s="319" t="str">
        <f t="shared" si="66"/>
        <v>Italy</v>
      </c>
      <c r="AGO6" s="322">
        <f ca="1">IF(OFFSET('Player Game Board'!P13,0,AGO1)&lt;&gt;"",OFFSET('Player Game Board'!P13,0,AGO1),0)</f>
        <v>3</v>
      </c>
      <c r="AGP6" s="322">
        <f ca="1">IF(OFFSET('Player Game Board'!Q13,0,AGO1)&lt;&gt;"",OFFSET('Player Game Board'!Q13,0,AGO1),0)</f>
        <v>0</v>
      </c>
      <c r="AGQ6" s="319" t="str">
        <f t="shared" si="67"/>
        <v>Albania</v>
      </c>
      <c r="AGR6" s="319" t="str">
        <f ca="1">IF(AND(OFFSET('Player Game Board'!P13,0,AGO1)&lt;&gt;"",OFFSET('Player Game Board'!Q13,0,AGO1)&lt;&gt;""),IF(AGO6&gt;AGP6,"W",IF(AGO6=AGP6,"D","L")),"")</f>
        <v>W</v>
      </c>
      <c r="AGS6" s="319" t="str">
        <f t="shared" ca="1" si="68"/>
        <v>L</v>
      </c>
      <c r="AGT6" s="319"/>
      <c r="AGU6" s="319"/>
      <c r="AGV6" s="319" t="str">
        <f t="shared" ref="AGV6" ca="1" si="1456">VLOOKUP(3,ACO25:ACP28,2,FALSE)</f>
        <v>Austria</v>
      </c>
      <c r="AGW6" s="320">
        <f t="shared" ref="AGW6" ca="1" si="1457">VLOOKUP(AGV6,ACP4:ACU40,2,FALSE)</f>
        <v>0</v>
      </c>
      <c r="AGX6" s="320">
        <f t="shared" ref="AGX6" ca="1" si="1458">VLOOKUP(AGV6,ACP4:ACU40,3,FALSE)</f>
        <v>2</v>
      </c>
      <c r="AGY6" s="320">
        <f t="shared" ref="AGY6" ca="1" si="1459">VLOOKUP(AGV6,ACP4:ACU40,4,FALSE)</f>
        <v>1</v>
      </c>
      <c r="AGZ6" s="320">
        <f t="shared" ref="AGZ6" ca="1" si="1460">VLOOKUP(AGV6,ACP4:ACU40,5,FALSE)</f>
        <v>2</v>
      </c>
      <c r="AHA6" s="320">
        <f t="shared" ref="AHA6" ca="1" si="1461">VLOOKUP(AGV6,ACP4:ACU40,6,FALSE)</f>
        <v>5</v>
      </c>
      <c r="AHB6" s="320">
        <f t="shared" ca="1" si="75"/>
        <v>997</v>
      </c>
      <c r="AHC6" s="320">
        <f t="shared" ca="1" si="76"/>
        <v>2</v>
      </c>
      <c r="AHD6" s="319">
        <f ca="1">VLOOKUP(AGV6,B4:J40,9,FALSE)</f>
        <v>41</v>
      </c>
      <c r="AHE6" s="319">
        <f t="shared" ref="AHE6" ca="1" si="1462">RANK(AHC6,AHC3:AHC8)</f>
        <v>5</v>
      </c>
      <c r="AHF6" s="319">
        <f t="shared" ref="AHF6" ca="1" si="1463">SUMPRODUCT((AHE3:AHE8=AHE6)*(AHB3:AHB8&gt;AHB6))</f>
        <v>0</v>
      </c>
      <c r="AHG6" s="319">
        <f t="shared" ref="AHG6" ca="1" si="1464">SUMPRODUCT((AHE3:AHE8=AHE6)*(AHB3:AHB8=AHB6)*(AGZ3:AGZ8&gt;AGZ6))</f>
        <v>0</v>
      </c>
      <c r="AHH6" s="319">
        <f t="shared" ref="AHH6" ca="1" si="1465">SUMPRODUCT((AHE3:AHE8=AHE6)*(AHB3:AHB8=AHB6)*(AGZ3:AGZ8=AGZ6)*(AHD3:AHD8&gt;AHD6))</f>
        <v>0</v>
      </c>
      <c r="AHI6" s="319">
        <f t="shared" ca="1" si="81"/>
        <v>5</v>
      </c>
      <c r="AHJ6" s="319" t="s">
        <v>104</v>
      </c>
      <c r="AHK6" s="319">
        <v>4</v>
      </c>
      <c r="AHL6" s="319"/>
      <c r="AHM6" s="319">
        <f t="shared" ref="AHM6" ca="1" si="1466">VLOOKUP(AHN6,ALI4:ALJ8,2,FALSE)</f>
        <v>2</v>
      </c>
      <c r="AHN6" s="319" t="str">
        <f t="shared" si="365"/>
        <v>Hungary</v>
      </c>
      <c r="AHO6" s="319">
        <f t="shared" ref="AHO6" ca="1" si="1467">SUMPRODUCT((ALL3:ALL42=AHN6)*(ALP3:ALP42="W"))+SUMPRODUCT((ALO3:ALO42=AHN6)*(ALQ3:ALQ42="W"))</f>
        <v>0</v>
      </c>
      <c r="AHP6" s="319">
        <f t="shared" ref="AHP6" ca="1" si="1468">SUMPRODUCT((ALL3:ALL42=AHN6)*(ALP3:ALP42="D"))+SUMPRODUCT((ALO3:ALO42=AHN6)*(ALQ3:ALQ42="D"))</f>
        <v>0</v>
      </c>
      <c r="AHQ6" s="319">
        <f t="shared" ref="AHQ6" ca="1" si="1469">SUMPRODUCT((ALL3:ALL42=AHN6)*(ALP3:ALP42="L"))+SUMPRODUCT((ALO3:ALO42=AHN6)*(ALQ3:ALQ42="L"))</f>
        <v>0</v>
      </c>
      <c r="AHR6" s="319">
        <f t="shared" ref="AHR6" ca="1" si="1470">SUMIF(ALL3:ALL60,AHN6,ALM3:ALM60)+SUMIF(ALO3:ALO60,AHN6,ALN3:ALN60)</f>
        <v>0</v>
      </c>
      <c r="AHS6" s="319">
        <f t="shared" ref="AHS6" ca="1" si="1471">SUMIF(ALO3:ALO60,AHN6,ALM3:ALM60)+SUMIF(ALL3:ALL60,AHN6,ALN3:ALN60)</f>
        <v>0</v>
      </c>
      <c r="AHT6" s="319">
        <f t="shared" ca="1" si="371"/>
        <v>1000</v>
      </c>
      <c r="AHU6" s="319">
        <f t="shared" ca="1" si="372"/>
        <v>0</v>
      </c>
      <c r="AHV6" s="319">
        <f t="shared" si="870"/>
        <v>48</v>
      </c>
      <c r="AHW6" s="319">
        <f t="shared" ref="AHW6" ca="1" si="1472">IF(COUNTIF(AHU4:AHU8,4)&lt;&gt;4,RANK(AHU6,AHU4:AHU8),AHU46)</f>
        <v>1</v>
      </c>
      <c r="AHX6" s="319"/>
      <c r="AHY6" s="319">
        <f t="shared" ref="AHY6" ca="1" si="1473">SUMPRODUCT((AHW4:AHW7=AHW6)*(AHV4:AHV7&lt;AHV6))+AHW6</f>
        <v>3</v>
      </c>
      <c r="AHZ6" s="319" t="str">
        <f t="shared" ref="AHZ6" ca="1" si="1474">INDEX(AHN4:AHN8,MATCH(3,AHY4:AHY8,0),0)</f>
        <v>Hungary</v>
      </c>
      <c r="AIA6" s="319">
        <f t="shared" ref="AIA6" ca="1" si="1475">INDEX(AHW4:AHW8,MATCH(AHZ6,AHN4:AHN8,0),0)</f>
        <v>1</v>
      </c>
      <c r="AIB6" s="319" t="str">
        <f t="shared" ref="AIB6:AIB7" ca="1" si="1476">IF(AND(AIB5&lt;&gt;"",AIA6=1),AHZ6,"")</f>
        <v>Hungary</v>
      </c>
      <c r="AIC6" s="319" t="str">
        <f t="shared" ref="AIC6:AIC7" ca="1" si="1477">IF(AND(AIC5&lt;&gt;"",AIA7=2),AHZ7,"")</f>
        <v/>
      </c>
      <c r="AID6" s="319" t="str">
        <f t="shared" ref="AID6" ca="1" si="1478">IF(AND(AID5&lt;&gt;"",AIA8=3),AHZ8,"")</f>
        <v/>
      </c>
      <c r="AIE6" s="319"/>
      <c r="AIF6" s="319"/>
      <c r="AIG6" s="319" t="str">
        <f t="shared" ca="1" si="381"/>
        <v>Hungary</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f t="shared" ca="1" si="388"/>
        <v>0</v>
      </c>
      <c r="AIO6" s="319">
        <f t="shared" ref="AIO6" ca="1" si="1484">IF(AIG6&lt;&gt;"",VLOOKUP(AIG6,AHN4:AHT40,7,FALSE),"")</f>
        <v>1000</v>
      </c>
      <c r="AIP6" s="319">
        <f t="shared" ref="AIP6" ca="1" si="1485">IF(AIG6&lt;&gt;"",VLOOKUP(AIG6,AHN4:AHT40,5,FALSE),"")</f>
        <v>0</v>
      </c>
      <c r="AIQ6" s="319">
        <f t="shared" ref="AIQ6" ca="1" si="1486">IF(AIG6&lt;&gt;"",VLOOKUP(AIG6,AHN4:AHV40,9,FALSE),"")</f>
        <v>48</v>
      </c>
      <c r="AIR6" s="319">
        <f t="shared" ca="1" si="392"/>
        <v>0</v>
      </c>
      <c r="AIS6" s="319">
        <f t="shared" ref="AIS6" ca="1" si="1487">IF(AIG6&lt;&gt;"",RANK(AIR6,AIR4:AIR8),"")</f>
        <v>1</v>
      </c>
      <c r="AIT6" s="319">
        <f t="shared" ref="AIT6" ca="1" si="1488">IF(AIG6&lt;&gt;"",SUMPRODUCT((AIR4:AIR8=AIR6)*(AIM4:AIM8&gt;AIM6)),"")</f>
        <v>0</v>
      </c>
      <c r="AIU6" s="319">
        <f t="shared" ref="AIU6" ca="1" si="1489">IF(AIG6&lt;&gt;"",SUMPRODUCT((AIR4:AIR8=AIR6)*(AIM4:AIM8=AIM6)*(AIK4:AIK8&gt;AIK6)),"")</f>
        <v>0</v>
      </c>
      <c r="AIV6" s="319">
        <f t="shared" ref="AIV6" ca="1" si="1490">IF(AIG6&lt;&gt;"",SUMPRODUCT((AIR4:AIR8=AIR6)*(AIM4:AIM8=AIM6)*(AIK4:AIK8=AIK6)*(AIO4:AIO8&gt;AIO6)),"")</f>
        <v>0</v>
      </c>
      <c r="AIW6" s="319">
        <f t="shared" ref="AIW6" ca="1" si="1491">IF(AIG6&lt;&gt;"",SUMPRODUCT((AIR4:AIR8=AIR6)*(AIM4:AIM8=AIM6)*(AIK4:AIK8=AIK6)*(AIO4:AIO8=AIO6)*(AIP4:AIP8&gt;AIP6)),"")</f>
        <v>0</v>
      </c>
      <c r="AIX6" s="319">
        <f t="shared" ref="AIX6" ca="1" si="1492">IF(AIG6&lt;&gt;"",SUMPRODUCT((AIR4:AIR8=AIR6)*(AIM4:AIM8=AIM6)*(AIK4:AIK8=AIK6)*(AIO4:AIO8=AIO6)*(AIP4:AIP8=AIP6)*(AIQ4:AIQ8&gt;AIQ6)),"")</f>
        <v>1</v>
      </c>
      <c r="AIY6" s="319">
        <f ca="1">IF(AIG6&lt;&gt;"",IF(AIY46&lt;&gt;"",IF(AIF43=3,AIY46,AIY46+AIF43),SUM(AIS6:AIX6)),"")</f>
        <v>2</v>
      </c>
      <c r="AIZ6" s="319" t="str">
        <f t="shared" ref="AIZ6" ca="1" si="1493">IF(AIG6&lt;&gt;"",INDEX(AIG4:AIG8,MATCH(3,AIY4:AIY8,0),0),"")</f>
        <v>Scotland</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0</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19">
        <f t="shared" ref="AKA6:AKA7" ca="1" si="1515">AJY6-AJZ6+1000</f>
        <v>1000</v>
      </c>
      <c r="AKB6" s="319" t="str">
        <f t="shared" ref="AKB6:AKB7" ca="1" si="1516">IF(AJU6&lt;&gt;"",AJV6*3+AJW6*1,"")</f>
        <v/>
      </c>
      <c r="AKC6" s="319" t="str">
        <f t="shared" ref="AKC6" ca="1" si="1517">IF(AJU6&lt;&gt;"",VLOOKUP(AJU6,AHN4:AHT40,7,FALSE),"")</f>
        <v/>
      </c>
      <c r="AKD6" s="319" t="str">
        <f t="shared" ref="AKD6" ca="1" si="1518">IF(AJU6&lt;&gt;"",VLOOKUP(AJU6,AHN4:AHT40,5,FALSE),"")</f>
        <v/>
      </c>
      <c r="AKE6" s="319" t="str">
        <f t="shared" ref="AKE6" ca="1" si="1519">IF(AJU6&lt;&gt;"",VLOOKUP(AJU6,AHN4:AHV40,9,FALSE),"")</f>
        <v/>
      </c>
      <c r="AKF6" s="319" t="str">
        <f t="shared" ref="AKF6:AKF7" ca="1" si="1520">AKB6</f>
        <v/>
      </c>
      <c r="AKG6" s="319" t="str">
        <f t="shared" ref="AKG6" ca="1" si="1521">IF(AJU6&lt;&gt;"",RANK(AKF6,AKF4:AKF8),"")</f>
        <v/>
      </c>
      <c r="AKH6" s="319" t="str">
        <f t="shared" ref="AKH6" ca="1" si="1522">IF(AJU6&lt;&gt;"",SUMPRODUCT((AKF4:AKF8=AKF6)*(AKA4:AKA8&gt;AKA6)),"")</f>
        <v/>
      </c>
      <c r="AKI6" s="319" t="str">
        <f t="shared" ref="AKI6" ca="1" si="1523">IF(AJU6&lt;&gt;"",SUMPRODUCT((AKF4:AKF8=AKF6)*(AKA4:AKA8=AKA6)*(AJY4:AJY8&gt;AJY6)),"")</f>
        <v/>
      </c>
      <c r="AKJ6" s="319" t="str">
        <f t="shared" ref="AKJ6" ca="1" si="1524">IF(AJU6&lt;&gt;"",SUMPRODUCT((AKF4:AKF8=AKF6)*(AKA4:AKA8=AKA6)*(AJY4:AJY8=AJY6)*(AKC4:AKC8&gt;AKC6)),"")</f>
        <v/>
      </c>
      <c r="AKK6" s="319" t="str">
        <f t="shared" ref="AKK6" ca="1" si="1525">IF(AJU6&lt;&gt;"",SUMPRODUCT((AKF4:AKF8=AKF6)*(AKA4:AKA8=AKA6)*(AJY4:AJY8=AJY6)*(AKC4:AKC8=AKC6)*(AKD4:AKD8&gt;AKD6)),"")</f>
        <v/>
      </c>
      <c r="AKL6" s="319" t="str">
        <f t="shared" ref="AKL6" ca="1" si="1526">IF(AJU6&lt;&gt;"",SUMPRODUCT((AKF4:AKF8=AKF6)*(AKA4:AKA8=AKA6)*(AJY4:AJY8=AJY6)*(AKC4:AKC8=AKC6)*(AKD4:AKD8=AKD6)*(AKE4:AKE8&gt;AKE6)),"")</f>
        <v/>
      </c>
      <c r="AKM6" s="319" t="str">
        <f t="shared" ref="AKM6:AKM7" ca="1" si="1527">IF(AJU6&lt;&gt;"",SUM(AKG6:AKL6)+2,"")</f>
        <v/>
      </c>
      <c r="AKN6" s="319" t="str">
        <f t="shared" ref="AKN6" ca="1" si="1528">IF(AJU6&lt;&gt;"",INDEX(AJU6:AJU8,MATCH(3,AKM6:AKM8,0),0),"")</f>
        <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Scotland</v>
      </c>
      <c r="ALJ6" s="319">
        <v>3</v>
      </c>
      <c r="ALK6" s="319">
        <v>4</v>
      </c>
      <c r="ALL6" s="319" t="str">
        <f t="shared" si="82"/>
        <v>Italy</v>
      </c>
      <c r="ALM6" s="322">
        <f ca="1">IF(OFFSET('Player Game Board'!P13,0,ALM1)&lt;&gt;"",OFFSET('Player Game Board'!P13,0,ALM1),0)</f>
        <v>0</v>
      </c>
      <c r="ALN6" s="322">
        <f ca="1">IF(OFFSET('Player Game Board'!Q13,0,ALM1)&lt;&gt;"",OFFSET('Player Game Board'!Q13,0,ALM1),0)</f>
        <v>0</v>
      </c>
      <c r="ALO6" s="319" t="str">
        <f t="shared" si="83"/>
        <v>Albania</v>
      </c>
      <c r="ALP6" s="319" t="str">
        <f ca="1">IF(AND(OFFSET('Player Game Board'!P13,0,ALM1)&lt;&gt;"",OFFSET('Player Game Board'!Q13,0,ALM1)&lt;&gt;""),IF(ALM6&gt;ALN6,"W",IF(ALM6=ALN6,"D","L")),"")</f>
        <v/>
      </c>
      <c r="ALQ6" s="319" t="str">
        <f t="shared" ca="1" si="84"/>
        <v/>
      </c>
      <c r="ALR6" s="319"/>
      <c r="ALS6" s="319"/>
      <c r="ALT6" s="319" t="str">
        <f t="shared" ref="ALT6" ca="1" si="1530">VLOOKUP(3,AHM25:AHN28,2,FALSE)</f>
        <v>Austria</v>
      </c>
      <c r="ALU6" s="320">
        <f t="shared" ref="ALU6" ca="1" si="1531">VLOOKUP(ALT6,AHN4:AHS40,2,FALSE)</f>
        <v>0</v>
      </c>
      <c r="ALV6" s="320">
        <f t="shared" ref="ALV6" ca="1" si="1532">VLOOKUP(ALT6,AHN4:AHS40,3,FALSE)</f>
        <v>0</v>
      </c>
      <c r="ALW6" s="320">
        <f t="shared" ref="ALW6" ca="1" si="1533">VLOOKUP(ALT6,AHN4:AHS40,4,FALSE)</f>
        <v>0</v>
      </c>
      <c r="ALX6" s="320">
        <f t="shared" ref="ALX6" ca="1" si="1534">VLOOKUP(ALT6,AHN4:AHS40,5,FALSE)</f>
        <v>0</v>
      </c>
      <c r="ALY6" s="320">
        <f t="shared" ref="ALY6" ca="1" si="1535">VLOOKUP(ALT6,AHN4:AHS40,6,FALSE)</f>
        <v>0</v>
      </c>
      <c r="ALZ6" s="320">
        <f t="shared" ca="1" si="91"/>
        <v>1000</v>
      </c>
      <c r="AMA6" s="320">
        <f t="shared" ca="1" si="92"/>
        <v>0</v>
      </c>
      <c r="AMB6" s="319">
        <f ca="1">VLOOKUP(ALT6,B4:J40,9,FALSE)</f>
        <v>41</v>
      </c>
      <c r="AMC6" s="319">
        <f t="shared" ref="AMC6" ca="1" si="1536">RANK(AMA6,AMA3:AMA8)</f>
        <v>1</v>
      </c>
      <c r="AMD6" s="319">
        <f t="shared" ref="AMD6" ca="1" si="1537">SUMPRODUCT((AMC3:AMC8=AMC6)*(ALZ3:ALZ8&gt;ALZ6))</f>
        <v>0</v>
      </c>
      <c r="AME6" s="319">
        <f t="shared" ref="AME6" ca="1" si="1538">SUMPRODUCT((AMC3:AMC8=AMC6)*(ALZ3:ALZ8=ALZ6)*(ALX3:ALX8&gt;ALX6))</f>
        <v>0</v>
      </c>
      <c r="AMF6" s="319">
        <f t="shared" ref="AMF6" ca="1" si="1539">SUMPRODUCT((AMC3:AMC8=AMC6)*(ALZ3:ALZ8=ALZ6)*(ALX3:ALX8=ALX6)*(AMB3:AMB8&gt;AMB6))</f>
        <v>1</v>
      </c>
      <c r="AMG6" s="319">
        <f t="shared" ca="1" si="97"/>
        <v>2</v>
      </c>
      <c r="AMH6" s="319" t="s">
        <v>104</v>
      </c>
      <c r="AMI6" s="319">
        <v>4</v>
      </c>
      <c r="AMJ6" s="319"/>
      <c r="AMK6" s="319">
        <f t="shared" ref="AMK6" ca="1" si="1540">VLOOKUP(AML6,AQG4:AQH8,2,FALSE)</f>
        <v>2</v>
      </c>
      <c r="AML6" s="319" t="str">
        <f t="shared" si="412"/>
        <v>Hungary</v>
      </c>
      <c r="AMM6" s="319">
        <f t="shared" ref="AMM6" ca="1" si="1541">SUMPRODUCT((AQJ3:AQJ42=AML6)*(AQN3:AQN42="W"))+SUMPRODUCT((AQM3:AQM42=AML6)*(AQO3:AQO42="W"))</f>
        <v>0</v>
      </c>
      <c r="AMN6" s="319">
        <f t="shared" ref="AMN6" ca="1" si="1542">SUMPRODUCT((AQJ3:AQJ42=AML6)*(AQN3:AQN42="D"))+SUMPRODUCT((AQM3:AQM42=AML6)*(AQO3:AQO42="D"))</f>
        <v>0</v>
      </c>
      <c r="AMO6" s="319">
        <f t="shared" ref="AMO6" ca="1" si="1543">SUMPRODUCT((AQJ3:AQJ42=AML6)*(AQN3:AQN42="L"))+SUMPRODUCT((AQM3:AQM42=AML6)*(AQO3:AQO42="L"))</f>
        <v>0</v>
      </c>
      <c r="AMP6" s="319">
        <f t="shared" ref="AMP6" ca="1" si="1544">SUMIF(AQJ3:AQJ60,AML6,AQK3:AQK60)+SUMIF(AQM3:AQM60,AML6,AQL3:AQL60)</f>
        <v>0</v>
      </c>
      <c r="AMQ6" s="319">
        <f t="shared" ref="AMQ6" ca="1" si="1545">SUMIF(AQM3:AQM60,AML6,AQK3:AQK60)+SUMIF(AQJ3:AQJ60,AML6,AQL3:AQL60)</f>
        <v>0</v>
      </c>
      <c r="AMR6" s="319">
        <f t="shared" ca="1" si="418"/>
        <v>1000</v>
      </c>
      <c r="AMS6" s="319">
        <f t="shared" ca="1" si="419"/>
        <v>0</v>
      </c>
      <c r="AMT6" s="319">
        <f t="shared" si="930"/>
        <v>48</v>
      </c>
      <c r="AMU6" s="319">
        <f t="shared" ref="AMU6" ca="1" si="1546">IF(COUNTIF(AMS4:AMS8,4)&lt;&gt;4,RANK(AMS6,AMS4:AMS8),AMS46)</f>
        <v>1</v>
      </c>
      <c r="AMV6" s="319"/>
      <c r="AMW6" s="319">
        <f t="shared" ref="AMW6" ca="1" si="1547">SUMPRODUCT((AMU4:AMU7=AMU6)*(AMT4:AMT7&lt;AMT6))+AMU6</f>
        <v>3</v>
      </c>
      <c r="AMX6" s="319" t="str">
        <f t="shared" ref="AMX6" ca="1" si="1548">INDEX(AML4:AML8,MATCH(3,AMW4:AMW8,0),0)</f>
        <v>Hungary</v>
      </c>
      <c r="AMY6" s="319">
        <f t="shared" ref="AMY6" ca="1" si="1549">INDEX(AMU4:AMU8,MATCH(AMX6,AML4:AML8,0),0)</f>
        <v>1</v>
      </c>
      <c r="AMZ6" s="319" t="str">
        <f t="shared" ref="AMZ6:AMZ7" ca="1" si="1550">IF(AND(AMZ5&lt;&gt;"",AMY6=1),AMX6,"")</f>
        <v>Hungary</v>
      </c>
      <c r="ANA6" s="319" t="str">
        <f t="shared" ref="ANA6:ANA7" ca="1" si="1551">IF(AND(ANA5&lt;&gt;"",AMY7=2),AMX7,"")</f>
        <v/>
      </c>
      <c r="ANB6" s="319" t="str">
        <f t="shared" ref="ANB6" ca="1" si="1552">IF(AND(ANB5&lt;&gt;"",AMY8=3),AMX8,"")</f>
        <v/>
      </c>
      <c r="ANC6" s="319"/>
      <c r="AND6" s="319"/>
      <c r="ANE6" s="319" t="str">
        <f t="shared" ca="1" si="428"/>
        <v>Hungary</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f t="shared" ca="1" si="435"/>
        <v>0</v>
      </c>
      <c r="ANM6" s="319">
        <f t="shared" ref="ANM6" ca="1" si="1558">IF(ANE6&lt;&gt;"",VLOOKUP(ANE6,AML4:AMR40,7,FALSE),"")</f>
        <v>1000</v>
      </c>
      <c r="ANN6" s="319">
        <f t="shared" ref="ANN6" ca="1" si="1559">IF(ANE6&lt;&gt;"",VLOOKUP(ANE6,AML4:AMR40,5,FALSE),"")</f>
        <v>0</v>
      </c>
      <c r="ANO6" s="319">
        <f t="shared" ref="ANO6" ca="1" si="1560">IF(ANE6&lt;&gt;"",VLOOKUP(ANE6,AML4:AMT40,9,FALSE),"")</f>
        <v>48</v>
      </c>
      <c r="ANP6" s="319">
        <f t="shared" ca="1" si="439"/>
        <v>0</v>
      </c>
      <c r="ANQ6" s="319">
        <f t="shared" ref="ANQ6" ca="1" si="1561">IF(ANE6&lt;&gt;"",RANK(ANP6,ANP4:ANP8),"")</f>
        <v>1</v>
      </c>
      <c r="ANR6" s="319">
        <f t="shared" ref="ANR6" ca="1" si="1562">IF(ANE6&lt;&gt;"",SUMPRODUCT((ANP4:ANP8=ANP6)*(ANK4:ANK8&gt;ANK6)),"")</f>
        <v>0</v>
      </c>
      <c r="ANS6" s="319">
        <f t="shared" ref="ANS6" ca="1" si="1563">IF(ANE6&lt;&gt;"",SUMPRODUCT((ANP4:ANP8=ANP6)*(ANK4:ANK8=ANK6)*(ANI4:ANI8&gt;ANI6)),"")</f>
        <v>0</v>
      </c>
      <c r="ANT6" s="319">
        <f t="shared" ref="ANT6" ca="1" si="1564">IF(ANE6&lt;&gt;"",SUMPRODUCT((ANP4:ANP8=ANP6)*(ANK4:ANK8=ANK6)*(ANI4:ANI8=ANI6)*(ANM4:ANM8&gt;ANM6)),"")</f>
        <v>0</v>
      </c>
      <c r="ANU6" s="319">
        <f t="shared" ref="ANU6" ca="1" si="1565">IF(ANE6&lt;&gt;"",SUMPRODUCT((ANP4:ANP8=ANP6)*(ANK4:ANK8=ANK6)*(ANI4:ANI8=ANI6)*(ANM4:ANM8=ANM6)*(ANN4:ANN8&gt;ANN6)),"")</f>
        <v>0</v>
      </c>
      <c r="ANV6" s="319">
        <f t="shared" ref="ANV6" ca="1" si="1566">IF(ANE6&lt;&gt;"",SUMPRODUCT((ANP4:ANP8=ANP6)*(ANK4:ANK8=ANK6)*(ANI4:ANI8=ANI6)*(ANM4:ANM8=ANM6)*(ANN4:ANN8=ANN6)*(ANO4:ANO8&gt;ANO6)),"")</f>
        <v>1</v>
      </c>
      <c r="ANW6" s="319">
        <f ca="1">IF(ANE6&lt;&gt;"",IF(ANW46&lt;&gt;"",IF(AND43=3,ANW46,ANW46+AND43),SUM(ANQ6:ANV6)),"")</f>
        <v>2</v>
      </c>
      <c r="ANX6" s="319" t="str">
        <f t="shared" ref="ANX6" ca="1" si="1567">IF(ANE6&lt;&gt;"",INDEX(ANE4:ANE8,MATCH(3,ANW4:ANW8,0),0),"")</f>
        <v>Scotland</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Scotland</v>
      </c>
      <c r="AQH6" s="319">
        <v>3</v>
      </c>
      <c r="AQI6" s="319">
        <v>4</v>
      </c>
      <c r="AQJ6" s="319" t="str">
        <f t="shared" si="98"/>
        <v>Italy</v>
      </c>
      <c r="AQK6" s="322">
        <f ca="1">IF(OFFSET('Player Game Board'!P13,0,AQK1)&lt;&gt;"",OFFSET('Player Game Board'!P13,0,AQK1),0)</f>
        <v>0</v>
      </c>
      <c r="AQL6" s="322">
        <f ca="1">IF(OFFSET('Player Game Board'!Q13,0,AQK1)&lt;&gt;"",OFFSET('Player Game Board'!Q13,0,AQK1),0)</f>
        <v>0</v>
      </c>
      <c r="AQM6" s="319" t="str">
        <f t="shared" si="99"/>
        <v>Albania</v>
      </c>
      <c r="AQN6" s="319" t="str">
        <f ca="1">IF(AND(OFFSET('Player Game Board'!P13,0,AQK1)&lt;&gt;"",OFFSET('Player Game Board'!Q13,0,AQK1)&lt;&gt;""),IF(AQK6&gt;AQL6,"W",IF(AQK6=AQL6,"D","L")),"")</f>
        <v/>
      </c>
      <c r="AQO6" s="319" t="str">
        <f t="shared" ca="1" si="100"/>
        <v/>
      </c>
      <c r="AQP6" s="319"/>
      <c r="AQQ6" s="319"/>
      <c r="AQR6" s="319" t="str">
        <f t="shared" ref="AQR6" ca="1" si="1604">VLOOKUP(3,AMK25:AML28,2,FALSE)</f>
        <v>Austria</v>
      </c>
      <c r="AQS6" s="320">
        <f t="shared" ref="AQS6" ca="1" si="1605">VLOOKUP(AQR6,AML4:AMQ40,2,FALSE)</f>
        <v>0</v>
      </c>
      <c r="AQT6" s="320">
        <f t="shared" ref="AQT6" ca="1" si="1606">VLOOKUP(AQR6,AML4:AMQ40,3,FALSE)</f>
        <v>0</v>
      </c>
      <c r="AQU6" s="320">
        <f t="shared" ref="AQU6" ca="1" si="1607">VLOOKUP(AQR6,AML4:AMQ40,4,FALSE)</f>
        <v>0</v>
      </c>
      <c r="AQV6" s="320">
        <f t="shared" ref="AQV6" ca="1" si="1608">VLOOKUP(AQR6,AML4:AMQ40,5,FALSE)</f>
        <v>0</v>
      </c>
      <c r="AQW6" s="320">
        <f t="shared" ref="AQW6" ca="1" si="1609">VLOOKUP(AQR6,AML4:AMQ40,6,FALSE)</f>
        <v>0</v>
      </c>
      <c r="AQX6" s="320">
        <f t="shared" ca="1" si="107"/>
        <v>1000</v>
      </c>
      <c r="AQY6" s="320">
        <f t="shared" ca="1" si="108"/>
        <v>0</v>
      </c>
      <c r="AQZ6" s="319">
        <f ca="1">VLOOKUP(AQR6,B4:J40,9,FALSE)</f>
        <v>41</v>
      </c>
      <c r="ARA6" s="319">
        <f t="shared" ref="ARA6" ca="1" si="1610">RANK(AQY6,AQY3:AQY8)</f>
        <v>1</v>
      </c>
      <c r="ARB6" s="319">
        <f t="shared" ref="ARB6" ca="1" si="1611">SUMPRODUCT((ARA3:ARA8=ARA6)*(AQX3:AQX8&gt;AQX6))</f>
        <v>0</v>
      </c>
      <c r="ARC6" s="319">
        <f t="shared" ref="ARC6" ca="1" si="1612">SUMPRODUCT((ARA3:ARA8=ARA6)*(AQX3:AQX8=AQX6)*(AQV3:AQV8&gt;AQV6))</f>
        <v>0</v>
      </c>
      <c r="ARD6" s="319">
        <f t="shared" ref="ARD6" ca="1" si="1613">SUMPRODUCT((ARA3:ARA8=ARA6)*(AQX3:AQX8=AQX6)*(AQV3:AQV8=AQV6)*(AQZ3:AQZ8&gt;AQZ6))</f>
        <v>1</v>
      </c>
      <c r="ARE6" s="319">
        <f t="shared" ca="1" si="113"/>
        <v>2</v>
      </c>
      <c r="ARF6" s="319" t="s">
        <v>104</v>
      </c>
      <c r="ARG6" s="319">
        <v>4</v>
      </c>
      <c r="ARH6" s="319"/>
      <c r="ARI6" s="319">
        <f t="shared" ref="ARI6" ca="1" si="1614">VLOOKUP(ARJ6,AVE4:AVF8,2,FALSE)</f>
        <v>2</v>
      </c>
      <c r="ARJ6" s="319" t="str">
        <f t="shared" si="459"/>
        <v>Hungary</v>
      </c>
      <c r="ARK6" s="319">
        <f t="shared" ref="ARK6" ca="1" si="1615">SUMPRODUCT((AVH3:AVH42=ARJ6)*(AVL3:AVL42="W"))+SUMPRODUCT((AVK3:AVK42=ARJ6)*(AVM3:AVM42="W"))</f>
        <v>0</v>
      </c>
      <c r="ARL6" s="319">
        <f t="shared" ref="ARL6" ca="1" si="1616">SUMPRODUCT((AVH3:AVH42=ARJ6)*(AVL3:AVL42="D"))+SUMPRODUCT((AVK3:AVK42=ARJ6)*(AVM3:AVM42="D"))</f>
        <v>0</v>
      </c>
      <c r="ARM6" s="319">
        <f t="shared" ref="ARM6" ca="1" si="1617">SUMPRODUCT((AVH3:AVH42=ARJ6)*(AVL3:AVL42="L"))+SUMPRODUCT((AVK3:AVK42=ARJ6)*(AVM3:AVM42="L"))</f>
        <v>0</v>
      </c>
      <c r="ARN6" s="319">
        <f t="shared" ref="ARN6" ca="1" si="1618">SUMIF(AVH3:AVH60,ARJ6,AVI3:AVI60)+SUMIF(AVK3:AVK60,ARJ6,AVJ3:AVJ60)</f>
        <v>0</v>
      </c>
      <c r="ARO6" s="319">
        <f t="shared" ref="ARO6" ca="1" si="1619">SUMIF(AVK3:AVK60,ARJ6,AVI3:AVI60)+SUMIF(AVH3:AVH60,ARJ6,AVJ3:AVJ60)</f>
        <v>0</v>
      </c>
      <c r="ARP6" s="319">
        <f t="shared" ca="1" si="465"/>
        <v>1000</v>
      </c>
      <c r="ARQ6" s="319">
        <f t="shared" ca="1" si="466"/>
        <v>0</v>
      </c>
      <c r="ARR6" s="319">
        <f t="shared" si="990"/>
        <v>48</v>
      </c>
      <c r="ARS6" s="319">
        <f t="shared" ref="ARS6" ca="1" si="1620">IF(COUNTIF(ARQ4:ARQ8,4)&lt;&gt;4,RANK(ARQ6,ARQ4:ARQ8),ARQ46)</f>
        <v>1</v>
      </c>
      <c r="ART6" s="319"/>
      <c r="ARU6" s="319">
        <f t="shared" ref="ARU6" ca="1" si="1621">SUMPRODUCT((ARS4:ARS7=ARS6)*(ARR4:ARR7&lt;ARR6))+ARS6</f>
        <v>3</v>
      </c>
      <c r="ARV6" s="319" t="str">
        <f t="shared" ref="ARV6" ca="1" si="1622">INDEX(ARJ4:ARJ8,MATCH(3,ARU4:ARU8,0),0)</f>
        <v>Hungary</v>
      </c>
      <c r="ARW6" s="319">
        <f t="shared" ref="ARW6" ca="1" si="1623">INDEX(ARS4:ARS8,MATCH(ARV6,ARJ4:ARJ8,0),0)</f>
        <v>1</v>
      </c>
      <c r="ARX6" s="319" t="str">
        <f t="shared" ref="ARX6:ARX7" ca="1" si="1624">IF(AND(ARX5&lt;&gt;"",ARW6=1),ARV6,"")</f>
        <v>Hungary</v>
      </c>
      <c r="ARY6" s="319" t="str">
        <f t="shared" ref="ARY6:ARY7" ca="1" si="1625">IF(AND(ARY5&lt;&gt;"",ARW7=2),ARV7,"")</f>
        <v/>
      </c>
      <c r="ARZ6" s="319" t="str">
        <f t="shared" ref="ARZ6" ca="1" si="1626">IF(AND(ARZ5&lt;&gt;"",ARW8=3),ARV8,"")</f>
        <v/>
      </c>
      <c r="ASA6" s="319"/>
      <c r="ASB6" s="319"/>
      <c r="ASC6" s="319" t="str">
        <f t="shared" ca="1" si="475"/>
        <v>Hungary</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f t="shared" ca="1" si="482"/>
        <v>0</v>
      </c>
      <c r="ASK6" s="319">
        <f t="shared" ref="ASK6" ca="1" si="1632">IF(ASC6&lt;&gt;"",VLOOKUP(ASC6,ARJ4:ARP40,7,FALSE),"")</f>
        <v>1000</v>
      </c>
      <c r="ASL6" s="319">
        <f t="shared" ref="ASL6" ca="1" si="1633">IF(ASC6&lt;&gt;"",VLOOKUP(ASC6,ARJ4:ARP40,5,FALSE),"")</f>
        <v>0</v>
      </c>
      <c r="ASM6" s="319">
        <f t="shared" ref="ASM6" ca="1" si="1634">IF(ASC6&lt;&gt;"",VLOOKUP(ASC6,ARJ4:ARR40,9,FALSE),"")</f>
        <v>48</v>
      </c>
      <c r="ASN6" s="319">
        <f t="shared" ca="1" si="486"/>
        <v>0</v>
      </c>
      <c r="ASO6" s="319">
        <f t="shared" ref="ASO6" ca="1" si="1635">IF(ASC6&lt;&gt;"",RANK(ASN6,ASN4:ASN8),"")</f>
        <v>1</v>
      </c>
      <c r="ASP6" s="319">
        <f t="shared" ref="ASP6" ca="1" si="1636">IF(ASC6&lt;&gt;"",SUMPRODUCT((ASN4:ASN8=ASN6)*(ASI4:ASI8&gt;ASI6)),"")</f>
        <v>0</v>
      </c>
      <c r="ASQ6" s="319">
        <f t="shared" ref="ASQ6" ca="1" si="1637">IF(ASC6&lt;&gt;"",SUMPRODUCT((ASN4:ASN8=ASN6)*(ASI4:ASI8=ASI6)*(ASG4:ASG8&gt;ASG6)),"")</f>
        <v>0</v>
      </c>
      <c r="ASR6" s="319">
        <f t="shared" ref="ASR6" ca="1" si="1638">IF(ASC6&lt;&gt;"",SUMPRODUCT((ASN4:ASN8=ASN6)*(ASI4:ASI8=ASI6)*(ASG4:ASG8=ASG6)*(ASK4:ASK8&gt;ASK6)),"")</f>
        <v>0</v>
      </c>
      <c r="ASS6" s="319">
        <f t="shared" ref="ASS6" ca="1" si="1639">IF(ASC6&lt;&gt;"",SUMPRODUCT((ASN4:ASN8=ASN6)*(ASI4:ASI8=ASI6)*(ASG4:ASG8=ASG6)*(ASK4:ASK8=ASK6)*(ASL4:ASL8&gt;ASL6)),"")</f>
        <v>0</v>
      </c>
      <c r="AST6" s="319">
        <f t="shared" ref="AST6" ca="1" si="1640">IF(ASC6&lt;&gt;"",SUMPRODUCT((ASN4:ASN8=ASN6)*(ASI4:ASI8=ASI6)*(ASG4:ASG8=ASG6)*(ASK4:ASK8=ASK6)*(ASL4:ASL8=ASL6)*(ASM4:ASM8&gt;ASM6)),"")</f>
        <v>1</v>
      </c>
      <c r="ASU6" s="319">
        <f ca="1">IF(ASC6&lt;&gt;"",IF(ASU46&lt;&gt;"",IF(ASB43=3,ASU46,ASU46+ASB43),SUM(ASO6:AST6)),"")</f>
        <v>2</v>
      </c>
      <c r="ASV6" s="319" t="str">
        <f t="shared" ref="ASV6" ca="1" si="1641">IF(ASC6&lt;&gt;"",INDEX(ASC4:ASC8,MATCH(3,ASU4:ASU8,0),0),"")</f>
        <v>Scotland</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0</v>
      </c>
      <c r="AVJ6" s="322">
        <f ca="1">IF(OFFSET('Player Game Board'!Q13,0,AVI1)&lt;&gt;"",OFFSET('Player Game Board'!Q13,0,AVI1),0)</f>
        <v>0</v>
      </c>
      <c r="AVK6" s="319" t="str">
        <f t="shared" si="115"/>
        <v>Albania</v>
      </c>
      <c r="AVL6" s="319" t="str">
        <f ca="1">IF(AND(OFFSET('Player Game Board'!P13,0,AVI1)&lt;&gt;"",OFFSET('Player Game Board'!Q13,0,AVI1)&lt;&gt;""),IF(AVI6&gt;AVJ6,"W",IF(AVI6=AVJ6,"D","L")),"")</f>
        <v/>
      </c>
      <c r="AVM6" s="319" t="str">
        <f t="shared" ca="1" si="116"/>
        <v/>
      </c>
      <c r="AVN6" s="319"/>
      <c r="AVO6" s="319"/>
      <c r="AVP6" s="319" t="str">
        <f t="shared" ref="AVP6" ca="1" si="1678">VLOOKUP(3,ARI25:ARJ28,2,FALSE)</f>
        <v>Austria</v>
      </c>
      <c r="AVQ6" s="320">
        <f t="shared" ref="AVQ6" ca="1" si="1679">VLOOKUP(AVP6,ARJ4:ARO40,2,FALSE)</f>
        <v>0</v>
      </c>
      <c r="AVR6" s="320">
        <f t="shared" ref="AVR6" ca="1" si="1680">VLOOKUP(AVP6,ARJ4:ARO40,3,FALSE)</f>
        <v>0</v>
      </c>
      <c r="AVS6" s="320">
        <f t="shared" ref="AVS6" ca="1" si="1681">VLOOKUP(AVP6,ARJ4:ARO40,4,FALSE)</f>
        <v>0</v>
      </c>
      <c r="AVT6" s="320">
        <f t="shared" ref="AVT6" ca="1" si="1682">VLOOKUP(AVP6,ARJ4:ARO40,5,FALSE)</f>
        <v>0</v>
      </c>
      <c r="AVU6" s="320">
        <f t="shared" ref="AVU6" ca="1" si="1683">VLOOKUP(AVP6,ARJ4:ARO40,6,FALSE)</f>
        <v>0</v>
      </c>
      <c r="AVV6" s="320">
        <f t="shared" ca="1" si="123"/>
        <v>1000</v>
      </c>
      <c r="AVW6" s="320">
        <f t="shared" ca="1" si="124"/>
        <v>0</v>
      </c>
      <c r="AVX6" s="319">
        <f ca="1">VLOOKUP(AVP6,B4:J40,9,FALSE)</f>
        <v>41</v>
      </c>
      <c r="AVY6" s="319">
        <f t="shared" ref="AVY6" ca="1" si="1684">RANK(AVW6,AVW3:AVW8)</f>
        <v>1</v>
      </c>
      <c r="AVZ6" s="319">
        <f t="shared" ref="AVZ6" ca="1" si="1685">SUMPRODUCT((AVY3:AVY8=AVY6)*(AVV3:AVV8&gt;AVV6))</f>
        <v>0</v>
      </c>
      <c r="AWA6" s="319">
        <f t="shared" ref="AWA6" ca="1" si="1686">SUMPRODUCT((AVY3:AVY8=AVY6)*(AVV3:AVV8=AVV6)*(AVT3:AVT8&gt;AVT6))</f>
        <v>0</v>
      </c>
      <c r="AWB6" s="319">
        <f t="shared" ref="AWB6" ca="1" si="1687">SUMPRODUCT((AVY3:AVY8=AVY6)*(AVV3:AVV8=AVV6)*(AVT3:AVT8=AVT6)*(AVX3:AVX8&gt;AVX6))</f>
        <v>1</v>
      </c>
      <c r="AWC6" s="319">
        <f t="shared" ca="1" si="129"/>
        <v>2</v>
      </c>
      <c r="AWD6" s="319" t="s">
        <v>104</v>
      </c>
      <c r="AWE6" s="319">
        <v>4</v>
      </c>
      <c r="AWF6" s="319"/>
      <c r="AWG6" s="319">
        <f t="shared" ref="AWG6" ca="1" si="1688">VLOOKUP(AWH6,BAC4:BAD8,2,FALSE)</f>
        <v>2</v>
      </c>
      <c r="AWH6" s="319" t="str">
        <f t="shared" si="506"/>
        <v>Hungary</v>
      </c>
      <c r="AWI6" s="319">
        <f t="shared" ref="AWI6" ca="1" si="1689">SUMPRODUCT((BAF3:BAF42=AWH6)*(BAJ3:BAJ42="W"))+SUMPRODUCT((BAI3:BAI42=AWH6)*(BAK3:BAK42="W"))</f>
        <v>0</v>
      </c>
      <c r="AWJ6" s="319">
        <f t="shared" ref="AWJ6" ca="1" si="1690">SUMPRODUCT((BAF3:BAF42=AWH6)*(BAJ3:BAJ42="D"))+SUMPRODUCT((BAI3:BAI42=AWH6)*(BAK3:BAK42="D"))</f>
        <v>0</v>
      </c>
      <c r="AWK6" s="319">
        <f t="shared" ref="AWK6" ca="1" si="1691">SUMPRODUCT((BAF3:BAF42=AWH6)*(BAJ3:BAJ42="L"))+SUMPRODUCT((BAI3:BAI42=AWH6)*(BAK3:BAK42="L"))</f>
        <v>0</v>
      </c>
      <c r="AWL6" s="319">
        <f t="shared" ref="AWL6" ca="1" si="1692">SUMIF(BAF3:BAF60,AWH6,BAG3:BAG60)+SUMIF(BAI3:BAI60,AWH6,BAH3:BAH60)</f>
        <v>0</v>
      </c>
      <c r="AWM6" s="319">
        <f t="shared" ref="AWM6" ca="1" si="1693">SUMIF(BAI3:BAI60,AWH6,BAG3:BAG60)+SUMIF(BAF3:BAF60,AWH6,BAH3:BAH60)</f>
        <v>0</v>
      </c>
      <c r="AWN6" s="319">
        <f t="shared" ca="1" si="512"/>
        <v>1000</v>
      </c>
      <c r="AWO6" s="319">
        <f t="shared" ca="1" si="513"/>
        <v>0</v>
      </c>
      <c r="AWP6" s="319">
        <f t="shared" si="1050"/>
        <v>48</v>
      </c>
      <c r="AWQ6" s="319">
        <f t="shared" ref="AWQ6" ca="1" si="1694">IF(COUNTIF(AWO4:AWO8,4)&lt;&gt;4,RANK(AWO6,AWO4:AWO8),AWO46)</f>
        <v>1</v>
      </c>
      <c r="AWR6" s="319"/>
      <c r="AWS6" s="319">
        <f t="shared" ref="AWS6" ca="1" si="1695">SUMPRODUCT((AWQ4:AWQ7=AWQ6)*(AWP4:AWP7&lt;AWP6))+AWQ6</f>
        <v>3</v>
      </c>
      <c r="AWT6" s="319" t="str">
        <f t="shared" ref="AWT6" ca="1" si="1696">INDEX(AWH4:AWH8,MATCH(3,AWS4:AWS8,0),0)</f>
        <v>Hungary</v>
      </c>
      <c r="AWU6" s="319">
        <f t="shared" ref="AWU6" ca="1" si="1697">INDEX(AWQ4:AWQ8,MATCH(AWT6,AWH4:AWH8,0),0)</f>
        <v>1</v>
      </c>
      <c r="AWV6" s="319" t="str">
        <f t="shared" ref="AWV6:AWV7" ca="1" si="1698">IF(AND(AWV5&lt;&gt;"",AWU6=1),AWT6,"")</f>
        <v>Hungary</v>
      </c>
      <c r="AWW6" s="319" t="str">
        <f t="shared" ref="AWW6:AWW7" ca="1" si="1699">IF(AND(AWW5&lt;&gt;"",AWU7=2),AWT7,"")</f>
        <v/>
      </c>
      <c r="AWX6" s="319" t="str">
        <f t="shared" ref="AWX6" ca="1" si="1700">IF(AND(AWX5&lt;&gt;"",AWU8=3),AWT8,"")</f>
        <v/>
      </c>
      <c r="AWY6" s="319"/>
      <c r="AWZ6" s="319"/>
      <c r="AXA6" s="319" t="str">
        <f t="shared" ca="1" si="522"/>
        <v>Hungary</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f t="shared" ca="1" si="529"/>
        <v>0</v>
      </c>
      <c r="AXI6" s="319">
        <f t="shared" ref="AXI6" ca="1" si="1706">IF(AXA6&lt;&gt;"",VLOOKUP(AXA6,AWH4:AWN40,7,FALSE),"")</f>
        <v>1000</v>
      </c>
      <c r="AXJ6" s="319">
        <f t="shared" ref="AXJ6" ca="1" si="1707">IF(AXA6&lt;&gt;"",VLOOKUP(AXA6,AWH4:AWN40,5,FALSE),"")</f>
        <v>0</v>
      </c>
      <c r="AXK6" s="319">
        <f t="shared" ref="AXK6" ca="1" si="1708">IF(AXA6&lt;&gt;"",VLOOKUP(AXA6,AWH4:AWP40,9,FALSE),"")</f>
        <v>48</v>
      </c>
      <c r="AXL6" s="319">
        <f t="shared" ca="1" si="533"/>
        <v>0</v>
      </c>
      <c r="AXM6" s="319">
        <f t="shared" ref="AXM6" ca="1" si="1709">IF(AXA6&lt;&gt;"",RANK(AXL6,AXL4:AXL8),"")</f>
        <v>1</v>
      </c>
      <c r="AXN6" s="319">
        <f t="shared" ref="AXN6" ca="1" si="1710">IF(AXA6&lt;&gt;"",SUMPRODUCT((AXL4:AXL8=AXL6)*(AXG4:AXG8&gt;AXG6)),"")</f>
        <v>0</v>
      </c>
      <c r="AXO6" s="319">
        <f t="shared" ref="AXO6" ca="1" si="1711">IF(AXA6&lt;&gt;"",SUMPRODUCT((AXL4:AXL8=AXL6)*(AXG4:AXG8=AXG6)*(AXE4:AXE8&gt;AXE6)),"")</f>
        <v>0</v>
      </c>
      <c r="AXP6" s="319">
        <f t="shared" ref="AXP6" ca="1" si="1712">IF(AXA6&lt;&gt;"",SUMPRODUCT((AXL4:AXL8=AXL6)*(AXG4:AXG8=AXG6)*(AXE4:AXE8=AXE6)*(AXI4:AXI8&gt;AXI6)),"")</f>
        <v>0</v>
      </c>
      <c r="AXQ6" s="319">
        <f t="shared" ref="AXQ6" ca="1" si="1713">IF(AXA6&lt;&gt;"",SUMPRODUCT((AXL4:AXL8=AXL6)*(AXG4:AXG8=AXG6)*(AXE4:AXE8=AXE6)*(AXI4:AXI8=AXI6)*(AXJ4:AXJ8&gt;AXJ6)),"")</f>
        <v>0</v>
      </c>
      <c r="AXR6" s="319">
        <f t="shared" ref="AXR6" ca="1" si="1714">IF(AXA6&lt;&gt;"",SUMPRODUCT((AXL4:AXL8=AXL6)*(AXG4:AXG8=AXG6)*(AXE4:AXE8=AXE6)*(AXI4:AXI8=AXI6)*(AXJ4:AXJ8=AXJ6)*(AXK4:AXK8&gt;AXK6)),"")</f>
        <v>1</v>
      </c>
      <c r="AXS6" s="319">
        <f ca="1">IF(AXA6&lt;&gt;"",IF(AXS46&lt;&gt;"",IF(AWZ43=3,AXS46,AXS46+AWZ43),SUM(AXM6:AXR6)),"")</f>
        <v>2</v>
      </c>
      <c r="AXT6" s="319" t="str">
        <f t="shared" ref="AXT6" ca="1" si="1715">IF(AXA6&lt;&gt;"",INDEX(AXA4:AXA8,MATCH(3,AXS4:AXS8,0),0),"")</f>
        <v>Scotland</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Scotland</v>
      </c>
      <c r="BAD6" s="319">
        <v>3</v>
      </c>
      <c r="BAE6" s="319">
        <v>4</v>
      </c>
      <c r="BAF6" s="319" t="str">
        <f t="shared" si="130"/>
        <v>Italy</v>
      </c>
      <c r="BAG6" s="322">
        <f ca="1">IF(OFFSET('Player Game Board'!P13,0,BAG1)&lt;&gt;"",OFFSET('Player Game Board'!P13,0,BAG1),0)</f>
        <v>0</v>
      </c>
      <c r="BAH6" s="322">
        <f ca="1">IF(OFFSET('Player Game Board'!Q13,0,BAG1)&lt;&gt;"",OFFSET('Player Game Board'!Q13,0,BAG1),0)</f>
        <v>0</v>
      </c>
      <c r="BAI6" s="319" t="str">
        <f t="shared" si="131"/>
        <v>Albania</v>
      </c>
      <c r="BAJ6" s="319" t="str">
        <f ca="1">IF(AND(OFFSET('Player Game Board'!P13,0,BAG1)&lt;&gt;"",OFFSET('Player Game Board'!Q13,0,BAG1)&lt;&gt;""),IF(BAG6&gt;BAH6,"W",IF(BAG6=BAH6,"D","L")),"")</f>
        <v/>
      </c>
      <c r="BAK6" s="319" t="str">
        <f t="shared" ca="1" si="132"/>
        <v/>
      </c>
      <c r="BAL6" s="319"/>
      <c r="BAM6" s="319"/>
      <c r="BAN6" s="319" t="str">
        <f t="shared" ref="BAN6" ca="1" si="1752">VLOOKUP(3,AWG25:AWH28,2,FALSE)</f>
        <v>Austria</v>
      </c>
      <c r="BAO6" s="320">
        <f t="shared" ref="BAO6" ca="1" si="1753">VLOOKUP(BAN6,AWH4:AWM40,2,FALSE)</f>
        <v>0</v>
      </c>
      <c r="BAP6" s="320">
        <f t="shared" ref="BAP6" ca="1" si="1754">VLOOKUP(BAN6,AWH4:AWM40,3,FALSE)</f>
        <v>0</v>
      </c>
      <c r="BAQ6" s="320">
        <f t="shared" ref="BAQ6" ca="1" si="1755">VLOOKUP(BAN6,AWH4:AWM40,4,FALSE)</f>
        <v>0</v>
      </c>
      <c r="BAR6" s="320">
        <f t="shared" ref="BAR6" ca="1" si="1756">VLOOKUP(BAN6,AWH4:AWM40,5,FALSE)</f>
        <v>0</v>
      </c>
      <c r="BAS6" s="320">
        <f t="shared" ref="BAS6" ca="1" si="1757">VLOOKUP(BAN6,AWH4:AWM40,6,FALSE)</f>
        <v>0</v>
      </c>
      <c r="BAT6" s="320">
        <f t="shared" ca="1" si="139"/>
        <v>1000</v>
      </c>
      <c r="BAU6" s="320">
        <f t="shared" ca="1" si="140"/>
        <v>0</v>
      </c>
      <c r="BAV6" s="319">
        <f ca="1">VLOOKUP(BAN6,B4:J40,9,FALSE)</f>
        <v>41</v>
      </c>
      <c r="BAW6" s="319">
        <f t="shared" ref="BAW6" ca="1" si="1758">RANK(BAU6,BAU3:BAU8)</f>
        <v>1</v>
      </c>
      <c r="BAX6" s="319">
        <f t="shared" ref="BAX6" ca="1" si="1759">SUMPRODUCT((BAW3:BAW8=BAW6)*(BAT3:BAT8&gt;BAT6))</f>
        <v>0</v>
      </c>
      <c r="BAY6" s="319">
        <f t="shared" ref="BAY6" ca="1" si="1760">SUMPRODUCT((BAW3:BAW8=BAW6)*(BAT3:BAT8=BAT6)*(BAR3:BAR8&gt;BAR6))</f>
        <v>0</v>
      </c>
      <c r="BAZ6" s="319">
        <f t="shared" ref="BAZ6" ca="1" si="1761">SUMPRODUCT((BAW3:BAW8=BAW6)*(BAT3:BAT8=BAT6)*(BAR3:BAR8=BAR6)*(BAV3:BAV8&gt;BAV6))</f>
        <v>1</v>
      </c>
      <c r="BBA6" s="319">
        <f t="shared" ca="1" si="145"/>
        <v>2</v>
      </c>
      <c r="BBB6" s="319" t="s">
        <v>104</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104</v>
      </c>
      <c r="BGA6" s="319">
        <v>4</v>
      </c>
      <c r="BGB6" s="319"/>
    </row>
    <row r="7" spans="1:1536" ht="13.8" x14ac:dyDescent="0.3">
      <c r="A7" s="319">
        <f>VLOOKUP(B7,CW4:CX8,2,FALSE)</f>
        <v>2</v>
      </c>
      <c r="B7" s="319" t="str">
        <f>'Language Table'!C25</f>
        <v>Switzerland</v>
      </c>
      <c r="C7" s="319">
        <f>SUMPRODUCT((CZ3:CZ42=B7)*(DD3:DD42="W"))+SUMPRODUCT((DC3:DC42=B7)*(DE3:DE42="W"))</f>
        <v>1</v>
      </c>
      <c r="D7" s="319">
        <f>SUMPRODUCT((CZ3:CZ42=B7)*(DD3:DD42="D"))+SUMPRODUCT((DC3:DC42=B7)*(DE3:DE42="D"))</f>
        <v>0</v>
      </c>
      <c r="E7" s="319">
        <f>SUMPRODUCT((CZ3:CZ42=B7)*(DD3:DD42="L"))+SUMPRODUCT((DC3:DC42=B7)*(DE3:DE42="L"))</f>
        <v>0</v>
      </c>
      <c r="F7" s="319">
        <f>SUMIF(CZ3:CZ60,B7,DA3:DA60)+SUMIF(DC3:DC60,B7,DB3:DB60)</f>
        <v>3</v>
      </c>
      <c r="G7" s="319">
        <f>SUMIF(DC3:DC60,B7,DA3:DA60)+SUMIF(CZ3:CZ60,B7,DB3:DB60)</f>
        <v>1</v>
      </c>
      <c r="H7" s="319">
        <f t="shared" si="599"/>
        <v>1002</v>
      </c>
      <c r="I7" s="319">
        <f t="shared" si="600"/>
        <v>3</v>
      </c>
      <c r="J7" s="319">
        <v>34</v>
      </c>
      <c r="K7" s="319">
        <f>IF(COUNTIF(I4:I8,4)&lt;&gt;4,RANK(I7,I4:I8),I47)</f>
        <v>1</v>
      </c>
      <c r="L7" s="319"/>
      <c r="M7" s="319">
        <f>SUMPRODUCT((K4:K7=K7)*(J4:J7&lt;J7))+K7</f>
        <v>1</v>
      </c>
      <c r="N7" s="319" t="str">
        <f>INDEX(B4:B8,MATCH(4,M4:M8,0),0)</f>
        <v>Hungary</v>
      </c>
      <c r="O7" s="319">
        <f>INDEX(K4:K8,MATCH(N7,B4:B8,0),0)</f>
        <v>3</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Hungary</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f t="shared" si="1164"/>
        <v>0</v>
      </c>
      <c r="BQ7" s="319">
        <f>IF(BI7&lt;&gt;"",VLOOKUP(BI7,B4:H40,7,FALSE),"")</f>
        <v>998</v>
      </c>
      <c r="BR7" s="319">
        <f>IF(BI7&lt;&gt;"",VLOOKUP(BI7,B4:H40,5,FALSE),"")</f>
        <v>1</v>
      </c>
      <c r="BS7" s="319">
        <f>IF(BI7&lt;&gt;"",VLOOKUP(BI7,B4:J40,9,FALSE),"")</f>
        <v>48</v>
      </c>
      <c r="BT7" s="319">
        <f t="shared" si="1165"/>
        <v>0</v>
      </c>
      <c r="BU7" s="319">
        <f>IF(BI7&lt;&gt;"",RANK(BT7,BT4:BT8),"")</f>
        <v>1</v>
      </c>
      <c r="BV7" s="319">
        <f>IF(BI7&lt;&gt;"",SUMPRODUCT((BT4:BT8=BT7)*(BO4:BO8&gt;BO7)),"")</f>
        <v>0</v>
      </c>
      <c r="BW7" s="319">
        <f>IF(BI7&lt;&gt;"",SUMPRODUCT((BT4:BT8=BT7)*(BO4:BO8=BO7)*(BM4:BM8&gt;BM7)),"")</f>
        <v>0</v>
      </c>
      <c r="BX7" s="319">
        <f>IF(BI7&lt;&gt;"",SUMPRODUCT((BT4:BT8=BT7)*(BO4:BO8=BO7)*(BM4:BM8=BM7)*(BQ4:BQ8&gt;BQ7)),"")</f>
        <v>0</v>
      </c>
      <c r="BY7" s="319">
        <f>IF(BI7&lt;&gt;"",SUMPRODUCT((BT4:BT8=BT7)*(BO4:BO8=BO7)*(BM4:BM8=BM7)*(BQ4:BQ8=BQ7)*(BR4:BR8&gt;BR7)),"")</f>
        <v>0</v>
      </c>
      <c r="BZ7" s="319">
        <f>IF(BI7&lt;&gt;"",SUMPRODUCT((BT4:BT8=BT7)*(BO4:BO8=BO7)*(BM4:BM8=BM7)*(BQ4:BQ8=BQ7)*(BR4:BR8=BR7)*(BS4:BS8&gt;BS7)),"")</f>
        <v>0</v>
      </c>
      <c r="CA7" s="319">
        <f>IF(BI7&lt;&gt;"",SUM(BU7:BZ7)+2,"")</f>
        <v>3</v>
      </c>
      <c r="CB7" s="319" t="str">
        <f>IF(BI7&lt;&gt;"",INDEX(BI6:BI8,MATCH(4,CA6:CA8,0),0),"")</f>
        <v>Scotland</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Scotland</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Belgium</v>
      </c>
      <c r="DI7" s="320">
        <f>Matches!U29</f>
        <v>0</v>
      </c>
      <c r="DJ7" s="320">
        <f>Matches!V29</f>
        <v>0</v>
      </c>
      <c r="DK7" s="320">
        <f>Matches!W29</f>
        <v>1</v>
      </c>
      <c r="DL7" s="320">
        <f>Matches!X29</f>
        <v>0</v>
      </c>
      <c r="DM7" s="320">
        <f>Matches!Z29</f>
        <v>1</v>
      </c>
      <c r="DN7" s="320">
        <f>Matches!AA29</f>
        <v>-1</v>
      </c>
      <c r="DO7" s="320">
        <f>Matches!AB29</f>
        <v>0</v>
      </c>
      <c r="DP7" s="319">
        <f>VLOOKUP(DH7,B4:J40,9,FALSE)</f>
        <v>50</v>
      </c>
      <c r="DQ7" s="319">
        <f>RANK(DO7,DO3:DO8)</f>
        <v>2</v>
      </c>
      <c r="DR7" s="319">
        <f>SUMPRODUCT((DQ3:DQ8=DQ7)*(DN3:DN8&gt;DN7))</f>
        <v>0</v>
      </c>
      <c r="DS7" s="319">
        <f>SUMPRODUCT((DQ3:DQ8=DQ7)*(DN3:DN8=DN7)*(DL3:DL8&gt;DL7))</f>
        <v>3</v>
      </c>
      <c r="DT7" s="319">
        <f>SUMPRODUCT((DQ3:DQ8=DQ7)*(DN3:DN8=DN7)*(DL3:DL8=DL7)*(DP3:DP8&gt;DP7))</f>
        <v>0</v>
      </c>
      <c r="DU7" s="319">
        <f t="shared" si="163"/>
        <v>5</v>
      </c>
      <c r="DV7" s="319" t="s">
        <v>105</v>
      </c>
      <c r="DW7" s="319">
        <v>5</v>
      </c>
      <c r="DX7" s="319"/>
      <c r="DY7" s="319">
        <f ca="1">VLOOKUP(DZ7,HU4:HV8,2,FALSE)</f>
        <v>2</v>
      </c>
      <c r="DZ7" s="319" t="str">
        <f t="shared" si="606"/>
        <v>Switzerland</v>
      </c>
      <c r="EA7" s="319">
        <f ca="1">SUMPRODUCT((HX3:HX42=DZ7)*(IB3:IB42="W"))+SUMPRODUCT((IA3:IA42=DZ7)*(IC3:IC42="W"))</f>
        <v>1</v>
      </c>
      <c r="EB7" s="319">
        <f ca="1">SUMPRODUCT((HX3:HX42=DZ7)*(IB3:IB42="D"))+SUMPRODUCT((IA3:IA42=DZ7)*(IC3:IC42="D"))</f>
        <v>2</v>
      </c>
      <c r="EC7" s="319">
        <f ca="1">SUMPRODUCT((HX3:HX42=DZ7)*(IB3:IB42="L"))+SUMPRODUCT((IA3:IA42=DZ7)*(IC3:IC42="L"))</f>
        <v>0</v>
      </c>
      <c r="ED7" s="319">
        <f ca="1">SUMIF(HX3:HX60,DZ7,HY3:HY60)+SUMIF(IA3:IA60,DZ7,HZ3:HZ60)</f>
        <v>8</v>
      </c>
      <c r="EE7" s="319">
        <f ca="1">SUMIF(IA3:IA60,DZ7,HY3:HY60)+SUMIF(HX3:HX60,DZ7,HZ3:HZ60)</f>
        <v>4</v>
      </c>
      <c r="EF7" s="319">
        <f t="shared" ca="1" si="607"/>
        <v>1004</v>
      </c>
      <c r="EG7" s="319">
        <f t="shared" ca="1" si="608"/>
        <v>5</v>
      </c>
      <c r="EH7" s="319">
        <f t="shared" si="609"/>
        <v>34</v>
      </c>
      <c r="EI7" s="319">
        <f ca="1">IF(COUNTIF(EG4:EG8,4)&lt;&gt;4,RANK(EG7,EG4:EG8),EG47)</f>
        <v>2</v>
      </c>
      <c r="EJ7" s="319"/>
      <c r="EK7" s="319">
        <f ca="1">SUMPRODUCT((EI4:EI7=EI7)*(EH4:EH7&lt;EH7))+EI7</f>
        <v>2</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1</v>
      </c>
      <c r="HZ7" s="322">
        <f ca="1">IF(OFFSET('Player Game Board'!Q14,0,HY1)&lt;&gt;"",OFFSET('Player Game Board'!Q14,0,HY1),0)</f>
        <v>2</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Ukraine</v>
      </c>
      <c r="IG7" s="320">
        <f ca="1">VLOOKUP(IF7,DZ4:EE40,2,FALSE)</f>
        <v>0</v>
      </c>
      <c r="IH7" s="320">
        <f ca="1">VLOOKUP(IF7,DZ4:EE40,3,FALSE)</f>
        <v>2</v>
      </c>
      <c r="II7" s="320">
        <f ca="1">VLOOKUP(IF7,DZ4:EE40,4,FALSE)</f>
        <v>1</v>
      </c>
      <c r="IJ7" s="320">
        <f ca="1">VLOOKUP(IF7,DZ4:EE40,5,FALSE)</f>
        <v>2</v>
      </c>
      <c r="IK7" s="320">
        <f ca="1">VLOOKUP(IF7,DZ4:EE40,6,FALSE)</f>
        <v>5</v>
      </c>
      <c r="IL7" s="320">
        <f t="shared" ca="1" si="167"/>
        <v>997</v>
      </c>
      <c r="IM7" s="320">
        <f t="shared" ca="1" si="168"/>
        <v>2</v>
      </c>
      <c r="IN7" s="319">
        <f ca="1">VLOOKUP(IF7,B4:J40,9,FALSE)</f>
        <v>0</v>
      </c>
      <c r="IO7" s="319">
        <f ca="1">RANK(IM7,IM3:IM8)</f>
        <v>5</v>
      </c>
      <c r="IP7" s="319">
        <f ca="1">SUMPRODUCT((IO3:IO8=IO7)*(IL3:IL8&gt;IL7))</f>
        <v>0</v>
      </c>
      <c r="IQ7" s="319">
        <f ca="1">SUMPRODUCT((IO3:IO8=IO7)*(IL3:IL8=IL7)*(IJ3:IJ8&gt;IJ7))</f>
        <v>0</v>
      </c>
      <c r="IR7" s="319">
        <f ca="1">SUMPRODUCT((IO3:IO8=IO7)*(IL3:IL8=IL7)*(IJ3:IJ8=IJ7)*(IN3:IN8&gt;IN7))</f>
        <v>1</v>
      </c>
      <c r="IS7" s="319">
        <f t="shared" ca="1" si="169"/>
        <v>6</v>
      </c>
      <c r="IT7" s="319" t="s">
        <v>105</v>
      </c>
      <c r="IU7" s="319">
        <v>5</v>
      </c>
      <c r="IV7" s="319"/>
      <c r="IW7" s="319">
        <f ca="1">VLOOKUP(IX7,MS4:MT8,2,FALSE)</f>
        <v>4</v>
      </c>
      <c r="IX7" s="319" t="str">
        <f t="shared" si="615"/>
        <v>Switzerland</v>
      </c>
      <c r="IY7" s="319">
        <f ca="1">SUMPRODUCT((MV3:MV42=IX7)*(MZ3:MZ42="W"))+SUMPRODUCT((MY3:MY42=IX7)*(NA3:NA42="W"))</f>
        <v>0</v>
      </c>
      <c r="IZ7" s="319">
        <f ca="1">SUMPRODUCT((MV3:MV42=IX7)*(MZ3:MZ42="D"))+SUMPRODUCT((MY3:MY42=IX7)*(NA3:NA42="D"))</f>
        <v>1</v>
      </c>
      <c r="JA7" s="319">
        <f ca="1">SUMPRODUCT((MV3:MV42=IX7)*(MZ3:MZ42="L"))+SUMPRODUCT((MY3:MY42=IX7)*(NA3:NA42="L"))</f>
        <v>2</v>
      </c>
      <c r="JB7" s="319">
        <f ca="1">SUMIF(MV3:MV60,IX7,MW3:MW60)+SUMIF(MY3:MY60,IX7,MX3:MX60)</f>
        <v>1</v>
      </c>
      <c r="JC7" s="319">
        <f ca="1">SUMIF(MY3:MY60,IX7,MW3:MW60)+SUMIF(MV3:MV60,IX7,MX3:MX60)</f>
        <v>7</v>
      </c>
      <c r="JD7" s="319">
        <f t="shared" ca="1" si="616"/>
        <v>994</v>
      </c>
      <c r="JE7" s="319">
        <f t="shared" ca="1" si="617"/>
        <v>1</v>
      </c>
      <c r="JF7" s="319">
        <f t="shared" si="618"/>
        <v>34</v>
      </c>
      <c r="JG7" s="319">
        <f ca="1">IF(COUNTIF(JE4:JE8,4)&lt;&gt;4,RANK(JE7,JE4:JE8),JE47)</f>
        <v>4</v>
      </c>
      <c r="JH7" s="319"/>
      <c r="JI7" s="319">
        <f ca="1">SUMPRODUCT((JG4:JG7=JG7)*(JF4:JF7&lt;JF7))+JG7</f>
        <v>4</v>
      </c>
      <c r="JJ7" s="319" t="str">
        <f ca="1">INDEX(IX4:IX8,MATCH(4,JI4:JI8,0),0)</f>
        <v>Switzerland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Switzerland</v>
      </c>
      <c r="MT7" s="319">
        <v>4</v>
      </c>
      <c r="MU7" s="319">
        <v>5</v>
      </c>
      <c r="MV7" s="319" t="str">
        <f t="shared" si="170"/>
        <v>Serbia</v>
      </c>
      <c r="MW7" s="322">
        <f ca="1">IF(OFFSET('Player Game Board'!P14,0,MW1)&lt;&gt;"",OFFSET('Player Game Board'!P14,0,MW1),0)</f>
        <v>0</v>
      </c>
      <c r="MX7" s="322">
        <f ca="1">IF(OFFSET('Player Game Board'!Q14,0,MW1)&lt;&gt;"",OFFSET('Player Game Board'!Q14,0,MW1),0)</f>
        <v>1</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Romania</v>
      </c>
      <c r="NE7" s="320">
        <f ca="1">VLOOKUP(ND7,IX4:JC40,2,FALSE)</f>
        <v>0</v>
      </c>
      <c r="NF7" s="320">
        <f ca="1">VLOOKUP(ND7,IX4:JC40,3,FALSE)</f>
        <v>2</v>
      </c>
      <c r="NG7" s="320">
        <f ca="1">VLOOKUP(ND7,IX4:JC40,4,FALSE)</f>
        <v>1</v>
      </c>
      <c r="NH7" s="320">
        <f ca="1">VLOOKUP(ND7,IX4:JC40,5,FALSE)</f>
        <v>4</v>
      </c>
      <c r="NI7" s="320">
        <f ca="1">VLOOKUP(ND7,IX4:JC40,6,FALSE)</f>
        <v>5</v>
      </c>
      <c r="NJ7" s="320">
        <f t="shared" ca="1" si="173"/>
        <v>999</v>
      </c>
      <c r="NK7" s="320">
        <f t="shared" ca="1" si="174"/>
        <v>2</v>
      </c>
      <c r="NL7" s="319">
        <f ca="1">VLOOKUP(ND7,B4:J40,9,FALSE)</f>
        <v>46</v>
      </c>
      <c r="NM7" s="319">
        <f ca="1">RANK(NK7,NK3:NK8)</f>
        <v>3</v>
      </c>
      <c r="NN7" s="319">
        <f ca="1">SUMPRODUCT((NM3:NM8=NM7)*(NJ3:NJ8&gt;NJ7))</f>
        <v>0</v>
      </c>
      <c r="NO7" s="319">
        <f ca="1">SUMPRODUCT((NM3:NM8=NM7)*(NJ3:NJ8=NJ7)*(NH3:NH8&gt;NH7))</f>
        <v>0</v>
      </c>
      <c r="NP7" s="319">
        <f ca="1">SUMPRODUCT((NM3:NM8=NM7)*(NJ3:NJ8=NJ7)*(NH3:NH8=NH7)*(NL3:NL8&gt;NL7))</f>
        <v>1</v>
      </c>
      <c r="NQ7" s="319">
        <f t="shared" ca="1" si="175"/>
        <v>4</v>
      </c>
      <c r="NR7" s="319" t="s">
        <v>105</v>
      </c>
      <c r="NS7" s="319">
        <v>5</v>
      </c>
      <c r="NT7" s="319"/>
      <c r="NU7" s="319">
        <f t="shared" ref="NU7" ca="1" si="1842">VLOOKUP(NV7,RQ4:RR8,2,FALSE)</f>
        <v>4</v>
      </c>
      <c r="NV7" s="319" t="str">
        <f t="shared" si="177"/>
        <v>Switzerland</v>
      </c>
      <c r="NW7" s="319">
        <f t="shared" ref="NW7" ca="1" si="1843">SUMPRODUCT((RT3:RT42=NV7)*(RX3:RX42="W"))+SUMPRODUCT((RW3:RW42=NV7)*(RY3:RY42="W"))</f>
        <v>0</v>
      </c>
      <c r="NX7" s="319">
        <f t="shared" ref="NX7" ca="1" si="1844">SUMPRODUCT((RT3:RT42=NV7)*(RX3:RX42="D"))+SUMPRODUCT((RW3:RW42=NV7)*(RY3:RY42="D"))</f>
        <v>1</v>
      </c>
      <c r="NY7" s="319">
        <f t="shared" ref="NY7" ca="1" si="1845">SUMPRODUCT((RT3:RT42=NV7)*(RX3:RX42="L"))+SUMPRODUCT((RW3:RW42=NV7)*(RY3:RY42="L"))</f>
        <v>2</v>
      </c>
      <c r="NZ7" s="319">
        <f t="shared" ref="NZ7" ca="1" si="1846">SUMIF(RT3:RT60,NV7,RU3:RU60)+SUMIF(RW3:RW60,NV7,RV3:RV60)</f>
        <v>0</v>
      </c>
      <c r="OA7" s="319">
        <f t="shared" ref="OA7" ca="1" si="1847">SUMIF(RW3:RW60,NV7,RU3:RU60)+SUMIF(RT3:RT60,NV7,RV3:RV60)</f>
        <v>4</v>
      </c>
      <c r="OB7" s="319">
        <f t="shared" ca="1" si="183"/>
        <v>996</v>
      </c>
      <c r="OC7" s="319">
        <f t="shared" ca="1" si="184"/>
        <v>1</v>
      </c>
      <c r="OD7" s="319">
        <f t="shared" si="630"/>
        <v>34</v>
      </c>
      <c r="OE7" s="319">
        <f t="shared" ref="OE7" ca="1" si="1848">IF(COUNTIF(OC4:OC8,4)&lt;&gt;4,RANK(OC7,OC4:OC8),OC47)</f>
        <v>3</v>
      </c>
      <c r="OF7" s="319"/>
      <c r="OG7" s="319">
        <f t="shared" ref="OG7" ca="1" si="1849">SUMPRODUCT((OE4:OE7=OE7)*(OD4:OD7&lt;OD7))+OE7</f>
        <v>3</v>
      </c>
      <c r="OH7" s="319" t="str">
        <f t="shared" ref="OH7" ca="1" si="1850">INDEX(NV4:NV8,MATCH(4,OG4:OG8,0),0)</f>
        <v>Scotland</v>
      </c>
      <c r="OI7" s="319">
        <f t="shared" ref="OI7" ca="1" si="1851">INDEX(OE4:OE8,MATCH(OH7,NV4:NV8,0),0)</f>
        <v>3</v>
      </c>
      <c r="OJ7" s="319" t="str">
        <f t="shared" ca="1" si="1180"/>
        <v/>
      </c>
      <c r="OK7" s="319" t="str">
        <f t="shared" ca="1" si="1181"/>
        <v/>
      </c>
      <c r="OL7" s="319"/>
      <c r="OM7" s="319"/>
      <c r="ON7" s="319"/>
      <c r="OO7" s="319" t="str">
        <f t="shared" ca="1" si="193"/>
        <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t="str">
        <f t="shared" ca="1" si="200"/>
        <v/>
      </c>
      <c r="OW7" s="319" t="str">
        <f t="shared" ref="OW7" ca="1" si="1857">IF(OO7&lt;&gt;"",VLOOKUP(OO7,NV4:OB40,7,FALSE),"")</f>
        <v/>
      </c>
      <c r="OX7" s="319" t="str">
        <f t="shared" ref="OX7" ca="1" si="1858">IF(OO7&lt;&gt;"",VLOOKUP(OO7,NV4:OB40,5,FALSE),"")</f>
        <v/>
      </c>
      <c r="OY7" s="319" t="str">
        <f t="shared" ref="OY7" ca="1" si="1859">IF(OO7&lt;&gt;"",VLOOKUP(OO7,NV4:OD40,9,FALSE),"")</f>
        <v/>
      </c>
      <c r="OZ7" s="319" t="str">
        <f t="shared" ca="1" si="204"/>
        <v/>
      </c>
      <c r="PA7" s="319" t="str">
        <f t="shared" ref="PA7" ca="1" si="1860">IF(OO7&lt;&gt;"",RANK(OZ7,OZ4:OZ8),"")</f>
        <v/>
      </c>
      <c r="PB7" s="319" t="str">
        <f t="shared" ref="PB7" ca="1" si="1861">IF(OO7&lt;&gt;"",SUMPRODUCT((OZ4:OZ8=OZ7)*(OU4:OU8&gt;OU7)),"")</f>
        <v/>
      </c>
      <c r="PC7" s="319" t="str">
        <f t="shared" ref="PC7" ca="1" si="1862">IF(OO7&lt;&gt;"",SUMPRODUCT((OZ4:OZ8=OZ7)*(OU4:OU8=OU7)*(OS4:OS8&gt;OS7)),"")</f>
        <v/>
      </c>
      <c r="PD7" s="319" t="str">
        <f t="shared" ref="PD7" ca="1" si="1863">IF(OO7&lt;&gt;"",SUMPRODUCT((OZ4:OZ8=OZ7)*(OU4:OU8=OU7)*(OS4:OS8=OS7)*(OW4:OW8&gt;OW7)),"")</f>
        <v/>
      </c>
      <c r="PE7" s="319" t="str">
        <f t="shared" ref="PE7" ca="1" si="1864">IF(OO7&lt;&gt;"",SUMPRODUCT((OZ4:OZ8=OZ7)*(OU4:OU8=OU7)*(OS4:OS8=OS7)*(OW4:OW8=OW7)*(OX4:OX8&gt;OX7)),"")</f>
        <v/>
      </c>
      <c r="PF7" s="319" t="str">
        <f t="shared" ref="PF7" ca="1" si="1865">IF(OO7&lt;&gt;"",SUMPRODUCT((OZ4:OZ8=OZ7)*(OU4:OU8=OU7)*(OS4:OS8=OS7)*(OW4:OW8=OW7)*(OX4:OX8=OX7)*(OY4:OY8&gt;OY7)),"")</f>
        <v/>
      </c>
      <c r="PG7" s="319" t="str">
        <f ca="1">IF(OO7&lt;&gt;"",IF(PG47&lt;&gt;"",IF(ON43=3,PG47,PG47+ON43),SUM(PA7:PF7)),"")</f>
        <v/>
      </c>
      <c r="PH7" s="319" t="str">
        <f t="shared" ref="PH7" ca="1" si="1866">IF(OO7&lt;&gt;"",INDEX(OO4:OO8,MATCH(4,PG4:PG8,0),0),"")</f>
        <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Scotland</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1</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f t="shared" ca="1" si="1220"/>
        <v>1</v>
      </c>
      <c r="QK7" s="319">
        <f t="shared" ref="QK7" ca="1" si="1887">IF(QC7&lt;&gt;"",VLOOKUP(QC7,NV4:OB40,7,FALSE),"")</f>
        <v>996</v>
      </c>
      <c r="QL7" s="319">
        <f t="shared" ref="QL7" ca="1" si="1888">IF(QC7&lt;&gt;"",VLOOKUP(QC7,NV4:OB40,5,FALSE),"")</f>
        <v>0</v>
      </c>
      <c r="QM7" s="319">
        <f t="shared" ref="QM7" ca="1" si="1889">IF(QC7&lt;&gt;"",VLOOKUP(QC7,NV4:OD40,9,FALSE),"")</f>
        <v>43</v>
      </c>
      <c r="QN7" s="319">
        <f t="shared" ca="1" si="1224"/>
        <v>1</v>
      </c>
      <c r="QO7" s="319">
        <f t="shared" ref="QO7" ca="1" si="1890">IF(QC7&lt;&gt;"",RANK(QN7,QN4:QN8),"")</f>
        <v>1</v>
      </c>
      <c r="QP7" s="319">
        <f t="shared" ref="QP7" ca="1" si="1891">IF(QC7&lt;&gt;"",SUMPRODUCT((QN4:QN8=QN7)*(QI4:QI8&gt;QI7)),"")</f>
        <v>0</v>
      </c>
      <c r="QQ7" s="319">
        <f t="shared" ref="QQ7" ca="1" si="1892">IF(QC7&lt;&gt;"",SUMPRODUCT((QN4:QN8=QN7)*(QI4:QI8=QI7)*(QG4:QG8&gt;QG7)),"")</f>
        <v>0</v>
      </c>
      <c r="QR7" s="319">
        <f t="shared" ref="QR7" ca="1" si="1893">IF(QC7&lt;&gt;"",SUMPRODUCT((QN4:QN8=QN7)*(QI4:QI8=QI7)*(QG4:QG8=QG7)*(QK4:QK8&gt;QK7)),"")</f>
        <v>0</v>
      </c>
      <c r="QS7" s="319">
        <f t="shared" ref="QS7" ca="1" si="1894">IF(QC7&lt;&gt;"",SUMPRODUCT((QN4:QN8=QN7)*(QI4:QI8=QI7)*(QG4:QG8=QG7)*(QK4:QK8=QK7)*(QL4:QL8&gt;QL7)),"")</f>
        <v>0</v>
      </c>
      <c r="QT7" s="319">
        <f t="shared" ref="QT7" ca="1" si="1895">IF(QC7&lt;&gt;"",SUMPRODUCT((QN4:QN8=QN7)*(QI4:QI8=QI7)*(QG4:QG8=QG7)*(QK4:QK8=QK7)*(QL4:QL8=QL7)*(QM4:QM8&gt;QM7)),"")</f>
        <v>0</v>
      </c>
      <c r="QU7" s="319">
        <f t="shared" ca="1" si="1231"/>
        <v>3</v>
      </c>
      <c r="QV7" s="319" t="str">
        <f t="shared" ref="QV7" ca="1" si="1896">IF(QC7&lt;&gt;"",INDEX(QC6:QC8,MATCH(4,QU6:QU8,0),0),"")</f>
        <v>Switzerland</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Switzerland</v>
      </c>
      <c r="RR7" s="319">
        <v>4</v>
      </c>
      <c r="RS7" s="319">
        <v>5</v>
      </c>
      <c r="RT7" s="319" t="str">
        <f t="shared" si="18"/>
        <v>Serbia</v>
      </c>
      <c r="RU7" s="322">
        <f ca="1">IF(OFFSET('Player Game Board'!P14,0,RU1)&lt;&gt;"",OFFSET('Player Game Board'!P14,0,RU1),0)</f>
        <v>1</v>
      </c>
      <c r="RV7" s="322">
        <f ca="1">IF(OFFSET('Player Game Board'!Q14,0,RU1)&lt;&gt;"",OFFSET('Player Game Board'!Q14,0,RU1),0)</f>
        <v>2</v>
      </c>
      <c r="RW7" s="319" t="str">
        <f t="shared" si="19"/>
        <v>England</v>
      </c>
      <c r="RX7" s="319" t="str">
        <f ca="1">IF(AND(OFFSET('Player Game Board'!P14,0,RU1)&lt;&gt;"",OFFSET('Player Game Board'!Q14,0,RU1)&lt;&gt;""),IF(RU7&gt;RV7,"W",IF(RU7=RV7,"D","L")),"")</f>
        <v>L</v>
      </c>
      <c r="RY7" s="319" t="str">
        <f t="shared" ca="1" si="20"/>
        <v>W</v>
      </c>
      <c r="RZ7" s="319"/>
      <c r="SA7" s="319"/>
      <c r="SB7" s="319" t="str">
        <f t="shared" ref="SB7" ca="1" si="1918">VLOOKUP(3,NU31:NV34,2,FALSE)</f>
        <v>Belgium</v>
      </c>
      <c r="SC7" s="320">
        <f t="shared" ref="SC7" ca="1" si="1919">VLOOKUP(SB7,NV4:OA40,2,FALSE)</f>
        <v>0</v>
      </c>
      <c r="SD7" s="320">
        <f t="shared" ref="SD7" ca="1" si="1920">VLOOKUP(SB7,NV4:OA40,3,FALSE)</f>
        <v>2</v>
      </c>
      <c r="SE7" s="320">
        <f t="shared" ref="SE7" ca="1" si="1921">VLOOKUP(SB7,NV4:OA40,4,FALSE)</f>
        <v>1</v>
      </c>
      <c r="SF7" s="320">
        <f t="shared" ref="SF7" ca="1" si="1922">VLOOKUP(SB7,NV4:OA40,5,FALSE)</f>
        <v>0</v>
      </c>
      <c r="SG7" s="320">
        <f t="shared" ref="SG7" ca="1" si="1923">VLOOKUP(SB7,NV4:OA40,6,FALSE)</f>
        <v>1</v>
      </c>
      <c r="SH7" s="320">
        <f t="shared" ca="1" si="27"/>
        <v>999</v>
      </c>
      <c r="SI7" s="320">
        <f t="shared" ca="1" si="28"/>
        <v>2</v>
      </c>
      <c r="SJ7" s="319">
        <f ca="1">VLOOKUP(SB7,B4:J40,9,FALSE)</f>
        <v>50</v>
      </c>
      <c r="SK7" s="319">
        <f t="shared" ref="SK7" ca="1" si="1924">RANK(SI7,SI3:SI8)</f>
        <v>4</v>
      </c>
      <c r="SL7" s="319">
        <f t="shared" ref="SL7" ca="1" si="1925">SUMPRODUCT((SK3:SK8=SK7)*(SH3:SH8&gt;SH7))</f>
        <v>0</v>
      </c>
      <c r="SM7" s="319">
        <f t="shared" ref="SM7" ca="1" si="1926">SUMPRODUCT((SK3:SK8=SK7)*(SH3:SH8=SH7)*(SF3:SF8&gt;SF7))</f>
        <v>0</v>
      </c>
      <c r="SN7" s="319">
        <f t="shared" ref="SN7" ca="1" si="1927">SUMPRODUCT((SK3:SK8=SK7)*(SH3:SH8=SH7)*(SF3:SF8=SF7)*(SJ3:SJ8&gt;SJ7))</f>
        <v>0</v>
      </c>
      <c r="SO7" s="319">
        <f t="shared" ca="1" si="33"/>
        <v>4</v>
      </c>
      <c r="SP7" s="319" t="s">
        <v>105</v>
      </c>
      <c r="SQ7" s="319">
        <v>5</v>
      </c>
      <c r="SR7" s="319"/>
      <c r="SS7" s="319">
        <f t="shared" ref="SS7" ca="1" si="1928">VLOOKUP(ST7,WO4:WP8,2,FALSE)</f>
        <v>2</v>
      </c>
      <c r="ST7" s="319" t="str">
        <f t="shared" si="224"/>
        <v>Switzerland</v>
      </c>
      <c r="SU7" s="319">
        <f t="shared" ref="SU7" ca="1" si="1929">SUMPRODUCT((WR3:WR42=ST7)*(WV3:WV42="W"))+SUMPRODUCT((WU3:WU42=ST7)*(WW3:WW42="W"))</f>
        <v>1</v>
      </c>
      <c r="SV7" s="319">
        <f t="shared" ref="SV7" ca="1" si="1930">SUMPRODUCT((WR3:WR42=ST7)*(WV3:WV42="D"))+SUMPRODUCT((WU3:WU42=ST7)*(WW3:WW42="D"))</f>
        <v>2</v>
      </c>
      <c r="SW7" s="319">
        <f t="shared" ref="SW7" ca="1" si="1931">SUMPRODUCT((WR3:WR42=ST7)*(WV3:WV42="L"))+SUMPRODUCT((WU3:WU42=ST7)*(WW3:WW42="L"))</f>
        <v>0</v>
      </c>
      <c r="SX7" s="319">
        <f t="shared" ref="SX7" ca="1" si="1932">SUMIF(WR3:WR60,ST7,WS3:WS60)+SUMIF(WU3:WU60,ST7,WT3:WT60)</f>
        <v>5</v>
      </c>
      <c r="SY7" s="319">
        <f t="shared" ref="SY7" ca="1" si="1933">SUMIF(WU3:WU60,ST7,WS3:WS60)+SUMIF(WR3:WR60,ST7,WT3:WT60)</f>
        <v>4</v>
      </c>
      <c r="SZ7" s="319">
        <f t="shared" ca="1" si="230"/>
        <v>1001</v>
      </c>
      <c r="TA7" s="319">
        <f t="shared" ca="1" si="231"/>
        <v>5</v>
      </c>
      <c r="TB7" s="319">
        <f t="shared" si="690"/>
        <v>34</v>
      </c>
      <c r="TC7" s="319">
        <f t="shared" ref="TC7" ca="1" si="1934">IF(COUNTIF(TA4:TA8,4)&lt;&gt;4,RANK(TA7,TA4:TA8),TA47)</f>
        <v>2</v>
      </c>
      <c r="TD7" s="319"/>
      <c r="TE7" s="319">
        <f t="shared" ref="TE7" ca="1" si="1935">SUMPRODUCT((TC4:TC7=TC7)*(TB4:TB7&lt;TB7))+TC7</f>
        <v>2</v>
      </c>
      <c r="TF7" s="319" t="str">
        <f t="shared" ref="TF7" ca="1" si="1936">INDEX(ST4:ST8,MATCH(4,TE4:TE8,0),0)</f>
        <v>Hungary</v>
      </c>
      <c r="TG7" s="319">
        <f t="shared" ref="TG7" ca="1" si="1937">INDEX(TC4:TC8,MATCH(TF7,ST4:ST8,0),0)</f>
        <v>4</v>
      </c>
      <c r="TH7" s="319" t="str">
        <f t="shared" ca="1" si="1254"/>
        <v/>
      </c>
      <c r="TI7" s="319" t="str">
        <f t="shared" ca="1" si="1255"/>
        <v/>
      </c>
      <c r="TJ7" s="319"/>
      <c r="TK7" s="319"/>
      <c r="TL7" s="319"/>
      <c r="TM7" s="319" t="str">
        <f t="shared" ca="1" si="240"/>
        <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t="str">
        <f t="shared" ca="1" si="247"/>
        <v/>
      </c>
      <c r="TU7" s="319" t="str">
        <f t="shared" ref="TU7" ca="1" si="1943">IF(TM7&lt;&gt;"",VLOOKUP(TM7,ST4:SZ40,7,FALSE),"")</f>
        <v/>
      </c>
      <c r="TV7" s="319" t="str">
        <f t="shared" ref="TV7" ca="1" si="1944">IF(TM7&lt;&gt;"",VLOOKUP(TM7,ST4:SZ40,5,FALSE),"")</f>
        <v/>
      </c>
      <c r="TW7" s="319" t="str">
        <f t="shared" ref="TW7" ca="1" si="1945">IF(TM7&lt;&gt;"",VLOOKUP(TM7,ST4:TB40,9,FALSE),"")</f>
        <v/>
      </c>
      <c r="TX7" s="319" t="str">
        <f t="shared" ca="1" si="251"/>
        <v/>
      </c>
      <c r="TY7" s="319" t="str">
        <f t="shared" ref="TY7" ca="1" si="1946">IF(TM7&lt;&gt;"",RANK(TX7,TX4:TX8),"")</f>
        <v/>
      </c>
      <c r="TZ7" s="319" t="str">
        <f t="shared" ref="TZ7" ca="1" si="1947">IF(TM7&lt;&gt;"",SUMPRODUCT((TX4:TX8=TX7)*(TS4:TS8&gt;TS7)),"")</f>
        <v/>
      </c>
      <c r="UA7" s="319" t="str">
        <f t="shared" ref="UA7" ca="1" si="1948">IF(TM7&lt;&gt;"",SUMPRODUCT((TX4:TX8=TX7)*(TS4:TS8=TS7)*(TQ4:TQ8&gt;TQ7)),"")</f>
        <v/>
      </c>
      <c r="UB7" s="319" t="str">
        <f t="shared" ref="UB7" ca="1" si="1949">IF(TM7&lt;&gt;"",SUMPRODUCT((TX4:TX8=TX7)*(TS4:TS8=TS7)*(TQ4:TQ8=TQ7)*(TU4:TU8&gt;TU7)),"")</f>
        <v/>
      </c>
      <c r="UC7" s="319" t="str">
        <f t="shared" ref="UC7" ca="1" si="1950">IF(TM7&lt;&gt;"",SUMPRODUCT((TX4:TX8=TX7)*(TS4:TS8=TS7)*(TQ4:TQ8=TQ7)*(TU4:TU8=TU7)*(TV4:TV8&gt;TV7)),"")</f>
        <v/>
      </c>
      <c r="UD7" s="319" t="str">
        <f t="shared" ref="UD7" ca="1" si="1951">IF(TM7&lt;&gt;"",SUMPRODUCT((TX4:TX8=TX7)*(TS4:TS8=TS7)*(TQ4:TQ8=TQ7)*(TU4:TU8=TU7)*(TV4:TV8=TV7)*(TW4:TW8&gt;TW7)),"")</f>
        <v/>
      </c>
      <c r="UE7" s="319" t="str">
        <f ca="1">IF(TM7&lt;&gt;"",IF(UE47&lt;&gt;"",IF(TL43=3,UE47,UE47+TL43),SUM(TY7:UD7)),"")</f>
        <v/>
      </c>
      <c r="UF7" s="319" t="str">
        <f t="shared" ref="UF7" ca="1" si="1952">IF(TM7&lt;&gt;"",INDEX(TM4:TM8,MATCH(4,UE4:UE8,0),0),"")</f>
        <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Hungary</v>
      </c>
      <c r="WP7" s="319">
        <v>4</v>
      </c>
      <c r="WQ7" s="319">
        <v>5</v>
      </c>
      <c r="WR7" s="319" t="str">
        <f t="shared" si="34"/>
        <v>Serbia</v>
      </c>
      <c r="WS7" s="322">
        <f ca="1">IF(OFFSET('Player Game Board'!P14,0,WS1)&lt;&gt;"",OFFSET('Player Game Board'!P14,0,WS1),0)</f>
        <v>0</v>
      </c>
      <c r="WT7" s="322">
        <f ca="1">IF(OFFSET('Player Game Board'!Q14,0,WS1)&lt;&gt;"",OFFSET('Player Game Board'!Q14,0,WS1),0)</f>
        <v>2</v>
      </c>
      <c r="WU7" s="319" t="str">
        <f t="shared" si="35"/>
        <v>England</v>
      </c>
      <c r="WV7" s="319" t="str">
        <f ca="1">IF(AND(OFFSET('Player Game Board'!P14,0,WS1)&lt;&gt;"",OFFSET('Player Game Board'!Q14,0,WS1)&lt;&gt;""),IF(WS7&gt;WT7,"W",IF(WS7=WT7,"D","L")),"")</f>
        <v>L</v>
      </c>
      <c r="WW7" s="319" t="str">
        <f t="shared" ca="1" si="36"/>
        <v>W</v>
      </c>
      <c r="WX7" s="319"/>
      <c r="WY7" s="319"/>
      <c r="WZ7" s="319" t="str">
        <f t="shared" ref="WZ7" ca="1" si="2004">VLOOKUP(3,SS31:ST34,2,FALSE)</f>
        <v>Ukraine</v>
      </c>
      <c r="XA7" s="320">
        <f t="shared" ref="XA7" ca="1" si="2005">VLOOKUP(WZ7,ST4:SY40,2,FALSE)</f>
        <v>1</v>
      </c>
      <c r="XB7" s="320">
        <f t="shared" ref="XB7" ca="1" si="2006">VLOOKUP(WZ7,ST4:SY40,3,FALSE)</f>
        <v>1</v>
      </c>
      <c r="XC7" s="320">
        <f t="shared" ref="XC7" ca="1" si="2007">VLOOKUP(WZ7,ST4:SY40,4,FALSE)</f>
        <v>1</v>
      </c>
      <c r="XD7" s="320">
        <f t="shared" ref="XD7" ca="1" si="2008">VLOOKUP(WZ7,ST4:SY40,5,FALSE)</f>
        <v>1</v>
      </c>
      <c r="XE7" s="320">
        <f t="shared" ref="XE7" ca="1" si="2009">VLOOKUP(WZ7,ST4:SY40,6,FALSE)</f>
        <v>2</v>
      </c>
      <c r="XF7" s="320">
        <f t="shared" ca="1" si="43"/>
        <v>999</v>
      </c>
      <c r="XG7" s="320">
        <f t="shared" ca="1" si="44"/>
        <v>4</v>
      </c>
      <c r="XH7" s="319">
        <f ca="1">VLOOKUP(WZ7,B4:J40,9,FALSE)</f>
        <v>0</v>
      </c>
      <c r="XI7" s="319">
        <f t="shared" ref="XI7" ca="1" si="2010">RANK(XG7,XG3:XG8)</f>
        <v>1</v>
      </c>
      <c r="XJ7" s="319">
        <f t="shared" ref="XJ7" ca="1" si="2011">SUMPRODUCT((XI3:XI8=XI7)*(XF3:XF8&gt;XF7))</f>
        <v>1</v>
      </c>
      <c r="XK7" s="319">
        <f t="shared" ref="XK7" ca="1" si="2012">SUMPRODUCT((XI3:XI8=XI7)*(XF3:XF8=XF7)*(XD3:XD8&gt;XD7))</f>
        <v>0</v>
      </c>
      <c r="XL7" s="319">
        <f t="shared" ref="XL7" ca="1" si="2013">SUMPRODUCT((XI3:XI8=XI7)*(XF3:XF8=XF7)*(XD3:XD8=XD7)*(XH3:XH8&gt;XH7))</f>
        <v>0</v>
      </c>
      <c r="XM7" s="319">
        <f t="shared" ca="1" si="49"/>
        <v>2</v>
      </c>
      <c r="XN7" s="319" t="s">
        <v>105</v>
      </c>
      <c r="XO7" s="319">
        <v>5</v>
      </c>
      <c r="XP7" s="319"/>
      <c r="XQ7" s="319">
        <f t="shared" ref="XQ7" ca="1" si="2014">VLOOKUP(XR7,ABM4:ABN8,2,FALSE)</f>
        <v>3</v>
      </c>
      <c r="XR7" s="319" t="str">
        <f t="shared" si="271"/>
        <v>Switzerland</v>
      </c>
      <c r="XS7" s="319">
        <f t="shared" ref="XS7" ca="1" si="2015">SUMPRODUCT((ABP3:ABP42=XR7)*(ABT3:ABT42="W"))+SUMPRODUCT((ABS3:ABS42=XR7)*(ABU3:ABU42="W"))</f>
        <v>1</v>
      </c>
      <c r="XT7" s="319">
        <f t="shared" ref="XT7" ca="1" si="2016">SUMPRODUCT((ABP3:ABP42=XR7)*(ABT3:ABT42="D"))+SUMPRODUCT((ABS3:ABS42=XR7)*(ABU3:ABU42="D"))</f>
        <v>0</v>
      </c>
      <c r="XU7" s="319">
        <f t="shared" ref="XU7" ca="1" si="2017">SUMPRODUCT((ABP3:ABP42=XR7)*(ABT3:ABT42="L"))+SUMPRODUCT((ABS3:ABS42=XR7)*(ABU3:ABU42="L"))</f>
        <v>2</v>
      </c>
      <c r="XV7" s="319">
        <f t="shared" ref="XV7" ca="1" si="2018">SUMIF(ABP3:ABP60,XR7,ABQ3:ABQ60)+SUMIF(ABS3:ABS60,XR7,ABR3:ABR60)</f>
        <v>4</v>
      </c>
      <c r="XW7" s="319">
        <f t="shared" ref="XW7" ca="1" si="2019">SUMIF(ABS3:ABS60,XR7,ABQ3:ABQ60)+SUMIF(ABP3:ABP60,XR7,ABR3:ABR60)</f>
        <v>6</v>
      </c>
      <c r="XX7" s="319">
        <f t="shared" ca="1" si="277"/>
        <v>998</v>
      </c>
      <c r="XY7" s="319">
        <f t="shared" ca="1" si="278"/>
        <v>3</v>
      </c>
      <c r="XZ7" s="319">
        <f t="shared" si="750"/>
        <v>34</v>
      </c>
      <c r="YA7" s="319">
        <f t="shared" ref="YA7" ca="1" si="2020">IF(COUNTIF(XY4:XY8,4)&lt;&gt;4,RANK(XY7,XY4:XY8),XY47)</f>
        <v>3</v>
      </c>
      <c r="YB7" s="319"/>
      <c r="YC7" s="319">
        <f t="shared" ref="YC7" ca="1" si="2021">SUMPRODUCT((YA4:YA7=YA7)*(XZ4:XZ7&lt;XZ7))+YA7</f>
        <v>3</v>
      </c>
      <c r="YD7" s="319" t="str">
        <f t="shared" ref="YD7" ca="1" si="2022">INDEX(XR4:XR8,MATCH(4,YC4:YC8,0),0)</f>
        <v>Hungary</v>
      </c>
      <c r="YE7" s="319">
        <f t="shared" ref="YE7" ca="1" si="2023">INDEX(YA4:YA8,MATCH(YD7,XR4:XR8,0),0)</f>
        <v>4</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0</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0</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0</v>
      </c>
      <c r="AAE7" s="319">
        <f t="shared" ca="1" si="1367"/>
        <v>1000</v>
      </c>
      <c r="AAF7" s="319" t="str">
        <f t="shared" ca="1" si="1368"/>
        <v/>
      </c>
      <c r="AAG7" s="319" t="str">
        <f t="shared" ref="AAG7" ca="1" si="2059">IF(ZY7&lt;&gt;"",VLOOKUP(ZY7,XR4:XX40,7,FALSE),"")</f>
        <v/>
      </c>
      <c r="AAH7" s="319" t="str">
        <f t="shared" ref="AAH7" ca="1" si="2060">IF(ZY7&lt;&gt;"",VLOOKUP(ZY7,XR4:XX40,5,FALSE),"")</f>
        <v/>
      </c>
      <c r="AAI7" s="319" t="str">
        <f t="shared" ref="AAI7" ca="1" si="2061">IF(ZY7&lt;&gt;"",VLOOKUP(ZY7,XR4:XZ40,9,FALSE),"")</f>
        <v/>
      </c>
      <c r="AAJ7" s="319" t="str">
        <f t="shared" ca="1" si="1372"/>
        <v/>
      </c>
      <c r="AAK7" s="319" t="str">
        <f t="shared" ref="AAK7" ca="1" si="2062">IF(ZY7&lt;&gt;"",RANK(AAJ7,AAJ4:AAJ8),"")</f>
        <v/>
      </c>
      <c r="AAL7" s="319" t="str">
        <f t="shared" ref="AAL7" ca="1" si="2063">IF(ZY7&lt;&gt;"",SUMPRODUCT((AAJ4:AAJ8=AAJ7)*(AAE4:AAE8&gt;AAE7)),"")</f>
        <v/>
      </c>
      <c r="AAM7" s="319" t="str">
        <f t="shared" ref="AAM7" ca="1" si="2064">IF(ZY7&lt;&gt;"",SUMPRODUCT((AAJ4:AAJ8=AAJ7)*(AAE4:AAE8=AAE7)*(AAC4:AAC8&gt;AAC7)),"")</f>
        <v/>
      </c>
      <c r="AAN7" s="319" t="str">
        <f t="shared" ref="AAN7" ca="1" si="2065">IF(ZY7&lt;&gt;"",SUMPRODUCT((AAJ4:AAJ8=AAJ7)*(AAE4:AAE8=AAE7)*(AAC4:AAC8=AAC7)*(AAG4:AAG8&gt;AAG7)),"")</f>
        <v/>
      </c>
      <c r="AAO7" s="319" t="str">
        <f t="shared" ref="AAO7" ca="1" si="2066">IF(ZY7&lt;&gt;"",SUMPRODUCT((AAJ4:AAJ8=AAJ7)*(AAE4:AAE8=AAE7)*(AAC4:AAC8=AAC7)*(AAG4:AAG8=AAG7)*(AAH4:AAH8&gt;AAH7)),"")</f>
        <v/>
      </c>
      <c r="AAP7" s="319" t="str">
        <f t="shared" ref="AAP7" ca="1" si="2067">IF(ZY7&lt;&gt;"",SUMPRODUCT((AAJ4:AAJ8=AAJ7)*(AAE4:AAE8=AAE7)*(AAC4:AAC8=AAC7)*(AAG4:AAG8=AAG7)*(AAH4:AAH8=AAH7)*(AAI4:AAI8&gt;AAI7)),"")</f>
        <v/>
      </c>
      <c r="AAQ7" s="319" t="str">
        <f t="shared" ca="1" si="1379"/>
        <v/>
      </c>
      <c r="AAR7" s="319" t="str">
        <f t="shared" ref="AAR7" ca="1" si="2068">IF(ZY7&lt;&gt;"",INDEX(ZY6:ZY8,MATCH(4,AAQ6:AAQ8,0),0),"")</f>
        <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2</v>
      </c>
      <c r="ABR7" s="322">
        <f ca="1">IF(OFFSET('Player Game Board'!Q14,0,ABQ1)&lt;&gt;"",OFFSET('Player Game Board'!Q14,0,ABQ1),0)</f>
        <v>2</v>
      </c>
      <c r="ABS7" s="319" t="str">
        <f t="shared" si="51"/>
        <v>England</v>
      </c>
      <c r="ABT7" s="319" t="str">
        <f ca="1">IF(AND(OFFSET('Player Game Board'!P14,0,ABQ1)&lt;&gt;"",OFFSET('Player Game Board'!Q14,0,ABQ1)&lt;&gt;""),IF(ABQ7&gt;ABR7,"W",IF(ABQ7=ABR7,"D","L")),"")</f>
        <v>D</v>
      </c>
      <c r="ABU7" s="319" t="str">
        <f t="shared" ca="1" si="52"/>
        <v>D</v>
      </c>
      <c r="ABV7" s="319"/>
      <c r="ABW7" s="319"/>
      <c r="ABX7" s="319" t="str">
        <f t="shared" ref="ABX7" ca="1" si="2090">VLOOKUP(3,XQ31:XR34,2,FALSE)</f>
        <v>Romania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2</v>
      </c>
      <c r="ACC7" s="320">
        <f t="shared" ref="ACC7" ca="1" si="2095">VLOOKUP(ABX7,XR4:XW40,6,FALSE)</f>
        <v>5</v>
      </c>
      <c r="ACD7" s="320">
        <f t="shared" ca="1" si="59"/>
        <v>997</v>
      </c>
      <c r="ACE7" s="320">
        <f t="shared" ca="1" si="60"/>
        <v>2</v>
      </c>
      <c r="ACF7" s="319">
        <f ca="1">VLOOKUP(ABX7,B4:J40,9,FALSE)</f>
        <v>46</v>
      </c>
      <c r="ACG7" s="319">
        <f t="shared" ref="ACG7" ca="1" si="2096">RANK(ACE7,ACE3:ACE8)</f>
        <v>5</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5</v>
      </c>
      <c r="ACL7" s="319" t="s">
        <v>105</v>
      </c>
      <c r="ACM7" s="319">
        <v>5</v>
      </c>
      <c r="ACN7" s="319"/>
      <c r="ACO7" s="319">
        <f t="shared" ref="ACO7" ca="1" si="2100">VLOOKUP(ACP7,AGK4:AGL8,2,FALSE)</f>
        <v>2</v>
      </c>
      <c r="ACP7" s="319" t="str">
        <f t="shared" si="318"/>
        <v>Switzerland</v>
      </c>
      <c r="ACQ7" s="319">
        <f t="shared" ref="ACQ7" ca="1" si="2101">SUMPRODUCT((AGN3:AGN42=ACP7)*(AGR3:AGR42="W"))+SUMPRODUCT((AGQ3:AGQ42=ACP7)*(AGS3:AGS42="W"))</f>
        <v>1</v>
      </c>
      <c r="ACR7" s="319">
        <f t="shared" ref="ACR7" ca="1" si="2102">SUMPRODUCT((AGN3:AGN42=ACP7)*(AGR3:AGR42="D"))+SUMPRODUCT((AGQ3:AGQ42=ACP7)*(AGS3:AGS42="D"))</f>
        <v>1</v>
      </c>
      <c r="ACS7" s="319">
        <f t="shared" ref="ACS7" ca="1" si="2103">SUMPRODUCT((AGN3:AGN42=ACP7)*(AGR3:AGR42="L"))+SUMPRODUCT((AGQ3:AGQ42=ACP7)*(AGS3:AGS42="L"))</f>
        <v>1</v>
      </c>
      <c r="ACT7" s="319">
        <f t="shared" ref="ACT7" ca="1" si="2104">SUMIF(AGN3:AGN60,ACP7,AGO3:AGO60)+SUMIF(AGQ3:AGQ60,ACP7,AGP3:AGP60)</f>
        <v>4</v>
      </c>
      <c r="ACU7" s="319">
        <f t="shared" ref="ACU7" ca="1" si="2105">SUMIF(AGQ3:AGQ60,ACP7,AGO3:AGO60)+SUMIF(AGN3:AGN60,ACP7,AGP3:AGP60)</f>
        <v>4</v>
      </c>
      <c r="ACV7" s="319">
        <f t="shared" ca="1" si="324"/>
        <v>1000</v>
      </c>
      <c r="ACW7" s="319">
        <f t="shared" ca="1" si="325"/>
        <v>4</v>
      </c>
      <c r="ACX7" s="319">
        <f t="shared" si="810"/>
        <v>34</v>
      </c>
      <c r="ACY7" s="319">
        <f t="shared" ref="ACY7" ca="1" si="2106">IF(COUNTIF(ACW4:ACW8,4)&lt;&gt;4,RANK(ACW7,ACW4:ACW8),ACW47)</f>
        <v>2</v>
      </c>
      <c r="ACZ7" s="319"/>
      <c r="ADA7" s="319">
        <f t="shared" ref="ADA7" ca="1" si="2107">SUMPRODUCT((ACY4:ACY7=ACY7)*(ACX4:ACX7&lt;ACX7))+ACY7</f>
        <v>2</v>
      </c>
      <c r="ADB7" s="319" t="str">
        <f t="shared" ref="ADB7" ca="1" si="2108">INDEX(ACP4:ACP8,MATCH(4,ADA4:ADA8,0),0)</f>
        <v>Hungary</v>
      </c>
      <c r="ADC7" s="319">
        <f t="shared" ref="ADC7" ca="1" si="2109">INDEX(ACY4:ACY8,MATCH(ADB7,ACP4:ACP8,0),0)</f>
        <v>4</v>
      </c>
      <c r="ADD7" s="319" t="str">
        <f t="shared" ca="1" si="1402"/>
        <v/>
      </c>
      <c r="ADE7" s="319" t="str">
        <f t="shared" ca="1" si="1403"/>
        <v/>
      </c>
      <c r="ADF7" s="319"/>
      <c r="ADG7" s="319"/>
      <c r="ADH7" s="319"/>
      <c r="ADI7" s="319" t="str">
        <f t="shared" ca="1" si="334"/>
        <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t="str">
        <f t="shared" ca="1" si="341"/>
        <v/>
      </c>
      <c r="ADQ7" s="319" t="str">
        <f t="shared" ref="ADQ7" ca="1" si="2115">IF(ADI7&lt;&gt;"",VLOOKUP(ADI7,ACP4:ACV40,7,FALSE),"")</f>
        <v/>
      </c>
      <c r="ADR7" s="319" t="str">
        <f t="shared" ref="ADR7" ca="1" si="2116">IF(ADI7&lt;&gt;"",VLOOKUP(ADI7,ACP4:ACV40,5,FALSE),"")</f>
        <v/>
      </c>
      <c r="ADS7" s="319" t="str">
        <f t="shared" ref="ADS7" ca="1" si="2117">IF(ADI7&lt;&gt;"",VLOOKUP(ADI7,ACP4:ACX40,9,FALSE),"")</f>
        <v/>
      </c>
      <c r="ADT7" s="319" t="str">
        <f t="shared" ca="1" si="345"/>
        <v/>
      </c>
      <c r="ADU7" s="319" t="str">
        <f t="shared" ref="ADU7" ca="1" si="2118">IF(ADI7&lt;&gt;"",RANK(ADT7,ADT4:ADT8),"")</f>
        <v/>
      </c>
      <c r="ADV7" s="319" t="str">
        <f t="shared" ref="ADV7" ca="1" si="2119">IF(ADI7&lt;&gt;"",SUMPRODUCT((ADT4:ADT8=ADT7)*(ADO4:ADO8&gt;ADO7)),"")</f>
        <v/>
      </c>
      <c r="ADW7" s="319" t="str">
        <f t="shared" ref="ADW7" ca="1" si="2120">IF(ADI7&lt;&gt;"",SUMPRODUCT((ADT4:ADT8=ADT7)*(ADO4:ADO8=ADO7)*(ADM4:ADM8&gt;ADM7)),"")</f>
        <v/>
      </c>
      <c r="ADX7" s="319" t="str">
        <f t="shared" ref="ADX7" ca="1" si="2121">IF(ADI7&lt;&gt;"",SUMPRODUCT((ADT4:ADT8=ADT7)*(ADO4:ADO8=ADO7)*(ADM4:ADM8=ADM7)*(ADQ4:ADQ8&gt;ADQ7)),"")</f>
        <v/>
      </c>
      <c r="ADY7" s="319" t="str">
        <f t="shared" ref="ADY7" ca="1" si="2122">IF(ADI7&lt;&gt;"",SUMPRODUCT((ADT4:ADT8=ADT7)*(ADO4:ADO8=ADO7)*(ADM4:ADM8=ADM7)*(ADQ4:ADQ8=ADQ7)*(ADR4:ADR8&gt;ADR7)),"")</f>
        <v/>
      </c>
      <c r="ADZ7" s="319" t="str">
        <f t="shared" ref="ADZ7" ca="1" si="2123">IF(ADI7&lt;&gt;"",SUMPRODUCT((ADT4:ADT8=ADT7)*(ADO4:ADO8=ADO7)*(ADM4:ADM8=ADM7)*(ADQ4:ADQ8=ADQ7)*(ADR4:ADR8=ADR7)*(ADS4:ADS8&gt;ADS7)),"")</f>
        <v/>
      </c>
      <c r="AEA7" s="319" t="str">
        <f ca="1">IF(ADI7&lt;&gt;"",IF(AEA47&lt;&gt;"",IF(ADH43=3,AEA47,AEA47+ADH43),SUM(ADU7:ADZ7)),"")</f>
        <v/>
      </c>
      <c r="AEB7" s="319" t="str">
        <f t="shared" ref="AEB7" ca="1" si="2124">IF(ADI7&lt;&gt;"",INDEX(ADI4:ADI8,MATCH(4,AEA4:AEA8,0),0),"")</f>
        <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Hungary</v>
      </c>
      <c r="AGL7" s="319">
        <v>4</v>
      </c>
      <c r="AGM7" s="319">
        <v>5</v>
      </c>
      <c r="AGN7" s="319" t="str">
        <f t="shared" si="66"/>
        <v>Serbia</v>
      </c>
      <c r="AGO7" s="322">
        <f ca="1">IF(OFFSET('Player Game Board'!P14,0,AGO1)&lt;&gt;"",OFFSET('Player Game Board'!P14,0,AGO1),0)</f>
        <v>1</v>
      </c>
      <c r="AGP7" s="322">
        <f ca="1">IF(OFFSET('Player Game Board'!Q14,0,AGO1)&lt;&gt;"",OFFSET('Player Game Board'!Q14,0,AGO1),0)</f>
        <v>3</v>
      </c>
      <c r="AGQ7" s="319" t="str">
        <f t="shared" si="67"/>
        <v>England</v>
      </c>
      <c r="AGR7" s="319" t="str">
        <f ca="1">IF(AND(OFFSET('Player Game Board'!P14,0,AGO1)&lt;&gt;"",OFFSET('Player Game Board'!Q14,0,AGO1)&lt;&gt;""),IF(AGO7&gt;AGP7,"W",IF(AGO7=AGP7,"D","L")),"")</f>
        <v>L</v>
      </c>
      <c r="AGS7" s="319" t="str">
        <f t="shared" ca="1" si="68"/>
        <v>W</v>
      </c>
      <c r="AGT7" s="319"/>
      <c r="AGU7" s="319"/>
      <c r="AGV7" s="319" t="str">
        <f t="shared" ref="AGV7" ca="1" si="2176">VLOOKUP(3,ACO31:ACP34,2,FALSE)</f>
        <v>Romania</v>
      </c>
      <c r="AGW7" s="320">
        <f t="shared" ref="AGW7" ca="1" si="2177">VLOOKUP(AGV7,ACP4:ACU40,2,FALSE)</f>
        <v>0</v>
      </c>
      <c r="AGX7" s="320">
        <f t="shared" ref="AGX7" ca="1" si="2178">VLOOKUP(AGV7,ACP4:ACU40,3,FALSE)</f>
        <v>1</v>
      </c>
      <c r="AGY7" s="320">
        <f t="shared" ref="AGY7" ca="1" si="2179">VLOOKUP(AGV7,ACP4:ACU40,4,FALSE)</f>
        <v>2</v>
      </c>
      <c r="AGZ7" s="320">
        <f t="shared" ref="AGZ7" ca="1" si="2180">VLOOKUP(AGV7,ACP4:ACU40,5,FALSE)</f>
        <v>2</v>
      </c>
      <c r="AHA7" s="320">
        <f t="shared" ref="AHA7" ca="1" si="2181">VLOOKUP(AGV7,ACP4:ACU40,6,FALSE)</f>
        <v>5</v>
      </c>
      <c r="AHB7" s="320">
        <f t="shared" ca="1" si="75"/>
        <v>997</v>
      </c>
      <c r="AHC7" s="320">
        <f t="shared" ca="1" si="76"/>
        <v>1</v>
      </c>
      <c r="AHD7" s="319">
        <f ca="1">VLOOKUP(AGV7,B4:J40,9,FALSE)</f>
        <v>46</v>
      </c>
      <c r="AHE7" s="319">
        <f t="shared" ref="AHE7" ca="1" si="2182">RANK(AHC7,AHC3:AHC8)</f>
        <v>6</v>
      </c>
      <c r="AHF7" s="319">
        <f t="shared" ref="AHF7" ca="1" si="2183">SUMPRODUCT((AHE3:AHE8=AHE7)*(AHB3:AHB8&gt;AHB7))</f>
        <v>0</v>
      </c>
      <c r="AHG7" s="319">
        <f t="shared" ref="AHG7" ca="1" si="2184">SUMPRODUCT((AHE3:AHE8=AHE7)*(AHB3:AHB8=AHB7)*(AGZ3:AGZ8&gt;AGZ7))</f>
        <v>0</v>
      </c>
      <c r="AHH7" s="319">
        <f t="shared" ref="AHH7" ca="1" si="2185">SUMPRODUCT((AHE3:AHE8=AHE7)*(AHB3:AHB8=AHB7)*(AGZ3:AGZ8=AGZ7)*(AHD3:AHD8&gt;AHD7))</f>
        <v>0</v>
      </c>
      <c r="AHI7" s="319">
        <f t="shared" ca="1" si="81"/>
        <v>6</v>
      </c>
      <c r="AHJ7" s="319" t="s">
        <v>105</v>
      </c>
      <c r="AHK7" s="319">
        <v>5</v>
      </c>
      <c r="AHL7" s="319"/>
      <c r="AHM7" s="319">
        <f t="shared" ref="AHM7" ca="1" si="2186">VLOOKUP(AHN7,ALI4:ALJ8,2,FALSE)</f>
        <v>4</v>
      </c>
      <c r="AHN7" s="319" t="str">
        <f t="shared" si="365"/>
        <v>Switzerland</v>
      </c>
      <c r="AHO7" s="319">
        <f t="shared" ref="AHO7" ca="1" si="2187">SUMPRODUCT((ALL3:ALL42=AHN7)*(ALP3:ALP42="W"))+SUMPRODUCT((ALO3:ALO42=AHN7)*(ALQ3:ALQ42="W"))</f>
        <v>0</v>
      </c>
      <c r="AHP7" s="319">
        <f t="shared" ref="AHP7" ca="1" si="2188">SUMPRODUCT((ALL3:ALL42=AHN7)*(ALP3:ALP42="D"))+SUMPRODUCT((ALO3:ALO42=AHN7)*(ALQ3:ALQ42="D"))</f>
        <v>0</v>
      </c>
      <c r="AHQ7" s="319">
        <f t="shared" ref="AHQ7" ca="1" si="2189">SUMPRODUCT((ALL3:ALL42=AHN7)*(ALP3:ALP42="L"))+SUMPRODUCT((ALO3:ALO42=AHN7)*(ALQ3:ALQ42="L"))</f>
        <v>0</v>
      </c>
      <c r="AHR7" s="319">
        <f t="shared" ref="AHR7" ca="1" si="2190">SUMIF(ALL3:ALL60,AHN7,ALM3:ALM60)+SUMIF(ALO3:ALO60,AHN7,ALN3:ALN60)</f>
        <v>0</v>
      </c>
      <c r="AHS7" s="319">
        <f t="shared" ref="AHS7" ca="1" si="2191">SUMIF(ALO3:ALO60,AHN7,ALM3:ALM60)+SUMIF(ALL3:ALL60,AHN7,ALN3:ALN60)</f>
        <v>0</v>
      </c>
      <c r="AHT7" s="319">
        <f t="shared" ca="1" si="371"/>
        <v>1000</v>
      </c>
      <c r="AHU7" s="319">
        <f t="shared" ca="1" si="372"/>
        <v>0</v>
      </c>
      <c r="AHV7" s="319">
        <f t="shared" si="870"/>
        <v>34</v>
      </c>
      <c r="AHW7" s="319">
        <f t="shared" ref="AHW7" ca="1" si="2192">IF(COUNTIF(AHU4:AHU8,4)&lt;&gt;4,RANK(AHU7,AHU4:AHU8),AHU47)</f>
        <v>1</v>
      </c>
      <c r="AHX7" s="319"/>
      <c r="AHY7" s="319">
        <f t="shared" ref="AHY7" ca="1" si="2193">SUMPRODUCT((AHW4:AHW7=AHW7)*(AHV4:AHV7&lt;AHV7))+AHW7</f>
        <v>1</v>
      </c>
      <c r="AHZ7" s="319" t="str">
        <f t="shared" ref="AHZ7" ca="1" si="2194">INDEX(AHN4:AHN8,MATCH(4,AHY4:AHY8,0),0)</f>
        <v>Germany</v>
      </c>
      <c r="AIA7" s="319">
        <f t="shared" ref="AIA7" ca="1" si="2195">INDEX(AHW4:AHW8,MATCH(AHZ7,AHN4:AHN8,0),0)</f>
        <v>1</v>
      </c>
      <c r="AIB7" s="319" t="str">
        <f t="shared" ca="1" si="1476"/>
        <v>Germany</v>
      </c>
      <c r="AIC7" s="319" t="str">
        <f t="shared" ca="1" si="1477"/>
        <v/>
      </c>
      <c r="AID7" s="319"/>
      <c r="AIE7" s="319"/>
      <c r="AIF7" s="319"/>
      <c r="AIG7" s="319" t="str">
        <f t="shared" ca="1" si="381"/>
        <v>Germany</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f t="shared" ca="1" si="388"/>
        <v>0</v>
      </c>
      <c r="AIO7" s="319">
        <f t="shared" ref="AIO7" ca="1" si="2201">IF(AIG7&lt;&gt;"",VLOOKUP(AIG7,AHN4:AHT40,7,FALSE),"")</f>
        <v>1000</v>
      </c>
      <c r="AIP7" s="319">
        <f t="shared" ref="AIP7" ca="1" si="2202">IF(AIG7&lt;&gt;"",VLOOKUP(AIG7,AHN4:AHT40,5,FALSE),"")</f>
        <v>0</v>
      </c>
      <c r="AIQ7" s="319">
        <f t="shared" ref="AIQ7" ca="1" si="2203">IF(AIG7&lt;&gt;"",VLOOKUP(AIG7,AHN4:AHV40,9,FALSE),"")</f>
        <v>54</v>
      </c>
      <c r="AIR7" s="319">
        <f t="shared" ca="1" si="392"/>
        <v>0</v>
      </c>
      <c r="AIS7" s="319">
        <f t="shared" ref="AIS7" ca="1" si="2204">IF(AIG7&lt;&gt;"",RANK(AIR7,AIR4:AIR8),"")</f>
        <v>1</v>
      </c>
      <c r="AIT7" s="319">
        <f t="shared" ref="AIT7" ca="1" si="2205">IF(AIG7&lt;&gt;"",SUMPRODUCT((AIR4:AIR8=AIR7)*(AIM4:AIM8&gt;AIM7)),"")</f>
        <v>0</v>
      </c>
      <c r="AIU7" s="319">
        <f t="shared" ref="AIU7" ca="1" si="2206">IF(AIG7&lt;&gt;"",SUMPRODUCT((AIR4:AIR8=AIR7)*(AIM4:AIM8=AIM7)*(AIK4:AIK8&gt;AIK7)),"")</f>
        <v>0</v>
      </c>
      <c r="AIV7" s="319">
        <f t="shared" ref="AIV7" ca="1" si="2207">IF(AIG7&lt;&gt;"",SUMPRODUCT((AIR4:AIR8=AIR7)*(AIM4:AIM8=AIM7)*(AIK4:AIK8=AIK7)*(AIO4:AIO8&gt;AIO7)),"")</f>
        <v>0</v>
      </c>
      <c r="AIW7" s="319">
        <f t="shared" ref="AIW7" ca="1" si="2208">IF(AIG7&lt;&gt;"",SUMPRODUCT((AIR4:AIR8=AIR7)*(AIM4:AIM8=AIM7)*(AIK4:AIK8=AIK7)*(AIO4:AIO8=AIO7)*(AIP4:AIP8&gt;AIP7)),"")</f>
        <v>0</v>
      </c>
      <c r="AIX7" s="319">
        <f t="shared" ref="AIX7" ca="1" si="2209">IF(AIG7&lt;&gt;"",SUMPRODUCT((AIR4:AIR8=AIR7)*(AIM4:AIM8=AIM7)*(AIK4:AIK8=AIK7)*(AIO4:AIO8=AIO7)*(AIP4:AIP8=AIP7)*(AIQ4:AIQ8&gt;AIQ7)),"")</f>
        <v>0</v>
      </c>
      <c r="AIY7" s="319">
        <f ca="1">IF(AIG7&lt;&gt;"",IF(AIY47&lt;&gt;"",IF(AIF43=3,AIY47,AIY47+AIF43),SUM(AIS7:AIX7)),"")</f>
        <v>1</v>
      </c>
      <c r="AIZ7" s="319" t="str">
        <f t="shared" ref="AIZ7" ca="1" si="2210">IF(AIG7&lt;&gt;"",INDEX(AIG4:AIG8,MATCH(4,AIY4:AIY8,0),0),"")</f>
        <v>Switzerland</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0</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19">
        <f t="shared" ca="1" si="1515"/>
        <v>1000</v>
      </c>
      <c r="AKB7" s="319" t="str">
        <f t="shared" ca="1" si="1516"/>
        <v/>
      </c>
      <c r="AKC7" s="319" t="str">
        <f t="shared" ref="AKC7" ca="1" si="2231">IF(AJU7&lt;&gt;"",VLOOKUP(AJU7,AHN4:AHT40,7,FALSE),"")</f>
        <v/>
      </c>
      <c r="AKD7" s="319" t="str">
        <f t="shared" ref="AKD7" ca="1" si="2232">IF(AJU7&lt;&gt;"",VLOOKUP(AJU7,AHN4:AHT40,5,FALSE),"")</f>
        <v/>
      </c>
      <c r="AKE7" s="319" t="str">
        <f t="shared" ref="AKE7" ca="1" si="2233">IF(AJU7&lt;&gt;"",VLOOKUP(AJU7,AHN4:AHV40,9,FALSE),"")</f>
        <v/>
      </c>
      <c r="AKF7" s="319" t="str">
        <f t="shared" ca="1" si="1520"/>
        <v/>
      </c>
      <c r="AKG7" s="319" t="str">
        <f t="shared" ref="AKG7" ca="1" si="2234">IF(AJU7&lt;&gt;"",RANK(AKF7,AKF4:AKF8),"")</f>
        <v/>
      </c>
      <c r="AKH7" s="319" t="str">
        <f t="shared" ref="AKH7" ca="1" si="2235">IF(AJU7&lt;&gt;"",SUMPRODUCT((AKF4:AKF8=AKF7)*(AKA4:AKA8&gt;AKA7)),"")</f>
        <v/>
      </c>
      <c r="AKI7" s="319" t="str">
        <f t="shared" ref="AKI7" ca="1" si="2236">IF(AJU7&lt;&gt;"",SUMPRODUCT((AKF4:AKF8=AKF7)*(AKA4:AKA8=AKA7)*(AJY4:AJY8&gt;AJY7)),"")</f>
        <v/>
      </c>
      <c r="AKJ7" s="319" t="str">
        <f t="shared" ref="AKJ7" ca="1" si="2237">IF(AJU7&lt;&gt;"",SUMPRODUCT((AKF4:AKF8=AKF7)*(AKA4:AKA8=AKA7)*(AJY4:AJY8=AJY7)*(AKC4:AKC8&gt;AKC7)),"")</f>
        <v/>
      </c>
      <c r="AKK7" s="319" t="str">
        <f t="shared" ref="AKK7" ca="1" si="2238">IF(AJU7&lt;&gt;"",SUMPRODUCT((AKF4:AKF8=AKF7)*(AKA4:AKA8=AKA7)*(AJY4:AJY8=AJY7)*(AKC4:AKC8=AKC7)*(AKD4:AKD8&gt;AKD7)),"")</f>
        <v/>
      </c>
      <c r="AKL7" s="319" t="str">
        <f t="shared" ref="AKL7" ca="1" si="2239">IF(AJU7&lt;&gt;"",SUMPRODUCT((AKF4:AKF8=AKF7)*(AKA4:AKA8=AKA7)*(AJY4:AJY8=AJY7)*(AKC4:AKC8=AKC7)*(AKD4:AKD8=AKD7)*(AKE4:AKE8&gt;AKE7)),"")</f>
        <v/>
      </c>
      <c r="AKM7" s="319" t="str">
        <f t="shared" ca="1" si="1527"/>
        <v/>
      </c>
      <c r="AKN7" s="319" t="str">
        <f t="shared" ref="AKN7" ca="1" si="2240">IF(AJU7&lt;&gt;"",INDEX(AJU6:AJU8,MATCH(4,AKM6:AKM8,0),0),"")</f>
        <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Switzerland</v>
      </c>
      <c r="ALJ7" s="319">
        <v>4</v>
      </c>
      <c r="ALK7" s="319">
        <v>5</v>
      </c>
      <c r="ALL7" s="319" t="str">
        <f t="shared" si="82"/>
        <v>Serbia</v>
      </c>
      <c r="ALM7" s="322">
        <f ca="1">IF(OFFSET('Player Game Board'!P14,0,ALM1)&lt;&gt;"",OFFSET('Player Game Board'!P14,0,ALM1),0)</f>
        <v>0</v>
      </c>
      <c r="ALN7" s="322">
        <f ca="1">IF(OFFSET('Player Game Board'!Q14,0,ALM1)&lt;&gt;"",OFFSET('Player Game Board'!Q14,0,ALM1),0)</f>
        <v>0</v>
      </c>
      <c r="ALO7" s="319" t="str">
        <f t="shared" si="83"/>
        <v>England</v>
      </c>
      <c r="ALP7" s="319" t="str">
        <f ca="1">IF(AND(OFFSET('Player Game Board'!P14,0,ALM1)&lt;&gt;"",OFFSET('Player Game Board'!Q14,0,ALM1)&lt;&gt;""),IF(ALM7&gt;ALN7,"W",IF(ALM7=ALN7,"D","L")),"")</f>
        <v/>
      </c>
      <c r="ALQ7" s="319" t="str">
        <f t="shared" ca="1" si="84"/>
        <v/>
      </c>
      <c r="ALR7" s="319"/>
      <c r="ALS7" s="319"/>
      <c r="ALT7" s="319" t="str">
        <f t="shared" ref="ALT7" ca="1" si="2262">VLOOKUP(3,AHM31:AHN34,2,FALSE)</f>
        <v>Slovakia</v>
      </c>
      <c r="ALU7" s="320">
        <f t="shared" ref="ALU7" ca="1" si="2263">VLOOKUP(ALT7,AHN4:AHS40,2,FALSE)</f>
        <v>0</v>
      </c>
      <c r="ALV7" s="320">
        <f t="shared" ref="ALV7" ca="1" si="2264">VLOOKUP(ALT7,AHN4:AHS40,3,FALSE)</f>
        <v>0</v>
      </c>
      <c r="ALW7" s="320">
        <f t="shared" ref="ALW7" ca="1" si="2265">VLOOKUP(ALT7,AHN4:AHS40,4,FALSE)</f>
        <v>0</v>
      </c>
      <c r="ALX7" s="320">
        <f t="shared" ref="ALX7" ca="1" si="2266">VLOOKUP(ALT7,AHN4:AHS40,5,FALSE)</f>
        <v>0</v>
      </c>
      <c r="ALY7" s="320">
        <f t="shared" ref="ALY7" ca="1" si="2267">VLOOKUP(ALT7,AHN4:AHS40,6,FALSE)</f>
        <v>0</v>
      </c>
      <c r="ALZ7" s="320">
        <f t="shared" ca="1" si="91"/>
        <v>1000</v>
      </c>
      <c r="AMA7" s="320">
        <f t="shared" ca="1" si="92"/>
        <v>0</v>
      </c>
      <c r="AMB7" s="319">
        <f ca="1">VLOOKUP(ALT7,B4:J40,9,FALSE)</f>
        <v>38</v>
      </c>
      <c r="AMC7" s="319">
        <f t="shared" ref="AMC7" ca="1" si="2268">RANK(AMA7,AMA3:AMA8)</f>
        <v>1</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4</v>
      </c>
      <c r="AMG7" s="319">
        <f t="shared" ca="1" si="97"/>
        <v>5</v>
      </c>
      <c r="AMH7" s="319" t="s">
        <v>105</v>
      </c>
      <c r="AMI7" s="319">
        <v>5</v>
      </c>
      <c r="AMJ7" s="319"/>
      <c r="AMK7" s="319">
        <f t="shared" ref="AMK7" ca="1" si="2272">VLOOKUP(AML7,AQG4:AQH8,2,FALSE)</f>
        <v>4</v>
      </c>
      <c r="AML7" s="319" t="str">
        <f t="shared" si="412"/>
        <v>Switzerland</v>
      </c>
      <c r="AMM7" s="319">
        <f t="shared" ref="AMM7" ca="1" si="2273">SUMPRODUCT((AQJ3:AQJ42=AML7)*(AQN3:AQN42="W"))+SUMPRODUCT((AQM3:AQM42=AML7)*(AQO3:AQO42="W"))</f>
        <v>0</v>
      </c>
      <c r="AMN7" s="319">
        <f t="shared" ref="AMN7" ca="1" si="2274">SUMPRODUCT((AQJ3:AQJ42=AML7)*(AQN3:AQN42="D"))+SUMPRODUCT((AQM3:AQM42=AML7)*(AQO3:AQO42="D"))</f>
        <v>0</v>
      </c>
      <c r="AMO7" s="319">
        <f t="shared" ref="AMO7" ca="1" si="2275">SUMPRODUCT((AQJ3:AQJ42=AML7)*(AQN3:AQN42="L"))+SUMPRODUCT((AQM3:AQM42=AML7)*(AQO3:AQO42="L"))</f>
        <v>0</v>
      </c>
      <c r="AMP7" s="319">
        <f t="shared" ref="AMP7" ca="1" si="2276">SUMIF(AQJ3:AQJ60,AML7,AQK3:AQK60)+SUMIF(AQM3:AQM60,AML7,AQL3:AQL60)</f>
        <v>0</v>
      </c>
      <c r="AMQ7" s="319">
        <f t="shared" ref="AMQ7" ca="1" si="2277">SUMIF(AQM3:AQM60,AML7,AQK3:AQK60)+SUMIF(AQJ3:AQJ60,AML7,AQL3:AQL60)</f>
        <v>0</v>
      </c>
      <c r="AMR7" s="319">
        <f t="shared" ca="1" si="418"/>
        <v>1000</v>
      </c>
      <c r="AMS7" s="319">
        <f t="shared" ca="1" si="419"/>
        <v>0</v>
      </c>
      <c r="AMT7" s="319">
        <f t="shared" si="930"/>
        <v>34</v>
      </c>
      <c r="AMU7" s="319">
        <f t="shared" ref="AMU7" ca="1" si="2278">IF(COUNTIF(AMS4:AMS8,4)&lt;&gt;4,RANK(AMS7,AMS4:AMS8),AMS47)</f>
        <v>1</v>
      </c>
      <c r="AMV7" s="319"/>
      <c r="AMW7" s="319">
        <f t="shared" ref="AMW7" ca="1" si="2279">SUMPRODUCT((AMU4:AMU7=AMU7)*(AMT4:AMT7&lt;AMT7))+AMU7</f>
        <v>1</v>
      </c>
      <c r="AMX7" s="319" t="str">
        <f t="shared" ref="AMX7" ca="1" si="2280">INDEX(AML4:AML8,MATCH(4,AMW4:AMW8,0),0)</f>
        <v>Germany</v>
      </c>
      <c r="AMY7" s="319">
        <f t="shared" ref="AMY7" ca="1" si="2281">INDEX(AMU4:AMU8,MATCH(AMX7,AML4:AML8,0),0)</f>
        <v>1</v>
      </c>
      <c r="AMZ7" s="319" t="str">
        <f t="shared" ca="1" si="1550"/>
        <v>Germany</v>
      </c>
      <c r="ANA7" s="319" t="str">
        <f t="shared" ca="1" si="1551"/>
        <v/>
      </c>
      <c r="ANB7" s="319"/>
      <c r="ANC7" s="319"/>
      <c r="AND7" s="319"/>
      <c r="ANE7" s="319" t="str">
        <f t="shared" ca="1" si="428"/>
        <v>Germany</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f t="shared" ca="1" si="435"/>
        <v>0</v>
      </c>
      <c r="ANM7" s="319">
        <f t="shared" ref="ANM7" ca="1" si="2287">IF(ANE7&lt;&gt;"",VLOOKUP(ANE7,AML4:AMR40,7,FALSE),"")</f>
        <v>1000</v>
      </c>
      <c r="ANN7" s="319">
        <f t="shared" ref="ANN7" ca="1" si="2288">IF(ANE7&lt;&gt;"",VLOOKUP(ANE7,AML4:AMR40,5,FALSE),"")</f>
        <v>0</v>
      </c>
      <c r="ANO7" s="319">
        <f t="shared" ref="ANO7" ca="1" si="2289">IF(ANE7&lt;&gt;"",VLOOKUP(ANE7,AML4:AMT40,9,FALSE),"")</f>
        <v>54</v>
      </c>
      <c r="ANP7" s="319">
        <f t="shared" ca="1" si="439"/>
        <v>0</v>
      </c>
      <c r="ANQ7" s="319">
        <f t="shared" ref="ANQ7" ca="1" si="2290">IF(ANE7&lt;&gt;"",RANK(ANP7,ANP4:ANP8),"")</f>
        <v>1</v>
      </c>
      <c r="ANR7" s="319">
        <f t="shared" ref="ANR7" ca="1" si="2291">IF(ANE7&lt;&gt;"",SUMPRODUCT((ANP4:ANP8=ANP7)*(ANK4:ANK8&gt;ANK7)),"")</f>
        <v>0</v>
      </c>
      <c r="ANS7" s="319">
        <f t="shared" ref="ANS7" ca="1" si="2292">IF(ANE7&lt;&gt;"",SUMPRODUCT((ANP4:ANP8=ANP7)*(ANK4:ANK8=ANK7)*(ANI4:ANI8&gt;ANI7)),"")</f>
        <v>0</v>
      </c>
      <c r="ANT7" s="319">
        <f t="shared" ref="ANT7" ca="1" si="2293">IF(ANE7&lt;&gt;"",SUMPRODUCT((ANP4:ANP8=ANP7)*(ANK4:ANK8=ANK7)*(ANI4:ANI8=ANI7)*(ANM4:ANM8&gt;ANM7)),"")</f>
        <v>0</v>
      </c>
      <c r="ANU7" s="319">
        <f t="shared" ref="ANU7" ca="1" si="2294">IF(ANE7&lt;&gt;"",SUMPRODUCT((ANP4:ANP8=ANP7)*(ANK4:ANK8=ANK7)*(ANI4:ANI8=ANI7)*(ANM4:ANM8=ANM7)*(ANN4:ANN8&gt;ANN7)),"")</f>
        <v>0</v>
      </c>
      <c r="ANV7" s="319">
        <f t="shared" ref="ANV7" ca="1" si="2295">IF(ANE7&lt;&gt;"",SUMPRODUCT((ANP4:ANP8=ANP7)*(ANK4:ANK8=ANK7)*(ANI4:ANI8=ANI7)*(ANM4:ANM8=ANM7)*(ANN4:ANN8=ANN7)*(ANO4:ANO8&gt;ANO7)),"")</f>
        <v>0</v>
      </c>
      <c r="ANW7" s="319">
        <f ca="1">IF(ANE7&lt;&gt;"",IF(ANW47&lt;&gt;"",IF(AND43=3,ANW47,ANW47+AND43),SUM(ANQ7:ANV7)),"")</f>
        <v>1</v>
      </c>
      <c r="ANX7" s="319" t="str">
        <f t="shared" ref="ANX7" ca="1" si="2296">IF(ANE7&lt;&gt;"",INDEX(ANE4:ANE8,MATCH(4,ANW4:ANW8,0),0),"")</f>
        <v>Switzerland</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Switzerland</v>
      </c>
      <c r="AQH7" s="319">
        <v>4</v>
      </c>
      <c r="AQI7" s="319">
        <v>5</v>
      </c>
      <c r="AQJ7" s="319" t="str">
        <f t="shared" si="98"/>
        <v>Serbia</v>
      </c>
      <c r="AQK7" s="322">
        <f ca="1">IF(OFFSET('Player Game Board'!P14,0,AQK1)&lt;&gt;"",OFFSET('Player Game Board'!P14,0,AQK1),0)</f>
        <v>0</v>
      </c>
      <c r="AQL7" s="322">
        <f ca="1">IF(OFFSET('Player Game Board'!Q14,0,AQK1)&lt;&gt;"",OFFSET('Player Game Board'!Q14,0,AQK1),0)</f>
        <v>0</v>
      </c>
      <c r="AQM7" s="319" t="str">
        <f t="shared" si="99"/>
        <v>England</v>
      </c>
      <c r="AQN7" s="319" t="str">
        <f ca="1">IF(AND(OFFSET('Player Game Board'!P14,0,AQK1)&lt;&gt;"",OFFSET('Player Game Board'!Q14,0,AQK1)&lt;&gt;""),IF(AQK7&gt;AQL7,"W",IF(AQK7=AQL7,"D","L")),"")</f>
        <v/>
      </c>
      <c r="AQO7" s="319" t="str">
        <f t="shared" ca="1" si="100"/>
        <v/>
      </c>
      <c r="AQP7" s="319"/>
      <c r="AQQ7" s="319"/>
      <c r="AQR7" s="319" t="str">
        <f t="shared" ref="AQR7" ca="1" si="2348">VLOOKUP(3,AMK31:AML34,2,FALSE)</f>
        <v>Slovakia</v>
      </c>
      <c r="AQS7" s="320">
        <f t="shared" ref="AQS7" ca="1" si="2349">VLOOKUP(AQR7,AML4:AMQ40,2,FALSE)</f>
        <v>0</v>
      </c>
      <c r="AQT7" s="320">
        <f t="shared" ref="AQT7" ca="1" si="2350">VLOOKUP(AQR7,AML4:AMQ40,3,FALSE)</f>
        <v>0</v>
      </c>
      <c r="AQU7" s="320">
        <f t="shared" ref="AQU7" ca="1" si="2351">VLOOKUP(AQR7,AML4:AMQ40,4,FALSE)</f>
        <v>0</v>
      </c>
      <c r="AQV7" s="320">
        <f t="shared" ref="AQV7" ca="1" si="2352">VLOOKUP(AQR7,AML4:AMQ40,5,FALSE)</f>
        <v>0</v>
      </c>
      <c r="AQW7" s="320">
        <f t="shared" ref="AQW7" ca="1" si="2353">VLOOKUP(AQR7,AML4:AMQ40,6,FALSE)</f>
        <v>0</v>
      </c>
      <c r="AQX7" s="320">
        <f t="shared" ca="1" si="107"/>
        <v>1000</v>
      </c>
      <c r="AQY7" s="320">
        <f t="shared" ca="1" si="108"/>
        <v>0</v>
      </c>
      <c r="AQZ7" s="319">
        <f ca="1">VLOOKUP(AQR7,B4:J40,9,FALSE)</f>
        <v>38</v>
      </c>
      <c r="ARA7" s="319">
        <f t="shared" ref="ARA7" ca="1" si="2354">RANK(AQY7,AQY3:AQY8)</f>
        <v>1</v>
      </c>
      <c r="ARB7" s="319">
        <f t="shared" ref="ARB7" ca="1" si="2355">SUMPRODUCT((ARA3:ARA8=ARA7)*(AQX3:AQX8&gt;AQX7))</f>
        <v>0</v>
      </c>
      <c r="ARC7" s="319">
        <f t="shared" ref="ARC7" ca="1" si="2356">SUMPRODUCT((ARA3:ARA8=ARA7)*(AQX3:AQX8=AQX7)*(AQV3:AQV8&gt;AQV7))</f>
        <v>0</v>
      </c>
      <c r="ARD7" s="319">
        <f t="shared" ref="ARD7" ca="1" si="2357">SUMPRODUCT((ARA3:ARA8=ARA7)*(AQX3:AQX8=AQX7)*(AQV3:AQV8=AQV7)*(AQZ3:AQZ8&gt;AQZ7))</f>
        <v>4</v>
      </c>
      <c r="ARE7" s="319">
        <f t="shared" ca="1" si="113"/>
        <v>5</v>
      </c>
      <c r="ARF7" s="319" t="s">
        <v>105</v>
      </c>
      <c r="ARG7" s="319">
        <v>5</v>
      </c>
      <c r="ARH7" s="319"/>
      <c r="ARI7" s="319">
        <f t="shared" ref="ARI7" ca="1" si="2358">VLOOKUP(ARJ7,AVE4:AVF8,2,FALSE)</f>
        <v>4</v>
      </c>
      <c r="ARJ7" s="319" t="str">
        <f t="shared" si="459"/>
        <v>Switzerland</v>
      </c>
      <c r="ARK7" s="319">
        <f t="shared" ref="ARK7" ca="1" si="2359">SUMPRODUCT((AVH3:AVH42=ARJ7)*(AVL3:AVL42="W"))+SUMPRODUCT((AVK3:AVK42=ARJ7)*(AVM3:AVM42="W"))</f>
        <v>0</v>
      </c>
      <c r="ARL7" s="319">
        <f t="shared" ref="ARL7" ca="1" si="2360">SUMPRODUCT((AVH3:AVH42=ARJ7)*(AVL3:AVL42="D"))+SUMPRODUCT((AVK3:AVK42=ARJ7)*(AVM3:AVM42="D"))</f>
        <v>0</v>
      </c>
      <c r="ARM7" s="319">
        <f t="shared" ref="ARM7" ca="1" si="2361">SUMPRODUCT((AVH3:AVH42=ARJ7)*(AVL3:AVL42="L"))+SUMPRODUCT((AVK3:AVK42=ARJ7)*(AVM3:AVM42="L"))</f>
        <v>0</v>
      </c>
      <c r="ARN7" s="319">
        <f t="shared" ref="ARN7" ca="1" si="2362">SUMIF(AVH3:AVH60,ARJ7,AVI3:AVI60)+SUMIF(AVK3:AVK60,ARJ7,AVJ3:AVJ60)</f>
        <v>0</v>
      </c>
      <c r="ARO7" s="319">
        <f t="shared" ref="ARO7" ca="1" si="2363">SUMIF(AVK3:AVK60,ARJ7,AVI3:AVI60)+SUMIF(AVH3:AVH60,ARJ7,AVJ3:AVJ60)</f>
        <v>0</v>
      </c>
      <c r="ARP7" s="319">
        <f t="shared" ca="1" si="465"/>
        <v>1000</v>
      </c>
      <c r="ARQ7" s="319">
        <f t="shared" ca="1" si="466"/>
        <v>0</v>
      </c>
      <c r="ARR7" s="319">
        <f t="shared" si="990"/>
        <v>34</v>
      </c>
      <c r="ARS7" s="319">
        <f t="shared" ref="ARS7" ca="1" si="2364">IF(COUNTIF(ARQ4:ARQ8,4)&lt;&gt;4,RANK(ARQ7,ARQ4:ARQ8),ARQ47)</f>
        <v>1</v>
      </c>
      <c r="ART7" s="319"/>
      <c r="ARU7" s="319">
        <f t="shared" ref="ARU7" ca="1" si="2365">SUMPRODUCT((ARS4:ARS7=ARS7)*(ARR4:ARR7&lt;ARR7))+ARS7</f>
        <v>1</v>
      </c>
      <c r="ARV7" s="319" t="str">
        <f t="shared" ref="ARV7" ca="1" si="2366">INDEX(ARJ4:ARJ8,MATCH(4,ARU4:ARU8,0),0)</f>
        <v>Germany</v>
      </c>
      <c r="ARW7" s="319">
        <f t="shared" ref="ARW7" ca="1" si="2367">INDEX(ARS4:ARS8,MATCH(ARV7,ARJ4:ARJ8,0),0)</f>
        <v>1</v>
      </c>
      <c r="ARX7" s="319" t="str">
        <f t="shared" ca="1" si="1624"/>
        <v>Germany</v>
      </c>
      <c r="ARY7" s="319" t="str">
        <f t="shared" ca="1" si="1625"/>
        <v/>
      </c>
      <c r="ARZ7" s="319"/>
      <c r="ASA7" s="319"/>
      <c r="ASB7" s="319"/>
      <c r="ASC7" s="319" t="str">
        <f t="shared" ca="1" si="475"/>
        <v>Germany</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f t="shared" ca="1" si="482"/>
        <v>0</v>
      </c>
      <c r="ASK7" s="319">
        <f t="shared" ref="ASK7" ca="1" si="2373">IF(ASC7&lt;&gt;"",VLOOKUP(ASC7,ARJ4:ARP40,7,FALSE),"")</f>
        <v>1000</v>
      </c>
      <c r="ASL7" s="319">
        <f t="shared" ref="ASL7" ca="1" si="2374">IF(ASC7&lt;&gt;"",VLOOKUP(ASC7,ARJ4:ARP40,5,FALSE),"")</f>
        <v>0</v>
      </c>
      <c r="ASM7" s="319">
        <f t="shared" ref="ASM7" ca="1" si="2375">IF(ASC7&lt;&gt;"",VLOOKUP(ASC7,ARJ4:ARR40,9,FALSE),"")</f>
        <v>54</v>
      </c>
      <c r="ASN7" s="319">
        <f t="shared" ca="1" si="486"/>
        <v>0</v>
      </c>
      <c r="ASO7" s="319">
        <f t="shared" ref="ASO7" ca="1" si="2376">IF(ASC7&lt;&gt;"",RANK(ASN7,ASN4:ASN8),"")</f>
        <v>1</v>
      </c>
      <c r="ASP7" s="319">
        <f t="shared" ref="ASP7" ca="1" si="2377">IF(ASC7&lt;&gt;"",SUMPRODUCT((ASN4:ASN8=ASN7)*(ASI4:ASI8&gt;ASI7)),"")</f>
        <v>0</v>
      </c>
      <c r="ASQ7" s="319">
        <f t="shared" ref="ASQ7" ca="1" si="2378">IF(ASC7&lt;&gt;"",SUMPRODUCT((ASN4:ASN8=ASN7)*(ASI4:ASI8=ASI7)*(ASG4:ASG8&gt;ASG7)),"")</f>
        <v>0</v>
      </c>
      <c r="ASR7" s="319">
        <f t="shared" ref="ASR7" ca="1" si="2379">IF(ASC7&lt;&gt;"",SUMPRODUCT((ASN4:ASN8=ASN7)*(ASI4:ASI8=ASI7)*(ASG4:ASG8=ASG7)*(ASK4:ASK8&gt;ASK7)),"")</f>
        <v>0</v>
      </c>
      <c r="ASS7" s="319">
        <f t="shared" ref="ASS7" ca="1" si="2380">IF(ASC7&lt;&gt;"",SUMPRODUCT((ASN4:ASN8=ASN7)*(ASI4:ASI8=ASI7)*(ASG4:ASG8=ASG7)*(ASK4:ASK8=ASK7)*(ASL4:ASL8&gt;ASL7)),"")</f>
        <v>0</v>
      </c>
      <c r="AST7" s="319">
        <f t="shared" ref="AST7" ca="1" si="2381">IF(ASC7&lt;&gt;"",SUMPRODUCT((ASN4:ASN8=ASN7)*(ASI4:ASI8=ASI7)*(ASG4:ASG8=ASG7)*(ASK4:ASK8=ASK7)*(ASL4:ASL8=ASL7)*(ASM4:ASM8&gt;ASM7)),"")</f>
        <v>0</v>
      </c>
      <c r="ASU7" s="319">
        <f ca="1">IF(ASC7&lt;&gt;"",IF(ASU47&lt;&gt;"",IF(ASB43=3,ASU47,ASU47+ASB43),SUM(ASO7:AST7)),"")</f>
        <v>1</v>
      </c>
      <c r="ASV7" s="319" t="str">
        <f t="shared" ref="ASV7" ca="1" si="2382">IF(ASC7&lt;&gt;"",INDEX(ASC4:ASC8,MATCH(4,ASU4:ASU8,0),0),"")</f>
        <v>Switzerland</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Switzerland</v>
      </c>
      <c r="AVF7" s="319">
        <v>4</v>
      </c>
      <c r="AVG7" s="319">
        <v>5</v>
      </c>
      <c r="AVH7" s="319" t="str">
        <f t="shared" si="114"/>
        <v>Serbia</v>
      </c>
      <c r="AVI7" s="322">
        <f ca="1">IF(OFFSET('Player Game Board'!P14,0,AVI1)&lt;&gt;"",OFFSET('Player Game Board'!P14,0,AVI1),0)</f>
        <v>0</v>
      </c>
      <c r="AVJ7" s="322">
        <f ca="1">IF(OFFSET('Player Game Board'!Q14,0,AVI1)&lt;&gt;"",OFFSET('Player Game Board'!Q14,0,AVI1),0)</f>
        <v>0</v>
      </c>
      <c r="AVK7" s="319" t="str">
        <f t="shared" si="115"/>
        <v>England</v>
      </c>
      <c r="AVL7" s="319" t="str">
        <f ca="1">IF(AND(OFFSET('Player Game Board'!P14,0,AVI1)&lt;&gt;"",OFFSET('Player Game Board'!Q14,0,AVI1)&lt;&gt;""),IF(AVI7&gt;AVJ7,"W",IF(AVI7=AVJ7,"D","L")),"")</f>
        <v/>
      </c>
      <c r="AVM7" s="319" t="str">
        <f t="shared" ca="1" si="116"/>
        <v/>
      </c>
      <c r="AVN7" s="319"/>
      <c r="AVO7" s="319"/>
      <c r="AVP7" s="319" t="str">
        <f t="shared" ref="AVP7" ca="1" si="2434">VLOOKUP(3,ARI31:ARJ34,2,FALSE)</f>
        <v>Slovakia</v>
      </c>
      <c r="AVQ7" s="320">
        <f t="shared" ref="AVQ7" ca="1" si="2435">VLOOKUP(AVP7,ARJ4:ARO40,2,FALSE)</f>
        <v>0</v>
      </c>
      <c r="AVR7" s="320">
        <f t="shared" ref="AVR7" ca="1" si="2436">VLOOKUP(AVP7,ARJ4:ARO40,3,FALSE)</f>
        <v>0</v>
      </c>
      <c r="AVS7" s="320">
        <f t="shared" ref="AVS7" ca="1" si="2437">VLOOKUP(AVP7,ARJ4:ARO40,4,FALSE)</f>
        <v>0</v>
      </c>
      <c r="AVT7" s="320">
        <f t="shared" ref="AVT7" ca="1" si="2438">VLOOKUP(AVP7,ARJ4:ARO40,5,FALSE)</f>
        <v>0</v>
      </c>
      <c r="AVU7" s="320">
        <f t="shared" ref="AVU7" ca="1" si="2439">VLOOKUP(AVP7,ARJ4:ARO40,6,FALSE)</f>
        <v>0</v>
      </c>
      <c r="AVV7" s="320">
        <f t="shared" ca="1" si="123"/>
        <v>1000</v>
      </c>
      <c r="AVW7" s="320">
        <f t="shared" ca="1" si="124"/>
        <v>0</v>
      </c>
      <c r="AVX7" s="319">
        <f ca="1">VLOOKUP(AVP7,B4:J40,9,FALSE)</f>
        <v>38</v>
      </c>
      <c r="AVY7" s="319">
        <f t="shared" ref="AVY7" ca="1" si="2440">RANK(AVW7,AVW3:AVW8)</f>
        <v>1</v>
      </c>
      <c r="AVZ7" s="319">
        <f t="shared" ref="AVZ7" ca="1" si="2441">SUMPRODUCT((AVY3:AVY8=AVY7)*(AVV3:AVV8&gt;AVV7))</f>
        <v>0</v>
      </c>
      <c r="AWA7" s="319">
        <f t="shared" ref="AWA7" ca="1" si="2442">SUMPRODUCT((AVY3:AVY8=AVY7)*(AVV3:AVV8=AVV7)*(AVT3:AVT8&gt;AVT7))</f>
        <v>0</v>
      </c>
      <c r="AWB7" s="319">
        <f t="shared" ref="AWB7" ca="1" si="2443">SUMPRODUCT((AVY3:AVY8=AVY7)*(AVV3:AVV8=AVV7)*(AVT3:AVT8=AVT7)*(AVX3:AVX8&gt;AVX7))</f>
        <v>4</v>
      </c>
      <c r="AWC7" s="319">
        <f t="shared" ca="1" si="129"/>
        <v>5</v>
      </c>
      <c r="AWD7" s="319" t="s">
        <v>105</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0</v>
      </c>
      <c r="AWL7" s="319">
        <f t="shared" ref="AWL7" ca="1" si="2448">SUMIF(BAF3:BAF60,AWH7,BAG3:BAG60)+SUMIF(BAI3:BAI60,AWH7,BAH3:BAH60)</f>
        <v>0</v>
      </c>
      <c r="AWM7" s="319">
        <f t="shared" ref="AWM7" ca="1" si="2449">SUMIF(BAI3:BAI60,AWH7,BAG3:BAG60)+SUMIF(BAF3:BAF60,AWH7,BAH3:BAH60)</f>
        <v>0</v>
      </c>
      <c r="AWN7" s="319">
        <f t="shared" ca="1" si="512"/>
        <v>1000</v>
      </c>
      <c r="AWO7" s="319">
        <f t="shared" ca="1" si="513"/>
        <v>0</v>
      </c>
      <c r="AWP7" s="319">
        <f t="shared" si="1050"/>
        <v>34</v>
      </c>
      <c r="AWQ7" s="319">
        <f t="shared" ref="AWQ7" ca="1" si="2450">IF(COUNTIF(AWO4:AWO8,4)&lt;&gt;4,RANK(AWO7,AWO4:AWO8),AWO47)</f>
        <v>1</v>
      </c>
      <c r="AWR7" s="319"/>
      <c r="AWS7" s="319">
        <f t="shared" ref="AWS7" ca="1" si="2451">SUMPRODUCT((AWQ4:AWQ7=AWQ7)*(AWP4:AWP7&lt;AWP7))+AWQ7</f>
        <v>1</v>
      </c>
      <c r="AWT7" s="319" t="str">
        <f t="shared" ref="AWT7" ca="1" si="2452">INDEX(AWH4:AWH8,MATCH(4,AWS4:AWS8,0),0)</f>
        <v>Germany</v>
      </c>
      <c r="AWU7" s="319">
        <f t="shared" ref="AWU7" ca="1" si="2453">INDEX(AWQ4:AWQ8,MATCH(AWT7,AWH4:AWH8,0),0)</f>
        <v>1</v>
      </c>
      <c r="AWV7" s="319" t="str">
        <f t="shared" ca="1" si="1698"/>
        <v>Germany</v>
      </c>
      <c r="AWW7" s="319" t="str">
        <f t="shared" ca="1" si="1699"/>
        <v/>
      </c>
      <c r="AWX7" s="319"/>
      <c r="AWY7" s="319"/>
      <c r="AWZ7" s="319"/>
      <c r="AXA7" s="319" t="str">
        <f t="shared" ca="1" si="522"/>
        <v>Germany</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f t="shared" ca="1" si="529"/>
        <v>0</v>
      </c>
      <c r="AXI7" s="319">
        <f t="shared" ref="AXI7" ca="1" si="2459">IF(AXA7&lt;&gt;"",VLOOKUP(AXA7,AWH4:AWN40,7,FALSE),"")</f>
        <v>1000</v>
      </c>
      <c r="AXJ7" s="319">
        <f t="shared" ref="AXJ7" ca="1" si="2460">IF(AXA7&lt;&gt;"",VLOOKUP(AXA7,AWH4:AWN40,5,FALSE),"")</f>
        <v>0</v>
      </c>
      <c r="AXK7" s="319">
        <f t="shared" ref="AXK7" ca="1" si="2461">IF(AXA7&lt;&gt;"",VLOOKUP(AXA7,AWH4:AWP40,9,FALSE),"")</f>
        <v>54</v>
      </c>
      <c r="AXL7" s="319">
        <f t="shared" ca="1" si="533"/>
        <v>0</v>
      </c>
      <c r="AXM7" s="319">
        <f t="shared" ref="AXM7" ca="1" si="2462">IF(AXA7&lt;&gt;"",RANK(AXL7,AXL4:AXL8),"")</f>
        <v>1</v>
      </c>
      <c r="AXN7" s="319">
        <f t="shared" ref="AXN7" ca="1" si="2463">IF(AXA7&lt;&gt;"",SUMPRODUCT((AXL4:AXL8=AXL7)*(AXG4:AXG8&gt;AXG7)),"")</f>
        <v>0</v>
      </c>
      <c r="AXO7" s="319">
        <f t="shared" ref="AXO7" ca="1" si="2464">IF(AXA7&lt;&gt;"",SUMPRODUCT((AXL4:AXL8=AXL7)*(AXG4:AXG8=AXG7)*(AXE4:AXE8&gt;AXE7)),"")</f>
        <v>0</v>
      </c>
      <c r="AXP7" s="319">
        <f t="shared" ref="AXP7" ca="1" si="2465">IF(AXA7&lt;&gt;"",SUMPRODUCT((AXL4:AXL8=AXL7)*(AXG4:AXG8=AXG7)*(AXE4:AXE8=AXE7)*(AXI4:AXI8&gt;AXI7)),"")</f>
        <v>0</v>
      </c>
      <c r="AXQ7" s="319">
        <f t="shared" ref="AXQ7" ca="1" si="2466">IF(AXA7&lt;&gt;"",SUMPRODUCT((AXL4:AXL8=AXL7)*(AXG4:AXG8=AXG7)*(AXE4:AXE8=AXE7)*(AXI4:AXI8=AXI7)*(AXJ4:AXJ8&gt;AXJ7)),"")</f>
        <v>0</v>
      </c>
      <c r="AXR7" s="319">
        <f t="shared" ref="AXR7" ca="1" si="2467">IF(AXA7&lt;&gt;"",SUMPRODUCT((AXL4:AXL8=AXL7)*(AXG4:AXG8=AXG7)*(AXE4:AXE8=AXE7)*(AXI4:AXI8=AXI7)*(AXJ4:AXJ8=AXJ7)*(AXK4:AXK8&gt;AXK7)),"")</f>
        <v>0</v>
      </c>
      <c r="AXS7" s="319">
        <f ca="1">IF(AXA7&lt;&gt;"",IF(AXS47&lt;&gt;"",IF(AWZ43=3,AXS47,AXS47+AWZ43),SUM(AXM7:AXR7)),"")</f>
        <v>1</v>
      </c>
      <c r="AXT7" s="319" t="str">
        <f t="shared" ref="AXT7" ca="1" si="2468">IF(AXA7&lt;&gt;"",INDEX(AXA4:AXA8,MATCH(4,AXS4:AXS8,0),0),"")</f>
        <v>Switzerland</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0</v>
      </c>
      <c r="BAH7" s="322">
        <f ca="1">IF(OFFSET('Player Game Board'!Q14,0,BAG1)&lt;&gt;"",OFFSET('Player Game Board'!Q14,0,BAG1),0)</f>
        <v>0</v>
      </c>
      <c r="BAI7" s="319" t="str">
        <f t="shared" si="131"/>
        <v>England</v>
      </c>
      <c r="BAJ7" s="319" t="str">
        <f ca="1">IF(AND(OFFSET('Player Game Board'!P14,0,BAG1)&lt;&gt;"",OFFSET('Player Game Board'!Q14,0,BAG1)&lt;&gt;""),IF(BAG7&gt;BAH7,"W",IF(BAG7=BAH7,"D","L")),"")</f>
        <v/>
      </c>
      <c r="BAK7" s="319" t="str">
        <f t="shared" ca="1" si="132"/>
        <v/>
      </c>
      <c r="BAL7" s="319"/>
      <c r="BAM7" s="319"/>
      <c r="BAN7" s="319" t="str">
        <f t="shared" ref="BAN7" ca="1" si="2520">VLOOKUP(3,AWG31:AWH34,2,FALSE)</f>
        <v>Slovakia</v>
      </c>
      <c r="BAO7" s="320">
        <f t="shared" ref="BAO7" ca="1" si="2521">VLOOKUP(BAN7,AWH4:AWM40,2,FALSE)</f>
        <v>0</v>
      </c>
      <c r="BAP7" s="320">
        <f t="shared" ref="BAP7" ca="1" si="2522">VLOOKUP(BAN7,AWH4:AWM40,3,FALSE)</f>
        <v>0</v>
      </c>
      <c r="BAQ7" s="320">
        <f t="shared" ref="BAQ7" ca="1" si="2523">VLOOKUP(BAN7,AWH4:AWM40,4,FALSE)</f>
        <v>0</v>
      </c>
      <c r="BAR7" s="320">
        <f t="shared" ref="BAR7" ca="1" si="2524">VLOOKUP(BAN7,AWH4:AWM40,5,FALSE)</f>
        <v>0</v>
      </c>
      <c r="BAS7" s="320">
        <f t="shared" ref="BAS7" ca="1" si="2525">VLOOKUP(BAN7,AWH4:AWM40,6,FALSE)</f>
        <v>0</v>
      </c>
      <c r="BAT7" s="320">
        <f t="shared" ca="1" si="139"/>
        <v>1000</v>
      </c>
      <c r="BAU7" s="320">
        <f t="shared" ca="1" si="140"/>
        <v>0</v>
      </c>
      <c r="BAV7" s="319">
        <f ca="1">VLOOKUP(BAN7,B4:J40,9,FALSE)</f>
        <v>38</v>
      </c>
      <c r="BAW7" s="319">
        <f t="shared" ref="BAW7" ca="1" si="2526">RANK(BAU7,BAU3:BAU8)</f>
        <v>1</v>
      </c>
      <c r="BAX7" s="319">
        <f t="shared" ref="BAX7" ca="1" si="2527">SUMPRODUCT((BAW3:BAW8=BAW7)*(BAT3:BAT8&gt;BAT7))</f>
        <v>0</v>
      </c>
      <c r="BAY7" s="319">
        <f t="shared" ref="BAY7" ca="1" si="2528">SUMPRODUCT((BAW3:BAW8=BAW7)*(BAT3:BAT8=BAT7)*(BAR3:BAR8&gt;BAR7))</f>
        <v>0</v>
      </c>
      <c r="BAZ7" s="319">
        <f t="shared" ref="BAZ7" ca="1" si="2529">SUMPRODUCT((BAW3:BAW8=BAW7)*(BAT3:BAT8=BAT7)*(BAR3:BAR8=BAR7)*(BAV3:BAV8&gt;BAV7))</f>
        <v>4</v>
      </c>
      <c r="BBA7" s="319">
        <f t="shared" ca="1" si="145"/>
        <v>5</v>
      </c>
      <c r="BBB7" s="319" t="s">
        <v>105</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105</v>
      </c>
      <c r="BGA7" s="319">
        <v>5</v>
      </c>
      <c r="BGB7" s="319"/>
    </row>
    <row r="8" spans="1:1536" ht="13.8" x14ac:dyDescent="0.3">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0</v>
      </c>
      <c r="DK8" s="320">
        <f>Matches!W34</f>
        <v>1</v>
      </c>
      <c r="DL8" s="320">
        <f>Matches!X34</f>
        <v>1</v>
      </c>
      <c r="DM8" s="320">
        <f>Matches!Z34</f>
        <v>2</v>
      </c>
      <c r="DN8" s="320">
        <f>Matches!AA34</f>
        <v>-1</v>
      </c>
      <c r="DO8" s="320">
        <f>Matches!AB34</f>
        <v>0</v>
      </c>
      <c r="DP8" s="319">
        <f>VLOOKUP(DH8,B4:J40,9,FALSE)</f>
        <v>37</v>
      </c>
      <c r="DQ8" s="319">
        <f>RANK(DO8,DO3:DO8)</f>
        <v>2</v>
      </c>
      <c r="DR8" s="319">
        <f>SUMPRODUCT((DQ3:DQ8=DQ8)*(DN3:DN8&gt;DN8))</f>
        <v>0</v>
      </c>
      <c r="DS8" s="319">
        <f>SUMPRODUCT((DQ3:DQ8=DQ8)*(DN3:DN8=DN8)*(DL3:DL8&gt;DL8))</f>
        <v>0</v>
      </c>
      <c r="DT8" s="319">
        <f>SUMPRODUCT((DQ3:DQ8=DQ8)*(DN3:DN8=DN8)*(DL3:DL8=DL8)*(DP3:DP8&gt;DP8))</f>
        <v>1</v>
      </c>
      <c r="DU8" s="319">
        <f t="shared" si="163"/>
        <v>3</v>
      </c>
      <c r="DV8" s="319" t="s">
        <v>106</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1</v>
      </c>
      <c r="HZ8" s="322">
        <f ca="1">IF(OFFSET('Player Game Board'!Q15,0,HY1)&lt;&gt;"",OFFSET('Player Game Board'!Q15,0,HY1),0)</f>
        <v>1</v>
      </c>
      <c r="IA8" s="319" t="str">
        <f t="shared" si="165"/>
        <v>Denmark</v>
      </c>
      <c r="IB8" s="319" t="str">
        <f ca="1">IF(AND(OFFSET('Player Game Board'!P15,0,HY1)&lt;&gt;"",OFFSET('Player Game Board'!Q15,0,HY1)&lt;&gt;""),IF(HY8&gt;HZ8,"W",IF(HY8=HZ8,"D","L")),"")</f>
        <v>D</v>
      </c>
      <c r="IC8" s="319" t="str">
        <f t="shared" ca="1" si="166"/>
        <v>D</v>
      </c>
      <c r="ID8" s="319"/>
      <c r="IE8" s="319"/>
      <c r="IF8" s="319" t="str">
        <f ca="1">VLOOKUP(3,DY37:DZ40,2,FALSE)</f>
        <v>Czechia</v>
      </c>
      <c r="IG8" s="320">
        <f ca="1">VLOOKUP(IF8,DZ4:EE40,2,FALSE)</f>
        <v>1</v>
      </c>
      <c r="IH8" s="320">
        <f ca="1">VLOOKUP(IF8,DZ4:EE40,3,FALSE)</f>
        <v>1</v>
      </c>
      <c r="II8" s="320">
        <f ca="1">VLOOKUP(IF8,DZ4:EE40,4,FALSE)</f>
        <v>1</v>
      </c>
      <c r="IJ8" s="320">
        <f ca="1">VLOOKUP(IF8,DZ4:EE40,5,FALSE)</f>
        <v>5</v>
      </c>
      <c r="IK8" s="320">
        <f ca="1">VLOOKUP(IF8,DZ4:EE40,6,FALSE)</f>
        <v>6</v>
      </c>
      <c r="IL8" s="320">
        <f t="shared" ca="1" si="167"/>
        <v>999</v>
      </c>
      <c r="IM8" s="320">
        <f t="shared" ca="1" si="168"/>
        <v>4</v>
      </c>
      <c r="IN8" s="319">
        <f ca="1">VLOOKUP(IF8,B4:J40,9,FALSE)</f>
        <v>37</v>
      </c>
      <c r="IO8" s="319">
        <f ca="1">RANK(IM8,IM3:IM8)</f>
        <v>1</v>
      </c>
      <c r="IP8" s="319">
        <f ca="1">SUMPRODUCT((IO3:IO8=IO8)*(IL3:IL8&gt;IL8))</f>
        <v>1</v>
      </c>
      <c r="IQ8" s="319">
        <f ca="1">SUMPRODUCT((IO3:IO8=IO8)*(IL3:IL8=IL8)*(IJ3:IJ8&gt;IJ8))</f>
        <v>0</v>
      </c>
      <c r="IR8" s="319">
        <f ca="1">SUMPRODUCT((IO3:IO8=IO8)*(IL3:IL8=IL8)*(IJ3:IJ8=IJ8)*(IN3:IN8&gt;IN8))</f>
        <v>1</v>
      </c>
      <c r="IS8" s="319">
        <f t="shared" ca="1" si="169"/>
        <v>3</v>
      </c>
      <c r="IT8" s="319" t="s">
        <v>106</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1</v>
      </c>
      <c r="MY8" s="319" t="str">
        <f t="shared" si="171"/>
        <v>Denmark</v>
      </c>
      <c r="MZ8" s="319" t="str">
        <f ca="1">IF(AND(OFFSET('Player Game Board'!P15,0,MW1)&lt;&gt;"",OFFSET('Player Game Board'!Q15,0,MW1)&lt;&gt;""),IF(MW8&gt;MX8,"W",IF(MW8=MX8,"D","L")),"")</f>
        <v>D</v>
      </c>
      <c r="NA8" s="319" t="str">
        <f t="shared" ca="1" si="172"/>
        <v>D</v>
      </c>
      <c r="NB8" s="319"/>
      <c r="NC8" s="319"/>
      <c r="ND8" s="319" t="str">
        <f ca="1">VLOOKUP(3,IW37:IX40,2,FALSE)</f>
        <v>Türkiye</v>
      </c>
      <c r="NE8" s="320">
        <f ca="1">VLOOKUP(ND8,IX4:JC40,2,FALSE)</f>
        <v>0</v>
      </c>
      <c r="NF8" s="320">
        <f ca="1">VLOOKUP(ND8,IX4:JC40,3,FALSE)</f>
        <v>2</v>
      </c>
      <c r="NG8" s="320">
        <f ca="1">VLOOKUP(ND8,IX4:JC40,4,FALSE)</f>
        <v>1</v>
      </c>
      <c r="NH8" s="320">
        <f ca="1">VLOOKUP(ND8,IX4:JC40,5,FALSE)</f>
        <v>4</v>
      </c>
      <c r="NI8" s="320">
        <f ca="1">VLOOKUP(ND8,IX4:JC40,6,FALSE)</f>
        <v>5</v>
      </c>
      <c r="NJ8" s="320">
        <f t="shared" ca="1" si="173"/>
        <v>999</v>
      </c>
      <c r="NK8" s="320">
        <f t="shared" ca="1" si="174"/>
        <v>2</v>
      </c>
      <c r="NL8" s="319">
        <f ca="1">VLOOKUP(ND8,B4:J40,9,FALSE)</f>
        <v>47</v>
      </c>
      <c r="NM8" s="319">
        <f ca="1">RANK(NK8,NK3:NK8)</f>
        <v>3</v>
      </c>
      <c r="NN8" s="319">
        <f ca="1">SUMPRODUCT((NM3:NM8=NM8)*(NJ3:NJ8&gt;NJ8))</f>
        <v>0</v>
      </c>
      <c r="NO8" s="319">
        <f ca="1">SUMPRODUCT((NM3:NM8=NM8)*(NJ3:NJ8=NJ8)*(NH3:NH8&gt;NH8))</f>
        <v>0</v>
      </c>
      <c r="NP8" s="319">
        <f ca="1">SUMPRODUCT((NM3:NM8=NM8)*(NJ3:NJ8=NJ8)*(NH3:NH8=NH8)*(NL3:NL8&gt;NL8))</f>
        <v>0</v>
      </c>
      <c r="NQ8" s="319">
        <f t="shared" ca="1" si="175"/>
        <v>3</v>
      </c>
      <c r="NR8" s="319" t="s">
        <v>106</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1</v>
      </c>
      <c r="RV8" s="322">
        <f ca="1">IF(OFFSET('Player Game Board'!Q15,0,RU1)&lt;&gt;"",OFFSET('Player Game Board'!Q15,0,RU1),0)</f>
        <v>2</v>
      </c>
      <c r="RW8" s="319" t="str">
        <f t="shared" si="19"/>
        <v>Denmark</v>
      </c>
      <c r="RX8" s="319" t="str">
        <f ca="1">IF(AND(OFFSET('Player Game Board'!P15,0,RU1)&lt;&gt;"",OFFSET('Player Game Board'!Q15,0,RU1)&lt;&gt;""),IF(RU8&gt;RV8,"W",IF(RU8=RV8,"D","L")),"")</f>
        <v>L</v>
      </c>
      <c r="RY8" s="319" t="str">
        <f t="shared" ca="1" si="20"/>
        <v>W</v>
      </c>
      <c r="RZ8" s="319"/>
      <c r="SA8" s="319"/>
      <c r="SB8" s="319" t="str">
        <f t="shared" ref="SB8" ca="1" si="2616">VLOOKUP(3,NU37:NV40,2,FALSE)</f>
        <v>Czechia</v>
      </c>
      <c r="SC8" s="320">
        <f t="shared" ref="SC8" ca="1" si="2617">VLOOKUP(SB8,NV4:OA40,2,FALSE)</f>
        <v>1</v>
      </c>
      <c r="SD8" s="320">
        <f t="shared" ref="SD8" ca="1" si="2618">VLOOKUP(SB8,NV4:OA40,3,FALSE)</f>
        <v>0</v>
      </c>
      <c r="SE8" s="320">
        <f t="shared" ref="SE8" ca="1" si="2619">VLOOKUP(SB8,NV4:OA40,4,FALSE)</f>
        <v>2</v>
      </c>
      <c r="SF8" s="320">
        <f t="shared" ref="SF8" ca="1" si="2620">VLOOKUP(SB8,NV4:OA40,5,FALSE)</f>
        <v>2</v>
      </c>
      <c r="SG8" s="320">
        <f t="shared" ref="SG8" ca="1" si="2621">VLOOKUP(SB8,NV4:OA40,6,FALSE)</f>
        <v>4</v>
      </c>
      <c r="SH8" s="320">
        <f t="shared" ca="1" si="27"/>
        <v>998</v>
      </c>
      <c r="SI8" s="320">
        <f t="shared" ca="1" si="28"/>
        <v>3</v>
      </c>
      <c r="SJ8" s="319">
        <f ca="1">VLOOKUP(SB8,B4:J40,9,FALSE)</f>
        <v>37</v>
      </c>
      <c r="SK8" s="319">
        <f t="shared" ref="SK8" ca="1" si="2622">RANK(SI8,SI3:SI8)</f>
        <v>2</v>
      </c>
      <c r="SL8" s="319">
        <f t="shared" ref="SL8" ca="1" si="2623">SUMPRODUCT((SK3:SK8=SK8)*(SH3:SH8&gt;SH8))</f>
        <v>1</v>
      </c>
      <c r="SM8" s="319">
        <f t="shared" ref="SM8" ca="1" si="2624">SUMPRODUCT((SK3:SK8=SK8)*(SH3:SH8=SH8)*(SF3:SF8&gt;SF8))</f>
        <v>0</v>
      </c>
      <c r="SN8" s="319">
        <f t="shared" ref="SN8" ca="1" si="2625">SUMPRODUCT((SK3:SK8=SK8)*(SH3:SH8=SH8)*(SF3:SF8=SF8)*(SJ3:SJ8&gt;SJ8))</f>
        <v>0</v>
      </c>
      <c r="SO8" s="319">
        <f t="shared" ca="1" si="33"/>
        <v>3</v>
      </c>
      <c r="SP8" s="319" t="s">
        <v>106</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1</v>
      </c>
      <c r="WT8" s="322">
        <f ca="1">IF(OFFSET('Player Game Board'!Q15,0,WS1)&lt;&gt;"",OFFSET('Player Game Board'!Q15,0,WS1),0)</f>
        <v>2</v>
      </c>
      <c r="WU8" s="319" t="str">
        <f t="shared" si="35"/>
        <v>Denmark</v>
      </c>
      <c r="WV8" s="319" t="str">
        <f ca="1">IF(AND(OFFSET('Player Game Board'!P15,0,WS1)&lt;&gt;"",OFFSET('Player Game Board'!Q15,0,WS1)&lt;&gt;""),IF(WS8&gt;WT8,"W",IF(WS8=WT8,"D","L")),"")</f>
        <v>L</v>
      </c>
      <c r="WW8" s="319" t="str">
        <f t="shared" ca="1" si="36"/>
        <v>W</v>
      </c>
      <c r="WX8" s="319"/>
      <c r="WY8" s="319"/>
      <c r="WZ8" s="319" t="str">
        <f t="shared" ref="WZ8" ca="1" si="2626">VLOOKUP(3,SS37:ST40,2,FALSE)</f>
        <v>Czechia</v>
      </c>
      <c r="XA8" s="320">
        <f t="shared" ref="XA8" ca="1" si="2627">VLOOKUP(WZ8,ST4:SY40,2,FALSE)</f>
        <v>1</v>
      </c>
      <c r="XB8" s="320">
        <f t="shared" ref="XB8" ca="1" si="2628">VLOOKUP(WZ8,ST4:SY40,3,FALSE)</f>
        <v>1</v>
      </c>
      <c r="XC8" s="320">
        <f t="shared" ref="XC8" ca="1" si="2629">VLOOKUP(WZ8,ST4:SY40,4,FALSE)</f>
        <v>1</v>
      </c>
      <c r="XD8" s="320">
        <f t="shared" ref="XD8" ca="1" si="2630">VLOOKUP(WZ8,ST4:SY40,5,FALSE)</f>
        <v>2</v>
      </c>
      <c r="XE8" s="320">
        <f t="shared" ref="XE8" ca="1" si="2631">VLOOKUP(WZ8,ST4:SY40,6,FALSE)</f>
        <v>2</v>
      </c>
      <c r="XF8" s="320">
        <f t="shared" ca="1" si="43"/>
        <v>1000</v>
      </c>
      <c r="XG8" s="320">
        <f t="shared" ca="1" si="44"/>
        <v>4</v>
      </c>
      <c r="XH8" s="319">
        <f ca="1">VLOOKUP(WZ8,B4:J40,9,FALSE)</f>
        <v>37</v>
      </c>
      <c r="XI8" s="319">
        <f t="shared" ref="XI8" ca="1" si="2632">RANK(XG8,XG3:XG8)</f>
        <v>1</v>
      </c>
      <c r="XJ8" s="319">
        <f t="shared" ref="XJ8" ca="1" si="2633">SUMPRODUCT((XI3:XI8=XI8)*(XF3:XF8&gt;XF8))</f>
        <v>0</v>
      </c>
      <c r="XK8" s="319">
        <f t="shared" ref="XK8" ca="1" si="2634">SUMPRODUCT((XI3:XI8=XI8)*(XF3:XF8=XF8)*(XD3:XD8&gt;XD8))</f>
        <v>0</v>
      </c>
      <c r="XL8" s="319">
        <f t="shared" ref="XL8" ca="1" si="2635">SUMPRODUCT((XI3:XI8=XI8)*(XF3:XF8=XF8)*(XD3:XD8=XD8)*(XH3:XH8&gt;XH8))</f>
        <v>0</v>
      </c>
      <c r="XM8" s="319">
        <f t="shared" ca="1" si="49"/>
        <v>1</v>
      </c>
      <c r="XN8" s="319" t="s">
        <v>106</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2</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0</v>
      </c>
      <c r="ABZ8" s="320">
        <f t="shared" ref="ABZ8" ca="1" si="2638">VLOOKUP(ABX8,XR4:XW40,3,FALSE)</f>
        <v>1</v>
      </c>
      <c r="ACA8" s="320">
        <f t="shared" ref="ACA8" ca="1" si="2639">VLOOKUP(ABX8,XR4:XW40,4,FALSE)</f>
        <v>2</v>
      </c>
      <c r="ACB8" s="320">
        <f t="shared" ref="ACB8" ca="1" si="2640">VLOOKUP(ABX8,XR4:XW40,5,FALSE)</f>
        <v>3</v>
      </c>
      <c r="ACC8" s="320">
        <f t="shared" ref="ACC8" ca="1" si="2641">VLOOKUP(ABX8,XR4:XW40,6,FALSE)</f>
        <v>6</v>
      </c>
      <c r="ACD8" s="320">
        <f t="shared" ca="1" si="59"/>
        <v>997</v>
      </c>
      <c r="ACE8" s="320">
        <f t="shared" ca="1" si="60"/>
        <v>1</v>
      </c>
      <c r="ACF8" s="319">
        <f ca="1">VLOOKUP(ABX8,B4:J40,9,FALSE)</f>
        <v>37</v>
      </c>
      <c r="ACG8" s="319">
        <f t="shared" ref="ACG8" ca="1" si="2642">RANK(ACE8,ACE3:ACE8)</f>
        <v>6</v>
      </c>
      <c r="ACH8" s="319">
        <f t="shared" ref="ACH8" ca="1" si="2643">SUMPRODUCT((ACG3:ACG8=ACG8)*(ACD3:ACD8&gt;ACD8))</f>
        <v>0</v>
      </c>
      <c r="ACI8" s="319">
        <f t="shared" ref="ACI8" ca="1" si="2644">SUMPRODUCT((ACG3:ACG8=ACG8)*(ACD3:ACD8=ACD8)*(ACB3:ACB8&gt;ACB8))</f>
        <v>0</v>
      </c>
      <c r="ACJ8" s="319">
        <f t="shared" ref="ACJ8" ca="1" si="2645">SUMPRODUCT((ACG3:ACG8=ACG8)*(ACD3:ACD8=ACD8)*(ACB3:ACB8=ACB8)*(ACF3:ACF8&gt;ACF8))</f>
        <v>0</v>
      </c>
      <c r="ACK8" s="319">
        <f t="shared" ca="1" si="65"/>
        <v>6</v>
      </c>
      <c r="ACL8" s="319" t="s">
        <v>106</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0</v>
      </c>
      <c r="AGP8" s="322">
        <f ca="1">IF(OFFSET('Player Game Board'!Q15,0,AGO1)&lt;&gt;"",OFFSET('Player Game Board'!Q15,0,AGO1),0)</f>
        <v>2</v>
      </c>
      <c r="AGQ8" s="319" t="str">
        <f t="shared" si="67"/>
        <v>Denmark</v>
      </c>
      <c r="AGR8" s="319" t="str">
        <f ca="1">IF(AND(OFFSET('Player Game Board'!P15,0,AGO1)&lt;&gt;"",OFFSET('Player Game Board'!Q15,0,AGO1)&lt;&gt;""),IF(AGO8&gt;AGP8,"W",IF(AGO8=AGP8,"D","L")),"")</f>
        <v>L</v>
      </c>
      <c r="AGS8" s="319" t="str">
        <f t="shared" ca="1" si="68"/>
        <v>W</v>
      </c>
      <c r="AGT8" s="319"/>
      <c r="AGU8" s="319"/>
      <c r="AGV8" s="319" t="str">
        <f t="shared" ref="AGV8" ca="1" si="2646">VLOOKUP(3,ACO37:ACP40,2,FALSE)</f>
        <v>Türkiye</v>
      </c>
      <c r="AGW8" s="320">
        <f t="shared" ref="AGW8" ca="1" si="2647">VLOOKUP(AGV8,ACP4:ACU40,2,FALSE)</f>
        <v>1</v>
      </c>
      <c r="AGX8" s="320">
        <f t="shared" ref="AGX8" ca="1" si="2648">VLOOKUP(AGV8,ACP4:ACU40,3,FALSE)</f>
        <v>1</v>
      </c>
      <c r="AGY8" s="320">
        <f t="shared" ref="AGY8" ca="1" si="2649">VLOOKUP(AGV8,ACP4:ACU40,4,FALSE)</f>
        <v>1</v>
      </c>
      <c r="AGZ8" s="320">
        <f t="shared" ref="AGZ8" ca="1" si="2650">VLOOKUP(AGV8,ACP4:ACU40,5,FALSE)</f>
        <v>4</v>
      </c>
      <c r="AHA8" s="320">
        <f t="shared" ref="AHA8" ca="1" si="2651">VLOOKUP(AGV8,ACP4:ACU40,6,FALSE)</f>
        <v>5</v>
      </c>
      <c r="AHB8" s="320">
        <f t="shared" ca="1" si="75"/>
        <v>999</v>
      </c>
      <c r="AHC8" s="320">
        <f t="shared" ca="1" si="76"/>
        <v>4</v>
      </c>
      <c r="AHD8" s="319">
        <f ca="1">VLOOKUP(AGV8,B4:J40,9,FALSE)</f>
        <v>47</v>
      </c>
      <c r="AHE8" s="319">
        <f t="shared" ref="AHE8" ca="1" si="2652">RANK(AHC8,AHC3:AHC8)</f>
        <v>1</v>
      </c>
      <c r="AHF8" s="319">
        <f t="shared" ref="AHF8" ca="1" si="2653">SUMPRODUCT((AHE3:AHE8=AHE8)*(AHB3:AHB8&gt;AHB8))</f>
        <v>0</v>
      </c>
      <c r="AHG8" s="319">
        <f t="shared" ref="AHG8" ca="1" si="2654">SUMPRODUCT((AHE3:AHE8=AHE8)*(AHB3:AHB8=AHB8)*(AGZ3:AGZ8&gt;AGZ8))</f>
        <v>0</v>
      </c>
      <c r="AHH8" s="319">
        <f t="shared" ref="AHH8" ca="1" si="2655">SUMPRODUCT((AHE3:AHE8=AHE8)*(AHB3:AHB8=AHB8)*(AGZ3:AGZ8=AGZ8)*(AHD3:AHD8&gt;AHD8))</f>
        <v>0</v>
      </c>
      <c r="AHI8" s="319">
        <f t="shared" ca="1" si="81"/>
        <v>1</v>
      </c>
      <c r="AHJ8" s="319" t="s">
        <v>106</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0</v>
      </c>
      <c r="ALN8" s="322">
        <f ca="1">IF(OFFSET('Player Game Board'!Q15,0,ALM1)&lt;&gt;"",OFFSET('Player Game Board'!Q15,0,ALM1),0)</f>
        <v>0</v>
      </c>
      <c r="ALO8" s="319" t="str">
        <f t="shared" si="83"/>
        <v>Denmark</v>
      </c>
      <c r="ALP8" s="319" t="str">
        <f ca="1">IF(AND(OFFSET('Player Game Board'!P15,0,ALM1)&lt;&gt;"",OFFSET('Player Game Board'!Q15,0,ALM1)&lt;&gt;""),IF(ALM8&gt;ALN8,"W",IF(ALM8=ALN8,"D","L")),"")</f>
        <v/>
      </c>
      <c r="ALQ8" s="319" t="str">
        <f t="shared" ca="1" si="84"/>
        <v/>
      </c>
      <c r="ALR8" s="319"/>
      <c r="ALS8" s="319"/>
      <c r="ALT8" s="319" t="str">
        <f t="shared" ref="ALT8" ca="1" si="2656">VLOOKUP(3,AHM37:AHN40,2,FALSE)</f>
        <v>Czechia</v>
      </c>
      <c r="ALU8" s="320">
        <f t="shared" ref="ALU8" ca="1" si="2657">VLOOKUP(ALT8,AHN4:AHS40,2,FALSE)</f>
        <v>0</v>
      </c>
      <c r="ALV8" s="320">
        <f t="shared" ref="ALV8" ca="1" si="2658">VLOOKUP(ALT8,AHN4:AHS40,3,FALSE)</f>
        <v>0</v>
      </c>
      <c r="ALW8" s="320">
        <f t="shared" ref="ALW8" ca="1" si="2659">VLOOKUP(ALT8,AHN4:AHS40,4,FALSE)</f>
        <v>0</v>
      </c>
      <c r="ALX8" s="320">
        <f t="shared" ref="ALX8" ca="1" si="2660">VLOOKUP(ALT8,AHN4:AHS40,5,FALSE)</f>
        <v>0</v>
      </c>
      <c r="ALY8" s="320">
        <f t="shared" ref="ALY8" ca="1" si="2661">VLOOKUP(ALT8,AHN4:AHS40,6,FALSE)</f>
        <v>0</v>
      </c>
      <c r="ALZ8" s="320">
        <f t="shared" ca="1" si="91"/>
        <v>1000</v>
      </c>
      <c r="AMA8" s="320">
        <f t="shared" ca="1" si="92"/>
        <v>0</v>
      </c>
      <c r="AMB8" s="319">
        <f ca="1">VLOOKUP(ALT8,B4:J40,9,FALSE)</f>
        <v>37</v>
      </c>
      <c r="AMC8" s="319">
        <f t="shared" ref="AMC8" ca="1" si="2662">RANK(AMA8,AMA3:AMA8)</f>
        <v>1</v>
      </c>
      <c r="AMD8" s="319">
        <f t="shared" ref="AMD8" ca="1" si="2663">SUMPRODUCT((AMC3:AMC8=AMC8)*(ALZ3:ALZ8&gt;ALZ8))</f>
        <v>0</v>
      </c>
      <c r="AME8" s="319">
        <f t="shared" ref="AME8" ca="1" si="2664">SUMPRODUCT((AMC3:AMC8=AMC8)*(ALZ3:ALZ8=ALZ8)*(ALX3:ALX8&gt;ALX8))</f>
        <v>0</v>
      </c>
      <c r="AMF8" s="319">
        <f t="shared" ref="AMF8" ca="1" si="2665">SUMPRODUCT((AMC3:AMC8=AMC8)*(ALZ3:ALZ8=ALZ8)*(ALX3:ALX8=ALX8)*(AMB3:AMB8&gt;AMB8))</f>
        <v>5</v>
      </c>
      <c r="AMG8" s="319">
        <f t="shared" ca="1" si="97"/>
        <v>6</v>
      </c>
      <c r="AMH8" s="319" t="s">
        <v>106</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0</v>
      </c>
      <c r="AQM8" s="319" t="str">
        <f t="shared" si="99"/>
        <v>Denmark</v>
      </c>
      <c r="AQN8" s="319" t="str">
        <f ca="1">IF(AND(OFFSET('Player Game Board'!P15,0,AQK1)&lt;&gt;"",OFFSET('Player Game Board'!Q15,0,AQK1)&lt;&gt;""),IF(AQK8&gt;AQL8,"W",IF(AQK8=AQL8,"D","L")),"")</f>
        <v/>
      </c>
      <c r="AQO8" s="319" t="str">
        <f t="shared" ca="1" si="100"/>
        <v/>
      </c>
      <c r="AQP8" s="319"/>
      <c r="AQQ8" s="319"/>
      <c r="AQR8" s="319" t="str">
        <f t="shared" ref="AQR8" ca="1" si="2666">VLOOKUP(3,AMK37:AML40,2,FALSE)</f>
        <v>Czechia</v>
      </c>
      <c r="AQS8" s="320">
        <f t="shared" ref="AQS8" ca="1" si="2667">VLOOKUP(AQR8,AML4:AMQ40,2,FALSE)</f>
        <v>0</v>
      </c>
      <c r="AQT8" s="320">
        <f t="shared" ref="AQT8" ca="1" si="2668">VLOOKUP(AQR8,AML4:AMQ40,3,FALSE)</f>
        <v>0</v>
      </c>
      <c r="AQU8" s="320">
        <f t="shared" ref="AQU8" ca="1" si="2669">VLOOKUP(AQR8,AML4:AMQ40,4,FALSE)</f>
        <v>0</v>
      </c>
      <c r="AQV8" s="320">
        <f t="shared" ref="AQV8" ca="1" si="2670">VLOOKUP(AQR8,AML4:AMQ40,5,FALSE)</f>
        <v>0</v>
      </c>
      <c r="AQW8" s="320">
        <f t="shared" ref="AQW8" ca="1" si="2671">VLOOKUP(AQR8,AML4:AMQ40,6,FALSE)</f>
        <v>0</v>
      </c>
      <c r="AQX8" s="320">
        <f t="shared" ca="1" si="107"/>
        <v>1000</v>
      </c>
      <c r="AQY8" s="320">
        <f t="shared" ca="1" si="108"/>
        <v>0</v>
      </c>
      <c r="AQZ8" s="319">
        <f ca="1">VLOOKUP(AQR8,B4:J40,9,FALSE)</f>
        <v>37</v>
      </c>
      <c r="ARA8" s="319">
        <f t="shared" ref="ARA8" ca="1" si="2672">RANK(AQY8,AQY3:AQY8)</f>
        <v>1</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5</v>
      </c>
      <c r="ARE8" s="319">
        <f t="shared" ca="1" si="113"/>
        <v>6</v>
      </c>
      <c r="ARF8" s="319" t="s">
        <v>106</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0</v>
      </c>
      <c r="AVJ8" s="322">
        <f ca="1">IF(OFFSET('Player Game Board'!Q15,0,AVI1)&lt;&gt;"",OFFSET('Player Game Board'!Q15,0,AVI1),0)</f>
        <v>0</v>
      </c>
      <c r="AVK8" s="319" t="str">
        <f t="shared" si="115"/>
        <v>Denmark</v>
      </c>
      <c r="AVL8" s="319" t="str">
        <f ca="1">IF(AND(OFFSET('Player Game Board'!P15,0,AVI1)&lt;&gt;"",OFFSET('Player Game Board'!Q15,0,AVI1)&lt;&gt;""),IF(AVI8&gt;AVJ8,"W",IF(AVI8=AVJ8,"D","L")),"")</f>
        <v/>
      </c>
      <c r="AVM8" s="319" t="str">
        <f t="shared" ca="1" si="116"/>
        <v/>
      </c>
      <c r="AVN8" s="319"/>
      <c r="AVO8" s="319"/>
      <c r="AVP8" s="319" t="str">
        <f t="shared" ref="AVP8" ca="1" si="2676">VLOOKUP(3,ARI37:ARJ40,2,FALSE)</f>
        <v>Czechia</v>
      </c>
      <c r="AVQ8" s="320">
        <f t="shared" ref="AVQ8" ca="1" si="2677">VLOOKUP(AVP8,ARJ4:ARO40,2,FALSE)</f>
        <v>0</v>
      </c>
      <c r="AVR8" s="320">
        <f t="shared" ref="AVR8" ca="1" si="2678">VLOOKUP(AVP8,ARJ4:ARO40,3,FALSE)</f>
        <v>0</v>
      </c>
      <c r="AVS8" s="320">
        <f t="shared" ref="AVS8" ca="1" si="2679">VLOOKUP(AVP8,ARJ4:ARO40,4,FALSE)</f>
        <v>0</v>
      </c>
      <c r="AVT8" s="320">
        <f t="shared" ref="AVT8" ca="1" si="2680">VLOOKUP(AVP8,ARJ4:ARO40,5,FALSE)</f>
        <v>0</v>
      </c>
      <c r="AVU8" s="320">
        <f t="shared" ref="AVU8" ca="1" si="2681">VLOOKUP(AVP8,ARJ4:ARO40,6,FALSE)</f>
        <v>0</v>
      </c>
      <c r="AVV8" s="320">
        <f t="shared" ca="1" si="123"/>
        <v>1000</v>
      </c>
      <c r="AVW8" s="320">
        <f t="shared" ca="1" si="124"/>
        <v>0</v>
      </c>
      <c r="AVX8" s="319">
        <f ca="1">VLOOKUP(AVP8,B4:J40,9,FALSE)</f>
        <v>37</v>
      </c>
      <c r="AVY8" s="319">
        <f t="shared" ref="AVY8" ca="1" si="2682">RANK(AVW8,AVW3:AVW8)</f>
        <v>1</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5</v>
      </c>
      <c r="AWC8" s="319">
        <f t="shared" ca="1" si="129"/>
        <v>6</v>
      </c>
      <c r="AWD8" s="319" t="s">
        <v>106</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0</v>
      </c>
      <c r="BAH8" s="322">
        <f ca="1">IF(OFFSET('Player Game Board'!Q15,0,BAG1)&lt;&gt;"",OFFSET('Player Game Board'!Q15,0,BAG1),0)</f>
        <v>0</v>
      </c>
      <c r="BAI8" s="319" t="str">
        <f t="shared" si="131"/>
        <v>Denmark</v>
      </c>
      <c r="BAJ8" s="319" t="str">
        <f ca="1">IF(AND(OFFSET('Player Game Board'!P15,0,BAG1)&lt;&gt;"",OFFSET('Player Game Board'!Q15,0,BAG1)&lt;&gt;""),IF(BAG8&gt;BAH8,"W",IF(BAG8=BAH8,"D","L")),"")</f>
        <v/>
      </c>
      <c r="BAK8" s="319" t="str">
        <f t="shared" ca="1" si="132"/>
        <v/>
      </c>
      <c r="BAL8" s="319"/>
      <c r="BAM8" s="319"/>
      <c r="BAN8" s="319" t="str">
        <f t="shared" ref="BAN8" ca="1" si="2686">VLOOKUP(3,AWG37:AWH40,2,FALSE)</f>
        <v>Czechia</v>
      </c>
      <c r="BAO8" s="320">
        <f t="shared" ref="BAO8" ca="1" si="2687">VLOOKUP(BAN8,AWH4:AWM40,2,FALSE)</f>
        <v>0</v>
      </c>
      <c r="BAP8" s="320">
        <f t="shared" ref="BAP8" ca="1" si="2688">VLOOKUP(BAN8,AWH4:AWM40,3,FALSE)</f>
        <v>0</v>
      </c>
      <c r="BAQ8" s="320">
        <f t="shared" ref="BAQ8" ca="1" si="2689">VLOOKUP(BAN8,AWH4:AWM40,4,FALSE)</f>
        <v>0</v>
      </c>
      <c r="BAR8" s="320">
        <f t="shared" ref="BAR8" ca="1" si="2690">VLOOKUP(BAN8,AWH4:AWM40,5,FALSE)</f>
        <v>0</v>
      </c>
      <c r="BAS8" s="320">
        <f t="shared" ref="BAS8" ca="1" si="2691">VLOOKUP(BAN8,AWH4:AWM40,6,FALSE)</f>
        <v>0</v>
      </c>
      <c r="BAT8" s="320">
        <f t="shared" ca="1" si="139"/>
        <v>1000</v>
      </c>
      <c r="BAU8" s="320">
        <f t="shared" ca="1" si="140"/>
        <v>0</v>
      </c>
      <c r="BAV8" s="319">
        <f ca="1">VLOOKUP(BAN8,B4:J40,9,FALSE)</f>
        <v>37</v>
      </c>
      <c r="BAW8" s="319">
        <f t="shared" ref="BAW8" ca="1" si="2692">RANK(BAU8,BAU3:BAU8)</f>
        <v>1</v>
      </c>
      <c r="BAX8" s="319">
        <f t="shared" ref="BAX8" ca="1" si="2693">SUMPRODUCT((BAW3:BAW8=BAW8)*(BAT3:BAT8&gt;BAT8))</f>
        <v>0</v>
      </c>
      <c r="BAY8" s="319">
        <f t="shared" ref="BAY8" ca="1" si="2694">SUMPRODUCT((BAW3:BAW8=BAW8)*(BAT3:BAT8=BAT8)*(BAR3:BAR8&gt;BAR8))</f>
        <v>0</v>
      </c>
      <c r="BAZ8" s="319">
        <f t="shared" ref="BAZ8" ca="1" si="2695">SUMPRODUCT((BAW3:BAW8=BAW8)*(BAT3:BAT8=BAT8)*(BAR3:BAR8=BAR8)*(BAV3:BAV8&gt;BAV8))</f>
        <v>5</v>
      </c>
      <c r="BBA8" s="319">
        <f t="shared" ca="1" si="145"/>
        <v>6</v>
      </c>
      <c r="BBB8" s="319" t="s">
        <v>106</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106</v>
      </c>
      <c r="BGA8" s="319">
        <v>6</v>
      </c>
      <c r="BGB8" s="319"/>
    </row>
    <row r="9" spans="1:1536" ht="13.8" x14ac:dyDescent="0.3">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93</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93</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0</v>
      </c>
      <c r="HZ9" s="322">
        <f ca="1">IF(OFFSET('Player Game Board'!Q16,0,HY1)&lt;&gt;"",OFFSET('Player Game Board'!Q16,0,HY1),0)</f>
        <v>2</v>
      </c>
      <c r="IA9" s="319" t="str">
        <f t="shared" si="165"/>
        <v>Netherlands</v>
      </c>
      <c r="IB9" s="319" t="str">
        <f ca="1">IF(AND(OFFSET('Player Game Board'!P16,0,HY1)&lt;&gt;"",OFFSET('Player Game Board'!Q16,0,HY1)&lt;&gt;""),IF(HY9&gt;HZ9,"W",IF(HY9=HZ9,"D","L")),"")</f>
        <v>L</v>
      </c>
      <c r="IC9" s="319" t="str">
        <f t="shared" ca="1" si="166"/>
        <v>W</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93</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2</v>
      </c>
      <c r="MX9" s="322">
        <f ca="1">IF(OFFSET('Player Game Board'!Q16,0,MW1)&lt;&gt;"",OFFSET('Player Game Board'!Q16,0,MW1),0)</f>
        <v>2</v>
      </c>
      <c r="MY9" s="319" t="str">
        <f t="shared" si="171"/>
        <v>Netherlands</v>
      </c>
      <c r="MZ9" s="319" t="str">
        <f ca="1">IF(AND(OFFSET('Player Game Board'!P16,0,MW1)&lt;&gt;"",OFFSET('Player Game Board'!Q16,0,MW1)&lt;&gt;""),IF(MW9&gt;MX9,"W",IF(MW9=MX9,"D","L")),"")</f>
        <v>D</v>
      </c>
      <c r="NA9" s="319" t="str">
        <f t="shared" ca="1" si="172"/>
        <v>D</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93</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1</v>
      </c>
      <c r="RV9" s="322">
        <f ca="1">IF(OFFSET('Player Game Board'!Q16,0,RU1)&lt;&gt;"",OFFSET('Player Game Board'!Q16,0,RU1),0)</f>
        <v>2</v>
      </c>
      <c r="RW9" s="319" t="str">
        <f t="shared" si="19"/>
        <v>Netherlands</v>
      </c>
      <c r="RX9" s="319" t="str">
        <f ca="1">IF(AND(OFFSET('Player Game Board'!P16,0,RU1)&lt;&gt;"",OFFSET('Player Game Board'!Q16,0,RU1)&lt;&gt;""),IF(RU9&gt;RV9,"W",IF(RU9=RV9,"D","L")),"")</f>
        <v>L</v>
      </c>
      <c r="RY9" s="319" t="str">
        <f t="shared" ca="1" si="20"/>
        <v>W</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93</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0</v>
      </c>
      <c r="WU9" s="319" t="str">
        <f t="shared" si="35"/>
        <v>Netherlands</v>
      </c>
      <c r="WV9" s="319" t="str">
        <f ca="1">IF(AND(OFFSET('Player Game Board'!P16,0,WS1)&lt;&gt;"",OFFSET('Player Game Board'!Q16,0,WS1)&lt;&gt;""),IF(WS9&gt;WT9,"W",IF(WS9=WT9,"D","L")),"")</f>
        <v>D</v>
      </c>
      <c r="WW9" s="319" t="str">
        <f t="shared" ca="1" si="36"/>
        <v>D</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93</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93</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1</v>
      </c>
      <c r="AGP9" s="322">
        <f ca="1">IF(OFFSET('Player Game Board'!Q16,0,AGO1)&lt;&gt;"",OFFSET('Player Game Board'!Q16,0,AGO1),0)</f>
        <v>2</v>
      </c>
      <c r="AGQ9" s="319" t="str">
        <f t="shared" si="67"/>
        <v>Netherlands</v>
      </c>
      <c r="AGR9" s="319" t="str">
        <f ca="1">IF(AND(OFFSET('Player Game Board'!P16,0,AGO1)&lt;&gt;"",OFFSET('Player Game Board'!Q16,0,AGO1)&lt;&gt;""),IF(AGO9&gt;AGP9,"W",IF(AGO9=AGP9,"D","L")),"")</f>
        <v>L</v>
      </c>
      <c r="AGS9" s="319" t="str">
        <f t="shared" ca="1" si="68"/>
        <v>W</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93</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0</v>
      </c>
      <c r="ALN9" s="322">
        <f ca="1">IF(OFFSET('Player Game Board'!Q16,0,ALM1)&lt;&gt;"",OFFSET('Player Game Board'!Q16,0,ALM1),0)</f>
        <v>0</v>
      </c>
      <c r="ALO9" s="319" t="str">
        <f t="shared" si="83"/>
        <v>Netherlands</v>
      </c>
      <c r="ALP9" s="319" t="str">
        <f ca="1">IF(AND(OFFSET('Player Game Board'!P16,0,ALM1)&lt;&gt;"",OFFSET('Player Game Board'!Q16,0,ALM1)&lt;&gt;""),IF(ALM9&gt;ALN9,"W",IF(ALM9=ALN9,"D","L")),"")</f>
        <v/>
      </c>
      <c r="ALQ9" s="319" t="str">
        <f t="shared" ca="1" si="84"/>
        <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93</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0</v>
      </c>
      <c r="AQM9" s="319" t="str">
        <f t="shared" si="99"/>
        <v>Netherlands</v>
      </c>
      <c r="AQN9" s="319" t="str">
        <f ca="1">IF(AND(OFFSET('Player Game Board'!P16,0,AQK1)&lt;&gt;"",OFFSET('Player Game Board'!Q16,0,AQK1)&lt;&gt;""),IF(AQK9&gt;AQL9,"W",IF(AQK9=AQL9,"D","L")),"")</f>
        <v/>
      </c>
      <c r="AQO9" s="319" t="str">
        <f t="shared" ca="1" si="100"/>
        <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93</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0</v>
      </c>
      <c r="AVK9" s="319" t="str">
        <f t="shared" si="115"/>
        <v>Netherlands</v>
      </c>
      <c r="AVL9" s="319" t="str">
        <f ca="1">IF(AND(OFFSET('Player Game Board'!P16,0,AVI1)&lt;&gt;"",OFFSET('Player Game Board'!Q16,0,AVI1)&lt;&gt;""),IF(AVI9&gt;AVJ9,"W",IF(AVI9=AVJ9,"D","L")),"")</f>
        <v/>
      </c>
      <c r="AVM9" s="319" t="str">
        <f t="shared" ca="1" si="116"/>
        <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93</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0</v>
      </c>
      <c r="BAI9" s="319" t="str">
        <f t="shared" si="131"/>
        <v>Netherlands</v>
      </c>
      <c r="BAJ9" s="319" t="str">
        <f ca="1">IF(AND(OFFSET('Player Game Board'!P16,0,BAG1)&lt;&gt;"",OFFSET('Player Game Board'!Q16,0,BAG1)&lt;&gt;""),IF(BAG9&gt;BAH9,"W",IF(BAG9=BAH9,"D","L")),"")</f>
        <v/>
      </c>
      <c r="BAK9" s="319" t="str">
        <f t="shared" ca="1" si="132"/>
        <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93</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ht="13.8" x14ac:dyDescent="0.3">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1</v>
      </c>
      <c r="DC10" s="319" t="str">
        <f>Matches!J15</f>
        <v>France</v>
      </c>
      <c r="DD10" s="319" t="str">
        <f>IF(AND(Matches!H15&lt;&gt;"",Matches!I15&lt;&gt;""),IF(DA10&gt;DB10,"W",IF(DA10=DB10,"D","L")),"")</f>
        <v>L</v>
      </c>
      <c r="DE10" s="319" t="str">
        <f t="shared" si="162"/>
        <v>W</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2</v>
      </c>
      <c r="HZ10" s="322">
        <f ca="1">IF(OFFSET('Player Game Board'!Q17,0,HY1)&lt;&gt;"",OFFSET('Player Game Board'!Q17,0,HY1),0)</f>
        <v>2</v>
      </c>
      <c r="IA10" s="319" t="str">
        <f t="shared" si="165"/>
        <v>France</v>
      </c>
      <c r="IB10" s="319" t="str">
        <f ca="1">IF(AND(OFFSET('Player Game Board'!P17,0,HY1)&lt;&gt;"",OFFSET('Player Game Board'!Q17,0,HY1)&lt;&gt;""),IF(HY10&gt;HZ10,"W",IF(HY10=HZ10,"D","L")),"")</f>
        <v>D</v>
      </c>
      <c r="IC10" s="319" t="str">
        <f t="shared" ca="1" si="166"/>
        <v>D</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0</v>
      </c>
      <c r="MX10" s="322">
        <f ca="1">IF(OFFSET('Player Game Board'!Q17,0,MW1)&lt;&gt;"",OFFSET('Player Game Board'!Q17,0,MW1),0)</f>
        <v>2</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0</v>
      </c>
      <c r="RV10" s="322">
        <f ca="1">IF(OFFSET('Player Game Board'!Q17,0,RU1)&lt;&gt;"",OFFSET('Player Game Board'!Q17,0,RU1),0)</f>
        <v>2</v>
      </c>
      <c r="RW10" s="319" t="str">
        <f t="shared" si="19"/>
        <v>France</v>
      </c>
      <c r="RX10" s="319" t="str">
        <f ca="1">IF(AND(OFFSET('Player Game Board'!P17,0,RU1)&lt;&gt;"",OFFSET('Player Game Board'!Q17,0,RU1)&lt;&gt;""),IF(RU10&gt;RV10,"W",IF(RU10=RV10,"D","L")),"")</f>
        <v>L</v>
      </c>
      <c r="RY10" s="319" t="str">
        <f t="shared" ca="1" si="20"/>
        <v>W</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2</v>
      </c>
      <c r="WU10" s="319" t="str">
        <f t="shared" si="35"/>
        <v>France</v>
      </c>
      <c r="WV10" s="319" t="str">
        <f ca="1">IF(AND(OFFSET('Player Game Board'!P17,0,WS1)&lt;&gt;"",OFFSET('Player Game Board'!Q17,0,WS1)&lt;&gt;""),IF(WS10&gt;WT10,"W",IF(WS10=WT10,"D","L")),"")</f>
        <v>L</v>
      </c>
      <c r="WW10" s="319" t="str">
        <f t="shared" ca="1" si="36"/>
        <v>W</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3</v>
      </c>
      <c r="AGQ10" s="319" t="str">
        <f t="shared" si="67"/>
        <v>France</v>
      </c>
      <c r="AGR10" s="319" t="str">
        <f ca="1">IF(AND(OFFSET('Player Game Board'!P17,0,AGO1)&lt;&gt;"",OFFSET('Player Game Board'!Q17,0,AGO1)&lt;&gt;""),IF(AGO10&gt;AGP10,"W",IF(AGO10=AGP10,"D","L")),"")</f>
        <v>L</v>
      </c>
      <c r="AGS10" s="319" t="str">
        <f t="shared" ca="1" si="68"/>
        <v>W</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0</v>
      </c>
      <c r="ALN10" s="322">
        <f ca="1">IF(OFFSET('Player Game Board'!Q17,0,ALM1)&lt;&gt;"",OFFSET('Player Game Board'!Q17,0,ALM1),0)</f>
        <v>0</v>
      </c>
      <c r="ALO10" s="319" t="str">
        <f t="shared" si="83"/>
        <v>France</v>
      </c>
      <c r="ALP10" s="319" t="str">
        <f ca="1">IF(AND(OFFSET('Player Game Board'!P17,0,ALM1)&lt;&gt;"",OFFSET('Player Game Board'!Q17,0,ALM1)&lt;&gt;""),IF(ALM10&gt;ALN10,"W",IF(ALM10=ALN10,"D","L")),"")</f>
        <v/>
      </c>
      <c r="ALQ10" s="319" t="str">
        <f t="shared" ca="1" si="84"/>
        <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0</v>
      </c>
      <c r="AQL10" s="322">
        <f ca="1">IF(OFFSET('Player Game Board'!Q17,0,AQK1)&lt;&gt;"",OFFSET('Player Game Board'!Q17,0,AQK1),0)</f>
        <v>0</v>
      </c>
      <c r="AQM10" s="319" t="str">
        <f t="shared" si="99"/>
        <v>France</v>
      </c>
      <c r="AQN10" s="319" t="str">
        <f ca="1">IF(AND(OFFSET('Player Game Board'!P17,0,AQK1)&lt;&gt;"",OFFSET('Player Game Board'!Q17,0,AQK1)&lt;&gt;""),IF(AQK10&gt;AQL10,"W",IF(AQK10=AQL10,"D","L")),"")</f>
        <v/>
      </c>
      <c r="AQO10" s="319" t="str">
        <f t="shared" ca="1" si="100"/>
        <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0</v>
      </c>
      <c r="AVJ10" s="322">
        <f ca="1">IF(OFFSET('Player Game Board'!Q17,0,AVI1)&lt;&gt;"",OFFSET('Player Game Board'!Q17,0,AVI1),0)</f>
        <v>0</v>
      </c>
      <c r="AVK10" s="319" t="str">
        <f t="shared" si="115"/>
        <v>France</v>
      </c>
      <c r="AVL10" s="319" t="str">
        <f ca="1">IF(AND(OFFSET('Player Game Board'!P17,0,AVI1)&lt;&gt;"",OFFSET('Player Game Board'!Q17,0,AVI1)&lt;&gt;""),IF(AVI10&gt;AVJ10,"W",IF(AVI10=AVJ10,"D","L")),"")</f>
        <v/>
      </c>
      <c r="AVM10" s="319" t="str">
        <f t="shared" ca="1" si="116"/>
        <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0</v>
      </c>
      <c r="BAI10" s="319" t="str">
        <f t="shared" si="131"/>
        <v>France</v>
      </c>
      <c r="BAJ10" s="319" t="str">
        <f ca="1">IF(AND(OFFSET('Player Game Board'!P17,0,BAG1)&lt;&gt;"",OFFSET('Player Game Board'!Q17,0,BAG1)&lt;&gt;""),IF(BAG10&gt;BAH10,"W",IF(BAG10=BAH10,"D","L")),"")</f>
        <v/>
      </c>
      <c r="BAK10" s="319" t="str">
        <f t="shared" ca="1" si="132"/>
        <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ht="13.8" x14ac:dyDescent="0.3">
      <c r="A11" s="319">
        <f>VLOOKUP(B11,CW11:CX15,2,FALSE)</f>
        <v>2</v>
      </c>
      <c r="B11" s="319" t="str">
        <f>'Language Table'!C16</f>
        <v>Italy</v>
      </c>
      <c r="C11" s="319">
        <f>SUMPRODUCT((CZ3:CZ42=B11)*(DD3:DD42="W"))+SUMPRODUCT((DC3:DC42=B11)*(DE3:DE42="W"))</f>
        <v>1</v>
      </c>
      <c r="D11" s="319">
        <f>SUMPRODUCT((CZ3:CZ42=B11)*(DD3:DD42="D"))+SUMPRODUCT((DC3:DC42=B11)*(DE3:DE42="D"))</f>
        <v>0</v>
      </c>
      <c r="E11" s="319">
        <f>SUMPRODUCT((CZ3:CZ42=B11)*(DD3:DD42="L"))+SUMPRODUCT((DC3:DC42=B11)*(DE3:DE42="L"))</f>
        <v>0</v>
      </c>
      <c r="F11" s="319">
        <f>SUMIF(CZ3:CZ60,B11,DA3:DA60)+SUMIF(DC3:DC60,B11,DB3:DB60)</f>
        <v>2</v>
      </c>
      <c r="G11" s="319">
        <f>SUMIF(DC3:DC60,B11,DA3:DA60)+SUMIF(CZ3:CZ60,B11,DB3:DB60)</f>
        <v>1</v>
      </c>
      <c r="H11" s="319">
        <f t="shared" ref="H11:H14" si="2706">F11-G11+1000</f>
        <v>1001</v>
      </c>
      <c r="I11" s="319">
        <f t="shared" ref="I11:I14" si="2707">C11*3+D11*1</f>
        <v>3</v>
      </c>
      <c r="J11" s="319">
        <v>36</v>
      </c>
      <c r="K11" s="319">
        <f>IF(COUNTIF(I11:I15,4)&lt;&gt;4,RANK(I11,I11:I15),I51)</f>
        <v>1</v>
      </c>
      <c r="L11" s="319"/>
      <c r="M11" s="319">
        <f>SUMPRODUCT((K11:K14=K11)*(J11:J14&lt;J11))+K11</f>
        <v>1</v>
      </c>
      <c r="N11" s="319" t="str">
        <f>INDEX(B11:B15,MATCH(1,M11:M15,0),0)</f>
        <v>Italy</v>
      </c>
      <c r="O11" s="319">
        <f>INDEX(K11:K15,MATCH(N11,B11:B15,0),0)</f>
        <v>1</v>
      </c>
      <c r="P11" s="319" t="str">
        <f>IF(O12=1,N11,"")</f>
        <v>Italy</v>
      </c>
      <c r="Q11" s="319" t="str">
        <f>IF(O13=2,N12,"")</f>
        <v/>
      </c>
      <c r="R11" s="319" t="str">
        <f>IF(O14=3,N13,"")</f>
        <v>Croatia</v>
      </c>
      <c r="S11" s="319" t="str">
        <f>IF(O15=4,N14,"")</f>
        <v/>
      </c>
      <c r="T11" s="319"/>
      <c r="U11" s="319" t="str">
        <f>IF(P11&lt;&gt;"",P11,"")</f>
        <v>Italy</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f t="shared" ref="AB11:AB14" si="2708">IF(U11&lt;&gt;"",V11*3+W11*1,"")</f>
        <v>0</v>
      </c>
      <c r="AC11" s="319">
        <f>IF(U11&lt;&gt;"",VLOOKUP(U11,B4:H40,7,FALSE),"")</f>
        <v>1001</v>
      </c>
      <c r="AD11" s="319">
        <f>IF(U11&lt;&gt;"",VLOOKUP(U11,B4:H40,5,FALSE),"")</f>
        <v>2</v>
      </c>
      <c r="AE11" s="319">
        <f>IF(U11&lt;&gt;"",VLOOKUP(U11,B4:J40,9,FALSE),"")</f>
        <v>36</v>
      </c>
      <c r="AF11" s="319">
        <f t="shared" ref="AF11:AF14" si="2709">AB11</f>
        <v>0</v>
      </c>
      <c r="AG11" s="319">
        <f>IF(U11&lt;&gt;"",RANK(AF11,AF11:AF15),"")</f>
        <v>1</v>
      </c>
      <c r="AH11" s="319">
        <f>IF(U11&lt;&gt;"",SUMPRODUCT((AF11:AF15=AF11)*(AA11:AA15&gt;AA11)),"")</f>
        <v>0</v>
      </c>
      <c r="AI11" s="319">
        <f>IF(U11&lt;&gt;"",SUMPRODUCT((AF11:AF15=AF11)*(AA11:AA15=AA11)*(Y11:Y15&gt;Y11)),"")</f>
        <v>0</v>
      </c>
      <c r="AJ11" s="319">
        <f>IF(U11&lt;&gt;"",SUMPRODUCT((AF11:AF15=AF11)*(AA11:AA15=AA11)*(Y11:Y15=Y11)*(AC11:AC15&gt;AC11)),"")</f>
        <v>1</v>
      </c>
      <c r="AK11" s="319">
        <f>IF(U11&lt;&gt;"",SUMPRODUCT((AF11:AF15=AF11)*(AA11:AA15=AA11)*(Y11:Y15=Y11)*(AC11:AC15=AC11)*(AD11:AD15&gt;AD11)),"")</f>
        <v>0</v>
      </c>
      <c r="AL11" s="319">
        <f>IF(U11&lt;&gt;"",SUMPRODUCT((AF11:AF15=AF11)*(AA11:AA15=AA11)*(Y11:Y15=Y11)*(AC11:AC15=AC11)*(AD11:AD15=AD11)*(AE11:AE15&gt;AE11)),"")</f>
        <v>0</v>
      </c>
      <c r="AM11" s="319">
        <f>IF(U11&lt;&gt;"",IF(AM51&lt;&gt;"",IF(T50=3,AM51,AM51+T50),SUM(AG11:AL11)),"")</f>
        <v>2</v>
      </c>
      <c r="AN11" s="319" t="str">
        <f>IF(U11&lt;&gt;"",INDEX(U11:U15,MATCH(1,AM11:AM15,0),0),"")</f>
        <v>Spain</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1</v>
      </c>
      <c r="DC11" s="319" t="str">
        <f>Matches!J16</f>
        <v>Slovakia</v>
      </c>
      <c r="DD11" s="319" t="str">
        <f>IF(AND(Matches!H16&lt;&gt;"",Matches!I16&lt;&gt;""),IF(DA11&gt;DB11,"W",IF(DA11=DB11,"D","L")),"")</f>
        <v>L</v>
      </c>
      <c r="DE11" s="319" t="str">
        <f t="shared" si="162"/>
        <v>W</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2</v>
      </c>
      <c r="DZ11" s="319" t="str">
        <f>B11</f>
        <v>Italy</v>
      </c>
      <c r="EA11" s="319">
        <f ca="1">SUMPRODUCT((HX3:HX42=DZ11)*(IB3:IB42="W"))+SUMPRODUCT((IA3:IA42=DZ11)*(IC3:IC42="W"))</f>
        <v>2</v>
      </c>
      <c r="EB11" s="319">
        <f ca="1">SUMPRODUCT((HX3:HX42=DZ11)*(IB3:IB42="D"))+SUMPRODUCT((IA3:IA42=DZ11)*(IC3:IC42="D"))</f>
        <v>1</v>
      </c>
      <c r="EC11" s="319">
        <f ca="1">SUMPRODUCT((HX3:HX42=DZ11)*(IB3:IB42="L"))+SUMPRODUCT((IA3:IA42=DZ11)*(IC3:IC42="L"))</f>
        <v>0</v>
      </c>
      <c r="ED11" s="319">
        <f ca="1">SUMIF(HX3:HX60,DZ11,HY3:HY60)+SUMIF(IA3:IA60,DZ11,HZ3:HZ60)</f>
        <v>8</v>
      </c>
      <c r="EE11" s="319">
        <f ca="1">SUMIF(IA3:IA60,DZ11,HY3:HY60)+SUMIF(HX3:HX60,DZ11,HZ3:HZ60)</f>
        <v>4</v>
      </c>
      <c r="EF11" s="319">
        <f t="shared" ref="EF11:EF14" ca="1" si="2710">ED11-EE11+1000</f>
        <v>1004</v>
      </c>
      <c r="EG11" s="319">
        <f t="shared" ref="EG11:EG14" ca="1" si="2711">EA11*3+EB11*1</f>
        <v>7</v>
      </c>
      <c r="EH11" s="319">
        <f t="shared" si="609"/>
        <v>36</v>
      </c>
      <c r="EI11" s="319">
        <f ca="1">IF(COUNTIF(EG11:EG15,4)&lt;&gt;4,RANK(EG11,EG11:EG15),EG51)</f>
        <v>1</v>
      </c>
      <c r="EJ11" s="319"/>
      <c r="EK11" s="319">
        <f ca="1">SUMPRODUCT((EI11:EI14=EI11)*(EH11:EH14&lt;EH11))+EI11</f>
        <v>1</v>
      </c>
      <c r="EL11" s="319" t="str">
        <f ca="1">INDEX(DZ11:DZ15,MATCH(1,EK11:EK15,0),0)</f>
        <v>Italy</v>
      </c>
      <c r="EM11" s="319">
        <f ca="1">INDEX(EI11:EI15,MATCH(EL11,DZ11:DZ15,0),0)</f>
        <v>1</v>
      </c>
      <c r="EN11" s="319" t="str">
        <f ca="1">IF(EM12=1,EL11,"")</f>
        <v>Italy</v>
      </c>
      <c r="EO11" s="319" t="str">
        <f ca="1">IF(EM13=2,EL12,"")</f>
        <v/>
      </c>
      <c r="EP11" s="319" t="str">
        <f ca="1">IF(EM14=3,EL13,"")</f>
        <v/>
      </c>
      <c r="EQ11" s="319" t="str">
        <f>IF(EM15=4,EL14,"")</f>
        <v/>
      </c>
      <c r="ER11" s="319"/>
      <c r="ES11" s="319" t="str">
        <f ca="1">IF(EN11&lt;&gt;"",EN11,"")</f>
        <v>Italy</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1</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2</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2</v>
      </c>
      <c r="EY11" s="319">
        <f ca="1">EW11-EX11+1000</f>
        <v>1000</v>
      </c>
      <c r="EZ11" s="319">
        <f t="shared" ref="EZ11:EZ14" ca="1" si="2712">IF(ES11&lt;&gt;"",ET11*3+EU11*1,"")</f>
        <v>1</v>
      </c>
      <c r="FA11" s="319">
        <f ca="1">IF(ES11&lt;&gt;"",VLOOKUP(ES11,DZ4:EF40,7,FALSE),"")</f>
        <v>1004</v>
      </c>
      <c r="FB11" s="319">
        <f ca="1">IF(ES11&lt;&gt;"",VLOOKUP(ES11,DZ4:EF40,5,FALSE),"")</f>
        <v>8</v>
      </c>
      <c r="FC11" s="319">
        <f ca="1">IF(ES11&lt;&gt;"",VLOOKUP(ES11,DZ4:EH40,9,FALSE),"")</f>
        <v>36</v>
      </c>
      <c r="FD11" s="319">
        <f t="shared" ref="FD11:FD14" ca="1" si="2713">EZ11</f>
        <v>1</v>
      </c>
      <c r="FE11" s="319">
        <f ca="1">IF(ES11&lt;&gt;"",RANK(FD11,FD11:FD15),"")</f>
        <v>1</v>
      </c>
      <c r="FF11" s="319">
        <f ca="1">IF(ES11&lt;&gt;"",SUMPRODUCT((FD11:FD15=FD11)*(EY11:EY15&gt;EY11)),"")</f>
        <v>0</v>
      </c>
      <c r="FG11" s="319">
        <f ca="1">IF(ES11&lt;&gt;"",SUMPRODUCT((FD11:FD15=FD11)*(EY11:EY15=EY11)*(EW11:EW15&gt;EW11)),"")</f>
        <v>0</v>
      </c>
      <c r="FH11" s="319">
        <f ca="1">IF(ES11&lt;&gt;"",SUMPRODUCT((FD11:FD15=FD11)*(EY11:EY15=EY11)*(EW11:EW15=EW11)*(FA11:FA15&gt;FA11)),"")</f>
        <v>1</v>
      </c>
      <c r="FI11" s="319">
        <f ca="1">IF(ES11&lt;&gt;"",SUMPRODUCT((FD11:FD15=FD11)*(EY11:EY15=EY11)*(EW11:EW15=EW11)*(FA11:FA15=FA11)*(FB11:FB15&gt;FB11)),"")</f>
        <v>0</v>
      </c>
      <c r="FJ11" s="319">
        <f ca="1">IF(ES11&lt;&gt;"",SUMPRODUCT((FD11:FD15=FD11)*(EY11:EY15=EY11)*(EW11:EW15=EW11)*(FA11:FA15=FA11)*(FB11:FB15=FB11)*(FC11:FC15&gt;FC11)),"")</f>
        <v>0</v>
      </c>
      <c r="FK11" s="319">
        <f ca="1">IF(ES11&lt;&gt;"",IF(FK51&lt;&gt;"",IF(ER50=3,FK51,FK51+ER50),SUM(FE11:FJ11)),"")</f>
        <v>2</v>
      </c>
      <c r="FL11" s="319" t="str">
        <f ca="1">IF(ES11&lt;&gt;"",INDEX(ES11:ES15,MATCH(1,FK11:FK15,0),0),"")</f>
        <v>Spain</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Spain</v>
      </c>
      <c r="HV11" s="319">
        <v>1</v>
      </c>
      <c r="HW11" s="319">
        <v>9</v>
      </c>
      <c r="HX11" s="319" t="str">
        <f t="shared" si="164"/>
        <v>Belgium</v>
      </c>
      <c r="HY11" s="322">
        <f ca="1">IF(OFFSET('Player Game Board'!P18,0,HY1)&lt;&gt;"",OFFSET('Player Game Board'!P18,0,HY1),0)</f>
        <v>2</v>
      </c>
      <c r="HZ11" s="322">
        <f ca="1">IF(OFFSET('Player Game Board'!Q18,0,HY1)&lt;&gt;"",OFFSET('Player Game Board'!Q18,0,HY1),0)</f>
        <v>1</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2</v>
      </c>
      <c r="IX11" s="319" t="str">
        <f>DZ11</f>
        <v>Italy</v>
      </c>
      <c r="IY11" s="319">
        <f ca="1">SUMPRODUCT((MV3:MV42=IX11)*(MZ3:MZ42="W"))+SUMPRODUCT((MY3:MY42=IX11)*(NA3:NA42="W"))</f>
        <v>1</v>
      </c>
      <c r="IZ11" s="319">
        <f ca="1">SUMPRODUCT((MV3:MV42=IX11)*(MZ3:MZ42="D"))+SUMPRODUCT((MY3:MY42=IX11)*(NA3:NA42="D"))</f>
        <v>2</v>
      </c>
      <c r="JA11" s="319">
        <f ca="1">SUMPRODUCT((MV3:MV42=IX11)*(MZ3:MZ42="L"))+SUMPRODUCT((MY3:MY42=IX11)*(NA3:NA42="L"))</f>
        <v>0</v>
      </c>
      <c r="JB11" s="319">
        <f ca="1">SUMIF(MV3:MV60,IX11,MW3:MW60)+SUMIF(MY3:MY60,IX11,MX3:MX60)</f>
        <v>4</v>
      </c>
      <c r="JC11" s="319">
        <f ca="1">SUMIF(MY3:MY60,IX11,MW3:MW60)+SUMIF(MV3:MV60,IX11,MX3:MX60)</f>
        <v>2</v>
      </c>
      <c r="JD11" s="319">
        <f t="shared" ref="JD11:JD14" ca="1" si="2714">JB11-JC11+1000</f>
        <v>1002</v>
      </c>
      <c r="JE11" s="319">
        <f t="shared" ref="JE11:JE14" ca="1" si="2715">IY11*3+IZ11*1</f>
        <v>5</v>
      </c>
      <c r="JF11" s="319">
        <f t="shared" si="618"/>
        <v>36</v>
      </c>
      <c r="JG11" s="319">
        <f ca="1">IF(COUNTIF(JE11:JE15,4)&lt;&gt;4,RANK(JE11,JE11:JE15),JE51)</f>
        <v>2</v>
      </c>
      <c r="JH11" s="319"/>
      <c r="JI11" s="319">
        <f ca="1">SUMPRODUCT((JG11:JG14=JG11)*(JF11:JF14&lt;JF11))+JG11</f>
        <v>2</v>
      </c>
      <c r="JJ11" s="319" t="str">
        <f ca="1">INDEX(IX11:IX15,MATCH(1,JI11:JI15,0),0)</f>
        <v>Spain</v>
      </c>
      <c r="JK11" s="319">
        <f ca="1">INDEX(JG11:JG15,MATCH(JJ11,IX11:IX15,0),0)</f>
        <v>1</v>
      </c>
      <c r="JL11" s="319" t="str">
        <f ca="1">IF(JK12=1,JJ11,"")</f>
        <v/>
      </c>
      <c r="JM11" s="319" t="str">
        <f ca="1">IF(JK13=2,JJ12,"")</f>
        <v/>
      </c>
      <c r="JN11" s="319" t="str">
        <f ca="1">IF(JK14=3,JJ13,"")</f>
        <v/>
      </c>
      <c r="JO11" s="319" t="str">
        <f>IF(JK15=4,JJ14,"")</f>
        <v/>
      </c>
      <c r="JP11" s="319"/>
      <c r="JQ11" s="319" t="str">
        <f ca="1">IF(JL11&lt;&gt;"",JL11,"")</f>
        <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0</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0</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0</v>
      </c>
      <c r="JW11" s="319">
        <f ca="1">JU11-JV11+1000</f>
        <v>1000</v>
      </c>
      <c r="JX11" s="319" t="str">
        <f t="shared" ref="JX11:JX14" ca="1" si="2716">IF(JQ11&lt;&gt;"",JR11*3+JS11*1,"")</f>
        <v/>
      </c>
      <c r="JY11" s="319" t="str">
        <f ca="1">IF(JQ11&lt;&gt;"",VLOOKUP(JQ11,IX4:JD40,7,FALSE),"")</f>
        <v/>
      </c>
      <c r="JZ11" s="319" t="str">
        <f ca="1">IF(JQ11&lt;&gt;"",VLOOKUP(JQ11,IX4:JD40,5,FALSE),"")</f>
        <v/>
      </c>
      <c r="KA11" s="319" t="str">
        <f ca="1">IF(JQ11&lt;&gt;"",VLOOKUP(JQ11,IX4:JF40,9,FALSE),"")</f>
        <v/>
      </c>
      <c r="KB11" s="319" t="str">
        <f t="shared" ref="KB11:KB14" ca="1" si="2717">JX11</f>
        <v/>
      </c>
      <c r="KC11" s="319" t="str">
        <f ca="1">IF(JQ11&lt;&gt;"",RANK(KB11,KB11:KB15),"")</f>
        <v/>
      </c>
      <c r="KD11" s="319" t="str">
        <f ca="1">IF(JQ11&lt;&gt;"",SUMPRODUCT((KB11:KB15=KB11)*(JW11:JW15&gt;JW11)),"")</f>
        <v/>
      </c>
      <c r="KE11" s="319" t="str">
        <f ca="1">IF(JQ11&lt;&gt;"",SUMPRODUCT((KB11:KB15=KB11)*(JW11:JW15=JW11)*(JU11:JU15&gt;JU11)),"")</f>
        <v/>
      </c>
      <c r="KF11" s="319" t="str">
        <f ca="1">IF(JQ11&lt;&gt;"",SUMPRODUCT((KB11:KB15=KB11)*(JW11:JW15=JW11)*(JU11:JU15=JU11)*(JY11:JY15&gt;JY11)),"")</f>
        <v/>
      </c>
      <c r="KG11" s="319" t="str">
        <f ca="1">IF(JQ11&lt;&gt;"",SUMPRODUCT((KB11:KB15=KB11)*(JW11:JW15=JW11)*(JU11:JU15=JU11)*(JY11:JY15=JY11)*(JZ11:JZ15&gt;JZ11)),"")</f>
        <v/>
      </c>
      <c r="KH11" s="319" t="str">
        <f ca="1">IF(JQ11&lt;&gt;"",SUMPRODUCT((KB11:KB15=KB11)*(JW11:JW15=JW11)*(JU11:JU15=JU11)*(JY11:JY15=JY11)*(JZ11:JZ15=JZ11)*(KA11:KA15&gt;KA11)),"")</f>
        <v/>
      </c>
      <c r="KI11" s="319" t="str">
        <f ca="1">IF(JQ11&lt;&gt;"",IF(KI51&lt;&gt;"",IF(JP50=3,KI51,KI51+JP50),SUM(KC11:KH11)),"")</f>
        <v/>
      </c>
      <c r="KJ11" s="319" t="str">
        <f ca="1">IF(JQ11&lt;&gt;"",INDEX(JQ11:JQ15,MATCH(1,KI11:KI15,0),0),"")</f>
        <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Spain</v>
      </c>
      <c r="MT11" s="319">
        <v>1</v>
      </c>
      <c r="MU11" s="319">
        <v>9</v>
      </c>
      <c r="MV11" s="319" t="str">
        <f t="shared" si="170"/>
        <v>Belgium</v>
      </c>
      <c r="MW11" s="322">
        <f ca="1">IF(OFFSET('Player Game Board'!P18,0,MW1)&lt;&gt;"",OFFSET('Player Game Board'!P18,0,MW1),0)</f>
        <v>2</v>
      </c>
      <c r="MX11" s="322">
        <f ca="1">IF(OFFSET('Player Game Board'!Q18,0,MW1)&lt;&gt;"",OFFSET('Player Game Board'!Q18,0,MW1),0)</f>
        <v>1</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2</v>
      </c>
      <c r="NV11" s="319" t="str">
        <f t="shared" ref="NV11:NV14" si="2719">IX11</f>
        <v>Italy</v>
      </c>
      <c r="NW11" s="319">
        <f t="shared" ref="NW11" ca="1" si="2720">SUMPRODUCT((RT3:RT42=NV11)*(RX3:RX42="W"))+SUMPRODUCT((RW3:RW42=NV11)*(RY3:RY42="W"))</f>
        <v>2</v>
      </c>
      <c r="NX11" s="319">
        <f t="shared" ref="NX11" ca="1" si="2721">SUMPRODUCT((RT3:RT42=NV11)*(RX3:RX42="D"))+SUMPRODUCT((RW3:RW42=NV11)*(RY3:RY42="D"))</f>
        <v>1</v>
      </c>
      <c r="NY11" s="319">
        <f t="shared" ref="NY11" ca="1" si="2722">SUMPRODUCT((RT3:RT42=NV11)*(RX3:RX42="L"))+SUMPRODUCT((RW3:RW42=NV11)*(RY3:RY42="L"))</f>
        <v>0</v>
      </c>
      <c r="NZ11" s="319">
        <f t="shared" ref="NZ11" ca="1" si="2723">SUMIF(RT3:RT60,NV11,RU3:RU60)+SUMIF(RW3:RW60,NV11,RV3:RV60)</f>
        <v>5</v>
      </c>
      <c r="OA11" s="319">
        <f t="shared" ref="OA11" ca="1" si="2724">SUMIF(RW3:RW60,NV11,RU3:RU60)+SUMIF(RT3:RT60,NV11,RV3:RV60)</f>
        <v>2</v>
      </c>
      <c r="OB11" s="319">
        <f t="shared" ref="OB11:OB14" ca="1" si="2725">NZ11-OA11+1000</f>
        <v>1003</v>
      </c>
      <c r="OC11" s="319">
        <f t="shared" ref="OC11:OC14" ca="1" si="2726">NW11*3+NX11*1</f>
        <v>7</v>
      </c>
      <c r="OD11" s="319">
        <f t="shared" si="630"/>
        <v>36</v>
      </c>
      <c r="OE11" s="319">
        <f t="shared" ref="OE11" ca="1" si="2727">IF(COUNTIF(OC11:OC15,4)&lt;&gt;4,RANK(OC11,OC11:OC15),OC51)</f>
        <v>1</v>
      </c>
      <c r="OF11" s="319"/>
      <c r="OG11" s="319">
        <f t="shared" ref="OG11" ca="1" si="2728">SUMPRODUCT((OE11:OE14=OE11)*(OD11:OD14&lt;OD11))+OE11</f>
        <v>1</v>
      </c>
      <c r="OH11" s="319" t="str">
        <f t="shared" ref="OH11" ca="1" si="2729">INDEX(NV11:NV15,MATCH(1,OG11:OG15,0),0)</f>
        <v>Italy</v>
      </c>
      <c r="OI11" s="319">
        <f t="shared" ref="OI11" ca="1" si="2730">INDEX(OE11:OE15,MATCH(OH11,NV11:NV15,0),0)</f>
        <v>1</v>
      </c>
      <c r="OJ11" s="319" t="str">
        <f t="shared" ref="OJ11" ca="1" si="2731">IF(OI12=1,OH11,"")</f>
        <v>Italy</v>
      </c>
      <c r="OK11" s="319" t="str">
        <f t="shared" ref="OK11" ca="1" si="2732">IF(OI13=2,OH12,"")</f>
        <v/>
      </c>
      <c r="OL11" s="319" t="str">
        <f t="shared" ref="OL11" ca="1" si="2733">IF(OI14=3,OH13,"")</f>
        <v/>
      </c>
      <c r="OM11" s="319" t="str">
        <f t="shared" ref="OM11" si="2734">IF(OI15=4,OH14,"")</f>
        <v/>
      </c>
      <c r="ON11" s="319"/>
      <c r="OO11" s="319" t="str">
        <f t="shared" ref="OO11:OO14" ca="1" si="2735">IF(OJ11&lt;&gt;"",OJ11,"")</f>
        <v>Italy</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1</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1</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1</v>
      </c>
      <c r="OU11" s="319">
        <f t="shared" ref="OU11:OU14" ca="1" si="2741">OS11-OT11+1000</f>
        <v>1000</v>
      </c>
      <c r="OV11" s="319">
        <f t="shared" ref="OV11:OV14" ca="1" si="2742">IF(OO11&lt;&gt;"",OP11*3+OQ11*1,"")</f>
        <v>1</v>
      </c>
      <c r="OW11" s="319">
        <f t="shared" ref="OW11" ca="1" si="2743">IF(OO11&lt;&gt;"",VLOOKUP(OO11,NV4:OB40,7,FALSE),"")</f>
        <v>1003</v>
      </c>
      <c r="OX11" s="319">
        <f t="shared" ref="OX11" ca="1" si="2744">IF(OO11&lt;&gt;"",VLOOKUP(OO11,NV4:OB40,5,FALSE),"")</f>
        <v>5</v>
      </c>
      <c r="OY11" s="319">
        <f t="shared" ref="OY11" ca="1" si="2745">IF(OO11&lt;&gt;"",VLOOKUP(OO11,NV4:OD40,9,FALSE),"")</f>
        <v>36</v>
      </c>
      <c r="OZ11" s="319">
        <f t="shared" ref="OZ11:OZ14" ca="1" si="2746">OV11</f>
        <v>1</v>
      </c>
      <c r="PA11" s="319">
        <f t="shared" ref="PA11" ca="1" si="2747">IF(OO11&lt;&gt;"",RANK(OZ11,OZ11:OZ15),"")</f>
        <v>1</v>
      </c>
      <c r="PB11" s="319">
        <f t="shared" ref="PB11" ca="1" si="2748">IF(OO11&lt;&gt;"",SUMPRODUCT((OZ11:OZ15=OZ11)*(OU11:OU15&gt;OU11)),"")</f>
        <v>0</v>
      </c>
      <c r="PC11" s="319">
        <f t="shared" ref="PC11" ca="1" si="2749">IF(OO11&lt;&gt;"",SUMPRODUCT((OZ11:OZ15=OZ11)*(OU11:OU15=OU11)*(OS11:OS15&gt;OS11)),"")</f>
        <v>0</v>
      </c>
      <c r="PD11" s="319">
        <f t="shared" ref="PD11" ca="1" si="2750">IF(OO11&lt;&gt;"",SUMPRODUCT((OZ11:OZ15=OZ11)*(OU11:OU15=OU11)*(OS11:OS15=OS11)*(OW11:OW15&gt;OW11)),"")</f>
        <v>0</v>
      </c>
      <c r="PE11" s="319">
        <f t="shared" ref="PE11" ca="1" si="2751">IF(OO11&lt;&gt;"",SUMPRODUCT((OZ11:OZ15=OZ11)*(OU11:OU15=OU11)*(OS11:OS15=OS11)*(OW11:OW15=OW11)*(OX11:OX15&gt;OX11)),"")</f>
        <v>0</v>
      </c>
      <c r="PF11" s="319">
        <f t="shared" ref="PF11" ca="1" si="2752">IF(OO11&lt;&gt;"",SUMPRODUCT((OZ11:OZ15=OZ11)*(OU11:OU15=OU11)*(OS11:OS15=OS11)*(OW11:OW15=OW11)*(OX11:OX15=OX11)*(OY11:OY15&gt;OY11)),"")</f>
        <v>1</v>
      </c>
      <c r="PG11" s="319">
        <f ca="1">IF(OO11&lt;&gt;"",IF(PG51&lt;&gt;"",IF(ON50=3,PG51,PG51+ON50),SUM(PA11:PF11)),"")</f>
        <v>2</v>
      </c>
      <c r="PH11" s="319" t="str">
        <f t="shared" ref="PH11" ca="1" si="2753">IF(OO11&lt;&gt;"",INDEX(OO11:OO15,MATCH(1,PG11:PG15,0),0),"")</f>
        <v>Spain</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0</v>
      </c>
      <c r="RV11" s="322">
        <f ca="1">IF(OFFSET('Player Game Board'!Q18,0,RU1)&lt;&gt;"",OFFSET('Player Game Board'!Q18,0,RU1),0)</f>
        <v>0</v>
      </c>
      <c r="RW11" s="319" t="str">
        <f t="shared" si="19"/>
        <v>Slovakia</v>
      </c>
      <c r="RX11" s="319" t="str">
        <f ca="1">IF(AND(OFFSET('Player Game Board'!P18,0,RU1)&lt;&gt;"",OFFSET('Player Game Board'!Q18,0,RU1)&lt;&gt;""),IF(RU11&gt;RV11,"W",IF(RU11=RV11,"D","L")),"")</f>
        <v>D</v>
      </c>
      <c r="RY11" s="319" t="str">
        <f t="shared" ca="1" si="20"/>
        <v>D</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2</v>
      </c>
      <c r="ST11" s="319" t="str">
        <f t="shared" ref="ST11:ST14" si="2756">NV11</f>
        <v>Italy</v>
      </c>
      <c r="SU11" s="319">
        <f t="shared" ref="SU11" ca="1" si="2757">SUMPRODUCT((WR3:WR42=ST11)*(WV3:WV42="W"))+SUMPRODUCT((WU3:WU42=ST11)*(WW3:WW42="W"))</f>
        <v>2</v>
      </c>
      <c r="SV11" s="319">
        <f t="shared" ref="SV11" ca="1" si="2758">SUMPRODUCT((WR3:WR42=ST11)*(WV3:WV42="D"))+SUMPRODUCT((WU3:WU42=ST11)*(WW3:WW42="D"))</f>
        <v>1</v>
      </c>
      <c r="SW11" s="319">
        <f t="shared" ref="SW11" ca="1" si="2759">SUMPRODUCT((WR3:WR42=ST11)*(WV3:WV42="L"))+SUMPRODUCT((WU3:WU42=ST11)*(WW3:WW42="L"))</f>
        <v>0</v>
      </c>
      <c r="SX11" s="319">
        <f t="shared" ref="SX11" ca="1" si="2760">SUMIF(WR3:WR60,ST11,WS3:WS60)+SUMIF(WU3:WU60,ST11,WT3:WT60)</f>
        <v>7</v>
      </c>
      <c r="SY11" s="319">
        <f t="shared" ref="SY11" ca="1" si="2761">SUMIF(WU3:WU60,ST11,WS3:WS60)+SUMIF(WR3:WR60,ST11,WT3:WT60)</f>
        <v>2</v>
      </c>
      <c r="SZ11" s="319">
        <f t="shared" ref="SZ11:SZ14" ca="1" si="2762">SX11-SY11+1000</f>
        <v>1005</v>
      </c>
      <c r="TA11" s="319">
        <f t="shared" ref="TA11:TA14" ca="1" si="2763">SU11*3+SV11*1</f>
        <v>7</v>
      </c>
      <c r="TB11" s="319">
        <f t="shared" si="690"/>
        <v>36</v>
      </c>
      <c r="TC11" s="319">
        <f t="shared" ref="TC11" ca="1" si="2764">IF(COUNTIF(TA11:TA15,4)&lt;&gt;4,RANK(TA11,TA11:TA15),TA51)</f>
        <v>1</v>
      </c>
      <c r="TD11" s="319"/>
      <c r="TE11" s="319">
        <f t="shared" ref="TE11" ca="1" si="2765">SUMPRODUCT((TC11:TC14=TC11)*(TB11:TB14&lt;TB11))+TC11</f>
        <v>1</v>
      </c>
      <c r="TF11" s="319" t="str">
        <f t="shared" ref="TF11" ca="1" si="2766">INDEX(ST11:ST15,MATCH(1,TE11:TE15,0),0)</f>
        <v>Italy</v>
      </c>
      <c r="TG11" s="319">
        <f t="shared" ref="TG11" ca="1" si="2767">INDEX(TC11:TC15,MATCH(TF11,ST11:ST15,0),0)</f>
        <v>1</v>
      </c>
      <c r="TH11" s="319" t="str">
        <f t="shared" ref="TH11" ca="1" si="2768">IF(TG12=1,TF11,"")</f>
        <v>Italy</v>
      </c>
      <c r="TI11" s="319" t="str">
        <f t="shared" ref="TI11" ca="1" si="2769">IF(TG13=2,TF12,"")</f>
        <v/>
      </c>
      <c r="TJ11" s="319" t="str">
        <f t="shared" ref="TJ11" ca="1" si="2770">IF(TG14=3,TF13,"")</f>
        <v/>
      </c>
      <c r="TK11" s="319" t="str">
        <f t="shared" ref="TK11" si="2771">IF(TG15=4,TF14,"")</f>
        <v/>
      </c>
      <c r="TL11" s="319"/>
      <c r="TM11" s="319" t="str">
        <f t="shared" ref="TM11:TM14" ca="1" si="2772">IF(TH11&lt;&gt;"",TH11,"")</f>
        <v>Italy</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1</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1</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1</v>
      </c>
      <c r="TS11" s="319">
        <f t="shared" ref="TS11:TS14" ca="1" si="2778">TQ11-TR11+1000</f>
        <v>1000</v>
      </c>
      <c r="TT11" s="319">
        <f t="shared" ref="TT11:TT14" ca="1" si="2779">IF(TM11&lt;&gt;"",TN11*3+TO11*1,"")</f>
        <v>1</v>
      </c>
      <c r="TU11" s="319">
        <f t="shared" ref="TU11" ca="1" si="2780">IF(TM11&lt;&gt;"",VLOOKUP(TM11,ST4:SZ40,7,FALSE),"")</f>
        <v>1005</v>
      </c>
      <c r="TV11" s="319">
        <f t="shared" ref="TV11" ca="1" si="2781">IF(TM11&lt;&gt;"",VLOOKUP(TM11,ST4:SZ40,5,FALSE),"")</f>
        <v>7</v>
      </c>
      <c r="TW11" s="319">
        <f t="shared" ref="TW11" ca="1" si="2782">IF(TM11&lt;&gt;"",VLOOKUP(TM11,ST4:TB40,9,FALSE),"")</f>
        <v>36</v>
      </c>
      <c r="TX11" s="319">
        <f t="shared" ref="TX11:TX14" ca="1" si="2783">TT11</f>
        <v>1</v>
      </c>
      <c r="TY11" s="319">
        <f t="shared" ref="TY11" ca="1" si="2784">IF(TM11&lt;&gt;"",RANK(TX11,TX11:TX15),"")</f>
        <v>1</v>
      </c>
      <c r="TZ11" s="319">
        <f t="shared" ref="TZ11" ca="1" si="2785">IF(TM11&lt;&gt;"",SUMPRODUCT((TX11:TX15=TX11)*(TS11:TS15&gt;TS11)),"")</f>
        <v>0</v>
      </c>
      <c r="UA11" s="319">
        <f t="shared" ref="UA11" ca="1" si="2786">IF(TM11&lt;&gt;"",SUMPRODUCT((TX11:TX15=TX11)*(TS11:TS15=TS11)*(TQ11:TQ15&gt;TQ11)),"")</f>
        <v>0</v>
      </c>
      <c r="UB11" s="319">
        <f t="shared" ref="UB11" ca="1" si="2787">IF(TM11&lt;&gt;"",SUMPRODUCT((TX11:TX15=TX11)*(TS11:TS15=TS11)*(TQ11:TQ15=TQ11)*(TU11:TU15&gt;TU11)),"")</f>
        <v>1</v>
      </c>
      <c r="UC11" s="319">
        <f t="shared" ref="UC11" ca="1" si="2788">IF(TM11&lt;&gt;"",SUMPRODUCT((TX11:TX15=TX11)*(TS11:TS15=TS11)*(TQ11:TQ15=TQ11)*(TU11:TU15=TU11)*(TV11:TV15&gt;TV11)),"")</f>
        <v>0</v>
      </c>
      <c r="UD11" s="319">
        <f t="shared" ref="UD11" ca="1" si="2789">IF(TM11&lt;&gt;"",SUMPRODUCT((TX11:TX15=TX11)*(TS11:TS15=TS11)*(TQ11:TQ15=TQ11)*(TU11:TU15=TU11)*(TV11:TV15=TV11)*(TW11:TW15&gt;TW11)),"")</f>
        <v>0</v>
      </c>
      <c r="UE11" s="319">
        <f ca="1">IF(TM11&lt;&gt;"",IF(UE51&lt;&gt;"",IF(TL50=3,UE51,UE51+TL50),SUM(TY11:UD11)),"")</f>
        <v>2</v>
      </c>
      <c r="UF11" s="319" t="str">
        <f t="shared" ref="UF11" ca="1" si="2790">IF(TM11&lt;&gt;"",INDEX(TM11:TM15,MATCH(1,UE11:UE15,0),0),"")</f>
        <v>Spain</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3</v>
      </c>
      <c r="WT11" s="322">
        <f ca="1">IF(OFFSET('Player Game Board'!Q18,0,WS1)&lt;&gt;"",OFFSET('Player Game Board'!Q18,0,WS1),0)</f>
        <v>1</v>
      </c>
      <c r="WU11" s="319" t="str">
        <f t="shared" si="35"/>
        <v>Slovakia</v>
      </c>
      <c r="WV11" s="319" t="str">
        <f ca="1">IF(AND(OFFSET('Player Game Board'!P18,0,WS1)&lt;&gt;"",OFFSET('Player Game Board'!Q18,0,WS1)&lt;&gt;""),IF(WS11&gt;WT11,"W",IF(WS11=WT11,"D","L")),"")</f>
        <v>W</v>
      </c>
      <c r="WW11" s="319" t="str">
        <f t="shared" ca="1" si="36"/>
        <v>L</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1</v>
      </c>
      <c r="XR11" s="319" t="str">
        <f t="shared" ref="XR11:XR14" si="2793">ST11</f>
        <v>Italy</v>
      </c>
      <c r="XS11" s="319">
        <f t="shared" ref="XS11" ca="1" si="2794">SUMPRODUCT((ABP3:ABP42=XR11)*(ABT3:ABT42="W"))+SUMPRODUCT((ABS3:ABS42=XR11)*(ABU3:ABU42="W"))</f>
        <v>2</v>
      </c>
      <c r="XT11" s="319">
        <f t="shared" ref="XT11" ca="1" si="2795">SUMPRODUCT((ABP3:ABP42=XR11)*(ABT3:ABT42="D"))+SUMPRODUCT((ABS3:ABS42=XR11)*(ABU3:ABU42="D"))</f>
        <v>1</v>
      </c>
      <c r="XU11" s="319">
        <f t="shared" ref="XU11" ca="1" si="2796">SUMPRODUCT((ABP3:ABP42=XR11)*(ABT3:ABT42="L"))+SUMPRODUCT((ABS3:ABS42=XR11)*(ABU3:ABU42="L"))</f>
        <v>0</v>
      </c>
      <c r="XV11" s="319">
        <f t="shared" ref="XV11" ca="1" si="2797">SUMIF(ABP3:ABP60,XR11,ABQ3:ABQ60)+SUMIF(ABS3:ABS60,XR11,ABR3:ABR60)</f>
        <v>6</v>
      </c>
      <c r="XW11" s="319">
        <f t="shared" ref="XW11" ca="1" si="2798">SUMIF(ABS3:ABS60,XR11,ABQ3:ABQ60)+SUMIF(ABP3:ABP60,XR11,ABR3:ABR60)</f>
        <v>2</v>
      </c>
      <c r="XX11" s="319">
        <f t="shared" ref="XX11:XX14" ca="1" si="2799">XV11-XW11+1000</f>
        <v>1004</v>
      </c>
      <c r="XY11" s="319">
        <f t="shared" ref="XY11:XY14" ca="1" si="2800">XS11*3+XT11*1</f>
        <v>7</v>
      </c>
      <c r="XZ11" s="319">
        <f t="shared" si="750"/>
        <v>36</v>
      </c>
      <c r="YA11" s="319">
        <f t="shared" ref="YA11" ca="1" si="2801">IF(COUNTIF(XY11:XY15,4)&lt;&gt;4,RANK(XY11,XY11:XY15),XY51)</f>
        <v>1</v>
      </c>
      <c r="YB11" s="319"/>
      <c r="YC11" s="319">
        <f t="shared" ref="YC11" ca="1" si="2802">SUMPRODUCT((YA11:YA14=YA11)*(XZ11:XZ14&lt;XZ11))+YA11</f>
        <v>1</v>
      </c>
      <c r="YD11" s="319" t="str">
        <f t="shared" ref="YD11" ca="1" si="2803">INDEX(XR11:XR15,MATCH(1,YC11:YC15,0),0)</f>
        <v>Italy</v>
      </c>
      <c r="YE11" s="319">
        <f t="shared" ref="YE11" ca="1" si="2804">INDEX(YA11:YA15,MATCH(YD11,XR11:XR15,0),0)</f>
        <v>1</v>
      </c>
      <c r="YF11" s="319" t="str">
        <f t="shared" ref="YF11" ca="1" si="2805">IF(YE12=1,YD11,"")</f>
        <v/>
      </c>
      <c r="YG11" s="319" t="str">
        <f t="shared" ref="YG11" ca="1" si="2806">IF(YE13=2,YD12,"")</f>
        <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Italy</v>
      </c>
      <c r="ABN11" s="319">
        <v>1</v>
      </c>
      <c r="ABO11" s="319">
        <v>9</v>
      </c>
      <c r="ABP11" s="319" t="str">
        <f t="shared" si="50"/>
        <v>Belgium</v>
      </c>
      <c r="ABQ11" s="322">
        <f ca="1">IF(OFFSET('Player Game Board'!P18,0,ABQ1)&lt;&gt;"",OFFSET('Player Game Board'!P18,0,ABQ1),0)</f>
        <v>1</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2</v>
      </c>
      <c r="ACP11" s="319" t="str">
        <f t="shared" ref="ACP11:ACP14" si="2830">XR11</f>
        <v>Italy</v>
      </c>
      <c r="ACQ11" s="319">
        <f t="shared" ref="ACQ11" ca="1" si="2831">SUMPRODUCT((AGN3:AGN42=ACP11)*(AGR3:AGR42="W"))+SUMPRODUCT((AGQ3:AGQ42=ACP11)*(AGS3:AGS42="W"))</f>
        <v>2</v>
      </c>
      <c r="ACR11" s="319">
        <f t="shared" ref="ACR11" ca="1" si="2832">SUMPRODUCT((AGN3:AGN42=ACP11)*(AGR3:AGR42="D"))+SUMPRODUCT((AGQ3:AGQ42=ACP11)*(AGS3:AGS42="D"))</f>
        <v>1</v>
      </c>
      <c r="ACS11" s="319">
        <f t="shared" ref="ACS11" ca="1" si="2833">SUMPRODUCT((AGN3:AGN42=ACP11)*(AGR3:AGR42="L"))+SUMPRODUCT((AGQ3:AGQ42=ACP11)*(AGS3:AGS42="L"))</f>
        <v>0</v>
      </c>
      <c r="ACT11" s="319">
        <f t="shared" ref="ACT11" ca="1" si="2834">SUMIF(AGN3:AGN60,ACP11,AGO3:AGO60)+SUMIF(AGQ3:AGQ60,ACP11,AGP3:AGP60)</f>
        <v>6</v>
      </c>
      <c r="ACU11" s="319">
        <f t="shared" ref="ACU11" ca="1" si="2835">SUMIF(AGQ3:AGQ60,ACP11,AGO3:AGO60)+SUMIF(AGN3:AGN60,ACP11,AGP3:AGP60)</f>
        <v>2</v>
      </c>
      <c r="ACV11" s="319">
        <f t="shared" ref="ACV11:ACV14" ca="1" si="2836">ACT11-ACU11+1000</f>
        <v>1004</v>
      </c>
      <c r="ACW11" s="319">
        <f t="shared" ref="ACW11:ACW14" ca="1" si="2837">ACQ11*3+ACR11*1</f>
        <v>7</v>
      </c>
      <c r="ACX11" s="319">
        <f t="shared" si="810"/>
        <v>36</v>
      </c>
      <c r="ACY11" s="319">
        <f t="shared" ref="ACY11" ca="1" si="2838">IF(COUNTIF(ACW11:ACW15,4)&lt;&gt;4,RANK(ACW11,ACW11:ACW15),ACW51)</f>
        <v>1</v>
      </c>
      <c r="ACZ11" s="319"/>
      <c r="ADA11" s="319">
        <f t="shared" ref="ADA11" ca="1" si="2839">SUMPRODUCT((ACY11:ACY14=ACY11)*(ACX11:ACX14&lt;ACX11))+ACY11</f>
        <v>1</v>
      </c>
      <c r="ADB11" s="319" t="str">
        <f t="shared" ref="ADB11" ca="1" si="2840">INDEX(ACP11:ACP15,MATCH(1,ADA11:ADA15,0),0)</f>
        <v>Italy</v>
      </c>
      <c r="ADC11" s="319">
        <f t="shared" ref="ADC11" ca="1" si="2841">INDEX(ACY11:ACY15,MATCH(ADB11,ACP11:ACP15,0),0)</f>
        <v>1</v>
      </c>
      <c r="ADD11" s="319" t="str">
        <f t="shared" ref="ADD11" ca="1" si="2842">IF(ADC12=1,ADB11,"")</f>
        <v>Italy</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Italy</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1</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1</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1</v>
      </c>
      <c r="ADO11" s="319">
        <f t="shared" ref="ADO11:ADO14" ca="1" si="2852">ADM11-ADN11+1000</f>
        <v>1000</v>
      </c>
      <c r="ADP11" s="319">
        <f t="shared" ref="ADP11:ADP14" ca="1" si="2853">IF(ADI11&lt;&gt;"",ADJ11*3+ADK11*1,"")</f>
        <v>1</v>
      </c>
      <c r="ADQ11" s="319">
        <f t="shared" ref="ADQ11" ca="1" si="2854">IF(ADI11&lt;&gt;"",VLOOKUP(ADI11,ACP4:ACV40,7,FALSE),"")</f>
        <v>1004</v>
      </c>
      <c r="ADR11" s="319">
        <f t="shared" ref="ADR11" ca="1" si="2855">IF(ADI11&lt;&gt;"",VLOOKUP(ADI11,ACP4:ACV40,5,FALSE),"")</f>
        <v>6</v>
      </c>
      <c r="ADS11" s="319">
        <f t="shared" ref="ADS11" ca="1" si="2856">IF(ADI11&lt;&gt;"",VLOOKUP(ADI11,ACP4:ACX40,9,FALSE),"")</f>
        <v>36</v>
      </c>
      <c r="ADT11" s="319">
        <f t="shared" ref="ADT11:ADT14" ca="1" si="2857">ADP11</f>
        <v>1</v>
      </c>
      <c r="ADU11" s="319">
        <f t="shared" ref="ADU11" ca="1" si="2858">IF(ADI11&lt;&gt;"",RANK(ADT11,ADT11:ADT15),"")</f>
        <v>1</v>
      </c>
      <c r="ADV11" s="319">
        <f t="shared" ref="ADV11" ca="1" si="2859">IF(ADI11&lt;&gt;"",SUMPRODUCT((ADT11:ADT15=ADT11)*(ADO11:ADO15&gt;ADO11)),"")</f>
        <v>0</v>
      </c>
      <c r="ADW11" s="319">
        <f t="shared" ref="ADW11" ca="1" si="2860">IF(ADI11&lt;&gt;"",SUMPRODUCT((ADT11:ADT15=ADT11)*(ADO11:ADO15=ADO11)*(ADM11:ADM15&gt;ADM11)),"")</f>
        <v>0</v>
      </c>
      <c r="ADX11" s="319">
        <f t="shared" ref="ADX11" ca="1" si="2861">IF(ADI11&lt;&gt;"",SUMPRODUCT((ADT11:ADT15=ADT11)*(ADO11:ADO15=ADO11)*(ADM11:ADM15=ADM11)*(ADQ11:ADQ15&gt;ADQ11)),"")</f>
        <v>0</v>
      </c>
      <c r="ADY11" s="319">
        <f t="shared" ref="ADY11" ca="1" si="2862">IF(ADI11&lt;&gt;"",SUMPRODUCT((ADT11:ADT15=ADT11)*(ADO11:ADO15=ADO11)*(ADM11:ADM15=ADM11)*(ADQ11:ADQ15=ADQ11)*(ADR11:ADR15&gt;ADR11)),"")</f>
        <v>0</v>
      </c>
      <c r="ADZ11" s="319">
        <f t="shared" ref="ADZ11" ca="1" si="2863">IF(ADI11&lt;&gt;"",SUMPRODUCT((ADT11:ADT15=ADT11)*(ADO11:ADO15=ADO11)*(ADM11:ADM15=ADM11)*(ADQ11:ADQ15=ADQ11)*(ADR11:ADR15=ADR11)*(ADS11:ADS15&gt;ADS11)),"")</f>
        <v>1</v>
      </c>
      <c r="AEA11" s="319">
        <f ca="1">IF(ADI11&lt;&gt;"",IF(AEA51&lt;&gt;"",IF(ADH50=3,AEA51,AEA51+ADH50),SUM(ADU11:ADZ11)),"")</f>
        <v>2</v>
      </c>
      <c r="AEB11" s="319" t="str">
        <f t="shared" ref="AEB11" ca="1" si="2864">IF(ADI11&lt;&gt;"",INDEX(ADI11:ADI15,MATCH(1,AEA11:AEA15,0),0),"")</f>
        <v>Spain</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Spain</v>
      </c>
      <c r="AGL11" s="319">
        <v>1</v>
      </c>
      <c r="AGM11" s="319">
        <v>9</v>
      </c>
      <c r="AGN11" s="319" t="str">
        <f t="shared" si="66"/>
        <v>Belgium</v>
      </c>
      <c r="AGO11" s="322">
        <f ca="1">IF(OFFSET('Player Game Board'!P18,0,AGO1)&lt;&gt;"",OFFSET('Player Game Board'!P18,0,AGO1),0)</f>
        <v>3</v>
      </c>
      <c r="AGP11" s="322">
        <f ca="1">IF(OFFSET('Player Game Board'!Q18,0,AGO1)&lt;&gt;"",OFFSET('Player Game Board'!Q18,0,AGO1),0)</f>
        <v>1</v>
      </c>
      <c r="AGQ11" s="319" t="str">
        <f t="shared" si="67"/>
        <v>Slovakia</v>
      </c>
      <c r="AGR11" s="319" t="str">
        <f ca="1">IF(AND(OFFSET('Player Game Board'!P18,0,AGO1)&lt;&gt;"",OFFSET('Player Game Board'!Q18,0,AGO1)&lt;&gt;""),IF(AGO11&gt;AGP11,"W",IF(AGO11=AGP11,"D","L")),"")</f>
        <v>W</v>
      </c>
      <c r="AGS11" s="319" t="str">
        <f t="shared" ca="1" si="68"/>
        <v>L</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4</v>
      </c>
      <c r="AHN11" s="319" t="str">
        <f t="shared" ref="AHN11:AHN14" si="2867">ACP11</f>
        <v>Italy</v>
      </c>
      <c r="AHO11" s="319">
        <f t="shared" ref="AHO11" ca="1" si="2868">SUMPRODUCT((ALL3:ALL42=AHN11)*(ALP3:ALP42="W"))+SUMPRODUCT((ALO3:ALO42=AHN11)*(ALQ3:ALQ42="W"))</f>
        <v>0</v>
      </c>
      <c r="AHP11" s="319">
        <f t="shared" ref="AHP11" ca="1" si="2869">SUMPRODUCT((ALL3:ALL42=AHN11)*(ALP3:ALP42="D"))+SUMPRODUCT((ALO3:ALO42=AHN11)*(ALQ3:ALQ42="D"))</f>
        <v>0</v>
      </c>
      <c r="AHQ11" s="319">
        <f t="shared" ref="AHQ11" ca="1" si="2870">SUMPRODUCT((ALL3:ALL42=AHN11)*(ALP3:ALP42="L"))+SUMPRODUCT((ALO3:ALO42=AHN11)*(ALQ3:ALQ42="L"))</f>
        <v>0</v>
      </c>
      <c r="AHR11" s="319">
        <f t="shared" ref="AHR11" ca="1" si="2871">SUMIF(ALL3:ALL60,AHN11,ALM3:ALM60)+SUMIF(ALO3:ALO60,AHN11,ALN3:ALN60)</f>
        <v>0</v>
      </c>
      <c r="AHS11" s="319">
        <f t="shared" ref="AHS11" ca="1" si="2872">SUMIF(ALO3:ALO60,AHN11,ALM3:ALM60)+SUMIF(ALL3:ALL60,AHN11,ALN3:ALN60)</f>
        <v>0</v>
      </c>
      <c r="AHT11" s="319">
        <f t="shared" ref="AHT11:AHT14" ca="1" si="2873">AHR11-AHS11+1000</f>
        <v>1000</v>
      </c>
      <c r="AHU11" s="319">
        <f t="shared" ref="AHU11:AHU14" ca="1" si="2874">AHO11*3+AHP11*1</f>
        <v>0</v>
      </c>
      <c r="AHV11" s="319">
        <f t="shared" si="870"/>
        <v>36</v>
      </c>
      <c r="AHW11" s="319">
        <f t="shared" ref="AHW11" ca="1" si="2875">IF(COUNTIF(AHU11:AHU15,4)&lt;&gt;4,RANK(AHU11,AHU11:AHU15),AHU51)</f>
        <v>1</v>
      </c>
      <c r="AHX11" s="319"/>
      <c r="AHY11" s="319">
        <f t="shared" ref="AHY11" ca="1" si="2876">SUMPRODUCT((AHW11:AHW14=AHW11)*(AHV11:AHV14&lt;AHV11))+AHW11</f>
        <v>1</v>
      </c>
      <c r="AHZ11" s="319" t="str">
        <f t="shared" ref="AHZ11" ca="1" si="2877">INDEX(AHN11:AHN15,MATCH(1,AHY11:AHY15,0),0)</f>
        <v>Italy</v>
      </c>
      <c r="AIA11" s="319">
        <f t="shared" ref="AIA11" ca="1" si="2878">INDEX(AHW11:AHW15,MATCH(AHZ11,AHN11:AHN15,0),0)</f>
        <v>1</v>
      </c>
      <c r="AIB11" s="319" t="str">
        <f t="shared" ref="AIB11" ca="1" si="2879">IF(AIA12=1,AHZ11,"")</f>
        <v>Italy</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Italy</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0</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0</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0</v>
      </c>
      <c r="AIM11" s="319">
        <f t="shared" ref="AIM11:AIM14" ca="1" si="2889">AIK11-AIL11+1000</f>
        <v>1000</v>
      </c>
      <c r="AIN11" s="319">
        <f t="shared" ref="AIN11:AIN14" ca="1" si="2890">IF(AIG11&lt;&gt;"",AIH11*3+AII11*1,"")</f>
        <v>0</v>
      </c>
      <c r="AIO11" s="319">
        <f t="shared" ref="AIO11" ca="1" si="2891">IF(AIG11&lt;&gt;"",VLOOKUP(AIG11,AHN4:AHT40,7,FALSE),"")</f>
        <v>1000</v>
      </c>
      <c r="AIP11" s="319">
        <f t="shared" ref="AIP11" ca="1" si="2892">IF(AIG11&lt;&gt;"",VLOOKUP(AIG11,AHN4:AHT40,5,FALSE),"")</f>
        <v>0</v>
      </c>
      <c r="AIQ11" s="319">
        <f t="shared" ref="AIQ11" ca="1" si="2893">IF(AIG11&lt;&gt;"",VLOOKUP(AIG11,AHN4:AHV40,9,FALSE),"")</f>
        <v>36</v>
      </c>
      <c r="AIR11" s="319">
        <f t="shared" ref="AIR11:AIR14" ca="1" si="2894">AIN11</f>
        <v>0</v>
      </c>
      <c r="AIS11" s="319">
        <f t="shared" ref="AIS11" ca="1" si="2895">IF(AIG11&lt;&gt;"",RANK(AIR11,AIR11:AIR15),"")</f>
        <v>1</v>
      </c>
      <c r="AIT11" s="319">
        <f t="shared" ref="AIT11" ca="1" si="2896">IF(AIG11&lt;&gt;"",SUMPRODUCT((AIR11:AIR15=AIR11)*(AIM11:AIM15&gt;AIM11)),"")</f>
        <v>0</v>
      </c>
      <c r="AIU11" s="319">
        <f t="shared" ref="AIU11" ca="1" si="2897">IF(AIG11&lt;&gt;"",SUMPRODUCT((AIR11:AIR15=AIR11)*(AIM11:AIM15=AIM11)*(AIK11:AIK15&gt;AIK11)),"")</f>
        <v>0</v>
      </c>
      <c r="AIV11" s="319">
        <f t="shared" ref="AIV11" ca="1" si="2898">IF(AIG11&lt;&gt;"",SUMPRODUCT((AIR11:AIR15=AIR11)*(AIM11:AIM15=AIM11)*(AIK11:AIK15=AIK11)*(AIO11:AIO15&gt;AIO11)),"")</f>
        <v>0</v>
      </c>
      <c r="AIW11" s="319">
        <f t="shared" ref="AIW11" ca="1" si="2899">IF(AIG11&lt;&gt;"",SUMPRODUCT((AIR11:AIR15=AIR11)*(AIM11:AIM15=AIM11)*(AIK11:AIK15=AIK11)*(AIO11:AIO15=AIO11)*(AIP11:AIP15&gt;AIP11)),"")</f>
        <v>0</v>
      </c>
      <c r="AIX11" s="319">
        <f t="shared" ref="AIX11" ca="1" si="2900">IF(AIG11&lt;&gt;"",SUMPRODUCT((AIR11:AIR15=AIR11)*(AIM11:AIM15=AIM11)*(AIK11:AIK15=AIK11)*(AIO11:AIO15=AIO11)*(AIP11:AIP15=AIP11)*(AIQ11:AIQ15&gt;AIQ11)),"")</f>
        <v>3</v>
      </c>
      <c r="AIY11" s="319">
        <f ca="1">IF(AIG11&lt;&gt;"",IF(AIY51&lt;&gt;"",IF(AIF50=3,AIY51,AIY51+AIF50),SUM(AIS11:AIX11)),"")</f>
        <v>4</v>
      </c>
      <c r="AIZ11" s="319" t="str">
        <f t="shared" ref="AIZ11" ca="1" si="2901">IF(AIG11&lt;&gt;"",INDEX(AIG11:AIG15,MATCH(1,AIY11:AIY15,0),0),"")</f>
        <v>Spain</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Spain</v>
      </c>
      <c r="ALJ11" s="319">
        <v>1</v>
      </c>
      <c r="ALK11" s="319">
        <v>9</v>
      </c>
      <c r="ALL11" s="319" t="str">
        <f t="shared" si="82"/>
        <v>Belgium</v>
      </c>
      <c r="ALM11" s="322">
        <f ca="1">IF(OFFSET('Player Game Board'!P18,0,ALM1)&lt;&gt;"",OFFSET('Player Game Board'!P18,0,ALM1),0)</f>
        <v>0</v>
      </c>
      <c r="ALN11" s="322">
        <f ca="1">IF(OFFSET('Player Game Board'!Q18,0,ALM1)&lt;&gt;"",OFFSET('Player Game Board'!Q18,0,ALM1),0)</f>
        <v>0</v>
      </c>
      <c r="ALO11" s="319" t="str">
        <f t="shared" si="83"/>
        <v>Slovakia</v>
      </c>
      <c r="ALP11" s="319" t="str">
        <f ca="1">IF(AND(OFFSET('Player Game Board'!P18,0,ALM1)&lt;&gt;"",OFFSET('Player Game Board'!Q18,0,ALM1)&lt;&gt;""),IF(ALM11&gt;ALN11,"W",IF(ALM11=ALN11,"D","L")),"")</f>
        <v/>
      </c>
      <c r="ALQ11" s="319" t="str">
        <f t="shared" ca="1" si="84"/>
        <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4</v>
      </c>
      <c r="AML11" s="319" t="str">
        <f t="shared" ref="AML11:AML14" si="2904">AHN11</f>
        <v>Italy</v>
      </c>
      <c r="AMM11" s="319">
        <f t="shared" ref="AMM11" ca="1" si="2905">SUMPRODUCT((AQJ3:AQJ42=AML11)*(AQN3:AQN42="W"))+SUMPRODUCT((AQM3:AQM42=AML11)*(AQO3:AQO42="W"))</f>
        <v>0</v>
      </c>
      <c r="AMN11" s="319">
        <f t="shared" ref="AMN11" ca="1" si="2906">SUMPRODUCT((AQJ3:AQJ42=AML11)*(AQN3:AQN42="D"))+SUMPRODUCT((AQM3:AQM42=AML11)*(AQO3:AQO42="D"))</f>
        <v>0</v>
      </c>
      <c r="AMO11" s="319">
        <f t="shared" ref="AMO11" ca="1" si="2907">SUMPRODUCT((AQJ3:AQJ42=AML11)*(AQN3:AQN42="L"))+SUMPRODUCT((AQM3:AQM42=AML11)*(AQO3:AQO42="L"))</f>
        <v>0</v>
      </c>
      <c r="AMP11" s="319">
        <f t="shared" ref="AMP11" ca="1" si="2908">SUMIF(AQJ3:AQJ60,AML11,AQK3:AQK60)+SUMIF(AQM3:AQM60,AML11,AQL3:AQL60)</f>
        <v>0</v>
      </c>
      <c r="AMQ11" s="319">
        <f t="shared" ref="AMQ11" ca="1" si="2909">SUMIF(AQM3:AQM60,AML11,AQK3:AQK60)+SUMIF(AQJ3:AQJ60,AML11,AQL3:AQL60)</f>
        <v>0</v>
      </c>
      <c r="AMR11" s="319">
        <f t="shared" ref="AMR11:AMR14" ca="1" si="2910">AMP11-AMQ11+1000</f>
        <v>1000</v>
      </c>
      <c r="AMS11" s="319">
        <f t="shared" ref="AMS11:AMS14" ca="1" si="2911">AMM11*3+AMN11*1</f>
        <v>0</v>
      </c>
      <c r="AMT11" s="319">
        <f t="shared" si="930"/>
        <v>36</v>
      </c>
      <c r="AMU11" s="319">
        <f t="shared" ref="AMU11" ca="1" si="2912">IF(COUNTIF(AMS11:AMS15,4)&lt;&gt;4,RANK(AMS11,AMS11:AMS15),AMS51)</f>
        <v>1</v>
      </c>
      <c r="AMV11" s="319"/>
      <c r="AMW11" s="319">
        <f t="shared" ref="AMW11" ca="1" si="2913">SUMPRODUCT((AMU11:AMU14=AMU11)*(AMT11:AMT14&lt;AMT11))+AMU11</f>
        <v>1</v>
      </c>
      <c r="AMX11" s="319" t="str">
        <f t="shared" ref="AMX11" ca="1" si="2914">INDEX(AML11:AML15,MATCH(1,AMW11:AMW15,0),0)</f>
        <v>Italy</v>
      </c>
      <c r="AMY11" s="319">
        <f t="shared" ref="AMY11" ca="1" si="2915">INDEX(AMU11:AMU15,MATCH(AMX11,AML11:AML15,0),0)</f>
        <v>1</v>
      </c>
      <c r="AMZ11" s="319" t="str">
        <f t="shared" ref="AMZ11" ca="1" si="2916">IF(AMY12=1,AMX11,"")</f>
        <v>Italy</v>
      </c>
      <c r="ANA11" s="319" t="str">
        <f t="shared" ref="ANA11" ca="1" si="2917">IF(AMY13=2,AMX12,"")</f>
        <v/>
      </c>
      <c r="ANB11" s="319" t="str">
        <f t="shared" ref="ANB11" ca="1" si="2918">IF(AMY14=3,AMX13,"")</f>
        <v/>
      </c>
      <c r="ANC11" s="319" t="str">
        <f t="shared" ref="ANC11" si="2919">IF(AMY15=4,AMX14,"")</f>
        <v/>
      </c>
      <c r="AND11" s="319"/>
      <c r="ANE11" s="319" t="str">
        <f t="shared" ref="ANE11:ANE14" ca="1" si="2920">IF(AMZ11&lt;&gt;"",AMZ11,"")</f>
        <v>Italy</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f t="shared" ref="ANL11:ANL14" ca="1" si="2927">IF(ANE11&lt;&gt;"",ANF11*3+ANG11*1,"")</f>
        <v>0</v>
      </c>
      <c r="ANM11" s="319">
        <f t="shared" ref="ANM11" ca="1" si="2928">IF(ANE11&lt;&gt;"",VLOOKUP(ANE11,AML4:AMR40,7,FALSE),"")</f>
        <v>1000</v>
      </c>
      <c r="ANN11" s="319">
        <f t="shared" ref="ANN11" ca="1" si="2929">IF(ANE11&lt;&gt;"",VLOOKUP(ANE11,AML4:AMR40,5,FALSE),"")</f>
        <v>0</v>
      </c>
      <c r="ANO11" s="319">
        <f t="shared" ref="ANO11" ca="1" si="2930">IF(ANE11&lt;&gt;"",VLOOKUP(ANE11,AML4:AMT40,9,FALSE),"")</f>
        <v>36</v>
      </c>
      <c r="ANP11" s="319">
        <f t="shared" ref="ANP11:ANP14" ca="1" si="2931">ANL11</f>
        <v>0</v>
      </c>
      <c r="ANQ11" s="319">
        <f t="shared" ref="ANQ11" ca="1" si="2932">IF(ANE11&lt;&gt;"",RANK(ANP11,ANP11:ANP15),"")</f>
        <v>1</v>
      </c>
      <c r="ANR11" s="319">
        <f t="shared" ref="ANR11" ca="1" si="2933">IF(ANE11&lt;&gt;"",SUMPRODUCT((ANP11:ANP15=ANP11)*(ANK11:ANK15&gt;ANK11)),"")</f>
        <v>0</v>
      </c>
      <c r="ANS11" s="319">
        <f t="shared" ref="ANS11" ca="1" si="2934">IF(ANE11&lt;&gt;"",SUMPRODUCT((ANP11:ANP15=ANP11)*(ANK11:ANK15=ANK11)*(ANI11:ANI15&gt;ANI11)),"")</f>
        <v>0</v>
      </c>
      <c r="ANT11" s="319">
        <f t="shared" ref="ANT11" ca="1" si="2935">IF(ANE11&lt;&gt;"",SUMPRODUCT((ANP11:ANP15=ANP11)*(ANK11:ANK15=ANK11)*(ANI11:ANI15=ANI11)*(ANM11:ANM15&gt;ANM11)),"")</f>
        <v>0</v>
      </c>
      <c r="ANU11" s="319">
        <f t="shared" ref="ANU11" ca="1" si="2936">IF(ANE11&lt;&gt;"",SUMPRODUCT((ANP11:ANP15=ANP11)*(ANK11:ANK15=ANK11)*(ANI11:ANI15=ANI11)*(ANM11:ANM15=ANM11)*(ANN11:ANN15&gt;ANN11)),"")</f>
        <v>0</v>
      </c>
      <c r="ANV11" s="319">
        <f t="shared" ref="ANV11" ca="1" si="2937">IF(ANE11&lt;&gt;"",SUMPRODUCT((ANP11:ANP15=ANP11)*(ANK11:ANK15=ANK11)*(ANI11:ANI15=ANI11)*(ANM11:ANM15=ANM11)*(ANN11:ANN15=ANN11)*(ANO11:ANO15&gt;ANO11)),"")</f>
        <v>3</v>
      </c>
      <c r="ANW11" s="319">
        <f ca="1">IF(ANE11&lt;&gt;"",IF(ANW51&lt;&gt;"",IF(AND50=3,ANW51,ANW51+AND50),SUM(ANQ11:ANV11)),"")</f>
        <v>4</v>
      </c>
      <c r="ANX11" s="319" t="str">
        <f t="shared" ref="ANX11" ca="1" si="2938">IF(ANE11&lt;&gt;"",INDEX(ANE11:ANE15,MATCH(1,ANW11:ANW15,0),0),"")</f>
        <v>Spain</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0</v>
      </c>
      <c r="AQL11" s="322">
        <f ca="1">IF(OFFSET('Player Game Board'!Q18,0,AQK1)&lt;&gt;"",OFFSET('Player Game Board'!Q18,0,AQK1),0)</f>
        <v>0</v>
      </c>
      <c r="AQM11" s="319" t="str">
        <f t="shared" si="99"/>
        <v>Slovakia</v>
      </c>
      <c r="AQN11" s="319" t="str">
        <f ca="1">IF(AND(OFFSET('Player Game Board'!P18,0,AQK1)&lt;&gt;"",OFFSET('Player Game Board'!Q18,0,AQK1)&lt;&gt;""),IF(AQK11&gt;AQL11,"W",IF(AQK11=AQL11,"D","L")),"")</f>
        <v/>
      </c>
      <c r="AQO11" s="319" t="str">
        <f t="shared" ca="1" si="100"/>
        <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4</v>
      </c>
      <c r="ARJ11" s="319" t="str">
        <f t="shared" ref="ARJ11:ARJ14" si="2941">AML11</f>
        <v>Italy</v>
      </c>
      <c r="ARK11" s="319">
        <f t="shared" ref="ARK11" ca="1" si="2942">SUMPRODUCT((AVH3:AVH42=ARJ11)*(AVL3:AVL42="W"))+SUMPRODUCT((AVK3:AVK42=ARJ11)*(AVM3:AVM42="W"))</f>
        <v>0</v>
      </c>
      <c r="ARL11" s="319">
        <f t="shared" ref="ARL11" ca="1" si="2943">SUMPRODUCT((AVH3:AVH42=ARJ11)*(AVL3:AVL42="D"))+SUMPRODUCT((AVK3:AVK42=ARJ11)*(AVM3:AVM42="D"))</f>
        <v>0</v>
      </c>
      <c r="ARM11" s="319">
        <f t="shared" ref="ARM11" ca="1" si="2944">SUMPRODUCT((AVH3:AVH42=ARJ11)*(AVL3:AVL42="L"))+SUMPRODUCT((AVK3:AVK42=ARJ11)*(AVM3:AVM42="L"))</f>
        <v>0</v>
      </c>
      <c r="ARN11" s="319">
        <f t="shared" ref="ARN11" ca="1" si="2945">SUMIF(AVH3:AVH60,ARJ11,AVI3:AVI60)+SUMIF(AVK3:AVK60,ARJ11,AVJ3:AVJ60)</f>
        <v>0</v>
      </c>
      <c r="ARO11" s="319">
        <f t="shared" ref="ARO11" ca="1" si="2946">SUMIF(AVK3:AVK60,ARJ11,AVI3:AVI60)+SUMIF(AVH3:AVH60,ARJ11,AVJ3:AVJ60)</f>
        <v>0</v>
      </c>
      <c r="ARP11" s="319">
        <f t="shared" ref="ARP11:ARP14" ca="1" si="2947">ARN11-ARO11+1000</f>
        <v>1000</v>
      </c>
      <c r="ARQ11" s="319">
        <f t="shared" ref="ARQ11:ARQ14" ca="1" si="2948">ARK11*3+ARL11*1</f>
        <v>0</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0</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0</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0</v>
      </c>
      <c r="ASI11" s="319">
        <f t="shared" ref="ASI11:ASI14" ca="1" si="2963">ASG11-ASH11+1000</f>
        <v>1000</v>
      </c>
      <c r="ASJ11" s="319">
        <f t="shared" ref="ASJ11:ASJ14" ca="1" si="2964">IF(ASC11&lt;&gt;"",ASD11*3+ASE11*1,"")</f>
        <v>0</v>
      </c>
      <c r="ASK11" s="319">
        <f t="shared" ref="ASK11" ca="1" si="2965">IF(ASC11&lt;&gt;"",VLOOKUP(ASC11,ARJ4:ARP40,7,FALSE),"")</f>
        <v>1000</v>
      </c>
      <c r="ASL11" s="319">
        <f t="shared" ref="ASL11" ca="1" si="2966">IF(ASC11&lt;&gt;"",VLOOKUP(ASC11,ARJ4:ARP40,5,FALSE),"")</f>
        <v>0</v>
      </c>
      <c r="ASM11" s="319">
        <f t="shared" ref="ASM11" ca="1" si="2967">IF(ASC11&lt;&gt;"",VLOOKUP(ASC11,ARJ4:ARR40,9,FALSE),"")</f>
        <v>36</v>
      </c>
      <c r="ASN11" s="319">
        <f t="shared" ref="ASN11:ASN14" ca="1" si="2968">ASJ11</f>
        <v>0</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3</v>
      </c>
      <c r="ASU11" s="319">
        <f ca="1">IF(ASC11&lt;&gt;"",IF(ASU51&lt;&gt;"",IF(ASB50=3,ASU51,ASU51+ASB50),SUM(ASO11:AST11)),"")</f>
        <v>4</v>
      </c>
      <c r="ASV11" s="319" t="str">
        <f t="shared" ref="ASV11" ca="1" si="2975">IF(ASC11&lt;&gt;"",INDEX(ASC11:ASC15,MATCH(1,ASU11:ASU15,0),0),"")</f>
        <v>Spain</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Spain</v>
      </c>
      <c r="AVF11" s="319">
        <v>1</v>
      </c>
      <c r="AVG11" s="319">
        <v>9</v>
      </c>
      <c r="AVH11" s="319" t="str">
        <f t="shared" si="114"/>
        <v>Belgium</v>
      </c>
      <c r="AVI11" s="322">
        <f ca="1">IF(OFFSET('Player Game Board'!P18,0,AVI1)&lt;&gt;"",OFFSET('Player Game Board'!P18,0,AVI1),0)</f>
        <v>0</v>
      </c>
      <c r="AVJ11" s="322">
        <f ca="1">IF(OFFSET('Player Game Board'!Q18,0,AVI1)&lt;&gt;"",OFFSET('Player Game Board'!Q18,0,AVI1),0)</f>
        <v>0</v>
      </c>
      <c r="AVK11" s="319" t="str">
        <f t="shared" si="115"/>
        <v>Slovakia</v>
      </c>
      <c r="AVL11" s="319" t="str">
        <f ca="1">IF(AND(OFFSET('Player Game Board'!P18,0,AVI1)&lt;&gt;"",OFFSET('Player Game Board'!Q18,0,AVI1)&lt;&gt;""),IF(AVI11&gt;AVJ11,"W",IF(AVI11=AVJ11,"D","L")),"")</f>
        <v/>
      </c>
      <c r="AVM11" s="319" t="str">
        <f t="shared" ca="1" si="116"/>
        <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4</v>
      </c>
      <c r="AWH11" s="319" t="str">
        <f t="shared" ref="AWH11:AWH14" si="2978">ARJ11</f>
        <v>Italy</v>
      </c>
      <c r="AWI11" s="319">
        <f t="shared" ref="AWI11" ca="1" si="2979">SUMPRODUCT((BAF3:BAF42=AWH11)*(BAJ3:BAJ42="W"))+SUMPRODUCT((BAI3:BAI42=AWH11)*(BAK3:BAK42="W"))</f>
        <v>0</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0</v>
      </c>
      <c r="AWM11" s="319">
        <f t="shared" ref="AWM11" ca="1" si="2983">SUMIF(BAI3:BAI60,AWH11,BAG3:BAG60)+SUMIF(BAF3:BAF60,AWH11,BAH3:BAH60)</f>
        <v>0</v>
      </c>
      <c r="AWN11" s="319">
        <f t="shared" ref="AWN11:AWN14" ca="1" si="2984">AWL11-AWM11+1000</f>
        <v>1000</v>
      </c>
      <c r="AWO11" s="319">
        <f t="shared" ref="AWO11:AWO14" ca="1" si="2985">AWI11*3+AWJ11*1</f>
        <v>0</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Italy</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Italy</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f t="shared" ref="AXH11:AXH14" ca="1" si="3001">IF(AXA11&lt;&gt;"",AXB11*3+AXC11*1,"")</f>
        <v>0</v>
      </c>
      <c r="AXI11" s="319">
        <f t="shared" ref="AXI11" ca="1" si="3002">IF(AXA11&lt;&gt;"",VLOOKUP(AXA11,AWH4:AWN40,7,FALSE),"")</f>
        <v>1000</v>
      </c>
      <c r="AXJ11" s="319">
        <f t="shared" ref="AXJ11" ca="1" si="3003">IF(AXA11&lt;&gt;"",VLOOKUP(AXA11,AWH4:AWN40,5,FALSE),"")</f>
        <v>0</v>
      </c>
      <c r="AXK11" s="319">
        <f t="shared" ref="AXK11" ca="1" si="3004">IF(AXA11&lt;&gt;"",VLOOKUP(AXA11,AWH4:AWP40,9,FALSE),"")</f>
        <v>36</v>
      </c>
      <c r="AXL11" s="319">
        <f t="shared" ref="AXL11:AXL14" ca="1" si="3005">AXH11</f>
        <v>0</v>
      </c>
      <c r="AXM11" s="319">
        <f t="shared" ref="AXM11" ca="1" si="3006">IF(AXA11&lt;&gt;"",RANK(AXL11,AXL11:AXL15),"")</f>
        <v>1</v>
      </c>
      <c r="AXN11" s="319">
        <f t="shared" ref="AXN11" ca="1" si="3007">IF(AXA11&lt;&gt;"",SUMPRODUCT((AXL11:AXL15=AXL11)*(AXG11:AXG15&gt;AXG11)),"")</f>
        <v>0</v>
      </c>
      <c r="AXO11" s="319">
        <f t="shared" ref="AXO11" ca="1" si="3008">IF(AXA11&lt;&gt;"",SUMPRODUCT((AXL11:AXL15=AXL11)*(AXG11:AXG15=AXG11)*(AXE11:AXE15&gt;AXE11)),"")</f>
        <v>0</v>
      </c>
      <c r="AXP11" s="319">
        <f t="shared" ref="AXP11" ca="1" si="3009">IF(AXA11&lt;&gt;"",SUMPRODUCT((AXL11:AXL15=AXL11)*(AXG11:AXG15=AXG11)*(AXE11:AXE15=AXE11)*(AXI11:AXI15&gt;AXI11)),"")</f>
        <v>0</v>
      </c>
      <c r="AXQ11" s="319">
        <f t="shared" ref="AXQ11" ca="1" si="3010">IF(AXA11&lt;&gt;"",SUMPRODUCT((AXL11:AXL15=AXL11)*(AXG11:AXG15=AXG11)*(AXE11:AXE15=AXE11)*(AXI11:AXI15=AXI11)*(AXJ11:AXJ15&gt;AXJ11)),"")</f>
        <v>0</v>
      </c>
      <c r="AXR11" s="319">
        <f t="shared" ref="AXR11" ca="1" si="3011">IF(AXA11&lt;&gt;"",SUMPRODUCT((AXL11:AXL15=AXL11)*(AXG11:AXG15=AXG11)*(AXE11:AXE15=AXE11)*(AXI11:AXI15=AXI11)*(AXJ11:AXJ15=AXJ11)*(AXK11:AXK15&gt;AXK11)),"")</f>
        <v>3</v>
      </c>
      <c r="AXS11" s="319">
        <f ca="1">IF(AXA11&lt;&gt;"",IF(AXS51&lt;&gt;"",IF(AWZ50=3,AXS51,AXS51+AWZ50),SUM(AXM11:AXR11)),"")</f>
        <v>4</v>
      </c>
      <c r="AXT11" s="319" t="str">
        <f t="shared" ref="AXT11" ca="1" si="3012">IF(AXA11&lt;&gt;"",INDEX(AXA11:AXA15,MATCH(1,AXS11:AXS15,0),0),"")</f>
        <v>Spain</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Spain</v>
      </c>
      <c r="BAD11" s="319">
        <v>1</v>
      </c>
      <c r="BAE11" s="319">
        <v>9</v>
      </c>
      <c r="BAF11" s="319" t="str">
        <f t="shared" si="130"/>
        <v>Belgium</v>
      </c>
      <c r="BAG11" s="322">
        <f ca="1">IF(OFFSET('Player Game Board'!P18,0,BAG1)&lt;&gt;"",OFFSET('Player Game Board'!P18,0,BAG1),0)</f>
        <v>0</v>
      </c>
      <c r="BAH11" s="322">
        <f ca="1">IF(OFFSET('Player Game Board'!Q18,0,BAG1)&lt;&gt;"",OFFSET('Player Game Board'!Q18,0,BAG1),0)</f>
        <v>0</v>
      </c>
      <c r="BAI11" s="319" t="str">
        <f t="shared" si="131"/>
        <v>Slovakia</v>
      </c>
      <c r="BAJ11" s="319" t="str">
        <f ca="1">IF(AND(OFFSET('Player Game Board'!P18,0,BAG1)&lt;&gt;"",OFFSET('Player Game Board'!Q18,0,BAG1)&lt;&gt;""),IF(BAG11&gt;BAH11,"W",IF(BAG11=BAH11,"D","L")),"")</f>
        <v/>
      </c>
      <c r="BAK11" s="319" t="str">
        <f t="shared" ca="1" si="132"/>
        <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35" customHeight="1" x14ac:dyDescent="0.3">
      <c r="A12" s="319">
        <f>VLOOKUP(B12,CW11:CX15,2,FALSE)</f>
        <v>3</v>
      </c>
      <c r="B12" s="319" t="str">
        <f>'Language Table'!C6</f>
        <v>Albania</v>
      </c>
      <c r="C12" s="319">
        <f>SUMPRODUCT((CZ3:CZ42=B12)*(DD3:DD42="W"))+SUMPRODUCT((DC3:DC42=B12)*(DE3:DE42="W"))</f>
        <v>0</v>
      </c>
      <c r="D12" s="319">
        <f>SUMPRODUCT((CZ3:CZ42=B12)*(DD3:DD42="D"))+SUMPRODUCT((DC3:DC42=B12)*(DE3:DE42="D"))</f>
        <v>0</v>
      </c>
      <c r="E12" s="319">
        <f>SUMPRODUCT((CZ3:CZ42=B12)*(DD3:DD42="L"))+SUMPRODUCT((DC3:DC42=B12)*(DE3:DE42="L"))</f>
        <v>1</v>
      </c>
      <c r="F12" s="319">
        <f>SUMIF(CZ3:CZ60,B12,DA3:DA60)+SUMIF(DC3:DC60,B12,DB3:DB60)</f>
        <v>1</v>
      </c>
      <c r="G12" s="319">
        <f>SUMIF(DC3:DC60,B12,DA3:DA60)+SUMIF(CZ3:CZ60,B12,DB3:DB60)</f>
        <v>2</v>
      </c>
      <c r="H12" s="319">
        <f t="shared" si="2706"/>
        <v>999</v>
      </c>
      <c r="I12" s="319">
        <f t="shared" si="2707"/>
        <v>0</v>
      </c>
      <c r="J12" s="319">
        <v>44</v>
      </c>
      <c r="K12" s="319">
        <f>IF(COUNTIF(I11:I15,4)&lt;&gt;4,RANK(I12,I11:I15),I52)</f>
        <v>3</v>
      </c>
      <c r="L12" s="319"/>
      <c r="M12" s="319">
        <f>SUMPRODUCT((K11:K14=K12)*(J11:J14&lt;J12))+K12</f>
        <v>4</v>
      </c>
      <c r="N12" s="319" t="str">
        <f>INDEX(B11:B15,MATCH(2,M11:M15,0),0)</f>
        <v>Spain</v>
      </c>
      <c r="O12" s="319">
        <f>INDEX(K11:K15,MATCH(N12,B11:B15,0),0)</f>
        <v>1</v>
      </c>
      <c r="P12" s="319" t="str">
        <f>IF(P11&lt;&gt;"",N12,"")</f>
        <v>Spain</v>
      </c>
      <c r="Q12" s="319" t="str">
        <f>IF(Q11&lt;&gt;"",N13,"")</f>
        <v/>
      </c>
      <c r="R12" s="319" t="str">
        <f>IF(R11&lt;&gt;"",N14,"")</f>
        <v>Albania</v>
      </c>
      <c r="S12" s="319" t="str">
        <f>IF(S11&lt;&gt;"",N15,"")</f>
        <v/>
      </c>
      <c r="T12" s="319"/>
      <c r="U12" s="319" t="str">
        <f t="shared" ref="U12:U14" si="3051">IF(P12&lt;&gt;"",P12,"")</f>
        <v>Spain</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f t="shared" si="2708"/>
        <v>0</v>
      </c>
      <c r="AC12" s="319">
        <f>IF(U12&lt;&gt;"",VLOOKUP(U12,B4:H40,7,FALSE),"")</f>
        <v>1003</v>
      </c>
      <c r="AD12" s="319">
        <f>IF(U12&lt;&gt;"",VLOOKUP(U12,B4:H40,5,FALSE),"")</f>
        <v>3</v>
      </c>
      <c r="AE12" s="319">
        <f>IF(U12&lt;&gt;"",VLOOKUP(U12,B4:J40,9,FALSE),"")</f>
        <v>51</v>
      </c>
      <c r="AF12" s="319">
        <f t="shared" si="2709"/>
        <v>0</v>
      </c>
      <c r="AG12" s="319">
        <f>IF(U12&lt;&gt;"",RANK(AF12,AF11:AF15),"")</f>
        <v>1</v>
      </c>
      <c r="AH12" s="319">
        <f>IF(U12&lt;&gt;"",SUMPRODUCT((AF11:AF15=AF12)*(AA11:AA15&gt;AA12)),"")</f>
        <v>0</v>
      </c>
      <c r="AI12" s="319">
        <f>IF(U12&lt;&gt;"",SUMPRODUCT((AF11:AF15=AF12)*(AA11:AA15=AA12)*(Y11:Y15&gt;Y12)),"")</f>
        <v>0</v>
      </c>
      <c r="AJ12" s="319">
        <f>IF(U12&lt;&gt;"",SUMPRODUCT((AF11:AF15=AF12)*(AA11:AA15=AA12)*(Y11:Y15=Y12)*(AC11:AC15&gt;AC12)),"")</f>
        <v>0</v>
      </c>
      <c r="AK12" s="319">
        <f>IF(U12&lt;&gt;"",SUMPRODUCT((AF11:AF15=AF12)*(AA11:AA15=AA12)*(Y11:Y15=Y12)*(AC11:AC15=AC12)*(AD11:AD15&gt;AD12)),"")</f>
        <v>0</v>
      </c>
      <c r="AL12" s="319">
        <f>IF(U12&lt;&gt;"",SUMPRODUCT((AF11:AF15=AF12)*(AA11:AA15=AA12)*(Y11:Y15=Y12)*(AC11:AC15=AC12)*(AD11:AD15=AD12)*(AE11:AE15&gt;AE12)),"")</f>
        <v>0</v>
      </c>
      <c r="AM12" s="319">
        <f>IF(U12&lt;&gt;"",IF(AM52&lt;&gt;"",IF(T50=3,AM52,AM52+T50),SUM(AG12:AL12)),"")</f>
        <v>1</v>
      </c>
      <c r="AN12" s="319" t="str">
        <f>IF(U12&lt;&gt;"",INDEX(U11:U15,MATCH(2,AM11:AM15,0),0),"")</f>
        <v>Italy</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3</v>
      </c>
      <c r="DB12" s="319">
        <f>IF(AND(Matches!I17&lt;&gt;"",Matches!H17&lt;&gt;""),Matches!I17,0)</f>
        <v>0</v>
      </c>
      <c r="DC12" s="319" t="str">
        <f>Matches!J17</f>
        <v>Ukraine</v>
      </c>
      <c r="DD12" s="319" t="str">
        <f>IF(AND(Matches!H17&lt;&gt;"",Matches!I17&lt;&gt;""),IF(DA12&gt;DB12,"W",IF(DA12=DB12,"D","L")),"")</f>
        <v>W</v>
      </c>
      <c r="DE12" s="319" t="str">
        <f t="shared" si="162"/>
        <v>L</v>
      </c>
      <c r="DF12" s="319"/>
      <c r="DG12" s="319"/>
      <c r="DH12" s="323" t="s">
        <v>352</v>
      </c>
      <c r="DI12" s="323"/>
      <c r="DJ12" s="323"/>
      <c r="DK12" s="323"/>
      <c r="DL12" s="324" t="s">
        <v>353</v>
      </c>
      <c r="DM12" s="324" t="s">
        <v>354</v>
      </c>
      <c r="DN12" s="324" t="s">
        <v>355</v>
      </c>
      <c r="DO12" s="324" t="s">
        <v>356</v>
      </c>
      <c r="DP12" s="325"/>
      <c r="DQ12" s="324" t="str">
        <f>Matches!AC39</f>
        <v>C</v>
      </c>
      <c r="DR12" s="326" t="str">
        <f>Matches!AC40</f>
        <v>B</v>
      </c>
      <c r="DS12" s="326" t="str">
        <f>Matches!AC41</f>
        <v>F</v>
      </c>
      <c r="DT12" s="326" t="str">
        <f>Matches!AC42</f>
        <v>D</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9</v>
      </c>
      <c r="EF12" s="319">
        <f t="shared" ca="1" si="2710"/>
        <v>991</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Spain</v>
      </c>
      <c r="EM12" s="319">
        <f ca="1">INDEX(EI11:EI15,MATCH(EL12,DZ11:DZ15,0),0)</f>
        <v>1</v>
      </c>
      <c r="EN12" s="319" t="str">
        <f ca="1">IF(EN11&lt;&gt;"",EL12,"")</f>
        <v>Spain</v>
      </c>
      <c r="EO12" s="319" t="str">
        <f ca="1">IF(EO11&lt;&gt;"",EL13,"")</f>
        <v/>
      </c>
      <c r="EP12" s="319" t="str">
        <f ca="1">IF(EP11&lt;&gt;"",EL14,"")</f>
        <v/>
      </c>
      <c r="EQ12" s="319" t="str">
        <f>IF(EQ11&lt;&gt;"",EL15,"")</f>
        <v/>
      </c>
      <c r="ER12" s="319"/>
      <c r="ES12" s="319" t="str">
        <f t="shared" ref="ES12:ES14" ca="1" si="3055">IF(EN12&lt;&gt;"",EN12,"")</f>
        <v>Spain</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1</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2</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2</v>
      </c>
      <c r="EY12" s="319">
        <f ca="1">EW12-EX12+1000</f>
        <v>1000</v>
      </c>
      <c r="EZ12" s="319">
        <f t="shared" ca="1" si="2712"/>
        <v>1</v>
      </c>
      <c r="FA12" s="319">
        <f ca="1">IF(ES12&lt;&gt;"",VLOOKUP(ES12,DZ4:EF40,7,FALSE),"")</f>
        <v>1007</v>
      </c>
      <c r="FB12" s="319">
        <f ca="1">IF(ES12&lt;&gt;"",VLOOKUP(ES12,DZ4:EF40,5,FALSE),"")</f>
        <v>9</v>
      </c>
      <c r="FC12" s="319">
        <f ca="1">IF(ES12&lt;&gt;"",VLOOKUP(ES12,DZ4:EH40,9,FALSE),"")</f>
        <v>51</v>
      </c>
      <c r="FD12" s="319">
        <f t="shared" ca="1" si="2713"/>
        <v>1</v>
      </c>
      <c r="FE12" s="319">
        <f ca="1">IF(ES12&lt;&gt;"",RANK(FD12,FD11:FD15),"")</f>
        <v>1</v>
      </c>
      <c r="FF12" s="319">
        <f ca="1">IF(ES12&lt;&gt;"",SUMPRODUCT((FD11:FD15=FD12)*(EY11:EY15&gt;EY12)),"")</f>
        <v>0</v>
      </c>
      <c r="FG12" s="319">
        <f ca="1">IF(ES12&lt;&gt;"",SUMPRODUCT((FD11:FD15=FD12)*(EY11:EY15=EY12)*(EW11:EW15&gt;EW12)),"")</f>
        <v>0</v>
      </c>
      <c r="FH12" s="319">
        <f ca="1">IF(ES12&lt;&gt;"",SUMPRODUCT((FD11:FD15=FD12)*(EY11:EY15=EY12)*(EW11:EW15=EW12)*(FA11:FA15&gt;FA12)),"")</f>
        <v>0</v>
      </c>
      <c r="FI12" s="319">
        <f ca="1">IF(ES12&lt;&gt;"",SUMPRODUCT((FD11:FD15=FD12)*(EY11:EY15=EY12)*(EW11:EW15=EW12)*(FA11:FA15=FA12)*(FB11:FB15&gt;FB12)),"")</f>
        <v>0</v>
      </c>
      <c r="FJ12" s="319">
        <f ca="1">IF(ES12&lt;&gt;"",SUMPRODUCT((FD11:FD15=FD12)*(EY11:EY15=EY12)*(EW11:EW15=EW12)*(FA11:FA15=FA12)*(FB11:FB15=FB12)*(FC11:FC15&gt;FC12)),"")</f>
        <v>0</v>
      </c>
      <c r="FK12" s="319">
        <f ca="1">IF(ES12&lt;&gt;"",IF(FK52&lt;&gt;"",IF(ER50=3,FK52,FK52+ER50),SUM(FE12:FJ12)),"")</f>
        <v>1</v>
      </c>
      <c r="FL12" s="319" t="str">
        <f ca="1">IF(ES12&lt;&gt;"",INDEX(ES11:ES15,MATCH(2,FK11:FK15,0),0),"")</f>
        <v>Italy</v>
      </c>
      <c r="FM12" s="319" t="str">
        <f ca="1">IF(EO11&lt;&gt;"",EO11,"")</f>
        <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0</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19">
        <f ca="1">FQ12-FR12+1000</f>
        <v>1000</v>
      </c>
      <c r="FT12" s="319" t="str">
        <f t="shared" ref="FT12:FT14" ca="1" si="3056">IF(FM12&lt;&gt;"",FN12*3+FO12*1,"")</f>
        <v/>
      </c>
      <c r="FU12" s="319" t="str">
        <f ca="1">IF(FM12&lt;&gt;"",VLOOKUP(FM12,DZ4:EF40,7,FALSE),"")</f>
        <v/>
      </c>
      <c r="FV12" s="319" t="str">
        <f ca="1">IF(FM12&lt;&gt;"",VLOOKUP(FM12,DZ4:EF40,5,FALSE),"")</f>
        <v/>
      </c>
      <c r="FW12" s="319" t="str">
        <f ca="1">IF(FM12&lt;&gt;"",VLOOKUP(FM12,DZ4:EH40,9,FALSE),"")</f>
        <v/>
      </c>
      <c r="FX12" s="319" t="str">
        <f t="shared" ref="FX12:FX14" ca="1" si="3057">FT12</f>
        <v/>
      </c>
      <c r="FY12" s="319" t="str">
        <f ca="1">IF(FM12&lt;&gt;"",RANK(FX12,FX11:FX15),"")</f>
        <v/>
      </c>
      <c r="FZ12" s="319" t="str">
        <f ca="1">IF(FM12&lt;&gt;"",SUMPRODUCT((FX11:FX15=FX12)*(FS11:FS15&gt;FS12)),"")</f>
        <v/>
      </c>
      <c r="GA12" s="319" t="str">
        <f ca="1">IF(FM12&lt;&gt;"",SUMPRODUCT((FX11:FX15=FX12)*(FS11:FS15=FS12)*(FQ11:FQ15&gt;FQ12)),"")</f>
        <v/>
      </c>
      <c r="GB12" s="319" t="str">
        <f ca="1">IF(FM12&lt;&gt;"",SUMPRODUCT((FX11:FX15=FX12)*(FS11:FS15=FS12)*(FQ11:FQ15=FQ12)*(FU11:FU15&gt;FU12)),"")</f>
        <v/>
      </c>
      <c r="GC12" s="319" t="str">
        <f ca="1">IF(FM12&lt;&gt;"",SUMPRODUCT((FX11:FX15=FX12)*(FS11:FS15=FS12)*(FQ11:FQ15=FQ12)*(FU11:FU15=FU12)*(FV11:FV15&gt;FV12)),"")</f>
        <v/>
      </c>
      <c r="GD12" s="319" t="str">
        <f ca="1">IF(FM12&lt;&gt;"",SUMPRODUCT((FX11:FX15=FX12)*(FS11:FS15=FS12)*(FQ11:FQ15=FQ12)*(FU11:FU15=FU12)*(FV11:FV15=FV12)*(FW11:FW15&gt;FW12)),"")</f>
        <v/>
      </c>
      <c r="GE12" s="319" t="str">
        <f ca="1">IF(FM12&lt;&gt;"",IF(GE52&lt;&gt;"",IF(FL50=3,GE52,GE52+FL50),SUM(FY12:GD12)+1),"")</f>
        <v/>
      </c>
      <c r="GF12" s="319" t="str">
        <f ca="1">IF(FM12&lt;&gt;"",INDEX(FM12:FM15,MATCH(2,GE12:GE15,0),0),"")</f>
        <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Italy</v>
      </c>
      <c r="HV12" s="319">
        <v>2</v>
      </c>
      <c r="HW12" s="319">
        <v>10</v>
      </c>
      <c r="HX12" s="319" t="str">
        <f t="shared" si="164"/>
        <v>Romania</v>
      </c>
      <c r="HY12" s="322">
        <f ca="1">IF(OFFSET('Player Game Board'!P19,0,HY1)&lt;&gt;"",OFFSET('Player Game Board'!P19,0,HY1),0)</f>
        <v>1</v>
      </c>
      <c r="HZ12" s="322">
        <f ca="1">IF(OFFSET('Player Game Board'!Q19,0,HY1)&lt;&gt;"",OFFSET('Player Game Board'!Q19,0,HY1),0)</f>
        <v>1</v>
      </c>
      <c r="IA12" s="319" t="str">
        <f t="shared" si="165"/>
        <v>Ukraine</v>
      </c>
      <c r="IB12" s="319" t="str">
        <f ca="1">IF(AND(OFFSET('Player Game Board'!P19,0,HY1)&lt;&gt;"",OFFSET('Player Game Board'!Q19,0,HY1)&lt;&gt;""),IF(HY12&gt;HZ12,"W",IF(HY12=HZ12,"D","L")),"")</f>
        <v>D</v>
      </c>
      <c r="IC12" s="319" t="str">
        <f t="shared" ca="1" si="166"/>
        <v>D</v>
      </c>
      <c r="ID12" s="319"/>
      <c r="IE12" s="319"/>
      <c r="IF12" s="323" t="s">
        <v>352</v>
      </c>
      <c r="IG12" s="323"/>
      <c r="IH12" s="323"/>
      <c r="II12" s="323"/>
      <c r="IJ12" s="324" t="s">
        <v>353</v>
      </c>
      <c r="IK12" s="324" t="s">
        <v>354</v>
      </c>
      <c r="IL12" s="324" t="s">
        <v>355</v>
      </c>
      <c r="IM12" s="324" t="s">
        <v>356</v>
      </c>
      <c r="IN12" s="325"/>
      <c r="IO12" s="324" t="str">
        <f ca="1">INDEX(IT3:IT8,MATCH(1,IS3:IS8,0),0)</f>
        <v>A</v>
      </c>
      <c r="IP12" s="326" t="str">
        <f ca="1">INDEX(IT3:IT8,MATCH(2,IS3:IS8,0),0)</f>
        <v>D</v>
      </c>
      <c r="IQ12" s="326" t="str">
        <f ca="1">INDEX(IT3:IT8,MATCH(3,IS3:IS8,0),0)</f>
        <v>F</v>
      </c>
      <c r="IR12" s="326" t="str">
        <f ca="1">INDEX(IT3:IT8,MATCH(4,IS3:IS8,0),0)</f>
        <v>B</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0</v>
      </c>
      <c r="JC12" s="319">
        <f ca="1">SUMIF(MY3:MY60,IX12,MW3:MW60)+SUMIF(MV3:MV60,IX12,MX3:MX60)</f>
        <v>7</v>
      </c>
      <c r="JD12" s="319">
        <f t="shared" ca="1" si="2714"/>
        <v>993</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Italy</v>
      </c>
      <c r="JK12" s="319">
        <f ca="1">INDEX(JG11:JG15,MATCH(JJ12,IX11:IX15,0),0)</f>
        <v>2</v>
      </c>
      <c r="JL12" s="319" t="str">
        <f ca="1">IF(JL11&lt;&gt;"",JJ12,"")</f>
        <v/>
      </c>
      <c r="JM12" s="319" t="str">
        <f ca="1">IF(JM11&lt;&gt;"",JJ13,"")</f>
        <v/>
      </c>
      <c r="JN12" s="319" t="str">
        <f ca="1">IF(JN11&lt;&gt;"",JJ14,"")</f>
        <v/>
      </c>
      <c r="JO12" s="319" t="str">
        <f>IF(JO11&lt;&gt;"",JJ15,"")</f>
        <v/>
      </c>
      <c r="JP12" s="319"/>
      <c r="JQ12" s="319" t="str">
        <f t="shared" ref="JQ12:JQ14" ca="1" si="3059">IF(JL12&lt;&gt;"",JL12,"")</f>
        <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0</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0</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0</v>
      </c>
      <c r="JW12" s="319">
        <f ca="1">JU12-JV12+1000</f>
        <v>1000</v>
      </c>
      <c r="JX12" s="319" t="str">
        <f t="shared" ca="1" si="2716"/>
        <v/>
      </c>
      <c r="JY12" s="319" t="str">
        <f ca="1">IF(JQ12&lt;&gt;"",VLOOKUP(JQ12,IX4:JD40,7,FALSE),"")</f>
        <v/>
      </c>
      <c r="JZ12" s="319" t="str">
        <f ca="1">IF(JQ12&lt;&gt;"",VLOOKUP(JQ12,IX4:JD40,5,FALSE),"")</f>
        <v/>
      </c>
      <c r="KA12" s="319" t="str">
        <f ca="1">IF(JQ12&lt;&gt;"",VLOOKUP(JQ12,IX4:JF40,9,FALSE),"")</f>
        <v/>
      </c>
      <c r="KB12" s="319" t="str">
        <f t="shared" ca="1" si="2717"/>
        <v/>
      </c>
      <c r="KC12" s="319" t="str">
        <f ca="1">IF(JQ12&lt;&gt;"",RANK(KB12,KB11:KB15),"")</f>
        <v/>
      </c>
      <c r="KD12" s="319" t="str">
        <f ca="1">IF(JQ12&lt;&gt;"",SUMPRODUCT((KB11:KB15=KB12)*(JW11:JW15&gt;JW12)),"")</f>
        <v/>
      </c>
      <c r="KE12" s="319" t="str">
        <f ca="1">IF(JQ12&lt;&gt;"",SUMPRODUCT((KB11:KB15=KB12)*(JW11:JW15=JW12)*(JU11:JU15&gt;JU12)),"")</f>
        <v/>
      </c>
      <c r="KF12" s="319" t="str">
        <f ca="1">IF(JQ12&lt;&gt;"",SUMPRODUCT((KB11:KB15=KB12)*(JW11:JW15=JW12)*(JU11:JU15=JU12)*(JY11:JY15&gt;JY12)),"")</f>
        <v/>
      </c>
      <c r="KG12" s="319" t="str">
        <f ca="1">IF(JQ12&lt;&gt;"",SUMPRODUCT((KB11:KB15=KB12)*(JW11:JW15=JW12)*(JU11:JU15=JU12)*(JY11:JY15=JY12)*(JZ11:JZ15&gt;JZ12)),"")</f>
        <v/>
      </c>
      <c r="KH12" s="319" t="str">
        <f ca="1">IF(JQ12&lt;&gt;"",SUMPRODUCT((KB11:KB15=KB12)*(JW11:JW15=JW12)*(JU11:JU15=JU12)*(JY11:JY15=JY12)*(JZ11:JZ15=JZ12)*(KA11:KA15&gt;KA12)),"")</f>
        <v/>
      </c>
      <c r="KI12" s="319" t="str">
        <f ca="1">IF(JQ12&lt;&gt;"",IF(KI52&lt;&gt;"",IF(JP50=3,KI52,KI52+JP50),SUM(KC12:KH12)),"")</f>
        <v/>
      </c>
      <c r="KJ12" s="319" t="str">
        <f ca="1">IF(JQ12&lt;&gt;"",INDEX(JQ11:JQ15,MATCH(2,KI11:KI15,0),0),"")</f>
        <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Italy</v>
      </c>
      <c r="MT12" s="319">
        <v>2</v>
      </c>
      <c r="MU12" s="319">
        <v>10</v>
      </c>
      <c r="MV12" s="319" t="str">
        <f t="shared" si="170"/>
        <v>Romania</v>
      </c>
      <c r="MW12" s="322">
        <f ca="1">IF(OFFSET('Player Game Board'!P19,0,MW1)&lt;&gt;"",OFFSET('Player Game Board'!P19,0,MW1),0)</f>
        <v>2</v>
      </c>
      <c r="MX12" s="322">
        <f ca="1">IF(OFFSET('Player Game Board'!Q19,0,MW1)&lt;&gt;"",OFFSET('Player Game Board'!Q19,0,MW1),0)</f>
        <v>2</v>
      </c>
      <c r="MY12" s="319" t="str">
        <f t="shared" si="171"/>
        <v>Ukraine</v>
      </c>
      <c r="MZ12" s="319" t="str">
        <f ca="1">IF(AND(OFFSET('Player Game Board'!P19,0,MW1)&lt;&gt;"",OFFSET('Player Game Board'!Q19,0,MW1)&lt;&gt;""),IF(MW12&gt;MX12,"W",IF(MW12=MX12,"D","L")),"")</f>
        <v>D</v>
      </c>
      <c r="NA12" s="319" t="str">
        <f t="shared" ca="1" si="172"/>
        <v>D</v>
      </c>
      <c r="NB12" s="319"/>
      <c r="NC12" s="319"/>
      <c r="ND12" s="323" t="s">
        <v>352</v>
      </c>
      <c r="NE12" s="323"/>
      <c r="NF12" s="323"/>
      <c r="NG12" s="323"/>
      <c r="NH12" s="324" t="s">
        <v>353</v>
      </c>
      <c r="NI12" s="324" t="s">
        <v>354</v>
      </c>
      <c r="NJ12" s="324" t="s">
        <v>355</v>
      </c>
      <c r="NK12" s="324" t="s">
        <v>356</v>
      </c>
      <c r="NL12" s="325"/>
      <c r="NM12" s="324" t="str">
        <f ca="1">INDEX(NR3:NR8,MATCH(1,NQ3:NQ8,0),0)</f>
        <v>B</v>
      </c>
      <c r="NN12" s="326" t="str">
        <f ca="1">INDEX(NR3:NR8,MATCH(2,NQ3:NQ8,0),0)</f>
        <v>A</v>
      </c>
      <c r="NO12" s="326" t="str">
        <f ca="1">INDEX(NR3:NR8,MATCH(3,NQ3:NQ8,0),0)</f>
        <v>F</v>
      </c>
      <c r="NP12" s="326" t="str">
        <f ca="1">INDEX(NR3:NR8,MATCH(4,NQ3:NQ8,0),0)</f>
        <v>E</v>
      </c>
      <c r="NQ12" s="326"/>
      <c r="NR12" s="325"/>
      <c r="NS12" s="325"/>
      <c r="NT12" s="325"/>
      <c r="NU12" s="319">
        <f t="shared" ref="NU12" ca="1" si="3062">VLOOKUP(NV12,RQ11:RR15,2,FALSE)</f>
        <v>4</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3</v>
      </c>
      <c r="NZ12" s="319">
        <f t="shared" ref="NZ12" ca="1" si="3066">SUMIF(RT3:RT60,NV12,RU3:RU60)+SUMIF(RW3:RW60,NV12,RV3:RV60)</f>
        <v>0</v>
      </c>
      <c r="OA12" s="319">
        <f t="shared" ref="OA12" ca="1" si="3067">SUMIF(RW3:RW60,NV12,RU3:RU60)+SUMIF(RT3:RT60,NV12,RV3:RV60)</f>
        <v>6</v>
      </c>
      <c r="OB12" s="319">
        <f t="shared" ca="1" si="2725"/>
        <v>994</v>
      </c>
      <c r="OC12" s="319">
        <f t="shared" ca="1" si="2726"/>
        <v>0</v>
      </c>
      <c r="OD12" s="319">
        <f t="shared" si="630"/>
        <v>44</v>
      </c>
      <c r="OE12" s="319">
        <f t="shared" ref="OE12" ca="1" si="3068">IF(COUNTIF(OC11:OC15,4)&lt;&gt;4,RANK(OC12,OC11:OC15),OC52)</f>
        <v>4</v>
      </c>
      <c r="OF12" s="319"/>
      <c r="OG12" s="319">
        <f t="shared" ref="OG12" ca="1" si="3069">SUMPRODUCT((OE11:OE14=OE12)*(OD11:OD14&lt;OD12))+OE12</f>
        <v>4</v>
      </c>
      <c r="OH12" s="319" t="str">
        <f t="shared" ref="OH12" ca="1" si="3070">INDEX(NV11:NV15,MATCH(2,OG11:OG15,0),0)</f>
        <v>Spain</v>
      </c>
      <c r="OI12" s="319">
        <f t="shared" ref="OI12" ca="1" si="3071">INDEX(OE11:OE15,MATCH(OH12,NV11:NV15,0),0)</f>
        <v>1</v>
      </c>
      <c r="OJ12" s="319" t="str">
        <f t="shared" ref="OJ12" ca="1" si="3072">IF(OJ11&lt;&gt;"",OH12,"")</f>
        <v>Spain</v>
      </c>
      <c r="OK12" s="319" t="str">
        <f t="shared" ref="OK12" ca="1" si="3073">IF(OK11&lt;&gt;"",OH13,"")</f>
        <v/>
      </c>
      <c r="OL12" s="319" t="str">
        <f t="shared" ref="OL12" ca="1" si="3074">IF(OL11&lt;&gt;"",OH14,"")</f>
        <v/>
      </c>
      <c r="OM12" s="319" t="str">
        <f t="shared" ref="OM12" si="3075">IF(OM11&lt;&gt;"",OH15,"")</f>
        <v/>
      </c>
      <c r="ON12" s="319"/>
      <c r="OO12" s="319" t="str">
        <f t="shared" ca="1" si="2735"/>
        <v>Spain</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1</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1</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1</v>
      </c>
      <c r="OU12" s="319">
        <f t="shared" ca="1" si="2741"/>
        <v>1000</v>
      </c>
      <c r="OV12" s="319">
        <f t="shared" ca="1" si="2742"/>
        <v>1</v>
      </c>
      <c r="OW12" s="319">
        <f t="shared" ref="OW12" ca="1" si="3081">IF(OO12&lt;&gt;"",VLOOKUP(OO12,NV4:OB40,7,FALSE),"")</f>
        <v>1003</v>
      </c>
      <c r="OX12" s="319">
        <f t="shared" ref="OX12" ca="1" si="3082">IF(OO12&lt;&gt;"",VLOOKUP(OO12,NV4:OB40,5,FALSE),"")</f>
        <v>5</v>
      </c>
      <c r="OY12" s="319">
        <f t="shared" ref="OY12" ca="1" si="3083">IF(OO12&lt;&gt;"",VLOOKUP(OO12,NV4:OD40,9,FALSE),"")</f>
        <v>51</v>
      </c>
      <c r="OZ12" s="319">
        <f t="shared" ca="1" si="2746"/>
        <v>1</v>
      </c>
      <c r="PA12" s="319">
        <f t="shared" ref="PA12" ca="1" si="3084">IF(OO12&lt;&gt;"",RANK(OZ12,OZ11:OZ15),"")</f>
        <v>1</v>
      </c>
      <c r="PB12" s="319">
        <f t="shared" ref="PB12" ca="1" si="3085">IF(OO12&lt;&gt;"",SUMPRODUCT((OZ11:OZ15=OZ12)*(OU11:OU15&gt;OU12)),"")</f>
        <v>0</v>
      </c>
      <c r="PC12" s="319">
        <f t="shared" ref="PC12" ca="1" si="3086">IF(OO12&lt;&gt;"",SUMPRODUCT((OZ11:OZ15=OZ12)*(OU11:OU15=OU12)*(OS11:OS15&gt;OS12)),"")</f>
        <v>0</v>
      </c>
      <c r="PD12" s="319">
        <f t="shared" ref="PD12" ca="1" si="3087">IF(OO12&lt;&gt;"",SUMPRODUCT((OZ11:OZ15=OZ12)*(OU11:OU15=OU12)*(OS11:OS15=OS12)*(OW11:OW15&gt;OW12)),"")</f>
        <v>0</v>
      </c>
      <c r="PE12" s="319">
        <f t="shared" ref="PE12" ca="1" si="3088">IF(OO12&lt;&gt;"",SUMPRODUCT((OZ11:OZ15=OZ12)*(OU11:OU15=OU12)*(OS11:OS15=OS12)*(OW11:OW15=OW12)*(OX11:OX15&gt;OX12)),"")</f>
        <v>0</v>
      </c>
      <c r="PF12" s="319">
        <f t="shared" ref="PF12" ca="1" si="3089">IF(OO12&lt;&gt;"",SUMPRODUCT((OZ11:OZ15=OZ12)*(OU11:OU15=OU12)*(OS11:OS15=OS12)*(OW11:OW15=OW12)*(OX11:OX15=OX12)*(OY11:OY15&gt;OY12)),"")</f>
        <v>0</v>
      </c>
      <c r="PG12" s="319">
        <f ca="1">IF(OO12&lt;&gt;"",IF(PG52&lt;&gt;"",IF(ON50=3,PG52,PG52+ON50),SUM(PA12:PF12)),"")</f>
        <v>1</v>
      </c>
      <c r="PH12" s="319" t="str">
        <f t="shared" ref="PH12" ca="1" si="3090">IF(OO12&lt;&gt;"",INDEX(OO11:OO15,MATCH(2,PG11:PG15,0),0),"")</f>
        <v>Italy</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Italy</v>
      </c>
      <c r="RR12" s="319">
        <v>2</v>
      </c>
      <c r="RS12" s="319">
        <v>10</v>
      </c>
      <c r="RT12" s="319" t="str">
        <f t="shared" si="18"/>
        <v>Romania</v>
      </c>
      <c r="RU12" s="322">
        <f ca="1">IF(OFFSET('Player Game Board'!P19,0,RU1)&lt;&gt;"",OFFSET('Player Game Board'!P19,0,RU1),0)</f>
        <v>1</v>
      </c>
      <c r="RV12" s="322">
        <f ca="1">IF(OFFSET('Player Game Board'!Q19,0,RU1)&lt;&gt;"",OFFSET('Player Game Board'!Q19,0,RU1),0)</f>
        <v>1</v>
      </c>
      <c r="RW12" s="319" t="str">
        <f t="shared" si="19"/>
        <v>Ukraine</v>
      </c>
      <c r="RX12" s="319" t="str">
        <f ca="1">IF(AND(OFFSET('Player Game Board'!P19,0,RU1)&lt;&gt;"",OFFSET('Player Game Board'!Q19,0,RU1)&lt;&gt;""),IF(RU12&gt;RV12,"W",IF(RU12=RV12,"D","L")),"")</f>
        <v>D</v>
      </c>
      <c r="RY12" s="319" t="str">
        <f t="shared" ca="1" si="20"/>
        <v>D</v>
      </c>
      <c r="RZ12" s="319"/>
      <c r="SA12" s="319"/>
      <c r="SB12" s="323" t="s">
        <v>352</v>
      </c>
      <c r="SC12" s="323"/>
      <c r="SD12" s="323"/>
      <c r="SE12" s="323"/>
      <c r="SF12" s="324" t="s">
        <v>353</v>
      </c>
      <c r="SG12" s="324" t="s">
        <v>354</v>
      </c>
      <c r="SH12" s="324" t="s">
        <v>355</v>
      </c>
      <c r="SI12" s="324" t="s">
        <v>356</v>
      </c>
      <c r="SJ12" s="325"/>
      <c r="SK12" s="324" t="str">
        <f t="shared" ref="SK12" ca="1" si="3111">INDEX(SP3:SP8,MATCH(1,SO3:SO8,0),0)</f>
        <v>C</v>
      </c>
      <c r="SL12" s="326" t="str">
        <f t="shared" ref="SL12" ca="1" si="3112">INDEX(SP3:SP8,MATCH(2,SO3:SO8,0),0)</f>
        <v>B</v>
      </c>
      <c r="SM12" s="326" t="str">
        <f t="shared" ref="SM12" ca="1" si="3113">INDEX(SP3:SP8,MATCH(3,SO3:SO8,0),0)</f>
        <v>F</v>
      </c>
      <c r="SN12" s="326" t="str">
        <f t="shared" ref="SN12" ca="1" si="3114">INDEX(SP3:SP8,MATCH(4,SO3:SO8,0),0)</f>
        <v>E</v>
      </c>
      <c r="SO12" s="326"/>
      <c r="SP12" s="325"/>
      <c r="SQ12" s="325"/>
      <c r="SR12" s="325"/>
      <c r="SS12" s="319">
        <f t="shared" ref="SS12" ca="1" si="3115">VLOOKUP(ST12,WO11:WP15,2,FALSE)</f>
        <v>4</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3</v>
      </c>
      <c r="SX12" s="319">
        <f t="shared" ref="SX12" ca="1" si="3119">SUMIF(WR3:WR60,ST12,WS3:WS60)+SUMIF(WU3:WU60,ST12,WT3:WT60)</f>
        <v>0</v>
      </c>
      <c r="SY12" s="319">
        <f t="shared" ref="SY12" ca="1" si="3120">SUMIF(WU3:WU60,ST12,WS3:WS60)+SUMIF(WR3:WR60,ST12,WT3:WT60)</f>
        <v>11</v>
      </c>
      <c r="SZ12" s="319">
        <f t="shared" ca="1" si="2762"/>
        <v>989</v>
      </c>
      <c r="TA12" s="319">
        <f t="shared" ca="1" si="2763"/>
        <v>0</v>
      </c>
      <c r="TB12" s="319">
        <f t="shared" si="690"/>
        <v>44</v>
      </c>
      <c r="TC12" s="319">
        <f t="shared" ref="TC12" ca="1" si="3121">IF(COUNTIF(TA11:TA15,4)&lt;&gt;4,RANK(TA12,TA11:TA15),TA52)</f>
        <v>4</v>
      </c>
      <c r="TD12" s="319"/>
      <c r="TE12" s="319">
        <f t="shared" ref="TE12" ca="1" si="3122">SUMPRODUCT((TC11:TC14=TC12)*(TB11:TB14&lt;TB12))+TC12</f>
        <v>4</v>
      </c>
      <c r="TF12" s="319" t="str">
        <f t="shared" ref="TF12" ca="1" si="3123">INDEX(ST11:ST15,MATCH(2,TE11:TE15,0),0)</f>
        <v>Spain</v>
      </c>
      <c r="TG12" s="319">
        <f t="shared" ref="TG12" ca="1" si="3124">INDEX(TC11:TC15,MATCH(TF12,ST11:ST15,0),0)</f>
        <v>1</v>
      </c>
      <c r="TH12" s="319" t="str">
        <f t="shared" ref="TH12" ca="1" si="3125">IF(TH11&lt;&gt;"",TF12,"")</f>
        <v>Spain</v>
      </c>
      <c r="TI12" s="319" t="str">
        <f t="shared" ref="TI12" ca="1" si="3126">IF(TI11&lt;&gt;"",TF13,"")</f>
        <v/>
      </c>
      <c r="TJ12" s="319" t="str">
        <f t="shared" ref="TJ12" ca="1" si="3127">IF(TJ11&lt;&gt;"",TF14,"")</f>
        <v/>
      </c>
      <c r="TK12" s="319" t="str">
        <f t="shared" ref="TK12" si="3128">IF(TK11&lt;&gt;"",TF15,"")</f>
        <v/>
      </c>
      <c r="TL12" s="319"/>
      <c r="TM12" s="319" t="str">
        <f t="shared" ca="1" si="2772"/>
        <v>Spain</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1</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1</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1</v>
      </c>
      <c r="TS12" s="319">
        <f t="shared" ca="1" si="2778"/>
        <v>1000</v>
      </c>
      <c r="TT12" s="319">
        <f t="shared" ca="1" si="2779"/>
        <v>1</v>
      </c>
      <c r="TU12" s="319">
        <f t="shared" ref="TU12" ca="1" si="3134">IF(TM12&lt;&gt;"",VLOOKUP(TM12,ST4:SZ40,7,FALSE),"")</f>
        <v>1006</v>
      </c>
      <c r="TV12" s="319">
        <f t="shared" ref="TV12" ca="1" si="3135">IF(TM12&lt;&gt;"",VLOOKUP(TM12,ST4:SZ40,5,FALSE),"")</f>
        <v>8</v>
      </c>
      <c r="TW12" s="319">
        <f t="shared" ref="TW12" ca="1" si="3136">IF(TM12&lt;&gt;"",VLOOKUP(TM12,ST4:TB40,9,FALSE),"")</f>
        <v>51</v>
      </c>
      <c r="TX12" s="319">
        <f t="shared" ca="1" si="2783"/>
        <v>1</v>
      </c>
      <c r="TY12" s="319">
        <f t="shared" ref="TY12" ca="1" si="3137">IF(TM12&lt;&gt;"",RANK(TX12,TX11:TX15),"")</f>
        <v>1</v>
      </c>
      <c r="TZ12" s="319">
        <f t="shared" ref="TZ12" ca="1" si="3138">IF(TM12&lt;&gt;"",SUMPRODUCT((TX11:TX15=TX12)*(TS11:TS15&gt;TS12)),"")</f>
        <v>0</v>
      </c>
      <c r="UA12" s="319">
        <f t="shared" ref="UA12" ca="1" si="3139">IF(TM12&lt;&gt;"",SUMPRODUCT((TX11:TX15=TX12)*(TS11:TS15=TS12)*(TQ11:TQ15&gt;TQ12)),"")</f>
        <v>0</v>
      </c>
      <c r="UB12" s="319">
        <f t="shared" ref="UB12" ca="1" si="3140">IF(TM12&lt;&gt;"",SUMPRODUCT((TX11:TX15=TX12)*(TS11:TS15=TS12)*(TQ11:TQ15=TQ12)*(TU11:TU15&gt;TU12)),"")</f>
        <v>0</v>
      </c>
      <c r="UC12" s="319">
        <f t="shared" ref="UC12" ca="1" si="3141">IF(TM12&lt;&gt;"",SUMPRODUCT((TX11:TX15=TX12)*(TS11:TS15=TS12)*(TQ11:TQ15=TQ12)*(TU11:TU15=TU12)*(TV11:TV15&gt;TV12)),"")</f>
        <v>0</v>
      </c>
      <c r="UD12" s="319">
        <f t="shared" ref="UD12" ca="1" si="3142">IF(TM12&lt;&gt;"",SUMPRODUCT((TX11:TX15=TX12)*(TS11:TS15=TS12)*(TQ11:TQ15=TQ12)*(TU11:TU15=TU12)*(TV11:TV15=TV12)*(TW11:TW15&gt;TW12)),"")</f>
        <v>0</v>
      </c>
      <c r="UE12" s="319">
        <f ca="1">IF(TM12&lt;&gt;"",IF(UE52&lt;&gt;"",IF(TL50=3,UE52,UE52+TL50),SUM(TY12:UD12)),"")</f>
        <v>1</v>
      </c>
      <c r="UF12" s="319" t="str">
        <f t="shared" ref="UF12" ca="1" si="3143">IF(TM12&lt;&gt;"",INDEX(TM11:TM15,MATCH(2,UE11:UE15,0),0),"")</f>
        <v>Italy</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Italy</v>
      </c>
      <c r="WP12" s="319">
        <v>2</v>
      </c>
      <c r="WQ12" s="319">
        <v>10</v>
      </c>
      <c r="WR12" s="319" t="str">
        <f t="shared" si="34"/>
        <v>Romania</v>
      </c>
      <c r="WS12" s="322">
        <f ca="1">IF(OFFSET('Player Game Board'!P19,0,WS1)&lt;&gt;"",OFFSET('Player Game Board'!P19,0,WS1),0)</f>
        <v>0</v>
      </c>
      <c r="WT12" s="322">
        <f ca="1">IF(OFFSET('Player Game Board'!Q19,0,WS1)&lt;&gt;"",OFFSET('Player Game Board'!Q19,0,WS1),0)</f>
        <v>0</v>
      </c>
      <c r="WU12" s="319" t="str">
        <f t="shared" si="35"/>
        <v>Ukraine</v>
      </c>
      <c r="WV12" s="319" t="str">
        <f ca="1">IF(AND(OFFSET('Player Game Board'!P19,0,WS1)&lt;&gt;"",OFFSET('Player Game Board'!Q19,0,WS1)&lt;&gt;""),IF(WS12&gt;WT12,"W",IF(WS12=WT12,"D","L")),"")</f>
        <v>D</v>
      </c>
      <c r="WW12" s="319" t="str">
        <f t="shared" ca="1" si="36"/>
        <v>D</v>
      </c>
      <c r="WX12" s="319"/>
      <c r="WY12" s="319"/>
      <c r="WZ12" s="323" t="s">
        <v>352</v>
      </c>
      <c r="XA12" s="323"/>
      <c r="XB12" s="323"/>
      <c r="XC12" s="323"/>
      <c r="XD12" s="324" t="s">
        <v>353</v>
      </c>
      <c r="XE12" s="324" t="s">
        <v>354</v>
      </c>
      <c r="XF12" s="324" t="s">
        <v>355</v>
      </c>
      <c r="XG12" s="324" t="s">
        <v>356</v>
      </c>
      <c r="XH12" s="325"/>
      <c r="XI12" s="324" t="str">
        <f t="shared" ref="XI12" ca="1" si="3164">INDEX(XN3:XN8,MATCH(1,XM3:XM8,0),0)</f>
        <v>F</v>
      </c>
      <c r="XJ12" s="326" t="str">
        <f t="shared" ref="XJ12" ca="1" si="3165">INDEX(XN3:XN8,MATCH(2,XM3:XM8,0),0)</f>
        <v>E</v>
      </c>
      <c r="XK12" s="326" t="str">
        <f t="shared" ref="XK12" ca="1" si="3166">INDEX(XN3:XN8,MATCH(3,XM3:XM8,0),0)</f>
        <v>B</v>
      </c>
      <c r="XL12" s="326" t="str">
        <f t="shared" ref="XL12" ca="1" si="3167">INDEX(XN3:XN8,MATCH(4,XM3:XM8,0),0)</f>
        <v>A</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0</v>
      </c>
      <c r="XW12" s="319">
        <f t="shared" ref="XW12" ca="1" si="3173">SUMIF(ABS3:ABS60,XR12,ABQ3:ABQ60)+SUMIF(ABP3:ABP60,XR12,ABR3:ABR60)</f>
        <v>7</v>
      </c>
      <c r="XX12" s="319">
        <f t="shared" ca="1" si="2799"/>
        <v>993</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Croatia</v>
      </c>
      <c r="YE12" s="319">
        <f t="shared" ref="YE12" ca="1" si="3177">INDEX(YA11:YA15,MATCH(YD12,XR11:XR15,0),0)</f>
        <v>2</v>
      </c>
      <c r="YF12" s="319" t="str">
        <f t="shared" ref="YF12" ca="1" si="3178">IF(YF11&lt;&gt;"",YD12,"")</f>
        <v/>
      </c>
      <c r="YG12" s="319" t="str">
        <f t="shared" ref="YG12" ca="1" si="3179">IF(YG11&lt;&gt;"",YD13,"")</f>
        <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0</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0</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0</v>
      </c>
      <c r="ZK12" s="319">
        <f t="shared" ref="ZK12:ZK14" ca="1" si="3203">ZI12-ZJ12+1000</f>
        <v>1000</v>
      </c>
      <c r="ZL12" s="319" t="str">
        <f t="shared" ref="ZL12:ZL14" ca="1" si="3204">IF(ZE12&lt;&gt;"",ZF12*3+ZG12*1,"")</f>
        <v/>
      </c>
      <c r="ZM12" s="319" t="str">
        <f t="shared" ref="ZM12" ca="1" si="3205">IF(ZE12&lt;&gt;"",VLOOKUP(ZE12,XR4:XX40,7,FALSE),"")</f>
        <v/>
      </c>
      <c r="ZN12" s="319" t="str">
        <f t="shared" ref="ZN12" ca="1" si="3206">IF(ZE12&lt;&gt;"",VLOOKUP(ZE12,XR4:XX40,5,FALSE),"")</f>
        <v/>
      </c>
      <c r="ZO12" s="319" t="str">
        <f t="shared" ref="ZO12" ca="1" si="3207">IF(ZE12&lt;&gt;"",VLOOKUP(ZE12,XR4:XZ40,9,FALSE),"")</f>
        <v/>
      </c>
      <c r="ZP12" s="319" t="str">
        <f t="shared" ref="ZP12:ZP14" ca="1" si="3208">ZL12</f>
        <v/>
      </c>
      <c r="ZQ12" s="319" t="str">
        <f t="shared" ref="ZQ12" ca="1" si="3209">IF(ZE12&lt;&gt;"",RANK(ZP12,ZP11:ZP15),"")</f>
        <v/>
      </c>
      <c r="ZR12" s="319" t="str">
        <f t="shared" ref="ZR12" ca="1" si="3210">IF(ZE12&lt;&gt;"",SUMPRODUCT((ZP11:ZP15=ZP12)*(ZK11:ZK15&gt;ZK12)),"")</f>
        <v/>
      </c>
      <c r="ZS12" s="319" t="str">
        <f t="shared" ref="ZS12" ca="1" si="3211">IF(ZE12&lt;&gt;"",SUMPRODUCT((ZP11:ZP15=ZP12)*(ZK11:ZK15=ZK12)*(ZI11:ZI15&gt;ZI12)),"")</f>
        <v/>
      </c>
      <c r="ZT12" s="319" t="str">
        <f t="shared" ref="ZT12" ca="1" si="3212">IF(ZE12&lt;&gt;"",SUMPRODUCT((ZP11:ZP15=ZP12)*(ZK11:ZK15=ZK12)*(ZI11:ZI15=ZI12)*(ZM11:ZM15&gt;ZM12)),"")</f>
        <v/>
      </c>
      <c r="ZU12" s="319" t="str">
        <f t="shared" ref="ZU12" ca="1" si="3213">IF(ZE12&lt;&gt;"",SUMPRODUCT((ZP11:ZP15=ZP12)*(ZK11:ZK15=ZK12)*(ZI11:ZI15=ZI12)*(ZM11:ZM15=ZM12)*(ZN11:ZN15&gt;ZN12)),"")</f>
        <v/>
      </c>
      <c r="ZV12" s="319" t="str">
        <f t="shared" ref="ZV12" ca="1" si="3214">IF(ZE12&lt;&gt;"",SUMPRODUCT((ZP11:ZP15=ZP12)*(ZK11:ZK15=ZK12)*(ZI11:ZI15=ZI12)*(ZM11:ZM15=ZM12)*(ZN11:ZN15=ZN12)*(ZO11:ZO15&gt;ZO12)),"")</f>
        <v/>
      </c>
      <c r="ZW12" s="319" t="str">
        <f ca="1">IF(ZE12&lt;&gt;"",IF(ZW52&lt;&gt;"",IF(ZD50=3,ZW52,ZW52+ZD50),SUM(ZQ12:ZV12)+1),"")</f>
        <v/>
      </c>
      <c r="ZX12" s="319" t="str">
        <f t="shared" ref="ZX12" ca="1" si="3215">IF(ZE12&lt;&gt;"",INDEX(ZE12:ZE15,MATCH(2,ZW12:ZW15,0),0),"")</f>
        <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Croatia</v>
      </c>
      <c r="ABN12" s="319">
        <v>2</v>
      </c>
      <c r="ABO12" s="319">
        <v>10</v>
      </c>
      <c r="ABP12" s="319" t="str">
        <f t="shared" si="50"/>
        <v>Romania</v>
      </c>
      <c r="ABQ12" s="322">
        <f ca="1">IF(OFFSET('Player Game Board'!P19,0,ABQ1)&lt;&gt;"",OFFSET('Player Game Board'!P19,0,ABQ1),0)</f>
        <v>1</v>
      </c>
      <c r="ABR12" s="322">
        <f ca="1">IF(OFFSET('Player Game Board'!Q19,0,ABQ1)&lt;&gt;"",OFFSET('Player Game Board'!Q19,0,ABQ1),0)</f>
        <v>1</v>
      </c>
      <c r="ABS12" s="319" t="str">
        <f t="shared" si="51"/>
        <v>Ukraine</v>
      </c>
      <c r="ABT12" s="319" t="str">
        <f ca="1">IF(AND(OFFSET('Player Game Board'!P19,0,ABQ1)&lt;&gt;"",OFFSET('Player Game Board'!Q19,0,ABQ1)&lt;&gt;""),IF(ABQ12&gt;ABR12,"W",IF(ABQ12=ABR12,"D","L")),"")</f>
        <v>D</v>
      </c>
      <c r="ABU12" s="319" t="str">
        <f t="shared" ca="1" si="52"/>
        <v>D</v>
      </c>
      <c r="ABV12" s="319"/>
      <c r="ABW12" s="319"/>
      <c r="ABX12" s="323" t="s">
        <v>352</v>
      </c>
      <c r="ABY12" s="323"/>
      <c r="ABZ12" s="323"/>
      <c r="ACA12" s="323"/>
      <c r="ACB12" s="324" t="s">
        <v>353</v>
      </c>
      <c r="ACC12" s="324" t="s">
        <v>354</v>
      </c>
      <c r="ACD12" s="324" t="s">
        <v>355</v>
      </c>
      <c r="ACE12" s="324" t="s">
        <v>356</v>
      </c>
      <c r="ACF12" s="325"/>
      <c r="ACG12" s="324" t="str">
        <f t="shared" ref="ACG12" ca="1" si="3217">INDEX(ACL3:ACL8,MATCH(1,ACK3:ACK8,0),0)</f>
        <v>C</v>
      </c>
      <c r="ACH12" s="326" t="str">
        <f t="shared" ref="ACH12" ca="1" si="3218">INDEX(ACL3:ACL8,MATCH(2,ACK3:ACK8,0),0)</f>
        <v>B</v>
      </c>
      <c r="ACI12" s="326" t="str">
        <f t="shared" ref="ACI12" ca="1" si="3219">INDEX(ACL3:ACL8,MATCH(3,ACK3:ACK8,0),0)</f>
        <v>D</v>
      </c>
      <c r="ACJ12" s="326" t="str">
        <f t="shared" ref="ACJ12" ca="1" si="3220">INDEX(ACL3:ACL8,MATCH(4,ACK3:ACK8,0),0)</f>
        <v>A</v>
      </c>
      <c r="ACK12" s="326"/>
      <c r="ACL12" s="325"/>
      <c r="ACM12" s="325"/>
      <c r="ACN12" s="325"/>
      <c r="ACO12" s="319">
        <f t="shared" ref="ACO12" ca="1" si="3221">VLOOKUP(ACP12,AGK11:AGL15,2,FALSE)</f>
        <v>4</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3</v>
      </c>
      <c r="ACT12" s="319">
        <f t="shared" ref="ACT12" ca="1" si="3225">SUMIF(AGN3:AGN60,ACP12,AGO3:AGO60)+SUMIF(AGQ3:AGQ60,ACP12,AGP3:AGP60)</f>
        <v>0</v>
      </c>
      <c r="ACU12" s="319">
        <f t="shared" ref="ACU12" ca="1" si="3226">SUMIF(AGQ3:AGQ60,ACP12,AGO3:AGO60)+SUMIF(AGN3:AGN60,ACP12,AGP3:AGP60)</f>
        <v>8</v>
      </c>
      <c r="ACV12" s="319">
        <f t="shared" ca="1" si="2836"/>
        <v>992</v>
      </c>
      <c r="ACW12" s="319">
        <f t="shared" ca="1" si="2837"/>
        <v>0</v>
      </c>
      <c r="ACX12" s="319">
        <f t="shared" si="810"/>
        <v>44</v>
      </c>
      <c r="ACY12" s="319">
        <f t="shared" ref="ACY12" ca="1" si="3227">IF(COUNTIF(ACW11:ACW15,4)&lt;&gt;4,RANK(ACW12,ACW11:ACW15),ACW52)</f>
        <v>4</v>
      </c>
      <c r="ACZ12" s="319"/>
      <c r="ADA12" s="319">
        <f t="shared" ref="ADA12" ca="1" si="3228">SUMPRODUCT((ACY11:ACY14=ACY12)*(ACX11:ACX14&lt;ACX12))+ACY12</f>
        <v>4</v>
      </c>
      <c r="ADB12" s="319" t="str">
        <f t="shared" ref="ADB12" ca="1" si="3229">INDEX(ACP11:ACP15,MATCH(2,ADA11:ADA15,0),0)</f>
        <v>Spain</v>
      </c>
      <c r="ADC12" s="319">
        <f t="shared" ref="ADC12" ca="1" si="3230">INDEX(ACY11:ACY15,MATCH(ADB12,ACP11:ACP15,0),0)</f>
        <v>1</v>
      </c>
      <c r="ADD12" s="319" t="str">
        <f t="shared" ref="ADD12" ca="1" si="3231">IF(ADD11&lt;&gt;"",ADB12,"")</f>
        <v>Spain</v>
      </c>
      <c r="ADE12" s="319" t="str">
        <f t="shared" ref="ADE12" ca="1" si="3232">IF(ADE11&lt;&gt;"",ADB13,"")</f>
        <v/>
      </c>
      <c r="ADF12" s="319" t="str">
        <f t="shared" ref="ADF12" ca="1" si="3233">IF(ADF11&lt;&gt;"",ADB14,"")</f>
        <v/>
      </c>
      <c r="ADG12" s="319" t="str">
        <f t="shared" ref="ADG12" si="3234">IF(ADG11&lt;&gt;"",ADB15,"")</f>
        <v/>
      </c>
      <c r="ADH12" s="319"/>
      <c r="ADI12" s="319" t="str">
        <f t="shared" ca="1" si="2846"/>
        <v>Spain</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1</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1</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1</v>
      </c>
      <c r="ADO12" s="319">
        <f t="shared" ca="1" si="2852"/>
        <v>1000</v>
      </c>
      <c r="ADP12" s="319">
        <f t="shared" ca="1" si="2853"/>
        <v>1</v>
      </c>
      <c r="ADQ12" s="319">
        <f t="shared" ref="ADQ12" ca="1" si="3240">IF(ADI12&lt;&gt;"",VLOOKUP(ADI12,ACP4:ACV40,7,FALSE),"")</f>
        <v>1004</v>
      </c>
      <c r="ADR12" s="319">
        <f t="shared" ref="ADR12" ca="1" si="3241">IF(ADI12&lt;&gt;"",VLOOKUP(ADI12,ACP4:ACV40,5,FALSE),"")</f>
        <v>6</v>
      </c>
      <c r="ADS12" s="319">
        <f t="shared" ref="ADS12" ca="1" si="3242">IF(ADI12&lt;&gt;"",VLOOKUP(ADI12,ACP4:ACX40,9,FALSE),"")</f>
        <v>51</v>
      </c>
      <c r="ADT12" s="319">
        <f t="shared" ca="1" si="2857"/>
        <v>1</v>
      </c>
      <c r="ADU12" s="319">
        <f t="shared" ref="ADU12" ca="1" si="3243">IF(ADI12&lt;&gt;"",RANK(ADT12,ADT11:ADT15),"")</f>
        <v>1</v>
      </c>
      <c r="ADV12" s="319">
        <f t="shared" ref="ADV12" ca="1" si="3244">IF(ADI12&lt;&gt;"",SUMPRODUCT((ADT11:ADT15=ADT12)*(ADO11:ADO15&gt;ADO12)),"")</f>
        <v>0</v>
      </c>
      <c r="ADW12" s="319">
        <f t="shared" ref="ADW12" ca="1" si="3245">IF(ADI12&lt;&gt;"",SUMPRODUCT((ADT11:ADT15=ADT12)*(ADO11:ADO15=ADO12)*(ADM11:ADM15&gt;ADM12)),"")</f>
        <v>0</v>
      </c>
      <c r="ADX12" s="319">
        <f t="shared" ref="ADX12" ca="1" si="3246">IF(ADI12&lt;&gt;"",SUMPRODUCT((ADT11:ADT15=ADT12)*(ADO11:ADO15=ADO12)*(ADM11:ADM15=ADM12)*(ADQ11:ADQ15&gt;ADQ12)),"")</f>
        <v>0</v>
      </c>
      <c r="ADY12" s="319">
        <f t="shared" ref="ADY12" ca="1" si="3247">IF(ADI12&lt;&gt;"",SUMPRODUCT((ADT11:ADT15=ADT12)*(ADO11:ADO15=ADO12)*(ADM11:ADM15=ADM12)*(ADQ11:ADQ15=ADQ12)*(ADR11:ADR15&gt;ADR12)),"")</f>
        <v>0</v>
      </c>
      <c r="ADZ12" s="319">
        <f t="shared" ref="ADZ12" ca="1" si="3248">IF(ADI12&lt;&gt;"",SUMPRODUCT((ADT11:ADT15=ADT12)*(ADO11:ADO15=ADO12)*(ADM11:ADM15=ADM12)*(ADQ11:ADQ15=ADQ12)*(ADR11:ADR15=ADR12)*(ADS11:ADS15&gt;ADS12)),"")</f>
        <v>0</v>
      </c>
      <c r="AEA12" s="319">
        <f ca="1">IF(ADI12&lt;&gt;"",IF(AEA52&lt;&gt;"",IF(ADH50=3,AEA52,AEA52+ADH50),SUM(ADU12:ADZ12)),"")</f>
        <v>1</v>
      </c>
      <c r="AEB12" s="319" t="str">
        <f t="shared" ref="AEB12" ca="1" si="3249">IF(ADI12&lt;&gt;"",INDEX(ADI11:ADI15,MATCH(2,AEA11:AEA15,0),0),"")</f>
        <v>Italy</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Italy</v>
      </c>
      <c r="AGL12" s="319">
        <v>2</v>
      </c>
      <c r="AGM12" s="319">
        <v>10</v>
      </c>
      <c r="AGN12" s="319" t="str">
        <f t="shared" si="66"/>
        <v>Romania</v>
      </c>
      <c r="AGO12" s="322">
        <f ca="1">IF(OFFSET('Player Game Board'!P19,0,AGO1)&lt;&gt;"",OFFSET('Player Game Board'!P19,0,AGO1),0)</f>
        <v>1</v>
      </c>
      <c r="AGP12" s="322">
        <f ca="1">IF(OFFSET('Player Game Board'!Q19,0,AGO1)&lt;&gt;"",OFFSET('Player Game Board'!Q19,0,AGO1),0)</f>
        <v>2</v>
      </c>
      <c r="AGQ12" s="319" t="str">
        <f t="shared" si="67"/>
        <v>Ukraine</v>
      </c>
      <c r="AGR12" s="319" t="str">
        <f ca="1">IF(AND(OFFSET('Player Game Board'!P19,0,AGO1)&lt;&gt;"",OFFSET('Player Game Board'!Q19,0,AGO1)&lt;&gt;""),IF(AGO12&gt;AGP12,"W",IF(AGO12=AGP12,"D","L")),"")</f>
        <v>L</v>
      </c>
      <c r="AGS12" s="319" t="str">
        <f t="shared" ca="1" si="68"/>
        <v>W</v>
      </c>
      <c r="AGT12" s="319"/>
      <c r="AGU12" s="319"/>
      <c r="AGV12" s="323" t="s">
        <v>352</v>
      </c>
      <c r="AGW12" s="323"/>
      <c r="AGX12" s="323"/>
      <c r="AGY12" s="323"/>
      <c r="AGZ12" s="324" t="s">
        <v>353</v>
      </c>
      <c r="AHA12" s="324" t="s">
        <v>354</v>
      </c>
      <c r="AHB12" s="324" t="s">
        <v>355</v>
      </c>
      <c r="AHC12" s="324" t="s">
        <v>356</v>
      </c>
      <c r="AHD12" s="325"/>
      <c r="AHE12" s="324" t="str">
        <f t="shared" ref="AHE12" ca="1" si="3270">INDEX(AHJ3:AHJ8,MATCH(1,AHI3:AHI8,0),0)</f>
        <v>F</v>
      </c>
      <c r="AHF12" s="326" t="str">
        <f t="shared" ref="AHF12" ca="1" si="3271">INDEX(AHJ3:AHJ8,MATCH(2,AHI3:AHI8,0),0)</f>
        <v>A</v>
      </c>
      <c r="AHG12" s="326" t="str">
        <f t="shared" ref="AHG12" ca="1" si="3272">INDEX(AHJ3:AHJ8,MATCH(3,AHI3:AHI8,0),0)</f>
        <v>B</v>
      </c>
      <c r="AHH12" s="326" t="str">
        <f t="shared" ref="AHH12" ca="1" si="3273">INDEX(AHJ3:AHJ8,MATCH(4,AHI3:AHI8,0),0)</f>
        <v>C</v>
      </c>
      <c r="AHI12" s="326"/>
      <c r="AHJ12" s="325"/>
      <c r="AHK12" s="325"/>
      <c r="AHL12" s="325"/>
      <c r="AHM12" s="319">
        <f t="shared" ref="AHM12" ca="1" si="3274">VLOOKUP(AHN12,ALI11:ALJ15,2,FALSE)</f>
        <v>2</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0</v>
      </c>
      <c r="AHR12" s="319">
        <f t="shared" ref="AHR12" ca="1" si="3278">SUMIF(ALL3:ALL60,AHN12,ALM3:ALM60)+SUMIF(ALO3:ALO60,AHN12,ALN3:ALN60)</f>
        <v>0</v>
      </c>
      <c r="AHS12" s="319">
        <f t="shared" ref="AHS12" ca="1" si="3279">SUMIF(ALO3:ALO60,AHN12,ALM3:ALM60)+SUMIF(ALL3:ALL60,AHN12,ALN3:ALN60)</f>
        <v>0</v>
      </c>
      <c r="AHT12" s="319">
        <f t="shared" ca="1" si="2873"/>
        <v>1000</v>
      </c>
      <c r="AHU12" s="319">
        <f t="shared" ca="1" si="2874"/>
        <v>0</v>
      </c>
      <c r="AHV12" s="319">
        <f t="shared" si="870"/>
        <v>44</v>
      </c>
      <c r="AHW12" s="319">
        <f t="shared" ref="AHW12" ca="1" si="3280">IF(COUNTIF(AHU11:AHU15,4)&lt;&gt;4,RANK(AHU12,AHU11:AHU15),AHU52)</f>
        <v>1</v>
      </c>
      <c r="AHX12" s="319"/>
      <c r="AHY12" s="319">
        <f t="shared" ref="AHY12" ca="1" si="3281">SUMPRODUCT((AHW11:AHW14=AHW12)*(AHV11:AHV14&lt;AHV12))+AHW12</f>
        <v>3</v>
      </c>
      <c r="AHZ12" s="319" t="str">
        <f t="shared" ref="AHZ12" ca="1" si="3282">INDEX(AHN11:AHN15,MATCH(2,AHY11:AHY15,0),0)</f>
        <v>Croatia</v>
      </c>
      <c r="AIA12" s="319">
        <f t="shared" ref="AIA12" ca="1" si="3283">INDEX(AHW11:AHW15,MATCH(AHZ12,AHN11:AHN15,0),0)</f>
        <v>1</v>
      </c>
      <c r="AIB12" s="319" t="str">
        <f t="shared" ref="AIB12" ca="1" si="3284">IF(AIB11&lt;&gt;"",AHZ12,"")</f>
        <v>Croatia</v>
      </c>
      <c r="AIC12" s="319" t="str">
        <f t="shared" ref="AIC12" ca="1" si="3285">IF(AIC11&lt;&gt;"",AHZ13,"")</f>
        <v/>
      </c>
      <c r="AID12" s="319" t="str">
        <f t="shared" ref="AID12" ca="1" si="3286">IF(AID11&lt;&gt;"",AHZ14,"")</f>
        <v/>
      </c>
      <c r="AIE12" s="319" t="str">
        <f t="shared" ref="AIE12" si="3287">IF(AIE11&lt;&gt;"",AHZ15,"")</f>
        <v/>
      </c>
      <c r="AIF12" s="319"/>
      <c r="AIG12" s="319" t="str">
        <f t="shared" ca="1" si="2883"/>
        <v>Croatia</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0</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0</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0</v>
      </c>
      <c r="AIM12" s="319">
        <f t="shared" ca="1" si="2889"/>
        <v>1000</v>
      </c>
      <c r="AIN12" s="319">
        <f t="shared" ca="1" si="2890"/>
        <v>0</v>
      </c>
      <c r="AIO12" s="319">
        <f t="shared" ref="AIO12" ca="1" si="3293">IF(AIG12&lt;&gt;"",VLOOKUP(AIG12,AHN4:AHT40,7,FALSE),"")</f>
        <v>1000</v>
      </c>
      <c r="AIP12" s="319">
        <f t="shared" ref="AIP12" ca="1" si="3294">IF(AIG12&lt;&gt;"",VLOOKUP(AIG12,AHN4:AHT40,5,FALSE),"")</f>
        <v>0</v>
      </c>
      <c r="AIQ12" s="319">
        <f t="shared" ref="AIQ12" ca="1" si="3295">IF(AIG12&lt;&gt;"",VLOOKUP(AIG12,AHN4:AHV40,9,FALSE),"")</f>
        <v>40</v>
      </c>
      <c r="AIR12" s="319">
        <f t="shared" ca="1" si="2894"/>
        <v>0</v>
      </c>
      <c r="AIS12" s="319">
        <f t="shared" ref="AIS12" ca="1" si="3296">IF(AIG12&lt;&gt;"",RANK(AIR12,AIR11:AIR15),"")</f>
        <v>1</v>
      </c>
      <c r="AIT12" s="319">
        <f t="shared" ref="AIT12" ca="1" si="3297">IF(AIG12&lt;&gt;"",SUMPRODUCT((AIR11:AIR15=AIR12)*(AIM11:AIM15&gt;AIM12)),"")</f>
        <v>0</v>
      </c>
      <c r="AIU12" s="319">
        <f t="shared" ref="AIU12" ca="1" si="3298">IF(AIG12&lt;&gt;"",SUMPRODUCT((AIR11:AIR15=AIR12)*(AIM11:AIM15=AIM12)*(AIK11:AIK15&gt;AIK12)),"")</f>
        <v>0</v>
      </c>
      <c r="AIV12" s="319">
        <f t="shared" ref="AIV12" ca="1" si="3299">IF(AIG12&lt;&gt;"",SUMPRODUCT((AIR11:AIR15=AIR12)*(AIM11:AIM15=AIM12)*(AIK11:AIK15=AIK12)*(AIO11:AIO15&gt;AIO12)),"")</f>
        <v>0</v>
      </c>
      <c r="AIW12" s="319">
        <f t="shared" ref="AIW12" ca="1" si="3300">IF(AIG12&lt;&gt;"",SUMPRODUCT((AIR11:AIR15=AIR12)*(AIM11:AIM15=AIM12)*(AIK11:AIK15=AIK12)*(AIO11:AIO15=AIO12)*(AIP11:AIP15&gt;AIP12)),"")</f>
        <v>0</v>
      </c>
      <c r="AIX12" s="319">
        <f t="shared" ref="AIX12" ca="1" si="3301">IF(AIG12&lt;&gt;"",SUMPRODUCT((AIR11:AIR15=AIR12)*(AIM11:AIM15=AIM12)*(AIK11:AIK15=AIK12)*(AIO11:AIO15=AIO12)*(AIP11:AIP15=AIP12)*(AIQ11:AIQ15&gt;AIQ12)),"")</f>
        <v>2</v>
      </c>
      <c r="AIY12" s="319">
        <f ca="1">IF(AIG12&lt;&gt;"",IF(AIY52&lt;&gt;"",IF(AIF50=3,AIY52,AIY52+AIF50),SUM(AIS12:AIX12)),"")</f>
        <v>3</v>
      </c>
      <c r="AIZ12" s="319" t="str">
        <f t="shared" ref="AIZ12" ca="1" si="3302">IF(AIG12&lt;&gt;"",INDEX(AIG11:AIG15,MATCH(2,AIY11:AIY15,0),0),"")</f>
        <v>Albania</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Albania</v>
      </c>
      <c r="ALJ12" s="319">
        <v>2</v>
      </c>
      <c r="ALK12" s="319">
        <v>10</v>
      </c>
      <c r="ALL12" s="319" t="str">
        <f t="shared" si="82"/>
        <v>Romania</v>
      </c>
      <c r="ALM12" s="322">
        <f ca="1">IF(OFFSET('Player Game Board'!P19,0,ALM1)&lt;&gt;"",OFFSET('Player Game Board'!P19,0,ALM1),0)</f>
        <v>0</v>
      </c>
      <c r="ALN12" s="322">
        <f ca="1">IF(OFFSET('Player Game Board'!Q19,0,ALM1)&lt;&gt;"",OFFSET('Player Game Board'!Q19,0,ALM1),0)</f>
        <v>0</v>
      </c>
      <c r="ALO12" s="319" t="str">
        <f t="shared" si="83"/>
        <v>Ukraine</v>
      </c>
      <c r="ALP12" s="319" t="str">
        <f ca="1">IF(AND(OFFSET('Player Game Board'!P19,0,ALM1)&lt;&gt;"",OFFSET('Player Game Board'!Q19,0,ALM1)&lt;&gt;""),IF(ALM12&gt;ALN12,"W",IF(ALM12=ALN12,"D","L")),"")</f>
        <v/>
      </c>
      <c r="ALQ12" s="319" t="str">
        <f t="shared" ca="1" si="84"/>
        <v/>
      </c>
      <c r="ALR12" s="319"/>
      <c r="ALS12" s="319"/>
      <c r="ALT12" s="323" t="s">
        <v>352</v>
      </c>
      <c r="ALU12" s="323"/>
      <c r="ALV12" s="323"/>
      <c r="ALW12" s="323"/>
      <c r="ALX12" s="324" t="s">
        <v>353</v>
      </c>
      <c r="ALY12" s="324" t="s">
        <v>354</v>
      </c>
      <c r="ALZ12" s="324" t="s">
        <v>355</v>
      </c>
      <c r="AMA12" s="324" t="s">
        <v>356</v>
      </c>
      <c r="AMB12" s="325"/>
      <c r="AMC12" s="324" t="str">
        <f t="shared" ref="AMC12" ca="1" si="3323">INDEX(AMH3:AMH8,MATCH(1,AMG3:AMG8,0),0)</f>
        <v>A</v>
      </c>
      <c r="AMD12" s="326" t="str">
        <f t="shared" ref="AMD12" ca="1" si="3324">INDEX(AMH3:AMH8,MATCH(2,AMG3:AMG8,0),0)</f>
        <v>D</v>
      </c>
      <c r="AME12" s="326" t="str">
        <f t="shared" ref="AME12" ca="1" si="3325">INDEX(AMH3:AMH8,MATCH(3,AMG3:AMG8,0),0)</f>
        <v>B</v>
      </c>
      <c r="AMF12" s="326" t="str">
        <f t="shared" ref="AMF12" ca="1" si="3326">INDEX(AMH3:AMH8,MATCH(4,AMG3:AMG8,0),0)</f>
        <v>C</v>
      </c>
      <c r="AMG12" s="326"/>
      <c r="AMH12" s="325"/>
      <c r="AMI12" s="325"/>
      <c r="AMJ12" s="325"/>
      <c r="AMK12" s="319">
        <f t="shared" ref="AMK12" ca="1" si="3327">VLOOKUP(AML12,AQG11:AQH15,2,FALSE)</f>
        <v>2</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0</v>
      </c>
      <c r="AMP12" s="319">
        <f t="shared" ref="AMP12" ca="1" si="3331">SUMIF(AQJ3:AQJ60,AML12,AQK3:AQK60)+SUMIF(AQM3:AQM60,AML12,AQL3:AQL60)</f>
        <v>0</v>
      </c>
      <c r="AMQ12" s="319">
        <f t="shared" ref="AMQ12" ca="1" si="3332">SUMIF(AQM3:AQM60,AML12,AQK3:AQK60)+SUMIF(AQJ3:AQJ60,AML12,AQL3:AQL60)</f>
        <v>0</v>
      </c>
      <c r="AMR12" s="319">
        <f t="shared" ca="1" si="2910"/>
        <v>1000</v>
      </c>
      <c r="AMS12" s="319">
        <f t="shared" ca="1" si="2911"/>
        <v>0</v>
      </c>
      <c r="AMT12" s="319">
        <f t="shared" si="930"/>
        <v>44</v>
      </c>
      <c r="AMU12" s="319">
        <f t="shared" ref="AMU12" ca="1" si="3333">IF(COUNTIF(AMS11:AMS15,4)&lt;&gt;4,RANK(AMS12,AMS11:AMS15),AMS52)</f>
        <v>1</v>
      </c>
      <c r="AMV12" s="319"/>
      <c r="AMW12" s="319">
        <f t="shared" ref="AMW12" ca="1" si="3334">SUMPRODUCT((AMU11:AMU14=AMU12)*(AMT11:AMT14&lt;AMT12))+AMU12</f>
        <v>3</v>
      </c>
      <c r="AMX12" s="319" t="str">
        <f t="shared" ref="AMX12" ca="1" si="3335">INDEX(AML11:AML15,MATCH(2,AMW11:AMW15,0),0)</f>
        <v>Croatia</v>
      </c>
      <c r="AMY12" s="319">
        <f t="shared" ref="AMY12" ca="1" si="3336">INDEX(AMU11:AMU15,MATCH(AMX12,AML11:AML15,0),0)</f>
        <v>1</v>
      </c>
      <c r="AMZ12" s="319" t="str">
        <f t="shared" ref="AMZ12" ca="1" si="3337">IF(AMZ11&lt;&gt;"",AMX12,"")</f>
        <v>Croatia</v>
      </c>
      <c r="ANA12" s="319" t="str">
        <f t="shared" ref="ANA12" ca="1" si="3338">IF(ANA11&lt;&gt;"",AMX13,"")</f>
        <v/>
      </c>
      <c r="ANB12" s="319" t="str">
        <f t="shared" ref="ANB12" ca="1" si="3339">IF(ANB11&lt;&gt;"",AMX14,"")</f>
        <v/>
      </c>
      <c r="ANC12" s="319" t="str">
        <f t="shared" ref="ANC12" si="3340">IF(ANC11&lt;&gt;"",AMX15,"")</f>
        <v/>
      </c>
      <c r="AND12" s="319"/>
      <c r="ANE12" s="319" t="str">
        <f t="shared" ca="1" si="2920"/>
        <v>Croatia</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f t="shared" ca="1" si="2927"/>
        <v>0</v>
      </c>
      <c r="ANM12" s="319">
        <f t="shared" ref="ANM12" ca="1" si="3346">IF(ANE12&lt;&gt;"",VLOOKUP(ANE12,AML4:AMR40,7,FALSE),"")</f>
        <v>1000</v>
      </c>
      <c r="ANN12" s="319">
        <f t="shared" ref="ANN12" ca="1" si="3347">IF(ANE12&lt;&gt;"",VLOOKUP(ANE12,AML4:AMR40,5,FALSE),"")</f>
        <v>0</v>
      </c>
      <c r="ANO12" s="319">
        <f t="shared" ref="ANO12" ca="1" si="3348">IF(ANE12&lt;&gt;"",VLOOKUP(ANE12,AML4:AMT40,9,FALSE),"")</f>
        <v>40</v>
      </c>
      <c r="ANP12" s="319">
        <f t="shared" ca="1" si="2931"/>
        <v>0</v>
      </c>
      <c r="ANQ12" s="319">
        <f t="shared" ref="ANQ12" ca="1" si="3349">IF(ANE12&lt;&gt;"",RANK(ANP12,ANP11:ANP15),"")</f>
        <v>1</v>
      </c>
      <c r="ANR12" s="319">
        <f t="shared" ref="ANR12" ca="1" si="3350">IF(ANE12&lt;&gt;"",SUMPRODUCT((ANP11:ANP15=ANP12)*(ANK11:ANK15&gt;ANK12)),"")</f>
        <v>0</v>
      </c>
      <c r="ANS12" s="319">
        <f t="shared" ref="ANS12" ca="1" si="3351">IF(ANE12&lt;&gt;"",SUMPRODUCT((ANP11:ANP15=ANP12)*(ANK11:ANK15=ANK12)*(ANI11:ANI15&gt;ANI12)),"")</f>
        <v>0</v>
      </c>
      <c r="ANT12" s="319">
        <f t="shared" ref="ANT12" ca="1" si="3352">IF(ANE12&lt;&gt;"",SUMPRODUCT((ANP11:ANP15=ANP12)*(ANK11:ANK15=ANK12)*(ANI11:ANI15=ANI12)*(ANM11:ANM15&gt;ANM12)),"")</f>
        <v>0</v>
      </c>
      <c r="ANU12" s="319">
        <f t="shared" ref="ANU12" ca="1" si="3353">IF(ANE12&lt;&gt;"",SUMPRODUCT((ANP11:ANP15=ANP12)*(ANK11:ANK15=ANK12)*(ANI11:ANI15=ANI12)*(ANM11:ANM15=ANM12)*(ANN11:ANN15&gt;ANN12)),"")</f>
        <v>0</v>
      </c>
      <c r="ANV12" s="319">
        <f t="shared" ref="ANV12" ca="1" si="3354">IF(ANE12&lt;&gt;"",SUMPRODUCT((ANP11:ANP15=ANP12)*(ANK11:ANK15=ANK12)*(ANI11:ANI15=ANI12)*(ANM11:ANM15=ANM12)*(ANN11:ANN15=ANN12)*(ANO11:ANO15&gt;ANO12)),"")</f>
        <v>2</v>
      </c>
      <c r="ANW12" s="319">
        <f ca="1">IF(ANE12&lt;&gt;"",IF(ANW52&lt;&gt;"",IF(AND50=3,ANW52,ANW52+AND50),SUM(ANQ12:ANV12)),"")</f>
        <v>3</v>
      </c>
      <c r="ANX12" s="319" t="str">
        <f t="shared" ref="ANX12" ca="1" si="3355">IF(ANE12&lt;&gt;"",INDEX(ANE11:ANE15,MATCH(2,ANW11:ANW15,0),0),"")</f>
        <v>Albania</v>
      </c>
      <c r="ANY12" s="319" t="str">
        <f t="shared" ref="ANY12:ANY14" ca="1" si="3356">IF(ANA11&lt;&gt;"",ANA11,"")</f>
        <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0</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0</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0</v>
      </c>
      <c r="AOE12" s="319">
        <f t="shared" ref="AOE12:AOE14" ca="1" si="3362">AOC12-AOD12+1000</f>
        <v>1000</v>
      </c>
      <c r="AOF12" s="319" t="str">
        <f t="shared" ref="AOF12:AOF14" ca="1" si="3363">IF(ANY12&lt;&gt;"",ANZ12*3+AOA12*1,"")</f>
        <v/>
      </c>
      <c r="AOG12" s="319" t="str">
        <f t="shared" ref="AOG12" ca="1" si="3364">IF(ANY12&lt;&gt;"",VLOOKUP(ANY12,AML4:AMR40,7,FALSE),"")</f>
        <v/>
      </c>
      <c r="AOH12" s="319" t="str">
        <f t="shared" ref="AOH12" ca="1" si="3365">IF(ANY12&lt;&gt;"",VLOOKUP(ANY12,AML4:AMR40,5,FALSE),"")</f>
        <v/>
      </c>
      <c r="AOI12" s="319" t="str">
        <f t="shared" ref="AOI12" ca="1" si="3366">IF(ANY12&lt;&gt;"",VLOOKUP(ANY12,AML4:AMT40,9,FALSE),"")</f>
        <v/>
      </c>
      <c r="AOJ12" s="319" t="str">
        <f t="shared" ref="AOJ12:AOJ14" ca="1" si="3367">AOF12</f>
        <v/>
      </c>
      <c r="AOK12" s="319" t="str">
        <f t="shared" ref="AOK12" ca="1" si="3368">IF(ANY12&lt;&gt;"",RANK(AOJ12,AOJ11:AOJ15),"")</f>
        <v/>
      </c>
      <c r="AOL12" s="319" t="str">
        <f t="shared" ref="AOL12" ca="1" si="3369">IF(ANY12&lt;&gt;"",SUMPRODUCT((AOJ11:AOJ15=AOJ12)*(AOE11:AOE15&gt;AOE12)),"")</f>
        <v/>
      </c>
      <c r="AOM12" s="319" t="str">
        <f t="shared" ref="AOM12" ca="1" si="3370">IF(ANY12&lt;&gt;"",SUMPRODUCT((AOJ11:AOJ15=AOJ12)*(AOE11:AOE15=AOE12)*(AOC11:AOC15&gt;AOC12)),"")</f>
        <v/>
      </c>
      <c r="AON12" s="319" t="str">
        <f t="shared" ref="AON12" ca="1" si="3371">IF(ANY12&lt;&gt;"",SUMPRODUCT((AOJ11:AOJ15=AOJ12)*(AOE11:AOE15=AOE12)*(AOC11:AOC15=AOC12)*(AOG11:AOG15&gt;AOG12)),"")</f>
        <v/>
      </c>
      <c r="AOO12" s="319" t="str">
        <f t="shared" ref="AOO12" ca="1" si="3372">IF(ANY12&lt;&gt;"",SUMPRODUCT((AOJ11:AOJ15=AOJ12)*(AOE11:AOE15=AOE12)*(AOC11:AOC15=AOC12)*(AOG11:AOG15=AOG12)*(AOH11:AOH15&gt;AOH12)),"")</f>
        <v/>
      </c>
      <c r="AOP12" s="319" t="str">
        <f t="shared" ref="AOP12" ca="1" si="3373">IF(ANY12&lt;&gt;"",SUMPRODUCT((AOJ11:AOJ15=AOJ12)*(AOE11:AOE15=AOE12)*(AOC11:AOC15=AOC12)*(AOG11:AOG15=AOG12)*(AOH11:AOH15=AOH12)*(AOI11:AOI15&gt;AOI12)),"")</f>
        <v/>
      </c>
      <c r="AOQ12" s="319" t="str">
        <f ca="1">IF(ANY12&lt;&gt;"",IF(AOQ52&lt;&gt;"",IF(ANX50=3,AOQ52,AOQ52+ANX50),SUM(AOK12:AOP12)+1),"")</f>
        <v/>
      </c>
      <c r="AOR12" s="319" t="str">
        <f t="shared" ref="AOR12" ca="1" si="3374">IF(ANY12&lt;&gt;"",INDEX(ANY12:ANY15,MATCH(2,AOQ12:AOQ15,0),0),"")</f>
        <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Albania</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
      </c>
      <c r="AQO12" s="319" t="str">
        <f t="shared" ca="1" si="100"/>
        <v/>
      </c>
      <c r="AQP12" s="319"/>
      <c r="AQQ12" s="319"/>
      <c r="AQR12" s="323" t="s">
        <v>352</v>
      </c>
      <c r="AQS12" s="323"/>
      <c r="AQT12" s="323"/>
      <c r="AQU12" s="323"/>
      <c r="AQV12" s="324" t="s">
        <v>353</v>
      </c>
      <c r="AQW12" s="324" t="s">
        <v>354</v>
      </c>
      <c r="AQX12" s="324" t="s">
        <v>355</v>
      </c>
      <c r="AQY12" s="324" t="s">
        <v>356</v>
      </c>
      <c r="AQZ12" s="325"/>
      <c r="ARA12" s="324" t="str">
        <f t="shared" ref="ARA12" ca="1" si="3376">INDEX(ARF3:ARF8,MATCH(1,ARE3:ARE8,0),0)</f>
        <v>A</v>
      </c>
      <c r="ARB12" s="326" t="str">
        <f t="shared" ref="ARB12" ca="1" si="3377">INDEX(ARF3:ARF8,MATCH(2,ARE3:ARE8,0),0)</f>
        <v>D</v>
      </c>
      <c r="ARC12" s="326" t="str">
        <f t="shared" ref="ARC12" ca="1" si="3378">INDEX(ARF3:ARF8,MATCH(3,ARE3:ARE8,0),0)</f>
        <v>B</v>
      </c>
      <c r="ARD12" s="326" t="str">
        <f t="shared" ref="ARD12" ca="1" si="3379">INDEX(ARF3:ARF8,MATCH(4,ARE3:ARE8,0),0)</f>
        <v>C</v>
      </c>
      <c r="ARE12" s="326"/>
      <c r="ARF12" s="325"/>
      <c r="ARG12" s="325"/>
      <c r="ARH12" s="325"/>
      <c r="ARI12" s="319">
        <f t="shared" ref="ARI12" ca="1" si="3380">VLOOKUP(ARJ12,AVE11:AVF15,2,FALSE)</f>
        <v>2</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0</v>
      </c>
      <c r="ARM12" s="319">
        <f t="shared" ref="ARM12" ca="1" si="3383">SUMPRODUCT((AVH3:AVH42=ARJ12)*(AVL3:AVL42="L"))+SUMPRODUCT((AVK3:AVK42=ARJ12)*(AVM3:AVM42="L"))</f>
        <v>0</v>
      </c>
      <c r="ARN12" s="319">
        <f t="shared" ref="ARN12" ca="1" si="3384">SUMIF(AVH3:AVH60,ARJ12,AVI3:AVI60)+SUMIF(AVK3:AVK60,ARJ12,AVJ3:AVJ60)</f>
        <v>0</v>
      </c>
      <c r="ARO12" s="319">
        <f t="shared" ref="ARO12" ca="1" si="3385">SUMIF(AVK3:AVK60,ARJ12,AVI3:AVI60)+SUMIF(AVH3:AVH60,ARJ12,AVJ3:AVJ60)</f>
        <v>0</v>
      </c>
      <c r="ARP12" s="319">
        <f t="shared" ca="1" si="2947"/>
        <v>1000</v>
      </c>
      <c r="ARQ12" s="319">
        <f t="shared" ca="1" si="2948"/>
        <v>0</v>
      </c>
      <c r="ARR12" s="319">
        <f t="shared" si="990"/>
        <v>44</v>
      </c>
      <c r="ARS12" s="319">
        <f t="shared" ref="ARS12" ca="1" si="3386">IF(COUNTIF(ARQ11:ARQ15,4)&lt;&gt;4,RANK(ARQ12,ARQ11:ARQ15),ARQ52)</f>
        <v>1</v>
      </c>
      <c r="ART12" s="319"/>
      <c r="ARU12" s="319">
        <f t="shared" ref="ARU12" ca="1" si="3387">SUMPRODUCT((ARS11:ARS14=ARS12)*(ARR11:ARR14&lt;ARR12))+ARS12</f>
        <v>3</v>
      </c>
      <c r="ARV12" s="319" t="str">
        <f t="shared" ref="ARV12" ca="1" si="3388">INDEX(ARJ11:ARJ15,MATCH(2,ARU11:ARU15,0),0)</f>
        <v>Croatia</v>
      </c>
      <c r="ARW12" s="319">
        <f t="shared" ref="ARW12" ca="1" si="3389">INDEX(ARS11:ARS15,MATCH(ARV12,ARJ11:ARJ15,0),0)</f>
        <v>1</v>
      </c>
      <c r="ARX12" s="319" t="str">
        <f t="shared" ref="ARX12" ca="1" si="3390">IF(ARX11&lt;&gt;"",ARV12,"")</f>
        <v>Croatia</v>
      </c>
      <c r="ARY12" s="319" t="str">
        <f t="shared" ref="ARY12" ca="1" si="3391">IF(ARY11&lt;&gt;"",ARV13,"")</f>
        <v/>
      </c>
      <c r="ARZ12" s="319" t="str">
        <f t="shared" ref="ARZ12" ca="1" si="3392">IF(ARZ11&lt;&gt;"",ARV14,"")</f>
        <v/>
      </c>
      <c r="ASA12" s="319" t="str">
        <f t="shared" ref="ASA12" si="3393">IF(ASA11&lt;&gt;"",ARV15,"")</f>
        <v/>
      </c>
      <c r="ASB12" s="319"/>
      <c r="ASC12" s="319" t="str">
        <f t="shared" ca="1" si="2957"/>
        <v>Croatia</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0</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0</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0</v>
      </c>
      <c r="ASI12" s="319">
        <f t="shared" ca="1" si="2963"/>
        <v>1000</v>
      </c>
      <c r="ASJ12" s="319">
        <f t="shared" ca="1" si="2964"/>
        <v>0</v>
      </c>
      <c r="ASK12" s="319">
        <f t="shared" ref="ASK12" ca="1" si="3399">IF(ASC12&lt;&gt;"",VLOOKUP(ASC12,ARJ4:ARP40,7,FALSE),"")</f>
        <v>1000</v>
      </c>
      <c r="ASL12" s="319">
        <f t="shared" ref="ASL12" ca="1" si="3400">IF(ASC12&lt;&gt;"",VLOOKUP(ASC12,ARJ4:ARP40,5,FALSE),"")</f>
        <v>0</v>
      </c>
      <c r="ASM12" s="319">
        <f t="shared" ref="ASM12" ca="1" si="3401">IF(ASC12&lt;&gt;"",VLOOKUP(ASC12,ARJ4:ARR40,9,FALSE),"")</f>
        <v>40</v>
      </c>
      <c r="ASN12" s="319">
        <f t="shared" ca="1" si="2968"/>
        <v>0</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0</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2</v>
      </c>
      <c r="ASU12" s="319">
        <f ca="1">IF(ASC12&lt;&gt;"",IF(ASU52&lt;&gt;"",IF(ASB50=3,ASU52,ASU52+ASB50),SUM(ASO12:AST12)),"")</f>
        <v>3</v>
      </c>
      <c r="ASV12" s="319" t="str">
        <f t="shared" ref="ASV12" ca="1" si="3408">IF(ASC12&lt;&gt;"",INDEX(ASC11:ASC15,MATCH(2,ASU11:ASU15,0),0),"")</f>
        <v>Albania</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Albania</v>
      </c>
      <c r="AVF12" s="319">
        <v>2</v>
      </c>
      <c r="AVG12" s="319">
        <v>10</v>
      </c>
      <c r="AVH12" s="319" t="str">
        <f t="shared" si="114"/>
        <v>Romania</v>
      </c>
      <c r="AVI12" s="322">
        <f ca="1">IF(OFFSET('Player Game Board'!P19,0,AVI1)&lt;&gt;"",OFFSET('Player Game Board'!P19,0,AVI1),0)</f>
        <v>0</v>
      </c>
      <c r="AVJ12" s="322">
        <f ca="1">IF(OFFSET('Player Game Board'!Q19,0,AVI1)&lt;&gt;"",OFFSET('Player Game Board'!Q19,0,AVI1),0)</f>
        <v>0</v>
      </c>
      <c r="AVK12" s="319" t="str">
        <f t="shared" si="115"/>
        <v>Ukraine</v>
      </c>
      <c r="AVL12" s="319" t="str">
        <f ca="1">IF(AND(OFFSET('Player Game Board'!P19,0,AVI1)&lt;&gt;"",OFFSET('Player Game Board'!Q19,0,AVI1)&lt;&gt;""),IF(AVI12&gt;AVJ12,"W",IF(AVI12=AVJ12,"D","L")),"")</f>
        <v/>
      </c>
      <c r="AVM12" s="319" t="str">
        <f t="shared" ca="1" si="116"/>
        <v/>
      </c>
      <c r="AVN12" s="319"/>
      <c r="AVO12" s="319"/>
      <c r="AVP12" s="323" t="s">
        <v>352</v>
      </c>
      <c r="AVQ12" s="323"/>
      <c r="AVR12" s="323"/>
      <c r="AVS12" s="323"/>
      <c r="AVT12" s="324" t="s">
        <v>353</v>
      </c>
      <c r="AVU12" s="324" t="s">
        <v>354</v>
      </c>
      <c r="AVV12" s="324" t="s">
        <v>355</v>
      </c>
      <c r="AVW12" s="324" t="s">
        <v>356</v>
      </c>
      <c r="AVX12" s="325"/>
      <c r="AVY12" s="324" t="str">
        <f t="shared" ref="AVY12" ca="1" si="3429">INDEX(AWD3:AWD8,MATCH(1,AWC3:AWC8,0),0)</f>
        <v>A</v>
      </c>
      <c r="AVZ12" s="326" t="str">
        <f t="shared" ref="AVZ12" ca="1" si="3430">INDEX(AWD3:AWD8,MATCH(2,AWC3:AWC8,0),0)</f>
        <v>D</v>
      </c>
      <c r="AWA12" s="326" t="str">
        <f t="shared" ref="AWA12" ca="1" si="3431">INDEX(AWD3:AWD8,MATCH(3,AWC3:AWC8,0),0)</f>
        <v>B</v>
      </c>
      <c r="AWB12" s="326" t="str">
        <f t="shared" ref="AWB12" ca="1" si="3432">INDEX(AWD3:AWD8,MATCH(4,AWC3:AWC8,0),0)</f>
        <v>C</v>
      </c>
      <c r="AWC12" s="326"/>
      <c r="AWD12" s="325"/>
      <c r="AWE12" s="325"/>
      <c r="AWF12" s="325"/>
      <c r="AWG12" s="319">
        <f t="shared" ref="AWG12" ca="1" si="3433">VLOOKUP(AWH12,BAC11:BAD15,2,FALSE)</f>
        <v>2</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0</v>
      </c>
      <c r="AWL12" s="319">
        <f t="shared" ref="AWL12" ca="1" si="3437">SUMIF(BAF3:BAF60,AWH12,BAG3:BAG60)+SUMIF(BAI3:BAI60,AWH12,BAH3:BAH60)</f>
        <v>0</v>
      </c>
      <c r="AWM12" s="319">
        <f t="shared" ref="AWM12" ca="1" si="3438">SUMIF(BAI3:BAI60,AWH12,BAG3:BAG60)+SUMIF(BAF3:BAF60,AWH12,BAH3:BAH60)</f>
        <v>0</v>
      </c>
      <c r="AWN12" s="319">
        <f t="shared" ca="1" si="2984"/>
        <v>1000</v>
      </c>
      <c r="AWO12" s="319">
        <f t="shared" ca="1" si="2985"/>
        <v>0</v>
      </c>
      <c r="AWP12" s="319">
        <f t="shared" si="1050"/>
        <v>44</v>
      </c>
      <c r="AWQ12" s="319">
        <f t="shared" ref="AWQ12" ca="1" si="3439">IF(COUNTIF(AWO11:AWO15,4)&lt;&gt;4,RANK(AWO12,AWO11:AWO15),AWO52)</f>
        <v>1</v>
      </c>
      <c r="AWR12" s="319"/>
      <c r="AWS12" s="319">
        <f t="shared" ref="AWS12" ca="1" si="3440">SUMPRODUCT((AWQ11:AWQ14=AWQ12)*(AWP11:AWP14&lt;AWP12))+AWQ12</f>
        <v>3</v>
      </c>
      <c r="AWT12" s="319" t="str">
        <f t="shared" ref="AWT12" ca="1" si="3441">INDEX(AWH11:AWH15,MATCH(2,AWS11:AWS15,0),0)</f>
        <v>Croatia</v>
      </c>
      <c r="AWU12" s="319">
        <f t="shared" ref="AWU12" ca="1" si="3442">INDEX(AWQ11:AWQ15,MATCH(AWT12,AWH11:AWH15,0),0)</f>
        <v>1</v>
      </c>
      <c r="AWV12" s="319" t="str">
        <f t="shared" ref="AWV12" ca="1" si="3443">IF(AWV11&lt;&gt;"",AWT12,"")</f>
        <v>Croatia</v>
      </c>
      <c r="AWW12" s="319" t="str">
        <f t="shared" ref="AWW12" ca="1" si="3444">IF(AWW11&lt;&gt;"",AWT13,"")</f>
        <v/>
      </c>
      <c r="AWX12" s="319" t="str">
        <f t="shared" ref="AWX12" ca="1" si="3445">IF(AWX11&lt;&gt;"",AWT14,"")</f>
        <v/>
      </c>
      <c r="AWY12" s="319" t="str">
        <f t="shared" ref="AWY12" si="3446">IF(AWY11&lt;&gt;"",AWT15,"")</f>
        <v/>
      </c>
      <c r="AWZ12" s="319"/>
      <c r="AXA12" s="319" t="str">
        <f t="shared" ca="1" si="2994"/>
        <v>Croatia</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f t="shared" ca="1" si="3001"/>
        <v>0</v>
      </c>
      <c r="AXI12" s="319">
        <f t="shared" ref="AXI12" ca="1" si="3452">IF(AXA12&lt;&gt;"",VLOOKUP(AXA12,AWH4:AWN40,7,FALSE),"")</f>
        <v>1000</v>
      </c>
      <c r="AXJ12" s="319">
        <f t="shared" ref="AXJ12" ca="1" si="3453">IF(AXA12&lt;&gt;"",VLOOKUP(AXA12,AWH4:AWN40,5,FALSE),"")</f>
        <v>0</v>
      </c>
      <c r="AXK12" s="319">
        <f t="shared" ref="AXK12" ca="1" si="3454">IF(AXA12&lt;&gt;"",VLOOKUP(AXA12,AWH4:AWP40,9,FALSE),"")</f>
        <v>40</v>
      </c>
      <c r="AXL12" s="319">
        <f t="shared" ca="1" si="3005"/>
        <v>0</v>
      </c>
      <c r="AXM12" s="319">
        <f t="shared" ref="AXM12" ca="1" si="3455">IF(AXA12&lt;&gt;"",RANK(AXL12,AXL11:AXL15),"")</f>
        <v>1</v>
      </c>
      <c r="AXN12" s="319">
        <f t="shared" ref="AXN12" ca="1" si="3456">IF(AXA12&lt;&gt;"",SUMPRODUCT((AXL11:AXL15=AXL12)*(AXG11:AXG15&gt;AXG12)),"")</f>
        <v>0</v>
      </c>
      <c r="AXO12" s="319">
        <f t="shared" ref="AXO12" ca="1" si="3457">IF(AXA12&lt;&gt;"",SUMPRODUCT((AXL11:AXL15=AXL12)*(AXG11:AXG15=AXG12)*(AXE11:AXE15&gt;AXE12)),"")</f>
        <v>0</v>
      </c>
      <c r="AXP12" s="319">
        <f t="shared" ref="AXP12" ca="1" si="3458">IF(AXA12&lt;&gt;"",SUMPRODUCT((AXL11:AXL15=AXL12)*(AXG11:AXG15=AXG12)*(AXE11:AXE15=AXE12)*(AXI11:AXI15&gt;AXI12)),"")</f>
        <v>0</v>
      </c>
      <c r="AXQ12" s="319">
        <f t="shared" ref="AXQ12" ca="1" si="3459">IF(AXA12&lt;&gt;"",SUMPRODUCT((AXL11:AXL15=AXL12)*(AXG11:AXG15=AXG12)*(AXE11:AXE15=AXE12)*(AXI11:AXI15=AXI12)*(AXJ11:AXJ15&gt;AXJ12)),"")</f>
        <v>0</v>
      </c>
      <c r="AXR12" s="319">
        <f t="shared" ref="AXR12" ca="1" si="3460">IF(AXA12&lt;&gt;"",SUMPRODUCT((AXL11:AXL15=AXL12)*(AXG11:AXG15=AXG12)*(AXE11:AXE15=AXE12)*(AXI11:AXI15=AXI12)*(AXJ11:AXJ15=AXJ12)*(AXK11:AXK15&gt;AXK12)),"")</f>
        <v>2</v>
      </c>
      <c r="AXS12" s="319">
        <f ca="1">IF(AXA12&lt;&gt;"",IF(AXS52&lt;&gt;"",IF(AWZ50=3,AXS52,AXS52+AWZ50),SUM(AXM12:AXR12)),"")</f>
        <v>3</v>
      </c>
      <c r="AXT12" s="319" t="str">
        <f t="shared" ref="AXT12" ca="1" si="3461">IF(AXA12&lt;&gt;"",INDEX(AXA11:AXA15,MATCH(2,AXS11:AXS15,0),0),"")</f>
        <v>Albania</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Albania</v>
      </c>
      <c r="BAD12" s="319">
        <v>2</v>
      </c>
      <c r="BAE12" s="319">
        <v>10</v>
      </c>
      <c r="BAF12" s="319" t="str">
        <f t="shared" si="130"/>
        <v>Romania</v>
      </c>
      <c r="BAG12" s="322">
        <f ca="1">IF(OFFSET('Player Game Board'!P19,0,BAG1)&lt;&gt;"",OFFSET('Player Game Board'!P19,0,BAG1),0)</f>
        <v>0</v>
      </c>
      <c r="BAH12" s="322">
        <f ca="1">IF(OFFSET('Player Game Board'!Q19,0,BAG1)&lt;&gt;"",OFFSET('Player Game Board'!Q19,0,BAG1),0)</f>
        <v>0</v>
      </c>
      <c r="BAI12" s="319" t="str">
        <f t="shared" si="131"/>
        <v>Ukraine</v>
      </c>
      <c r="BAJ12" s="319" t="str">
        <f ca="1">IF(AND(OFFSET('Player Game Board'!P19,0,BAG1)&lt;&gt;"",OFFSET('Player Game Board'!Q19,0,BAG1)&lt;&gt;""),IF(BAG12&gt;BAH12,"W",IF(BAG12=BAH12,"D","L")),"")</f>
        <v/>
      </c>
      <c r="BAK12" s="319" t="str">
        <f t="shared" ca="1" si="132"/>
        <v/>
      </c>
      <c r="BAL12" s="319"/>
      <c r="BAM12" s="319"/>
      <c r="BAN12" s="323" t="s">
        <v>352</v>
      </c>
      <c r="BAO12" s="323"/>
      <c r="BAP12" s="323"/>
      <c r="BAQ12" s="323"/>
      <c r="BAR12" s="324" t="s">
        <v>353</v>
      </c>
      <c r="BAS12" s="324" t="s">
        <v>354</v>
      </c>
      <c r="BAT12" s="324" t="s">
        <v>355</v>
      </c>
      <c r="BAU12" s="324" t="s">
        <v>356</v>
      </c>
      <c r="BAV12" s="325"/>
      <c r="BAW12" s="324" t="str">
        <f t="shared" ref="BAW12" ca="1" si="3482">INDEX(BBB3:BBB8,MATCH(1,BBA3:BBA8,0),0)</f>
        <v>A</v>
      </c>
      <c r="BAX12" s="326" t="str">
        <f t="shared" ref="BAX12" ca="1" si="3483">INDEX(BBB3:BBB8,MATCH(2,BBA3:BBA8,0),0)</f>
        <v>D</v>
      </c>
      <c r="BAY12" s="326" t="str">
        <f t="shared" ref="BAY12" ca="1" si="3484">INDEX(BBB3:BBB8,MATCH(3,BBA3:BBA8,0),0)</f>
        <v>B</v>
      </c>
      <c r="BAZ12" s="326" t="str">
        <f t="shared" ref="BAZ12" ca="1" si="3485">INDEX(BBB3:BBB8,MATCH(4,BBA3:BBA8,0),0)</f>
        <v>C</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352</v>
      </c>
      <c r="BFM12" s="323"/>
      <c r="BFN12" s="323"/>
      <c r="BFO12" s="323"/>
      <c r="BFP12" s="324" t="s">
        <v>353</v>
      </c>
      <c r="BFQ12" s="324" t="s">
        <v>354</v>
      </c>
      <c r="BFR12" s="324" t="s">
        <v>355</v>
      </c>
      <c r="BFS12" s="324" t="s">
        <v>356</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ht="13.8" x14ac:dyDescent="0.3">
      <c r="A13" s="319">
        <f>VLOOKUP(B13,CW11:CX15,2,FALSE)</f>
        <v>1</v>
      </c>
      <c r="B13" s="319" t="str">
        <f>'Language Table'!C24</f>
        <v>Spain</v>
      </c>
      <c r="C13" s="319">
        <f>SUMPRODUCT((CZ3:CZ42=B13)*(DD3:DD42="W"))+SUMPRODUCT((DC3:DC42=B13)*(DE3:DE42="W"))</f>
        <v>1</v>
      </c>
      <c r="D13" s="319">
        <f>SUMPRODUCT((CZ3:CZ42=B13)*(DD3:DD42="D"))+SUMPRODUCT((DC3:DC42=B13)*(DE3:DE42="D"))</f>
        <v>0</v>
      </c>
      <c r="E13" s="319">
        <f>SUMPRODUCT((CZ3:CZ42=B13)*(DD3:DD42="L"))+SUMPRODUCT((DC3:DC42=B13)*(DE3:DE42="L"))</f>
        <v>0</v>
      </c>
      <c r="F13" s="319">
        <f>SUMIF(CZ3:CZ60,B13,DA3:DA60)+SUMIF(DC3:DC60,B13,DB3:DB60)</f>
        <v>3</v>
      </c>
      <c r="G13" s="319">
        <f>SUMIF(DC3:DC60,B13,DA3:DA60)+SUMIF(CZ3:CZ60,B13,DB3:DB60)</f>
        <v>0</v>
      </c>
      <c r="H13" s="319">
        <f t="shared" si="2706"/>
        <v>1003</v>
      </c>
      <c r="I13" s="319">
        <f t="shared" si="2707"/>
        <v>3</v>
      </c>
      <c r="J13" s="319">
        <v>51</v>
      </c>
      <c r="K13" s="319">
        <f>IF(COUNTIF(I11:I15,4)&lt;&gt;4,RANK(I13,I11:I15),I53)</f>
        <v>1</v>
      </c>
      <c r="L13" s="319"/>
      <c r="M13" s="319">
        <f>SUMPRODUCT((K11:K14=K13)*(J11:J14&lt;J13))+K13</f>
        <v>2</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Croatia</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0</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0</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0</v>
      </c>
      <c r="BO13" s="319">
        <f>BM13-BN13+1000</f>
        <v>1000</v>
      </c>
      <c r="BP13" s="319">
        <f t="shared" ref="BP13:BP14" si="3539">IF(BI13&lt;&gt;"",BJ13*3+BK13*1,"")</f>
        <v>0</v>
      </c>
      <c r="BQ13" s="319">
        <f>IF(BI13&lt;&gt;"",VLOOKUP(BI13,B4:H40,7,FALSE),"")</f>
        <v>997</v>
      </c>
      <c r="BR13" s="319">
        <f>IF(BI13&lt;&gt;"",VLOOKUP(BI13,B4:H40,5,FALSE),"")</f>
        <v>0</v>
      </c>
      <c r="BS13" s="319">
        <f>IF(BI13&lt;&gt;"",VLOOKUP(BI13,B4:J40,9,FALSE),"")</f>
        <v>40</v>
      </c>
      <c r="BT13" s="319">
        <f t="shared" ref="BT13:BT14" si="3540">BP13</f>
        <v>0</v>
      </c>
      <c r="BU13" s="319">
        <f>IF(BI13&lt;&gt;"",RANK(BT13,BT11:BT15),"")</f>
        <v>1</v>
      </c>
      <c r="BV13" s="319">
        <f>IF(BI13&lt;&gt;"",SUMPRODUCT((BT11:BT15=BT13)*(BO11:BO15&gt;BO13)),"")</f>
        <v>0</v>
      </c>
      <c r="BW13" s="319">
        <f>IF(BI13&lt;&gt;"",SUMPRODUCT((BT11:BT15=BT13)*(BO11:BO15=BO13)*(BM11:BM15&gt;BM13)),"")</f>
        <v>0</v>
      </c>
      <c r="BX13" s="319">
        <f>IF(BI13&lt;&gt;"",SUMPRODUCT((BT11:BT15=BT13)*(BO11:BO15=BO13)*(BM11:BM15=BM13)*(BQ11:BQ15&gt;BQ13)),"")</f>
        <v>1</v>
      </c>
      <c r="BY13" s="319">
        <f>IF(BI13&lt;&gt;"",SUMPRODUCT((BT11:BT15=BT13)*(BO11:BO15=BO13)*(BM11:BM15=BM13)*(BQ11:BQ15=BQ13)*(BR11:BR15&gt;BR13)),"")</f>
        <v>0</v>
      </c>
      <c r="BZ13" s="319">
        <f>IF(BI13&lt;&gt;"",SUMPRODUCT((BT11:BT15=BT13)*(BO11:BO15=BO13)*(BM11:BM15=BM13)*(BQ11:BQ15=BQ13)*(BR11:BR15=BR13)*(BS11:BS15&gt;BS13)),"")</f>
        <v>0</v>
      </c>
      <c r="CA13" s="319">
        <f>IF(BI13&lt;&gt;"",SUM(BU13:BZ13)+2,"")</f>
        <v>4</v>
      </c>
      <c r="CB13" s="319" t="str">
        <f>IF(BI13&lt;&gt;"",INDEX(BI13:BI15,MATCH(3,CA13:CA15,0),0),"")</f>
        <v>Albania</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Albania</v>
      </c>
      <c r="CX13" s="319">
        <v>3</v>
      </c>
      <c r="CY13" s="319">
        <v>11</v>
      </c>
      <c r="CZ13" s="319" t="str">
        <f>Matches!G18</f>
        <v>Türkiye</v>
      </c>
      <c r="DA13" s="319">
        <f>IF(AND(Matches!H18&lt;&gt;"",Matches!I18&lt;&gt;""),Matches!H18,0)</f>
        <v>3</v>
      </c>
      <c r="DB13" s="319">
        <f>IF(AND(Matches!I18&lt;&gt;"",Matches!H18&lt;&gt;""),Matches!I18,0)</f>
        <v>1</v>
      </c>
      <c r="DC13" s="319" t="str">
        <f>Matches!J18</f>
        <v>Georgia</v>
      </c>
      <c r="DD13" s="319" t="str">
        <f>IF(AND(Matches!H18&lt;&gt;"",Matches!I18&lt;&gt;""),IF(DA13&gt;DB13,"W",IF(DA13=DB13,"D","L")),"")</f>
        <v>W</v>
      </c>
      <c r="DE13" s="319" t="str">
        <f t="shared" si="162"/>
        <v>L</v>
      </c>
      <c r="DF13" s="319"/>
      <c r="DG13" s="319"/>
      <c r="DH13" s="324" t="s">
        <v>101</v>
      </c>
      <c r="DI13" s="325" t="s">
        <v>102</v>
      </c>
      <c r="DJ13" s="325" t="s">
        <v>103</v>
      </c>
      <c r="DK13" s="325" t="s">
        <v>104</v>
      </c>
      <c r="DL13" s="324" t="s">
        <v>101</v>
      </c>
      <c r="DM13" s="324" t="s">
        <v>104</v>
      </c>
      <c r="DN13" s="324" t="s">
        <v>102</v>
      </c>
      <c r="DO13" s="324" t="s">
        <v>103</v>
      </c>
      <c r="DP13" s="325"/>
      <c r="DQ13" s="326">
        <f>IFERROR(MATCH(DQ12,DH13:DK13,0),0)</f>
        <v>3</v>
      </c>
      <c r="DR13" s="326">
        <f>IFERROR(MATCH(DR12,DH13:DK13,0),0)</f>
        <v>2</v>
      </c>
      <c r="DS13" s="326">
        <f>IFERROR(MATCH(DS12,DH13:DK13,0),0)</f>
        <v>0</v>
      </c>
      <c r="DT13" s="326">
        <f>IFERROR(MATCH(DT12,DH13:DK13,0),0)</f>
        <v>4</v>
      </c>
      <c r="DU13" s="326">
        <f t="shared" ref="DU13:DU27" si="3541">SUM(DQ13:DT13)</f>
        <v>9</v>
      </c>
      <c r="DV13" s="325"/>
      <c r="DW13" s="325" t="str">
        <f>INDEX(DH3:DH8,MATCH(1,DU3:DU8,0),0)</f>
        <v>Slovenia</v>
      </c>
      <c r="DX13" s="325"/>
      <c r="DY13" s="319">
        <f ca="1">VLOOKUP(DZ13,HU11:HV15,2,FALSE)</f>
        <v>1</v>
      </c>
      <c r="DZ13" s="319" t="str">
        <f t="shared" si="3054"/>
        <v>Spain</v>
      </c>
      <c r="EA13" s="319">
        <f ca="1">SUMPRODUCT((HX3:HX42=DZ13)*(IB3:IB42="W"))+SUMPRODUCT((IA3:IA42=DZ13)*(IC3:IC42="W"))</f>
        <v>2</v>
      </c>
      <c r="EB13" s="319">
        <f ca="1">SUMPRODUCT((HX3:HX42=DZ13)*(IB3:IB42="D"))+SUMPRODUCT((IA3:IA42=DZ13)*(IC3:IC42="D"))</f>
        <v>1</v>
      </c>
      <c r="EC13" s="319">
        <f ca="1">SUMPRODUCT((HX3:HX42=DZ13)*(IB3:IB42="L"))+SUMPRODUCT((IA3:IA42=DZ13)*(IC3:IC42="L"))</f>
        <v>0</v>
      </c>
      <c r="ED13" s="319">
        <f ca="1">SUMIF(HX3:HX60,DZ13,HY3:HY60)+SUMIF(IA3:IA60,DZ13,HZ3:HZ60)</f>
        <v>9</v>
      </c>
      <c r="EE13" s="319">
        <f ca="1">SUMIF(IA3:IA60,DZ13,HY3:HY60)+SUMIF(HX3:HX60,DZ13,HZ3:HZ60)</f>
        <v>2</v>
      </c>
      <c r="EF13" s="319">
        <f t="shared" ca="1" si="2710"/>
        <v>1007</v>
      </c>
      <c r="EG13" s="319">
        <f t="shared" ca="1" si="2711"/>
        <v>7</v>
      </c>
      <c r="EH13" s="319">
        <f t="shared" si="609"/>
        <v>51</v>
      </c>
      <c r="EI13" s="319">
        <f ca="1">IF(COUNTIF(EG11:EG15,4)&lt;&gt;4,RANK(EG13,EG11:EG15),EG53)</f>
        <v>1</v>
      </c>
      <c r="EJ13" s="319"/>
      <c r="EK13" s="319">
        <f ca="1">SUMPRODUCT((EI11:EI14=EI13)*(EH11:EH14&lt;EH13))+EI13</f>
        <v>2</v>
      </c>
      <c r="EL13" s="319" t="str">
        <f ca="1">INDEX(DZ11:DZ15,MATCH(3,EK11:EK15,0),0)</f>
        <v>Croatia</v>
      </c>
      <c r="EM13" s="319">
        <f ca="1">INDEX(EI11:EI15,MATCH(EL13,DZ11:DZ15,0),0)</f>
        <v>3</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0</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19">
        <f ca="1">FQ13-FR13+1000</f>
        <v>1000</v>
      </c>
      <c r="FT13" s="319" t="str">
        <f t="shared" ca="1" si="3056"/>
        <v/>
      </c>
      <c r="FU13" s="319" t="str">
        <f ca="1">IF(FM13&lt;&gt;"",VLOOKUP(FM13,DZ4:EF40,7,FALSE),"")</f>
        <v/>
      </c>
      <c r="FV13" s="319" t="str">
        <f ca="1">IF(FM13&lt;&gt;"",VLOOKUP(FM13,DZ4:EF40,5,FALSE),"")</f>
        <v/>
      </c>
      <c r="FW13" s="319" t="str">
        <f ca="1">IF(FM13&lt;&gt;"",VLOOKUP(FM13,DZ4:EH40,9,FALSE),"")</f>
        <v/>
      </c>
      <c r="FX13" s="319" t="str">
        <f t="shared" ca="1" si="3057"/>
        <v/>
      </c>
      <c r="FY13" s="319" t="str">
        <f ca="1">IF(FM13&lt;&gt;"",RANK(FX13,FX11:FX15),"")</f>
        <v/>
      </c>
      <c r="FZ13" s="319" t="str">
        <f ca="1">IF(FM13&lt;&gt;"",SUMPRODUCT((FX11:FX15=FX13)*(FS11:FS15&gt;FS13)),"")</f>
        <v/>
      </c>
      <c r="GA13" s="319" t="str">
        <f ca="1">IF(FM13&lt;&gt;"",SUMPRODUCT((FX11:FX15=FX13)*(FS11:FS15=FS13)*(FQ11:FQ15&gt;FQ13)),"")</f>
        <v/>
      </c>
      <c r="GB13" s="319" t="str">
        <f ca="1">IF(FM13&lt;&gt;"",SUMPRODUCT((FX11:FX15=FX13)*(FS11:FS15=FS13)*(FQ11:FQ15=FQ13)*(FU11:FU15&gt;FU13)),"")</f>
        <v/>
      </c>
      <c r="GC13" s="319" t="str">
        <f ca="1">IF(FM13&lt;&gt;"",SUMPRODUCT((FX11:FX15=FX13)*(FS11:FS15=FS13)*(FQ11:FQ15=FQ13)*(FU11:FU15=FU13)*(FV11:FV15&gt;FV13)),"")</f>
        <v/>
      </c>
      <c r="GD13" s="319" t="str">
        <f ca="1">IF(FM13&lt;&gt;"",SUMPRODUCT((FX11:FX15=FX13)*(FS11:FS15=FS13)*(FQ11:FQ15=FQ13)*(FU11:FU15=FU13)*(FV11:FV15=FV13)*(FW11:FW15&gt;FW13)),"")</f>
        <v/>
      </c>
      <c r="GE13" s="319" t="str">
        <f ca="1">IF(FM13&lt;&gt;"",IF(GE53&lt;&gt;"",IF(FL50=3,GE53,GE53+FL50),SUM(FY13:GD13)+1),"")</f>
        <v/>
      </c>
      <c r="GF13" s="319" t="str">
        <f ca="1">IF(FM13&lt;&gt;"",INDEX(FM12:FM15,MATCH(3,GE12:GE15,0),0),"")</f>
        <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Croatia</v>
      </c>
      <c r="HV13" s="319">
        <v>3</v>
      </c>
      <c r="HW13" s="319">
        <v>11</v>
      </c>
      <c r="HX13" s="319" t="str">
        <f t="shared" si="164"/>
        <v>Türkiye</v>
      </c>
      <c r="HY13" s="322">
        <f ca="1">IF(OFFSET('Player Game Board'!P20,0,HY1)&lt;&gt;"",OFFSET('Player Game Board'!P20,0,HY1),0)</f>
        <v>5</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101</v>
      </c>
      <c r="IG13" s="325" t="s">
        <v>102</v>
      </c>
      <c r="IH13" s="325" t="s">
        <v>103</v>
      </c>
      <c r="II13" s="325" t="s">
        <v>104</v>
      </c>
      <c r="IJ13" s="324" t="s">
        <v>101</v>
      </c>
      <c r="IK13" s="324" t="s">
        <v>104</v>
      </c>
      <c r="IL13" s="324" t="s">
        <v>102</v>
      </c>
      <c r="IM13" s="324" t="s">
        <v>103</v>
      </c>
      <c r="IN13" s="325"/>
      <c r="IO13" s="326">
        <f ca="1">IFERROR(MATCH(IO12,IF13:II13,0),0)</f>
        <v>1</v>
      </c>
      <c r="IP13" s="326">
        <f ca="1">IFERROR(MATCH(IP12,IF13:II13,0),0)</f>
        <v>4</v>
      </c>
      <c r="IQ13" s="326">
        <f ca="1">IFERROR(MATCH(IQ12,IF13:II13,0),0)</f>
        <v>0</v>
      </c>
      <c r="IR13" s="326">
        <f ca="1">IFERROR(MATCH(IR12,IF13:II13,0),0)</f>
        <v>2</v>
      </c>
      <c r="IS13" s="326">
        <f t="shared" ref="IS13:IS27" ca="1" si="3544">SUM(IO13:IR13)</f>
        <v>7</v>
      </c>
      <c r="IT13" s="325"/>
      <c r="IU13" s="325" t="str">
        <f ca="1">INDEX(IF3:IF8,MATCH(1,IS3:IS8,0),0)</f>
        <v>Scotland</v>
      </c>
      <c r="IV13" s="325"/>
      <c r="IW13" s="319">
        <f ca="1">VLOOKUP(IX13,MS11:MT15,2,FALSE)</f>
        <v>1</v>
      </c>
      <c r="IX13" s="319" t="str">
        <f t="shared" si="3058"/>
        <v>Spain</v>
      </c>
      <c r="IY13" s="319">
        <f ca="1">SUMPRODUCT((MV3:MV42=IX13)*(MZ3:MZ42="W"))+SUMPRODUCT((MY3:MY42=IX13)*(NA3:NA42="W"))</f>
        <v>2</v>
      </c>
      <c r="IZ13" s="319">
        <f ca="1">SUMPRODUCT((MV3:MV42=IX13)*(MZ3:MZ42="D"))+SUMPRODUCT((MY3:MY42=IX13)*(NA3:NA42="D"))</f>
        <v>1</v>
      </c>
      <c r="JA13" s="319">
        <f ca="1">SUMPRODUCT((MV3:MV42=IX13)*(MZ3:MZ42="L"))+SUMPRODUCT((MY3:MY42=IX13)*(NA3:NA42="L"))</f>
        <v>0</v>
      </c>
      <c r="JB13" s="319">
        <f ca="1">SUMIF(MV3:MV60,IX13,MW3:MW60)+SUMIF(MY3:MY60,IX13,MX3:MX60)</f>
        <v>3</v>
      </c>
      <c r="JC13" s="319">
        <f ca="1">SUMIF(MY3:MY60,IX13,MW3:MW60)+SUMIF(MV3:MV60,IX13,MX3:MX60)</f>
        <v>0</v>
      </c>
      <c r="JD13" s="319">
        <f t="shared" ca="1" si="2714"/>
        <v>1003</v>
      </c>
      <c r="JE13" s="319">
        <f t="shared" ca="1" si="2715"/>
        <v>7</v>
      </c>
      <c r="JF13" s="319">
        <f t="shared" si="618"/>
        <v>51</v>
      </c>
      <c r="JG13" s="319">
        <f ca="1">IF(COUNTIF(JE11:JE15,4)&lt;&gt;4,RANK(JE13,JE11:JE15),JE53)</f>
        <v>1</v>
      </c>
      <c r="JH13" s="319"/>
      <c r="JI13" s="319">
        <f ca="1">SUMPRODUCT((JG11:JG14=JG13)*(JF11:JF14&lt;JF13))+JG13</f>
        <v>1</v>
      </c>
      <c r="JJ13" s="319" t="str">
        <f ca="1">INDEX(IX11:IX15,MATCH(3,JI11:JI15,0),0)</f>
        <v>Croatia</v>
      </c>
      <c r="JK13" s="319">
        <f ca="1">INDEX(JG11:JG15,MATCH(JJ13,IX11:IX15,0),0)</f>
        <v>3</v>
      </c>
      <c r="JL13" s="319" t="str">
        <f ca="1">IF(AND(JL12&lt;&gt;"",JK13=1),JJ13,"")</f>
        <v/>
      </c>
      <c r="JM13" s="319" t="str">
        <f ca="1">IF(AND(JM12&lt;&gt;"",JK14=2),JJ14,"")</f>
        <v/>
      </c>
      <c r="JN13" s="319" t="str">
        <f ca="1">IF(AND(JN12&lt;&gt;"",JK15=3),JJ15,"")</f>
        <v/>
      </c>
      <c r="JO13" s="319"/>
      <c r="JP13" s="319"/>
      <c r="JQ13" s="319" t="str">
        <f t="shared" ca="1" si="3059"/>
        <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0</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0</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0</v>
      </c>
      <c r="JW13" s="319">
        <f ca="1">JU13-JV13+1000</f>
        <v>1000</v>
      </c>
      <c r="JX13" s="319" t="str">
        <f t="shared" ca="1" si="2716"/>
        <v/>
      </c>
      <c r="JY13" s="319" t="str">
        <f ca="1">IF(JQ13&lt;&gt;"",VLOOKUP(JQ13,IX4:JD40,7,FALSE),"")</f>
        <v/>
      </c>
      <c r="JZ13" s="319" t="str">
        <f ca="1">IF(JQ13&lt;&gt;"",VLOOKUP(JQ13,IX4:JD40,5,FALSE),"")</f>
        <v/>
      </c>
      <c r="KA13" s="319" t="str">
        <f ca="1">IF(JQ13&lt;&gt;"",VLOOKUP(JQ13,IX4:JF40,9,FALSE),"")</f>
        <v/>
      </c>
      <c r="KB13" s="319" t="str">
        <f t="shared" ca="1" si="2717"/>
        <v/>
      </c>
      <c r="KC13" s="319" t="str">
        <f ca="1">IF(JQ13&lt;&gt;"",RANK(KB13,KB11:KB15),"")</f>
        <v/>
      </c>
      <c r="KD13" s="319" t="str">
        <f ca="1">IF(JQ13&lt;&gt;"",SUMPRODUCT((KB11:KB15=KB13)*(JW11:JW15&gt;JW13)),"")</f>
        <v/>
      </c>
      <c r="KE13" s="319" t="str">
        <f ca="1">IF(JQ13&lt;&gt;"",SUMPRODUCT((KB11:KB15=KB13)*(JW11:JW15=JW13)*(JU11:JU15&gt;JU13)),"")</f>
        <v/>
      </c>
      <c r="KF13" s="319" t="str">
        <f ca="1">IF(JQ13&lt;&gt;"",SUMPRODUCT((KB11:KB15=KB13)*(JW11:JW15=JW13)*(JU11:JU15=JU13)*(JY11:JY15&gt;JY13)),"")</f>
        <v/>
      </c>
      <c r="KG13" s="319" t="str">
        <f ca="1">IF(JQ13&lt;&gt;"",SUMPRODUCT((KB11:KB15=KB13)*(JW11:JW15=JW13)*(JU11:JU15=JU13)*(JY11:JY15=JY13)*(JZ11:JZ15&gt;JZ13)),"")</f>
        <v/>
      </c>
      <c r="KH13" s="319" t="str">
        <f ca="1">IF(JQ13&lt;&gt;"",SUMPRODUCT((KB11:KB15=KB13)*(JW11:JW15=JW13)*(JU11:JU15=JU13)*(JY11:JY15=JY13)*(JZ11:JZ15=JZ13)*(KA11:KA15&gt;KA13)),"")</f>
        <v/>
      </c>
      <c r="KI13" s="319" t="str">
        <f ca="1">IF(JQ13&lt;&gt;"",IF(KI53&lt;&gt;"",IF(JP50=3,KI53,KI53+JP50),SUM(KC13:KH13)),"")</f>
        <v/>
      </c>
      <c r="KJ13" s="319" t="str">
        <f ca="1">IF(JQ13&lt;&gt;"",INDEX(JQ11:JQ15,MATCH(3,KI11:KI15,0),0),"")</f>
        <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Croatia</v>
      </c>
      <c r="MT13" s="319">
        <v>3</v>
      </c>
      <c r="MU13" s="319">
        <v>11</v>
      </c>
      <c r="MV13" s="319" t="str">
        <f t="shared" si="170"/>
        <v>Türkiye</v>
      </c>
      <c r="MW13" s="322">
        <f ca="1">IF(OFFSET('Player Game Board'!P20,0,MW1)&lt;&gt;"",OFFSET('Player Game Board'!P20,0,MW1),0)</f>
        <v>2</v>
      </c>
      <c r="MX13" s="322">
        <f ca="1">IF(OFFSET('Player Game Board'!Q20,0,MW1)&lt;&gt;"",OFFSET('Player Game Board'!Q20,0,MW1),0)</f>
        <v>2</v>
      </c>
      <c r="MY13" s="319" t="str">
        <f t="shared" si="171"/>
        <v>Georgia</v>
      </c>
      <c r="MZ13" s="319" t="str">
        <f ca="1">IF(AND(OFFSET('Player Game Board'!P20,0,MW1)&lt;&gt;"",OFFSET('Player Game Board'!Q20,0,MW1)&lt;&gt;""),IF(MW13&gt;MX13,"W",IF(MW13=MX13,"D","L")),"")</f>
        <v>D</v>
      </c>
      <c r="NA13" s="319" t="str">
        <f t="shared" ca="1" si="172"/>
        <v>D</v>
      </c>
      <c r="NB13" s="319"/>
      <c r="NC13" s="319"/>
      <c r="ND13" s="324" t="s">
        <v>101</v>
      </c>
      <c r="NE13" s="325" t="s">
        <v>102</v>
      </c>
      <c r="NF13" s="325" t="s">
        <v>103</v>
      </c>
      <c r="NG13" s="325" t="s">
        <v>104</v>
      </c>
      <c r="NH13" s="324" t="s">
        <v>101</v>
      </c>
      <c r="NI13" s="324" t="s">
        <v>104</v>
      </c>
      <c r="NJ13" s="324" t="s">
        <v>102</v>
      </c>
      <c r="NK13" s="324" t="s">
        <v>103</v>
      </c>
      <c r="NL13" s="325"/>
      <c r="NM13" s="326">
        <f ca="1">IFERROR(MATCH(NM12,ND13:NG13,0),0)</f>
        <v>2</v>
      </c>
      <c r="NN13" s="326">
        <f ca="1">IFERROR(MATCH(NN12,ND13:NG13,0),0)</f>
        <v>1</v>
      </c>
      <c r="NO13" s="326">
        <f ca="1">IFERROR(MATCH(NO12,ND13:NG13,0),0)</f>
        <v>0</v>
      </c>
      <c r="NP13" s="326">
        <f ca="1">IFERROR(MATCH(NP12,ND13:NG13,0),0)</f>
        <v>0</v>
      </c>
      <c r="NQ13" s="326">
        <f t="shared" ref="NQ13:NQ27" ca="1" si="3547">SUM(NM13:NP13)</f>
        <v>3</v>
      </c>
      <c r="NR13" s="325"/>
      <c r="NS13" s="325" t="str">
        <f ca="1">INDEX(ND3:ND8,MATCH(1,NQ3:NQ8,0),0)</f>
        <v>Croatia</v>
      </c>
      <c r="NT13" s="325"/>
      <c r="NU13" s="319">
        <f t="shared" ref="NU13" ca="1" si="3548">VLOOKUP(NV13,RQ11:RR15,2,FALSE)</f>
        <v>1</v>
      </c>
      <c r="NV13" s="319" t="str">
        <f t="shared" si="2719"/>
        <v>Spain</v>
      </c>
      <c r="NW13" s="319">
        <f t="shared" ref="NW13" ca="1" si="3549">SUMPRODUCT((RT3:RT42=NV13)*(RX3:RX42="W"))+SUMPRODUCT((RW3:RW42=NV13)*(RY3:RY42="W"))</f>
        <v>2</v>
      </c>
      <c r="NX13" s="319">
        <f t="shared" ref="NX13" ca="1" si="3550">SUMPRODUCT((RT3:RT42=NV13)*(RX3:RX42="D"))+SUMPRODUCT((RW3:RW42=NV13)*(RY3:RY42="D"))</f>
        <v>1</v>
      </c>
      <c r="NY13" s="319">
        <f t="shared" ref="NY13" ca="1" si="3551">SUMPRODUCT((RT3:RT42=NV13)*(RX3:RX42="L"))+SUMPRODUCT((RW3:RW42=NV13)*(RY3:RY42="L"))</f>
        <v>0</v>
      </c>
      <c r="NZ13" s="319">
        <f t="shared" ref="NZ13" ca="1" si="3552">SUMIF(RT3:RT60,NV13,RU3:RU60)+SUMIF(RW3:RW60,NV13,RV3:RV60)</f>
        <v>5</v>
      </c>
      <c r="OA13" s="319">
        <f t="shared" ref="OA13" ca="1" si="3553">SUMIF(RW3:RW60,NV13,RU3:RU60)+SUMIF(RT3:RT60,NV13,RV3:RV60)</f>
        <v>2</v>
      </c>
      <c r="OB13" s="319">
        <f t="shared" ca="1" si="2725"/>
        <v>1003</v>
      </c>
      <c r="OC13" s="319">
        <f t="shared" ca="1" si="2726"/>
        <v>7</v>
      </c>
      <c r="OD13" s="319">
        <f t="shared" si="630"/>
        <v>51</v>
      </c>
      <c r="OE13" s="319">
        <f t="shared" ref="OE13" ca="1" si="3554">IF(COUNTIF(OC11:OC15,4)&lt;&gt;4,RANK(OC13,OC11:OC15),OC53)</f>
        <v>1</v>
      </c>
      <c r="OF13" s="319"/>
      <c r="OG13" s="319">
        <f t="shared" ref="OG13" ca="1" si="3555">SUMPRODUCT((OE11:OE14=OE13)*(OD11:OD14&lt;OD13))+OE13</f>
        <v>2</v>
      </c>
      <c r="OH13" s="319" t="str">
        <f t="shared" ref="OH13" ca="1" si="3556">INDEX(NV11:NV15,MATCH(3,OG11:OG15,0),0)</f>
        <v>Croatia</v>
      </c>
      <c r="OI13" s="319">
        <f t="shared" ref="OI13" ca="1" si="3557">INDEX(OE11:OE15,MATCH(OH13,NV11:NV15,0),0)</f>
        <v>3</v>
      </c>
      <c r="OJ13" s="319" t="str">
        <f t="shared" ref="OJ13:OJ14" ca="1" si="3558">IF(AND(OJ12&lt;&gt;"",OI13=1),OH13,"")</f>
        <v/>
      </c>
      <c r="OK13" s="319" t="str">
        <f t="shared" ref="OK13:OK14" ca="1" si="3559">IF(AND(OK12&lt;&gt;"",OI14=2),OH14,"")</f>
        <v/>
      </c>
      <c r="OL13" s="319" t="str">
        <f t="shared" ref="OL13" ca="1" si="3560">IF(AND(OL12&lt;&gt;"",OI15=3),OH15,"")</f>
        <v/>
      </c>
      <c r="OM13" s="319"/>
      <c r="ON13" s="319"/>
      <c r="OO13" s="319" t="str">
        <f t="shared" ca="1" si="2735"/>
        <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t="str">
        <f t="shared" ca="1" si="2742"/>
        <v/>
      </c>
      <c r="OW13" s="319" t="str">
        <f t="shared" ref="OW13" ca="1" si="3566">IF(OO13&lt;&gt;"",VLOOKUP(OO13,NV4:OB40,7,FALSE),"")</f>
        <v/>
      </c>
      <c r="OX13" s="319" t="str">
        <f t="shared" ref="OX13" ca="1" si="3567">IF(OO13&lt;&gt;"",VLOOKUP(OO13,NV4:OB40,5,FALSE),"")</f>
        <v/>
      </c>
      <c r="OY13" s="319" t="str">
        <f t="shared" ref="OY13" ca="1" si="3568">IF(OO13&lt;&gt;"",VLOOKUP(OO13,NV4:OD40,9,FALSE),"")</f>
        <v/>
      </c>
      <c r="OZ13" s="319" t="str">
        <f t="shared" ca="1" si="2746"/>
        <v/>
      </c>
      <c r="PA13" s="319" t="str">
        <f t="shared" ref="PA13" ca="1" si="3569">IF(OO13&lt;&gt;"",RANK(OZ13,OZ11:OZ15),"")</f>
        <v/>
      </c>
      <c r="PB13" s="319" t="str">
        <f t="shared" ref="PB13" ca="1" si="3570">IF(OO13&lt;&gt;"",SUMPRODUCT((OZ11:OZ15=OZ13)*(OU11:OU15&gt;OU13)),"")</f>
        <v/>
      </c>
      <c r="PC13" s="319" t="str">
        <f t="shared" ref="PC13" ca="1" si="3571">IF(OO13&lt;&gt;"",SUMPRODUCT((OZ11:OZ15=OZ13)*(OU11:OU15=OU13)*(OS11:OS15&gt;OS13)),"")</f>
        <v/>
      </c>
      <c r="PD13" s="319" t="str">
        <f t="shared" ref="PD13" ca="1" si="3572">IF(OO13&lt;&gt;"",SUMPRODUCT((OZ11:OZ15=OZ13)*(OU11:OU15=OU13)*(OS11:OS15=OS13)*(OW11:OW15&gt;OW13)),"")</f>
        <v/>
      </c>
      <c r="PE13" s="319" t="str">
        <f t="shared" ref="PE13" ca="1" si="3573">IF(OO13&lt;&gt;"",SUMPRODUCT((OZ11:OZ15=OZ13)*(OU11:OU15=OU13)*(OS11:OS15=OS13)*(OW11:OW15=OW13)*(OX11:OX15&gt;OX13)),"")</f>
        <v/>
      </c>
      <c r="PF13" s="319" t="str">
        <f t="shared" ref="PF13" ca="1" si="3574">IF(OO13&lt;&gt;"",SUMPRODUCT((OZ11:OZ15=OZ13)*(OU11:OU15=OU13)*(OS11:OS15=OS13)*(OW11:OW15=OW13)*(OX11:OX15=OX13)*(OY11:OY15&gt;OY13)),"")</f>
        <v/>
      </c>
      <c r="PG13" s="319" t="str">
        <f ca="1">IF(OO13&lt;&gt;"",IF(PG53&lt;&gt;"",IF(ON50=3,PG53,PG53+ON50),SUM(PA13:PF13)),"")</f>
        <v/>
      </c>
      <c r="PH13" s="319" t="str">
        <f t="shared" ref="PH13" ca="1" si="3575">IF(OO13&lt;&gt;"",INDEX(OO11:OO15,MATCH(3,PG11:PG15,0),0),"")</f>
        <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2</v>
      </c>
      <c r="RV13" s="322">
        <f ca="1">IF(OFFSET('Player Game Board'!Q20,0,RU1)&lt;&gt;"",OFFSET('Player Game Board'!Q20,0,RU1),0)</f>
        <v>0</v>
      </c>
      <c r="RW13" s="319" t="str">
        <f t="shared" si="19"/>
        <v>Georgia</v>
      </c>
      <c r="RX13" s="319" t="str">
        <f ca="1">IF(AND(OFFSET('Player Game Board'!P20,0,RU1)&lt;&gt;"",OFFSET('Player Game Board'!Q20,0,RU1)&lt;&gt;""),IF(RU13&gt;RV13,"W",IF(RU13=RV13,"D","L")),"")</f>
        <v>W</v>
      </c>
      <c r="RY13" s="319" t="str">
        <f t="shared" ca="1" si="20"/>
        <v>L</v>
      </c>
      <c r="RZ13" s="319"/>
      <c r="SA13" s="319"/>
      <c r="SB13" s="324" t="s">
        <v>101</v>
      </c>
      <c r="SC13" s="325" t="s">
        <v>102</v>
      </c>
      <c r="SD13" s="325" t="s">
        <v>103</v>
      </c>
      <c r="SE13" s="325" t="s">
        <v>104</v>
      </c>
      <c r="SF13" s="324" t="s">
        <v>101</v>
      </c>
      <c r="SG13" s="324" t="s">
        <v>104</v>
      </c>
      <c r="SH13" s="324" t="s">
        <v>102</v>
      </c>
      <c r="SI13" s="324" t="s">
        <v>103</v>
      </c>
      <c r="SJ13" s="325"/>
      <c r="SK13" s="326">
        <f t="shared" ref="SK13" ca="1" si="3612">IFERROR(MATCH(SK12,SB13:SE13,0),0)</f>
        <v>3</v>
      </c>
      <c r="SL13" s="326">
        <f t="shared" ref="SL13" ca="1" si="3613">IFERROR(MATCH(SL12,SB13:SE13,0),0)</f>
        <v>2</v>
      </c>
      <c r="SM13" s="326">
        <f t="shared" ref="SM13" ca="1" si="3614">IFERROR(MATCH(SM12,SB13:SE13,0),0)</f>
        <v>0</v>
      </c>
      <c r="SN13" s="326">
        <f t="shared" ref="SN13" ca="1" si="3615">IFERROR(MATCH(SN12,SB13:SE13,0),0)</f>
        <v>0</v>
      </c>
      <c r="SO13" s="326">
        <f t="shared" ref="SO13:SO27" ca="1" si="3616">SUM(SK13:SN13)</f>
        <v>5</v>
      </c>
      <c r="SP13" s="325"/>
      <c r="SQ13" s="325" t="str">
        <f t="shared" ref="SQ13" ca="1" si="3617">IF(SQ38="A",INDEX(SB3:SB8,MATCH(1,SO3:SO8,0),0),"")</f>
        <v>Denmark</v>
      </c>
      <c r="SR13" s="325"/>
      <c r="SS13" s="319">
        <f t="shared" ref="SS13" ca="1" si="3618">VLOOKUP(ST13,WO11:WP15,2,FALSE)</f>
        <v>1</v>
      </c>
      <c r="ST13" s="319" t="str">
        <f t="shared" si="2756"/>
        <v>Spain</v>
      </c>
      <c r="SU13" s="319">
        <f t="shared" ref="SU13" ca="1" si="3619">SUMPRODUCT((WR3:WR42=ST13)*(WV3:WV42="W"))+SUMPRODUCT((WU3:WU42=ST13)*(WW3:WW42="W"))</f>
        <v>2</v>
      </c>
      <c r="SV13" s="319">
        <f t="shared" ref="SV13" ca="1" si="3620">SUMPRODUCT((WR3:WR42=ST13)*(WV3:WV42="D"))+SUMPRODUCT((WU3:WU42=ST13)*(WW3:WW42="D"))</f>
        <v>1</v>
      </c>
      <c r="SW13" s="319">
        <f t="shared" ref="SW13" ca="1" si="3621">SUMPRODUCT((WR3:WR42=ST13)*(WV3:WV42="L"))+SUMPRODUCT((WU3:WU42=ST13)*(WW3:WW42="L"))</f>
        <v>0</v>
      </c>
      <c r="SX13" s="319">
        <f t="shared" ref="SX13" ca="1" si="3622">SUMIF(WR3:WR60,ST13,WS3:WS60)+SUMIF(WU3:WU60,ST13,WT3:WT60)</f>
        <v>8</v>
      </c>
      <c r="SY13" s="319">
        <f t="shared" ref="SY13" ca="1" si="3623">SUMIF(WU3:WU60,ST13,WS3:WS60)+SUMIF(WR3:WR60,ST13,WT3:WT60)</f>
        <v>2</v>
      </c>
      <c r="SZ13" s="319">
        <f t="shared" ca="1" si="2762"/>
        <v>1006</v>
      </c>
      <c r="TA13" s="319">
        <f t="shared" ca="1" si="2763"/>
        <v>7</v>
      </c>
      <c r="TB13" s="319">
        <f t="shared" si="690"/>
        <v>51</v>
      </c>
      <c r="TC13" s="319">
        <f t="shared" ref="TC13" ca="1" si="3624">IF(COUNTIF(TA11:TA15,4)&lt;&gt;4,RANK(TA13,TA11:TA15),TA53)</f>
        <v>1</v>
      </c>
      <c r="TD13" s="319"/>
      <c r="TE13" s="319">
        <f t="shared" ref="TE13" ca="1" si="3625">SUMPRODUCT((TC11:TC14=TC13)*(TB11:TB14&lt;TB13))+TC13</f>
        <v>2</v>
      </c>
      <c r="TF13" s="319" t="str">
        <f t="shared" ref="TF13" ca="1" si="3626">INDEX(ST11:ST15,MATCH(3,TE11:TE15,0),0)</f>
        <v>Croatia</v>
      </c>
      <c r="TG13" s="319">
        <f t="shared" ref="TG13" ca="1" si="3627">INDEX(TC11:TC15,MATCH(TF13,ST11:ST15,0),0)</f>
        <v>3</v>
      </c>
      <c r="TH13" s="319" t="str">
        <f t="shared" ref="TH13:TH14" ca="1" si="3628">IF(AND(TH12&lt;&gt;"",TG13=1),TF13,"")</f>
        <v/>
      </c>
      <c r="TI13" s="319" t="str">
        <f t="shared" ref="TI13:TI14" ca="1" si="3629">IF(AND(TI12&lt;&gt;"",TG14=2),TF14,"")</f>
        <v/>
      </c>
      <c r="TJ13" s="319" t="str">
        <f t="shared" ref="TJ13" ca="1" si="3630">IF(AND(TJ12&lt;&gt;"",TG15=3),TF15,"")</f>
        <v/>
      </c>
      <c r="TK13" s="319"/>
      <c r="TL13" s="319"/>
      <c r="TM13" s="319" t="str">
        <f t="shared" ca="1" si="2772"/>
        <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t="str">
        <f t="shared" ca="1" si="2779"/>
        <v/>
      </c>
      <c r="TU13" s="319" t="str">
        <f t="shared" ref="TU13" ca="1" si="3636">IF(TM13&lt;&gt;"",VLOOKUP(TM13,ST4:SZ40,7,FALSE),"")</f>
        <v/>
      </c>
      <c r="TV13" s="319" t="str">
        <f t="shared" ref="TV13" ca="1" si="3637">IF(TM13&lt;&gt;"",VLOOKUP(TM13,ST4:SZ40,5,FALSE),"")</f>
        <v/>
      </c>
      <c r="TW13" s="319" t="str">
        <f t="shared" ref="TW13" ca="1" si="3638">IF(TM13&lt;&gt;"",VLOOKUP(TM13,ST4:TB40,9,FALSE),"")</f>
        <v/>
      </c>
      <c r="TX13" s="319" t="str">
        <f t="shared" ca="1" si="2783"/>
        <v/>
      </c>
      <c r="TY13" s="319" t="str">
        <f t="shared" ref="TY13" ca="1" si="3639">IF(TM13&lt;&gt;"",RANK(TX13,TX11:TX15),"")</f>
        <v/>
      </c>
      <c r="TZ13" s="319" t="str">
        <f t="shared" ref="TZ13" ca="1" si="3640">IF(TM13&lt;&gt;"",SUMPRODUCT((TX11:TX15=TX13)*(TS11:TS15&gt;TS13)),"")</f>
        <v/>
      </c>
      <c r="UA13" s="319" t="str">
        <f t="shared" ref="UA13" ca="1" si="3641">IF(TM13&lt;&gt;"",SUMPRODUCT((TX11:TX15=TX13)*(TS11:TS15=TS13)*(TQ11:TQ15&gt;TQ13)),"")</f>
        <v/>
      </c>
      <c r="UB13" s="319" t="str">
        <f t="shared" ref="UB13" ca="1" si="3642">IF(TM13&lt;&gt;"",SUMPRODUCT((TX11:TX15=TX13)*(TS11:TS15=TS13)*(TQ11:TQ15=TQ13)*(TU11:TU15&gt;TU13)),"")</f>
        <v/>
      </c>
      <c r="UC13" s="319" t="str">
        <f t="shared" ref="UC13" ca="1" si="3643">IF(TM13&lt;&gt;"",SUMPRODUCT((TX11:TX15=TX13)*(TS11:TS15=TS13)*(TQ11:TQ15=TQ13)*(TU11:TU15=TU13)*(TV11:TV15&gt;TV13)),"")</f>
        <v/>
      </c>
      <c r="UD13" s="319" t="str">
        <f t="shared" ref="UD13" ca="1" si="3644">IF(TM13&lt;&gt;"",SUMPRODUCT((TX11:TX15=TX13)*(TS11:TS15=TS13)*(TQ11:TQ15=TQ13)*(TU11:TU15=TU13)*(TV11:TV15=TV13)*(TW11:TW15&gt;TW13)),"")</f>
        <v/>
      </c>
      <c r="UE13" s="319" t="str">
        <f ca="1">IF(TM13&lt;&gt;"",IF(UE53&lt;&gt;"",IF(TL50=3,UE53,UE53+TL50),SUM(TY13:UD13)),"")</f>
        <v/>
      </c>
      <c r="UF13" s="319" t="str">
        <f t="shared" ref="UF13" ca="1" si="3645">IF(TM13&lt;&gt;"",INDEX(TM11:TM15,MATCH(3,UE11:UE15,0),0),"")</f>
        <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Croatia</v>
      </c>
      <c r="WP13" s="319">
        <v>3</v>
      </c>
      <c r="WQ13" s="319">
        <v>11</v>
      </c>
      <c r="WR13" s="319" t="str">
        <f t="shared" si="34"/>
        <v>Türkiye</v>
      </c>
      <c r="WS13" s="322">
        <f ca="1">IF(OFFSET('Player Game Board'!P20,0,WS1)&lt;&gt;"",OFFSET('Player Game Board'!P20,0,WS1),0)</f>
        <v>2</v>
      </c>
      <c r="WT13" s="322">
        <f ca="1">IF(OFFSET('Player Game Board'!Q20,0,WS1)&lt;&gt;"",OFFSET('Player Game Board'!Q20,0,WS1),0)</f>
        <v>0</v>
      </c>
      <c r="WU13" s="319" t="str">
        <f t="shared" si="35"/>
        <v>Georgia</v>
      </c>
      <c r="WV13" s="319" t="str">
        <f ca="1">IF(AND(OFFSET('Player Game Board'!P20,0,WS1)&lt;&gt;"",OFFSET('Player Game Board'!Q20,0,WS1)&lt;&gt;""),IF(WS13&gt;WT13,"W",IF(WS13=WT13,"D","L")),"")</f>
        <v>W</v>
      </c>
      <c r="WW13" s="319" t="str">
        <f t="shared" ca="1" si="36"/>
        <v>L</v>
      </c>
      <c r="WX13" s="319"/>
      <c r="WY13" s="319"/>
      <c r="WZ13" s="324" t="s">
        <v>101</v>
      </c>
      <c r="XA13" s="325" t="s">
        <v>102</v>
      </c>
      <c r="XB13" s="325" t="s">
        <v>103</v>
      </c>
      <c r="XC13" s="325" t="s">
        <v>104</v>
      </c>
      <c r="XD13" s="324" t="s">
        <v>101</v>
      </c>
      <c r="XE13" s="324" t="s">
        <v>104</v>
      </c>
      <c r="XF13" s="324" t="s">
        <v>102</v>
      </c>
      <c r="XG13" s="324" t="s">
        <v>103</v>
      </c>
      <c r="XH13" s="325"/>
      <c r="XI13" s="326">
        <f t="shared" ref="XI13" ca="1" si="3682">IFERROR(MATCH(XI12,WZ13:XC13,0),0)</f>
        <v>0</v>
      </c>
      <c r="XJ13" s="326">
        <f t="shared" ref="XJ13" ca="1" si="3683">IFERROR(MATCH(XJ12,WZ13:XC13,0),0)</f>
        <v>0</v>
      </c>
      <c r="XK13" s="326">
        <f t="shared" ref="XK13" ca="1" si="3684">IFERROR(MATCH(XK12,WZ13:XC13,0),0)</f>
        <v>2</v>
      </c>
      <c r="XL13" s="326">
        <f t="shared" ref="XL13" ca="1" si="3685">IFERROR(MATCH(XL12,WZ13:XC13,0),0)</f>
        <v>1</v>
      </c>
      <c r="XM13" s="326">
        <f t="shared" ref="XM13:XM27" ca="1" si="3686">SUM(XI13:XL13)</f>
        <v>3</v>
      </c>
      <c r="XN13" s="325"/>
      <c r="XO13" s="325" t="str">
        <f t="shared" ref="XO13" ca="1" si="3687">IF(XO38="A",INDEX(WZ3:WZ8,MATCH(1,XM3:XM8,0),0),"")</f>
        <v>Czechia</v>
      </c>
      <c r="XP13" s="325"/>
      <c r="XQ13" s="319">
        <f t="shared" ref="XQ13" ca="1" si="3688">VLOOKUP(XR13,ABM11:ABN15,2,FALSE)</f>
        <v>3</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3</v>
      </c>
      <c r="YB13" s="319"/>
      <c r="YC13" s="319">
        <f t="shared" ref="YC13" ca="1" si="3695">SUMPRODUCT((YA11:YA14=YA13)*(XZ11:XZ14&lt;XZ13))+YA13</f>
        <v>3</v>
      </c>
      <c r="YD13" s="319" t="str">
        <f t="shared" ref="YD13" ca="1" si="3696">INDEX(XR11:XR15,MATCH(3,YC11:YC15,0),0)</f>
        <v>Spain</v>
      </c>
      <c r="YE13" s="319">
        <f t="shared" ref="YE13" ca="1" si="3697">INDEX(YA11:YA15,MATCH(YD13,XR11:XR15,0),0)</f>
        <v>3</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0</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0</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0</v>
      </c>
      <c r="ZK13" s="319">
        <f t="shared" ca="1" si="3203"/>
        <v>1000</v>
      </c>
      <c r="ZL13" s="319" t="str">
        <f t="shared" ca="1" si="3204"/>
        <v/>
      </c>
      <c r="ZM13" s="319" t="str">
        <f t="shared" ref="ZM13" ca="1" si="3721">IF(ZE13&lt;&gt;"",VLOOKUP(ZE13,XR4:XX40,7,FALSE),"")</f>
        <v/>
      </c>
      <c r="ZN13" s="319" t="str">
        <f t="shared" ref="ZN13" ca="1" si="3722">IF(ZE13&lt;&gt;"",VLOOKUP(ZE13,XR4:XX40,5,FALSE),"")</f>
        <v/>
      </c>
      <c r="ZO13" s="319" t="str">
        <f t="shared" ref="ZO13" ca="1" si="3723">IF(ZE13&lt;&gt;"",VLOOKUP(ZE13,XR4:XZ40,9,FALSE),"")</f>
        <v/>
      </c>
      <c r="ZP13" s="319" t="str">
        <f t="shared" ca="1" si="3208"/>
        <v/>
      </c>
      <c r="ZQ13" s="319" t="str">
        <f t="shared" ref="ZQ13" ca="1" si="3724">IF(ZE13&lt;&gt;"",RANK(ZP13,ZP11:ZP15),"")</f>
        <v/>
      </c>
      <c r="ZR13" s="319" t="str">
        <f t="shared" ref="ZR13" ca="1" si="3725">IF(ZE13&lt;&gt;"",SUMPRODUCT((ZP11:ZP15=ZP13)*(ZK11:ZK15&gt;ZK13)),"")</f>
        <v/>
      </c>
      <c r="ZS13" s="319" t="str">
        <f t="shared" ref="ZS13" ca="1" si="3726">IF(ZE13&lt;&gt;"",SUMPRODUCT((ZP11:ZP15=ZP13)*(ZK11:ZK15=ZK13)*(ZI11:ZI15&gt;ZI13)),"")</f>
        <v/>
      </c>
      <c r="ZT13" s="319" t="str">
        <f t="shared" ref="ZT13" ca="1" si="3727">IF(ZE13&lt;&gt;"",SUMPRODUCT((ZP11:ZP15=ZP13)*(ZK11:ZK15=ZK13)*(ZI11:ZI15=ZI13)*(ZM11:ZM15&gt;ZM13)),"")</f>
        <v/>
      </c>
      <c r="ZU13" s="319" t="str">
        <f t="shared" ref="ZU13" ca="1" si="3728">IF(ZE13&lt;&gt;"",SUMPRODUCT((ZP11:ZP15=ZP13)*(ZK11:ZK15=ZK13)*(ZI11:ZI15=ZI13)*(ZM11:ZM15=ZM13)*(ZN11:ZN15&gt;ZN13)),"")</f>
        <v/>
      </c>
      <c r="ZV13" s="319" t="str">
        <f t="shared" ref="ZV13" ca="1" si="3729">IF(ZE13&lt;&gt;"",SUMPRODUCT((ZP11:ZP15=ZP13)*(ZK11:ZK15=ZK13)*(ZI11:ZI15=ZI13)*(ZM11:ZM15=ZM13)*(ZN11:ZN15=ZN13)*(ZO11:ZO15&gt;ZO13)),"")</f>
        <v/>
      </c>
      <c r="ZW13" s="319" t="str">
        <f ca="1">IF(ZE13&lt;&gt;"",IF(ZW53&lt;&gt;"",IF(ZD50=3,ZW53,ZW53+ZD50),SUM(ZQ13:ZV13)+1),"")</f>
        <v/>
      </c>
      <c r="ZX13" s="319" t="str">
        <f t="shared" ref="ZX13" ca="1" si="3730">IF(ZE13&lt;&gt;"",INDEX(ZE12:ZE15,MATCH(3,ZW12:ZW15,0),0),"")</f>
        <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Spain</v>
      </c>
      <c r="ABN13" s="319">
        <v>3</v>
      </c>
      <c r="ABO13" s="319">
        <v>11</v>
      </c>
      <c r="ABP13" s="319" t="str">
        <f t="shared" si="50"/>
        <v>Türkiye</v>
      </c>
      <c r="ABQ13" s="322">
        <f ca="1">IF(OFFSET('Player Game Board'!P20,0,ABQ1)&lt;&gt;"",OFFSET('Player Game Board'!P20,0,ABQ1),0)</f>
        <v>2</v>
      </c>
      <c r="ABR13" s="322">
        <f ca="1">IF(OFFSET('Player Game Board'!Q20,0,ABQ1)&lt;&gt;"",OFFSET('Player Game Board'!Q20,0,ABQ1),0)</f>
        <v>0</v>
      </c>
      <c r="ABS13" s="319" t="str">
        <f t="shared" si="51"/>
        <v>Georgia</v>
      </c>
      <c r="ABT13" s="319" t="str">
        <f ca="1">IF(AND(OFFSET('Player Game Board'!P20,0,ABQ1)&lt;&gt;"",OFFSET('Player Game Board'!Q20,0,ABQ1)&lt;&gt;""),IF(ABQ13&gt;ABR13,"W",IF(ABQ13=ABR13,"D","L")),"")</f>
        <v>W</v>
      </c>
      <c r="ABU13" s="319" t="str">
        <f t="shared" ca="1" si="52"/>
        <v>L</v>
      </c>
      <c r="ABV13" s="319"/>
      <c r="ABW13" s="319"/>
      <c r="ABX13" s="324" t="s">
        <v>101</v>
      </c>
      <c r="ABY13" s="325" t="s">
        <v>102</v>
      </c>
      <c r="ABZ13" s="325" t="s">
        <v>103</v>
      </c>
      <c r="ACA13" s="325" t="s">
        <v>104</v>
      </c>
      <c r="ACB13" s="324" t="s">
        <v>101</v>
      </c>
      <c r="ACC13" s="324" t="s">
        <v>104</v>
      </c>
      <c r="ACD13" s="324" t="s">
        <v>102</v>
      </c>
      <c r="ACE13" s="324" t="s">
        <v>103</v>
      </c>
      <c r="ACF13" s="325"/>
      <c r="ACG13" s="326">
        <f t="shared" ref="ACG13" ca="1" si="3752">IFERROR(MATCH(ACG12,ABX13:ACA13,0),0)</f>
        <v>3</v>
      </c>
      <c r="ACH13" s="326">
        <f t="shared" ref="ACH13" ca="1" si="3753">IFERROR(MATCH(ACH12,ABX13:ACA13,0),0)</f>
        <v>2</v>
      </c>
      <c r="ACI13" s="326">
        <f t="shared" ref="ACI13" ca="1" si="3754">IFERROR(MATCH(ACI12,ABX13:ACA13,0),0)</f>
        <v>4</v>
      </c>
      <c r="ACJ13" s="326">
        <f t="shared" ref="ACJ13" ca="1" si="3755">IFERROR(MATCH(ACJ12,ABX13:ACA13,0),0)</f>
        <v>1</v>
      </c>
      <c r="ACK13" s="326">
        <f t="shared" ref="ACK13:ACK27" ca="1" si="3756">SUM(ACG13:ACJ13)</f>
        <v>10</v>
      </c>
      <c r="ACL13" s="325"/>
      <c r="ACM13" s="325" t="str">
        <f t="shared" ref="ACM13" ca="1" si="3757">IF(ACM38="A",INDEX(ABX3:ABX8,MATCH(1,ACK3:ACK8,0),0),"")</f>
        <v>Serbia</v>
      </c>
      <c r="ACN13" s="325"/>
      <c r="ACO13" s="319">
        <f t="shared" ref="ACO13" ca="1" si="3758">VLOOKUP(ACP13,AGK11:AGL15,2,FALSE)</f>
        <v>1</v>
      </c>
      <c r="ACP13" s="319" t="str">
        <f t="shared" si="2830"/>
        <v>Spain</v>
      </c>
      <c r="ACQ13" s="319">
        <f t="shared" ref="ACQ13" ca="1" si="3759">SUMPRODUCT((AGN3:AGN42=ACP13)*(AGR3:AGR42="W"))+SUMPRODUCT((AGQ3:AGQ42=ACP13)*(AGS3:AGS42="W"))</f>
        <v>2</v>
      </c>
      <c r="ACR13" s="319">
        <f t="shared" ref="ACR13" ca="1" si="3760">SUMPRODUCT((AGN3:AGN42=ACP13)*(AGR3:AGR42="D"))+SUMPRODUCT((AGQ3:AGQ42=ACP13)*(AGS3:AGS42="D"))</f>
        <v>1</v>
      </c>
      <c r="ACS13" s="319">
        <f t="shared" ref="ACS13" ca="1" si="3761">SUMPRODUCT((AGN3:AGN42=ACP13)*(AGR3:AGR42="L"))+SUMPRODUCT((AGQ3:AGQ42=ACP13)*(AGS3:AGS42="L"))</f>
        <v>0</v>
      </c>
      <c r="ACT13" s="319">
        <f t="shared" ref="ACT13" ca="1" si="3762">SUMIF(AGN3:AGN60,ACP13,AGO3:AGO60)+SUMIF(AGQ3:AGQ60,ACP13,AGP3:AGP60)</f>
        <v>6</v>
      </c>
      <c r="ACU13" s="319">
        <f t="shared" ref="ACU13" ca="1" si="3763">SUMIF(AGQ3:AGQ60,ACP13,AGO3:AGO60)+SUMIF(AGN3:AGN60,ACP13,AGP3:AGP60)</f>
        <v>2</v>
      </c>
      <c r="ACV13" s="319">
        <f t="shared" ca="1" si="2836"/>
        <v>1004</v>
      </c>
      <c r="ACW13" s="319">
        <f t="shared" ca="1" si="2837"/>
        <v>7</v>
      </c>
      <c r="ACX13" s="319">
        <f t="shared" si="810"/>
        <v>51</v>
      </c>
      <c r="ACY13" s="319">
        <f t="shared" ref="ACY13" ca="1" si="3764">IF(COUNTIF(ACW11:ACW15,4)&lt;&gt;4,RANK(ACW13,ACW11:ACW15),ACW53)</f>
        <v>1</v>
      </c>
      <c r="ACZ13" s="319"/>
      <c r="ADA13" s="319">
        <f t="shared" ref="ADA13" ca="1" si="3765">SUMPRODUCT((ACY11:ACY14=ACY13)*(ACX11:ACX14&lt;ACX13))+ACY13</f>
        <v>2</v>
      </c>
      <c r="ADB13" s="319" t="str">
        <f t="shared" ref="ADB13" ca="1" si="3766">INDEX(ACP11:ACP15,MATCH(3,ADA11:ADA15,0),0)</f>
        <v>Croatia</v>
      </c>
      <c r="ADC13" s="319">
        <f t="shared" ref="ADC13" ca="1" si="3767">INDEX(ACY11:ACY15,MATCH(ADB13,ACP11:ACP15,0),0)</f>
        <v>3</v>
      </c>
      <c r="ADD13" s="319" t="str">
        <f t="shared" ref="ADD13:ADD14" ca="1" si="3768">IF(AND(ADD12&lt;&gt;"",ADC13=1),ADB13,"")</f>
        <v/>
      </c>
      <c r="ADE13" s="319" t="str">
        <f t="shared" ref="ADE13:ADE14" ca="1" si="3769">IF(AND(ADE12&lt;&gt;"",ADC14=2),ADB14,"")</f>
        <v/>
      </c>
      <c r="ADF13" s="319" t="str">
        <f t="shared" ref="ADF13" ca="1" si="3770">IF(AND(ADF12&lt;&gt;"",ADC15=3),ADB15,"")</f>
        <v/>
      </c>
      <c r="ADG13" s="319"/>
      <c r="ADH13" s="319"/>
      <c r="ADI13" s="319" t="str">
        <f t="shared" ca="1" si="2846"/>
        <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t="str">
        <f t="shared" ca="1" si="2853"/>
        <v/>
      </c>
      <c r="ADQ13" s="319" t="str">
        <f t="shared" ref="ADQ13" ca="1" si="3776">IF(ADI13&lt;&gt;"",VLOOKUP(ADI13,ACP4:ACV40,7,FALSE),"")</f>
        <v/>
      </c>
      <c r="ADR13" s="319" t="str">
        <f t="shared" ref="ADR13" ca="1" si="3777">IF(ADI13&lt;&gt;"",VLOOKUP(ADI13,ACP4:ACV40,5,FALSE),"")</f>
        <v/>
      </c>
      <c r="ADS13" s="319" t="str">
        <f t="shared" ref="ADS13" ca="1" si="3778">IF(ADI13&lt;&gt;"",VLOOKUP(ADI13,ACP4:ACX40,9,FALSE),"")</f>
        <v/>
      </c>
      <c r="ADT13" s="319" t="str">
        <f t="shared" ca="1" si="2857"/>
        <v/>
      </c>
      <c r="ADU13" s="319" t="str">
        <f t="shared" ref="ADU13" ca="1" si="3779">IF(ADI13&lt;&gt;"",RANK(ADT13,ADT11:ADT15),"")</f>
        <v/>
      </c>
      <c r="ADV13" s="319" t="str">
        <f t="shared" ref="ADV13" ca="1" si="3780">IF(ADI13&lt;&gt;"",SUMPRODUCT((ADT11:ADT15=ADT13)*(ADO11:ADO15&gt;ADO13)),"")</f>
        <v/>
      </c>
      <c r="ADW13" s="319" t="str">
        <f t="shared" ref="ADW13" ca="1" si="3781">IF(ADI13&lt;&gt;"",SUMPRODUCT((ADT11:ADT15=ADT13)*(ADO11:ADO15=ADO13)*(ADM11:ADM15&gt;ADM13)),"")</f>
        <v/>
      </c>
      <c r="ADX13" s="319" t="str">
        <f t="shared" ref="ADX13" ca="1" si="3782">IF(ADI13&lt;&gt;"",SUMPRODUCT((ADT11:ADT15=ADT13)*(ADO11:ADO15=ADO13)*(ADM11:ADM15=ADM13)*(ADQ11:ADQ15&gt;ADQ13)),"")</f>
        <v/>
      </c>
      <c r="ADY13" s="319" t="str">
        <f t="shared" ref="ADY13" ca="1" si="3783">IF(ADI13&lt;&gt;"",SUMPRODUCT((ADT11:ADT15=ADT13)*(ADO11:ADO15=ADO13)*(ADM11:ADM15=ADM13)*(ADQ11:ADQ15=ADQ13)*(ADR11:ADR15&gt;ADR13)),"")</f>
        <v/>
      </c>
      <c r="ADZ13" s="319" t="str">
        <f t="shared" ref="ADZ13" ca="1" si="3784">IF(ADI13&lt;&gt;"",SUMPRODUCT((ADT11:ADT15=ADT13)*(ADO11:ADO15=ADO13)*(ADM11:ADM15=ADM13)*(ADQ11:ADQ15=ADQ13)*(ADR11:ADR15=ADR13)*(ADS11:ADS15&gt;ADS13)),"")</f>
        <v/>
      </c>
      <c r="AEA13" s="319" t="str">
        <f ca="1">IF(ADI13&lt;&gt;"",IF(AEA53&lt;&gt;"",IF(ADH50=3,AEA53,AEA53+ADH50),SUM(ADU13:ADZ13)),"")</f>
        <v/>
      </c>
      <c r="AEB13" s="319" t="str">
        <f t="shared" ref="AEB13" ca="1" si="3785">IF(ADI13&lt;&gt;"",INDEX(ADI11:ADI15,MATCH(3,AEA11:AEA15,0),0),"")</f>
        <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Croatia</v>
      </c>
      <c r="AGL13" s="319">
        <v>3</v>
      </c>
      <c r="AGM13" s="319">
        <v>11</v>
      </c>
      <c r="AGN13" s="319" t="str">
        <f t="shared" si="66"/>
        <v>Türkiye</v>
      </c>
      <c r="AGO13" s="322">
        <f ca="1">IF(OFFSET('Player Game Board'!P20,0,AGO1)&lt;&gt;"",OFFSET('Player Game Board'!P20,0,AGO1),0)</f>
        <v>2</v>
      </c>
      <c r="AGP13" s="322">
        <f ca="1">IF(OFFSET('Player Game Board'!Q20,0,AGO1)&lt;&gt;"",OFFSET('Player Game Board'!Q20,0,AGO1),0)</f>
        <v>1</v>
      </c>
      <c r="AGQ13" s="319" t="str">
        <f t="shared" si="67"/>
        <v>Georgia</v>
      </c>
      <c r="AGR13" s="319" t="str">
        <f ca="1">IF(AND(OFFSET('Player Game Board'!P20,0,AGO1)&lt;&gt;"",OFFSET('Player Game Board'!Q20,0,AGO1)&lt;&gt;""),IF(AGO13&gt;AGP13,"W",IF(AGO13=AGP13,"D","L")),"")</f>
        <v>W</v>
      </c>
      <c r="AGS13" s="319" t="str">
        <f t="shared" ca="1" si="68"/>
        <v>L</v>
      </c>
      <c r="AGT13" s="319"/>
      <c r="AGU13" s="319"/>
      <c r="AGV13" s="324" t="s">
        <v>101</v>
      </c>
      <c r="AGW13" s="325" t="s">
        <v>102</v>
      </c>
      <c r="AGX13" s="325" t="s">
        <v>103</v>
      </c>
      <c r="AGY13" s="325" t="s">
        <v>104</v>
      </c>
      <c r="AGZ13" s="324" t="s">
        <v>101</v>
      </c>
      <c r="AHA13" s="324" t="s">
        <v>104</v>
      </c>
      <c r="AHB13" s="324" t="s">
        <v>102</v>
      </c>
      <c r="AHC13" s="324" t="s">
        <v>103</v>
      </c>
      <c r="AHD13" s="325"/>
      <c r="AHE13" s="326">
        <f t="shared" ref="AHE13" ca="1" si="3822">IFERROR(MATCH(AHE12,AGV13:AGY13,0),0)</f>
        <v>0</v>
      </c>
      <c r="AHF13" s="326">
        <f t="shared" ref="AHF13" ca="1" si="3823">IFERROR(MATCH(AHF12,AGV13:AGY13,0),0)</f>
        <v>1</v>
      </c>
      <c r="AHG13" s="326">
        <f t="shared" ref="AHG13" ca="1" si="3824">IFERROR(MATCH(AHG12,AGV13:AGY13,0),0)</f>
        <v>2</v>
      </c>
      <c r="AHH13" s="326">
        <f t="shared" ref="AHH13" ca="1" si="3825">IFERROR(MATCH(AHH12,AGV13:AGY13,0),0)</f>
        <v>3</v>
      </c>
      <c r="AHI13" s="326">
        <f t="shared" ref="AHI13:AHI27" ca="1" si="3826">SUM(AHE13:AHH13)</f>
        <v>6</v>
      </c>
      <c r="AHJ13" s="325"/>
      <c r="AHK13" s="325" t="str">
        <f t="shared" ref="AHK13" ca="1" si="3827">IF(AHK38="A",INDEX(AGV3:AGV8,MATCH(1,AHI3:AHI8,0),0),"")</f>
        <v>Türkiye</v>
      </c>
      <c r="AHL13" s="325"/>
      <c r="AHM13" s="319">
        <f t="shared" ref="AHM13" ca="1" si="3828">VLOOKUP(AHN13,ALI11:ALJ15,2,FALSE)</f>
        <v>1</v>
      </c>
      <c r="AHN13" s="319" t="str">
        <f t="shared" si="2867"/>
        <v>Spain</v>
      </c>
      <c r="AHO13" s="319">
        <f t="shared" ref="AHO13" ca="1" si="3829">SUMPRODUCT((ALL3:ALL42=AHN13)*(ALP3:ALP42="W"))+SUMPRODUCT((ALO3:ALO42=AHN13)*(ALQ3:ALQ42="W"))</f>
        <v>0</v>
      </c>
      <c r="AHP13" s="319">
        <f t="shared" ref="AHP13" ca="1" si="3830">SUMPRODUCT((ALL3:ALL42=AHN13)*(ALP3:ALP42="D"))+SUMPRODUCT((ALO3:ALO42=AHN13)*(ALQ3:ALQ42="D"))</f>
        <v>0</v>
      </c>
      <c r="AHQ13" s="319">
        <f t="shared" ref="AHQ13" ca="1" si="3831">SUMPRODUCT((ALL3:ALL42=AHN13)*(ALP3:ALP42="L"))+SUMPRODUCT((ALO3:ALO42=AHN13)*(ALQ3:ALQ42="L"))</f>
        <v>0</v>
      </c>
      <c r="AHR13" s="319">
        <f t="shared" ref="AHR13" ca="1" si="3832">SUMIF(ALL3:ALL60,AHN13,ALM3:ALM60)+SUMIF(ALO3:ALO60,AHN13,ALN3:ALN60)</f>
        <v>0</v>
      </c>
      <c r="AHS13" s="319">
        <f t="shared" ref="AHS13" ca="1" si="3833">SUMIF(ALO3:ALO60,AHN13,ALM3:ALM60)+SUMIF(ALL3:ALL60,AHN13,ALN3:ALN60)</f>
        <v>0</v>
      </c>
      <c r="AHT13" s="319">
        <f t="shared" ca="1" si="2873"/>
        <v>1000</v>
      </c>
      <c r="AHU13" s="319">
        <f t="shared" ca="1" si="2874"/>
        <v>0</v>
      </c>
      <c r="AHV13" s="319">
        <f t="shared" si="870"/>
        <v>51</v>
      </c>
      <c r="AHW13" s="319">
        <f t="shared" ref="AHW13" ca="1" si="3834">IF(COUNTIF(AHU11:AHU15,4)&lt;&gt;4,RANK(AHU13,AHU11:AHU15),AHU53)</f>
        <v>1</v>
      </c>
      <c r="AHX13" s="319"/>
      <c r="AHY13" s="319">
        <f t="shared" ref="AHY13" ca="1" si="3835">SUMPRODUCT((AHW11:AHW14=AHW13)*(AHV11:AHV14&lt;AHV13))+AHW13</f>
        <v>4</v>
      </c>
      <c r="AHZ13" s="319" t="str">
        <f t="shared" ref="AHZ13" ca="1" si="3836">INDEX(AHN11:AHN15,MATCH(3,AHY11:AHY15,0),0)</f>
        <v>Albania</v>
      </c>
      <c r="AIA13" s="319">
        <f t="shared" ref="AIA13" ca="1" si="3837">INDEX(AHW11:AHW15,MATCH(AHZ13,AHN11:AHN15,0),0)</f>
        <v>1</v>
      </c>
      <c r="AIB13" s="319" t="str">
        <f t="shared" ref="AIB13:AIB14" ca="1" si="3838">IF(AND(AIB12&lt;&gt;"",AIA13=1),AHZ13,"")</f>
        <v>Albania</v>
      </c>
      <c r="AIC13" s="319" t="str">
        <f t="shared" ref="AIC13:AIC14" ca="1" si="3839">IF(AND(AIC12&lt;&gt;"",AIA14=2),AHZ14,"")</f>
        <v/>
      </c>
      <c r="AID13" s="319" t="str">
        <f t="shared" ref="AID13" ca="1" si="3840">IF(AND(AID12&lt;&gt;"",AIA15=3),AHZ15,"")</f>
        <v/>
      </c>
      <c r="AIE13" s="319"/>
      <c r="AIF13" s="319"/>
      <c r="AIG13" s="319" t="str">
        <f t="shared" ca="1" si="2883"/>
        <v>Albania</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f t="shared" ca="1" si="2890"/>
        <v>0</v>
      </c>
      <c r="AIO13" s="319">
        <f t="shared" ref="AIO13" ca="1" si="3846">IF(AIG13&lt;&gt;"",VLOOKUP(AIG13,AHN4:AHT40,7,FALSE),"")</f>
        <v>1000</v>
      </c>
      <c r="AIP13" s="319">
        <f t="shared" ref="AIP13" ca="1" si="3847">IF(AIG13&lt;&gt;"",VLOOKUP(AIG13,AHN4:AHT40,5,FALSE),"")</f>
        <v>0</v>
      </c>
      <c r="AIQ13" s="319">
        <f t="shared" ref="AIQ13" ca="1" si="3848">IF(AIG13&lt;&gt;"",VLOOKUP(AIG13,AHN4:AHV40,9,FALSE),"")</f>
        <v>44</v>
      </c>
      <c r="AIR13" s="319">
        <f t="shared" ca="1" si="2894"/>
        <v>0</v>
      </c>
      <c r="AIS13" s="319">
        <f t="shared" ref="AIS13" ca="1" si="3849">IF(AIG13&lt;&gt;"",RANK(AIR13,AIR11:AIR15),"")</f>
        <v>1</v>
      </c>
      <c r="AIT13" s="319">
        <f t="shared" ref="AIT13" ca="1" si="3850">IF(AIG13&lt;&gt;"",SUMPRODUCT((AIR11:AIR15=AIR13)*(AIM11:AIM15&gt;AIM13)),"")</f>
        <v>0</v>
      </c>
      <c r="AIU13" s="319">
        <f t="shared" ref="AIU13" ca="1" si="3851">IF(AIG13&lt;&gt;"",SUMPRODUCT((AIR11:AIR15=AIR13)*(AIM11:AIM15=AIM13)*(AIK11:AIK15&gt;AIK13)),"")</f>
        <v>0</v>
      </c>
      <c r="AIV13" s="319">
        <f t="shared" ref="AIV13" ca="1" si="3852">IF(AIG13&lt;&gt;"",SUMPRODUCT((AIR11:AIR15=AIR13)*(AIM11:AIM15=AIM13)*(AIK11:AIK15=AIK13)*(AIO11:AIO15&gt;AIO13)),"")</f>
        <v>0</v>
      </c>
      <c r="AIW13" s="319">
        <f t="shared" ref="AIW13" ca="1" si="3853">IF(AIG13&lt;&gt;"",SUMPRODUCT((AIR11:AIR15=AIR13)*(AIM11:AIM15=AIM13)*(AIK11:AIK15=AIK13)*(AIO11:AIO15=AIO13)*(AIP11:AIP15&gt;AIP13)),"")</f>
        <v>0</v>
      </c>
      <c r="AIX13" s="319">
        <f t="shared" ref="AIX13" ca="1" si="3854">IF(AIG13&lt;&gt;"",SUMPRODUCT((AIR11:AIR15=AIR13)*(AIM11:AIM15=AIM13)*(AIK11:AIK15=AIK13)*(AIO11:AIO15=AIO13)*(AIP11:AIP15=AIP13)*(AIQ11:AIQ15&gt;AIQ13)),"")</f>
        <v>1</v>
      </c>
      <c r="AIY13" s="319">
        <f ca="1">IF(AIG13&lt;&gt;"",IF(AIY53&lt;&gt;"",IF(AIF50=3,AIY53,AIY53+AIF50),SUM(AIS13:AIX13)),"")</f>
        <v>2</v>
      </c>
      <c r="AIZ13" s="319" t="str">
        <f t="shared" ref="AIZ13" ca="1" si="3855">IF(AIG13&lt;&gt;"",INDEX(AIG11:AIG15,MATCH(3,AIY11:AIY15,0),0),"")</f>
        <v>Croatia</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Croatia</v>
      </c>
      <c r="ALJ13" s="319">
        <v>3</v>
      </c>
      <c r="ALK13" s="319">
        <v>11</v>
      </c>
      <c r="ALL13" s="319" t="str">
        <f t="shared" si="82"/>
        <v>Türkiye</v>
      </c>
      <c r="ALM13" s="322">
        <f ca="1">IF(OFFSET('Player Game Board'!P20,0,ALM1)&lt;&gt;"",OFFSET('Player Game Board'!P20,0,ALM1),0)</f>
        <v>0</v>
      </c>
      <c r="ALN13" s="322">
        <f ca="1">IF(OFFSET('Player Game Board'!Q20,0,ALM1)&lt;&gt;"",OFFSET('Player Game Board'!Q20,0,ALM1),0)</f>
        <v>0</v>
      </c>
      <c r="ALO13" s="319" t="str">
        <f t="shared" si="83"/>
        <v>Georgia</v>
      </c>
      <c r="ALP13" s="319" t="str">
        <f ca="1">IF(AND(OFFSET('Player Game Board'!P20,0,ALM1)&lt;&gt;"",OFFSET('Player Game Board'!Q20,0,ALM1)&lt;&gt;""),IF(ALM13&gt;ALN13,"W",IF(ALM13=ALN13,"D","L")),"")</f>
        <v/>
      </c>
      <c r="ALQ13" s="319" t="str">
        <f t="shared" ca="1" si="84"/>
        <v/>
      </c>
      <c r="ALR13" s="319"/>
      <c r="ALS13" s="319"/>
      <c r="ALT13" s="324" t="s">
        <v>101</v>
      </c>
      <c r="ALU13" s="325" t="s">
        <v>102</v>
      </c>
      <c r="ALV13" s="325" t="s">
        <v>103</v>
      </c>
      <c r="ALW13" s="325" t="s">
        <v>104</v>
      </c>
      <c r="ALX13" s="324" t="s">
        <v>101</v>
      </c>
      <c r="ALY13" s="324" t="s">
        <v>104</v>
      </c>
      <c r="ALZ13" s="324" t="s">
        <v>102</v>
      </c>
      <c r="AMA13" s="324" t="s">
        <v>103</v>
      </c>
      <c r="AMB13" s="325"/>
      <c r="AMC13" s="326">
        <f t="shared" ref="AMC13" ca="1" si="3892">IFERROR(MATCH(AMC12,ALT13:ALW13,0),0)</f>
        <v>1</v>
      </c>
      <c r="AMD13" s="326">
        <f t="shared" ref="AMD13" ca="1" si="3893">IFERROR(MATCH(AMD12,ALT13:ALW13,0),0)</f>
        <v>4</v>
      </c>
      <c r="AME13" s="326">
        <f t="shared" ref="AME13" ca="1" si="3894">IFERROR(MATCH(AME12,ALT13:ALW13,0),0)</f>
        <v>2</v>
      </c>
      <c r="AMF13" s="326">
        <f t="shared" ref="AMF13" ca="1" si="3895">IFERROR(MATCH(AMF12,ALT13:ALW13,0),0)</f>
        <v>3</v>
      </c>
      <c r="AMG13" s="326">
        <f t="shared" ref="AMG13:AMG27" ca="1" si="3896">SUM(AMC13:AMF13)</f>
        <v>10</v>
      </c>
      <c r="AMH13" s="325"/>
      <c r="AMI13" s="325" t="str">
        <f t="shared" ref="AMI13" ca="1" si="3897">IF(AMI38="A",INDEX(ALT3:ALT8,MATCH(1,AMG3:AMG8,0),0),"")</f>
        <v>Scotland</v>
      </c>
      <c r="AMJ13" s="325"/>
      <c r="AMK13" s="319">
        <f t="shared" ref="AMK13" ca="1" si="3898">VLOOKUP(AML13,AQG11:AQH15,2,FALSE)</f>
        <v>1</v>
      </c>
      <c r="AML13" s="319" t="str">
        <f t="shared" si="2904"/>
        <v>Spain</v>
      </c>
      <c r="AMM13" s="319">
        <f t="shared" ref="AMM13" ca="1" si="3899">SUMPRODUCT((AQJ3:AQJ42=AML13)*(AQN3:AQN42="W"))+SUMPRODUCT((AQM3:AQM42=AML13)*(AQO3:AQO42="W"))</f>
        <v>0</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0</v>
      </c>
      <c r="AMQ13" s="319">
        <f t="shared" ref="AMQ13" ca="1" si="3903">SUMIF(AQM3:AQM60,AML13,AQK3:AQK60)+SUMIF(AQJ3:AQJ60,AML13,AQL3:AQL60)</f>
        <v>0</v>
      </c>
      <c r="AMR13" s="319">
        <f t="shared" ca="1" si="2910"/>
        <v>1000</v>
      </c>
      <c r="AMS13" s="319">
        <f t="shared" ca="1" si="2911"/>
        <v>0</v>
      </c>
      <c r="AMT13" s="319">
        <f t="shared" si="930"/>
        <v>51</v>
      </c>
      <c r="AMU13" s="319">
        <f t="shared" ref="AMU13" ca="1" si="3904">IF(COUNTIF(AMS11:AMS15,4)&lt;&gt;4,RANK(AMS13,AMS11:AMS15),AMS53)</f>
        <v>1</v>
      </c>
      <c r="AMV13" s="319"/>
      <c r="AMW13" s="319">
        <f t="shared" ref="AMW13" ca="1" si="3905">SUMPRODUCT((AMU11:AMU14=AMU13)*(AMT11:AMT14&lt;AMT13))+AMU13</f>
        <v>4</v>
      </c>
      <c r="AMX13" s="319" t="str">
        <f t="shared" ref="AMX13" ca="1" si="3906">INDEX(AML11:AML15,MATCH(3,AMW11:AMW15,0),0)</f>
        <v>Albania</v>
      </c>
      <c r="AMY13" s="319">
        <f t="shared" ref="AMY13" ca="1" si="3907">INDEX(AMU11:AMU15,MATCH(AMX13,AML11:AML15,0),0)</f>
        <v>1</v>
      </c>
      <c r="AMZ13" s="319" t="str">
        <f t="shared" ref="AMZ13:AMZ14" ca="1" si="3908">IF(AND(AMZ12&lt;&gt;"",AMY13=1),AMX13,"")</f>
        <v>Albania</v>
      </c>
      <c r="ANA13" s="319" t="str">
        <f t="shared" ref="ANA13:ANA14" ca="1" si="3909">IF(AND(ANA12&lt;&gt;"",AMY14=2),AMX14,"")</f>
        <v/>
      </c>
      <c r="ANB13" s="319" t="str">
        <f t="shared" ref="ANB13" ca="1" si="3910">IF(AND(ANB12&lt;&gt;"",AMY15=3),AMX15,"")</f>
        <v/>
      </c>
      <c r="ANC13" s="319"/>
      <c r="AND13" s="319"/>
      <c r="ANE13" s="319" t="str">
        <f t="shared" ca="1" si="2920"/>
        <v>Albania</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f t="shared" ca="1" si="2927"/>
        <v>0</v>
      </c>
      <c r="ANM13" s="319">
        <f t="shared" ref="ANM13" ca="1" si="3916">IF(ANE13&lt;&gt;"",VLOOKUP(ANE13,AML4:AMR40,7,FALSE),"")</f>
        <v>1000</v>
      </c>
      <c r="ANN13" s="319">
        <f t="shared" ref="ANN13" ca="1" si="3917">IF(ANE13&lt;&gt;"",VLOOKUP(ANE13,AML4:AMR40,5,FALSE),"")</f>
        <v>0</v>
      </c>
      <c r="ANO13" s="319">
        <f t="shared" ref="ANO13" ca="1" si="3918">IF(ANE13&lt;&gt;"",VLOOKUP(ANE13,AML4:AMT40,9,FALSE),"")</f>
        <v>44</v>
      </c>
      <c r="ANP13" s="319">
        <f t="shared" ca="1" si="2931"/>
        <v>0</v>
      </c>
      <c r="ANQ13" s="319">
        <f t="shared" ref="ANQ13" ca="1" si="3919">IF(ANE13&lt;&gt;"",RANK(ANP13,ANP11:ANP15),"")</f>
        <v>1</v>
      </c>
      <c r="ANR13" s="319">
        <f t="shared" ref="ANR13" ca="1" si="3920">IF(ANE13&lt;&gt;"",SUMPRODUCT((ANP11:ANP15=ANP13)*(ANK11:ANK15&gt;ANK13)),"")</f>
        <v>0</v>
      </c>
      <c r="ANS13" s="319">
        <f t="shared" ref="ANS13" ca="1" si="3921">IF(ANE13&lt;&gt;"",SUMPRODUCT((ANP11:ANP15=ANP13)*(ANK11:ANK15=ANK13)*(ANI11:ANI15&gt;ANI13)),"")</f>
        <v>0</v>
      </c>
      <c r="ANT13" s="319">
        <f t="shared" ref="ANT13" ca="1" si="3922">IF(ANE13&lt;&gt;"",SUMPRODUCT((ANP11:ANP15=ANP13)*(ANK11:ANK15=ANK13)*(ANI11:ANI15=ANI13)*(ANM11:ANM15&gt;ANM13)),"")</f>
        <v>0</v>
      </c>
      <c r="ANU13" s="319">
        <f t="shared" ref="ANU13" ca="1" si="3923">IF(ANE13&lt;&gt;"",SUMPRODUCT((ANP11:ANP15=ANP13)*(ANK11:ANK15=ANK13)*(ANI11:ANI15=ANI13)*(ANM11:ANM15=ANM13)*(ANN11:ANN15&gt;ANN13)),"")</f>
        <v>0</v>
      </c>
      <c r="ANV13" s="319">
        <f t="shared" ref="ANV13" ca="1" si="3924">IF(ANE13&lt;&gt;"",SUMPRODUCT((ANP11:ANP15=ANP13)*(ANK11:ANK15=ANK13)*(ANI11:ANI15=ANI13)*(ANM11:ANM15=ANM13)*(ANN11:ANN15=ANN13)*(ANO11:ANO15&gt;ANO13)),"")</f>
        <v>1</v>
      </c>
      <c r="ANW13" s="319">
        <f ca="1">IF(ANE13&lt;&gt;"",IF(ANW53&lt;&gt;"",IF(AND50=3,ANW53,ANW53+AND50),SUM(ANQ13:ANV13)),"")</f>
        <v>2</v>
      </c>
      <c r="ANX13" s="319" t="str">
        <f t="shared" ref="ANX13" ca="1" si="3925">IF(ANE13&lt;&gt;"",INDEX(ANE11:ANE15,MATCH(3,ANW11:ANW15,0),0),"")</f>
        <v>Croatia</v>
      </c>
      <c r="ANY13" s="319" t="str">
        <f t="shared" ca="1" si="3356"/>
        <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0</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0</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0</v>
      </c>
      <c r="AOE13" s="319">
        <f t="shared" ca="1" si="3362"/>
        <v>1000</v>
      </c>
      <c r="AOF13" s="319" t="str">
        <f t="shared" ca="1" si="3363"/>
        <v/>
      </c>
      <c r="AOG13" s="319" t="str">
        <f t="shared" ref="AOG13" ca="1" si="3931">IF(ANY13&lt;&gt;"",VLOOKUP(ANY13,AML4:AMR40,7,FALSE),"")</f>
        <v/>
      </c>
      <c r="AOH13" s="319" t="str">
        <f t="shared" ref="AOH13" ca="1" si="3932">IF(ANY13&lt;&gt;"",VLOOKUP(ANY13,AML4:AMR40,5,FALSE),"")</f>
        <v/>
      </c>
      <c r="AOI13" s="319" t="str">
        <f t="shared" ref="AOI13" ca="1" si="3933">IF(ANY13&lt;&gt;"",VLOOKUP(ANY13,AML4:AMT40,9,FALSE),"")</f>
        <v/>
      </c>
      <c r="AOJ13" s="319" t="str">
        <f t="shared" ca="1" si="3367"/>
        <v/>
      </c>
      <c r="AOK13" s="319" t="str">
        <f t="shared" ref="AOK13" ca="1" si="3934">IF(ANY13&lt;&gt;"",RANK(AOJ13,AOJ11:AOJ15),"")</f>
        <v/>
      </c>
      <c r="AOL13" s="319" t="str">
        <f t="shared" ref="AOL13" ca="1" si="3935">IF(ANY13&lt;&gt;"",SUMPRODUCT((AOJ11:AOJ15=AOJ13)*(AOE11:AOE15&gt;AOE13)),"")</f>
        <v/>
      </c>
      <c r="AOM13" s="319" t="str">
        <f t="shared" ref="AOM13" ca="1" si="3936">IF(ANY13&lt;&gt;"",SUMPRODUCT((AOJ11:AOJ15=AOJ13)*(AOE11:AOE15=AOE13)*(AOC11:AOC15&gt;AOC13)),"")</f>
        <v/>
      </c>
      <c r="AON13" s="319" t="str">
        <f t="shared" ref="AON13" ca="1" si="3937">IF(ANY13&lt;&gt;"",SUMPRODUCT((AOJ11:AOJ15=AOJ13)*(AOE11:AOE15=AOE13)*(AOC11:AOC15=AOC13)*(AOG11:AOG15&gt;AOG13)),"")</f>
        <v/>
      </c>
      <c r="AOO13" s="319" t="str">
        <f t="shared" ref="AOO13" ca="1" si="3938">IF(ANY13&lt;&gt;"",SUMPRODUCT((AOJ11:AOJ15=AOJ13)*(AOE11:AOE15=AOE13)*(AOC11:AOC15=AOC13)*(AOG11:AOG15=AOG13)*(AOH11:AOH15&gt;AOH13)),"")</f>
        <v/>
      </c>
      <c r="AOP13" s="319" t="str">
        <f t="shared" ref="AOP13" ca="1" si="3939">IF(ANY13&lt;&gt;"",SUMPRODUCT((AOJ11:AOJ15=AOJ13)*(AOE11:AOE15=AOE13)*(AOC11:AOC15=AOC13)*(AOG11:AOG15=AOG13)*(AOH11:AOH15=AOH13)*(AOI11:AOI15&gt;AOI13)),"")</f>
        <v/>
      </c>
      <c r="AOQ13" s="319" t="str">
        <f ca="1">IF(ANY13&lt;&gt;"",IF(AOQ53&lt;&gt;"",IF(ANX50=3,AOQ53,AOQ53+ANX50),SUM(AOK13:AOP13)+1),"")</f>
        <v/>
      </c>
      <c r="AOR13" s="319" t="str">
        <f t="shared" ref="AOR13" ca="1" si="3940">IF(ANY13&lt;&gt;"",INDEX(ANY12:ANY15,MATCH(3,AOQ12:AOQ15,0),0),"")</f>
        <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
      </c>
      <c r="AQO13" s="319" t="str">
        <f t="shared" ca="1" si="100"/>
        <v/>
      </c>
      <c r="AQP13" s="319"/>
      <c r="AQQ13" s="319"/>
      <c r="AQR13" s="324" t="s">
        <v>101</v>
      </c>
      <c r="AQS13" s="325" t="s">
        <v>102</v>
      </c>
      <c r="AQT13" s="325" t="s">
        <v>103</v>
      </c>
      <c r="AQU13" s="325" t="s">
        <v>104</v>
      </c>
      <c r="AQV13" s="324" t="s">
        <v>101</v>
      </c>
      <c r="AQW13" s="324" t="s">
        <v>104</v>
      </c>
      <c r="AQX13" s="324" t="s">
        <v>102</v>
      </c>
      <c r="AQY13" s="324" t="s">
        <v>103</v>
      </c>
      <c r="AQZ13" s="325"/>
      <c r="ARA13" s="326">
        <f t="shared" ref="ARA13" ca="1" si="3962">IFERROR(MATCH(ARA12,AQR13:AQU13,0),0)</f>
        <v>1</v>
      </c>
      <c r="ARB13" s="326">
        <f t="shared" ref="ARB13" ca="1" si="3963">IFERROR(MATCH(ARB12,AQR13:AQU13,0),0)</f>
        <v>4</v>
      </c>
      <c r="ARC13" s="326">
        <f t="shared" ref="ARC13" ca="1" si="3964">IFERROR(MATCH(ARC12,AQR13:AQU13,0),0)</f>
        <v>2</v>
      </c>
      <c r="ARD13" s="326">
        <f t="shared" ref="ARD13" ca="1" si="3965">IFERROR(MATCH(ARD12,AQR13:AQU13,0),0)</f>
        <v>3</v>
      </c>
      <c r="ARE13" s="326">
        <f t="shared" ref="ARE13:ARE27" ca="1" si="3966">SUM(ARA13:ARD13)</f>
        <v>10</v>
      </c>
      <c r="ARF13" s="325"/>
      <c r="ARG13" s="325" t="str">
        <f t="shared" ref="ARG13" ca="1" si="3967">IF(ARG38="A",INDEX(AQR3:AQR8,MATCH(1,ARE3:ARE8,0),0),"")</f>
        <v>Scotland</v>
      </c>
      <c r="ARH13" s="325"/>
      <c r="ARI13" s="319">
        <f t="shared" ref="ARI13" ca="1" si="3968">VLOOKUP(ARJ13,AVE11:AVF15,2,FALSE)</f>
        <v>1</v>
      </c>
      <c r="ARJ13" s="319" t="str">
        <f t="shared" si="2941"/>
        <v>Spain</v>
      </c>
      <c r="ARK13" s="319">
        <f t="shared" ref="ARK13" ca="1" si="3969">SUMPRODUCT((AVH3:AVH42=ARJ13)*(AVL3:AVL42="W"))+SUMPRODUCT((AVK3:AVK42=ARJ13)*(AVM3:AVM42="W"))</f>
        <v>0</v>
      </c>
      <c r="ARL13" s="319">
        <f t="shared" ref="ARL13" ca="1" si="3970">SUMPRODUCT((AVH3:AVH42=ARJ13)*(AVL3:AVL42="D"))+SUMPRODUCT((AVK3:AVK42=ARJ13)*(AVM3:AVM42="D"))</f>
        <v>0</v>
      </c>
      <c r="ARM13" s="319">
        <f t="shared" ref="ARM13" ca="1" si="3971">SUMPRODUCT((AVH3:AVH42=ARJ13)*(AVL3:AVL42="L"))+SUMPRODUCT((AVK3:AVK42=ARJ13)*(AVM3:AVM42="L"))</f>
        <v>0</v>
      </c>
      <c r="ARN13" s="319">
        <f t="shared" ref="ARN13" ca="1" si="3972">SUMIF(AVH3:AVH60,ARJ13,AVI3:AVI60)+SUMIF(AVK3:AVK60,ARJ13,AVJ3:AVJ60)</f>
        <v>0</v>
      </c>
      <c r="ARO13" s="319">
        <f t="shared" ref="ARO13" ca="1" si="3973">SUMIF(AVK3:AVK60,ARJ13,AVI3:AVI60)+SUMIF(AVH3:AVH60,ARJ13,AVJ3:AVJ60)</f>
        <v>0</v>
      </c>
      <c r="ARP13" s="319">
        <f t="shared" ca="1" si="2947"/>
        <v>1000</v>
      </c>
      <c r="ARQ13" s="319">
        <f t="shared" ca="1" si="2948"/>
        <v>0</v>
      </c>
      <c r="ARR13" s="319">
        <f t="shared" si="990"/>
        <v>51</v>
      </c>
      <c r="ARS13" s="319">
        <f t="shared" ref="ARS13" ca="1" si="3974">IF(COUNTIF(ARQ11:ARQ15,4)&lt;&gt;4,RANK(ARQ13,ARQ11:ARQ15),ARQ53)</f>
        <v>1</v>
      </c>
      <c r="ART13" s="319"/>
      <c r="ARU13" s="319">
        <f t="shared" ref="ARU13" ca="1" si="3975">SUMPRODUCT((ARS11:ARS14=ARS13)*(ARR11:ARR14&lt;ARR13))+ARS13</f>
        <v>4</v>
      </c>
      <c r="ARV13" s="319" t="str">
        <f t="shared" ref="ARV13" ca="1" si="3976">INDEX(ARJ11:ARJ15,MATCH(3,ARU11:ARU15,0),0)</f>
        <v>Albania</v>
      </c>
      <c r="ARW13" s="319">
        <f t="shared" ref="ARW13" ca="1" si="3977">INDEX(ARS11:ARS15,MATCH(ARV13,ARJ11:ARJ15,0),0)</f>
        <v>1</v>
      </c>
      <c r="ARX13" s="319" t="str">
        <f t="shared" ref="ARX13:ARX14" ca="1" si="3978">IF(AND(ARX12&lt;&gt;"",ARW13=1),ARV13,"")</f>
        <v>Albania</v>
      </c>
      <c r="ARY13" s="319" t="str">
        <f t="shared" ref="ARY13:ARY14" ca="1" si="3979">IF(AND(ARY12&lt;&gt;"",ARW14=2),ARV14,"")</f>
        <v/>
      </c>
      <c r="ARZ13" s="319" t="str">
        <f t="shared" ref="ARZ13" ca="1" si="3980">IF(AND(ARZ12&lt;&gt;"",ARW15=3),ARV15,"")</f>
        <v/>
      </c>
      <c r="ASA13" s="319"/>
      <c r="ASB13" s="319"/>
      <c r="ASC13" s="319" t="str">
        <f t="shared" ca="1" si="2957"/>
        <v>Albania</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f t="shared" ca="1" si="2964"/>
        <v>0</v>
      </c>
      <c r="ASK13" s="319">
        <f t="shared" ref="ASK13" ca="1" si="3986">IF(ASC13&lt;&gt;"",VLOOKUP(ASC13,ARJ4:ARP40,7,FALSE),"")</f>
        <v>1000</v>
      </c>
      <c r="ASL13" s="319">
        <f t="shared" ref="ASL13" ca="1" si="3987">IF(ASC13&lt;&gt;"",VLOOKUP(ASC13,ARJ4:ARP40,5,FALSE),"")</f>
        <v>0</v>
      </c>
      <c r="ASM13" s="319">
        <f t="shared" ref="ASM13" ca="1" si="3988">IF(ASC13&lt;&gt;"",VLOOKUP(ASC13,ARJ4:ARR40,9,FALSE),"")</f>
        <v>44</v>
      </c>
      <c r="ASN13" s="319">
        <f t="shared" ca="1" si="2968"/>
        <v>0</v>
      </c>
      <c r="ASO13" s="319">
        <f t="shared" ref="ASO13" ca="1" si="3989">IF(ASC13&lt;&gt;"",RANK(ASN13,ASN11:ASN15),"")</f>
        <v>1</v>
      </c>
      <c r="ASP13" s="319">
        <f t="shared" ref="ASP13" ca="1" si="3990">IF(ASC13&lt;&gt;"",SUMPRODUCT((ASN11:ASN15=ASN13)*(ASI11:ASI15&gt;ASI13)),"")</f>
        <v>0</v>
      </c>
      <c r="ASQ13" s="319">
        <f t="shared" ref="ASQ13" ca="1" si="3991">IF(ASC13&lt;&gt;"",SUMPRODUCT((ASN11:ASN15=ASN13)*(ASI11:ASI15=ASI13)*(ASG11:ASG15&gt;ASG13)),"")</f>
        <v>0</v>
      </c>
      <c r="ASR13" s="319">
        <f t="shared" ref="ASR13" ca="1" si="3992">IF(ASC13&lt;&gt;"",SUMPRODUCT((ASN11:ASN15=ASN13)*(ASI11:ASI15=ASI13)*(ASG11:ASG15=ASG13)*(ASK11:ASK15&gt;ASK13)),"")</f>
        <v>0</v>
      </c>
      <c r="ASS13" s="319">
        <f t="shared" ref="ASS13" ca="1" si="3993">IF(ASC13&lt;&gt;"",SUMPRODUCT((ASN11:ASN15=ASN13)*(ASI11:ASI15=ASI13)*(ASG11:ASG15=ASG13)*(ASK11:ASK15=ASK13)*(ASL11:ASL15&gt;ASL13)),"")</f>
        <v>0</v>
      </c>
      <c r="AST13" s="319">
        <f t="shared" ref="AST13" ca="1" si="3994">IF(ASC13&lt;&gt;"",SUMPRODUCT((ASN11:ASN15=ASN13)*(ASI11:ASI15=ASI13)*(ASG11:ASG15=ASG13)*(ASK11:ASK15=ASK13)*(ASL11:ASL15=ASL13)*(ASM11:ASM15&gt;ASM13)),"")</f>
        <v>1</v>
      </c>
      <c r="ASU13" s="319">
        <f ca="1">IF(ASC13&lt;&gt;"",IF(ASU53&lt;&gt;"",IF(ASB50=3,ASU53,ASU53+ASB50),SUM(ASO13:AST13)),"")</f>
        <v>2</v>
      </c>
      <c r="ASV13" s="319" t="str">
        <f t="shared" ref="ASV13" ca="1" si="3995">IF(ASC13&lt;&gt;"",INDEX(ASC11:ASC15,MATCH(3,ASU11:ASU15,0),0),"")</f>
        <v>Croatia</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0</v>
      </c>
      <c r="AVJ13" s="322">
        <f ca="1">IF(OFFSET('Player Game Board'!Q20,0,AVI1)&lt;&gt;"",OFFSET('Player Game Board'!Q20,0,AVI1),0)</f>
        <v>0</v>
      </c>
      <c r="AVK13" s="319" t="str">
        <f t="shared" si="115"/>
        <v>Georgia</v>
      </c>
      <c r="AVL13" s="319" t="str">
        <f ca="1">IF(AND(OFFSET('Player Game Board'!P20,0,AVI1)&lt;&gt;"",OFFSET('Player Game Board'!Q20,0,AVI1)&lt;&gt;""),IF(AVI13&gt;AVJ13,"W",IF(AVI13=AVJ13,"D","L")),"")</f>
        <v/>
      </c>
      <c r="AVM13" s="319" t="str">
        <f t="shared" ca="1" si="116"/>
        <v/>
      </c>
      <c r="AVN13" s="319"/>
      <c r="AVO13" s="319"/>
      <c r="AVP13" s="324" t="s">
        <v>101</v>
      </c>
      <c r="AVQ13" s="325" t="s">
        <v>102</v>
      </c>
      <c r="AVR13" s="325" t="s">
        <v>103</v>
      </c>
      <c r="AVS13" s="325" t="s">
        <v>104</v>
      </c>
      <c r="AVT13" s="324" t="s">
        <v>101</v>
      </c>
      <c r="AVU13" s="324" t="s">
        <v>104</v>
      </c>
      <c r="AVV13" s="324" t="s">
        <v>102</v>
      </c>
      <c r="AVW13" s="324" t="s">
        <v>103</v>
      </c>
      <c r="AVX13" s="325"/>
      <c r="AVY13" s="326">
        <f t="shared" ref="AVY13" ca="1" si="4032">IFERROR(MATCH(AVY12,AVP13:AVS13,0),0)</f>
        <v>1</v>
      </c>
      <c r="AVZ13" s="326">
        <f t="shared" ref="AVZ13" ca="1" si="4033">IFERROR(MATCH(AVZ12,AVP13:AVS13,0),0)</f>
        <v>4</v>
      </c>
      <c r="AWA13" s="326">
        <f t="shared" ref="AWA13" ca="1" si="4034">IFERROR(MATCH(AWA12,AVP13:AVS13,0),0)</f>
        <v>2</v>
      </c>
      <c r="AWB13" s="326">
        <f t="shared" ref="AWB13" ca="1" si="4035">IFERROR(MATCH(AWB12,AVP13:AVS13,0),0)</f>
        <v>3</v>
      </c>
      <c r="AWC13" s="326">
        <f t="shared" ref="AWC13:AWC27" ca="1" si="4036">SUM(AVY13:AWB13)</f>
        <v>10</v>
      </c>
      <c r="AWD13" s="325"/>
      <c r="AWE13" s="325" t="str">
        <f t="shared" ref="AWE13" ca="1" si="4037">IF(AWE38="A",INDEX(AVP3:AVP8,MATCH(1,AWC3:AWC8,0),0),"")</f>
        <v>Scotland</v>
      </c>
      <c r="AWF13" s="325"/>
      <c r="AWG13" s="319">
        <f t="shared" ref="AWG13" ca="1" si="4038">VLOOKUP(AWH13,BAC11:BAD15,2,FALSE)</f>
        <v>1</v>
      </c>
      <c r="AWH13" s="319" t="str">
        <f t="shared" si="2978"/>
        <v>Spain</v>
      </c>
      <c r="AWI13" s="319">
        <f t="shared" ref="AWI13" ca="1" si="4039">SUMPRODUCT((BAF3:BAF42=AWH13)*(BAJ3:BAJ42="W"))+SUMPRODUCT((BAI3:BAI42=AWH13)*(BAK3:BAK42="W"))</f>
        <v>0</v>
      </c>
      <c r="AWJ13" s="319">
        <f t="shared" ref="AWJ13" ca="1" si="4040">SUMPRODUCT((BAF3:BAF42=AWH13)*(BAJ3:BAJ42="D"))+SUMPRODUCT((BAI3:BAI42=AWH13)*(BAK3:BAK42="D"))</f>
        <v>0</v>
      </c>
      <c r="AWK13" s="319">
        <f t="shared" ref="AWK13" ca="1" si="4041">SUMPRODUCT((BAF3:BAF42=AWH13)*(BAJ3:BAJ42="L"))+SUMPRODUCT((BAI3:BAI42=AWH13)*(BAK3:BAK42="L"))</f>
        <v>0</v>
      </c>
      <c r="AWL13" s="319">
        <f t="shared" ref="AWL13" ca="1" si="4042">SUMIF(BAF3:BAF60,AWH13,BAG3:BAG60)+SUMIF(BAI3:BAI60,AWH13,BAH3:BAH60)</f>
        <v>0</v>
      </c>
      <c r="AWM13" s="319">
        <f t="shared" ref="AWM13" ca="1" si="4043">SUMIF(BAI3:BAI60,AWH13,BAG3:BAG60)+SUMIF(BAF3:BAF60,AWH13,BAH3:BAH60)</f>
        <v>0</v>
      </c>
      <c r="AWN13" s="319">
        <f t="shared" ca="1" si="2984"/>
        <v>1000</v>
      </c>
      <c r="AWO13" s="319">
        <f t="shared" ca="1" si="2985"/>
        <v>0</v>
      </c>
      <c r="AWP13" s="319">
        <f t="shared" si="1050"/>
        <v>51</v>
      </c>
      <c r="AWQ13" s="319">
        <f t="shared" ref="AWQ13" ca="1" si="4044">IF(COUNTIF(AWO11:AWO15,4)&lt;&gt;4,RANK(AWO13,AWO11:AWO15),AWO53)</f>
        <v>1</v>
      </c>
      <c r="AWR13" s="319"/>
      <c r="AWS13" s="319">
        <f t="shared" ref="AWS13" ca="1" si="4045">SUMPRODUCT((AWQ11:AWQ14=AWQ13)*(AWP11:AWP14&lt;AWP13))+AWQ13</f>
        <v>4</v>
      </c>
      <c r="AWT13" s="319" t="str">
        <f t="shared" ref="AWT13" ca="1" si="4046">INDEX(AWH11:AWH15,MATCH(3,AWS11:AWS15,0),0)</f>
        <v>Albania</v>
      </c>
      <c r="AWU13" s="319">
        <f t="shared" ref="AWU13" ca="1" si="4047">INDEX(AWQ11:AWQ15,MATCH(AWT13,AWH11:AWH15,0),0)</f>
        <v>1</v>
      </c>
      <c r="AWV13" s="319" t="str">
        <f t="shared" ref="AWV13:AWV14" ca="1" si="4048">IF(AND(AWV12&lt;&gt;"",AWU13=1),AWT13,"")</f>
        <v>Albania</v>
      </c>
      <c r="AWW13" s="319" t="str">
        <f t="shared" ref="AWW13:AWW14" ca="1" si="4049">IF(AND(AWW12&lt;&gt;"",AWU14=2),AWT14,"")</f>
        <v/>
      </c>
      <c r="AWX13" s="319" t="str">
        <f t="shared" ref="AWX13" ca="1" si="4050">IF(AND(AWX12&lt;&gt;"",AWU15=3),AWT15,"")</f>
        <v/>
      </c>
      <c r="AWY13" s="319"/>
      <c r="AWZ13" s="319"/>
      <c r="AXA13" s="319" t="str">
        <f t="shared" ca="1" si="2994"/>
        <v>Albania</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f t="shared" ca="1" si="3001"/>
        <v>0</v>
      </c>
      <c r="AXI13" s="319">
        <f t="shared" ref="AXI13" ca="1" si="4056">IF(AXA13&lt;&gt;"",VLOOKUP(AXA13,AWH4:AWN40,7,FALSE),"")</f>
        <v>1000</v>
      </c>
      <c r="AXJ13" s="319">
        <f t="shared" ref="AXJ13" ca="1" si="4057">IF(AXA13&lt;&gt;"",VLOOKUP(AXA13,AWH4:AWN40,5,FALSE),"")</f>
        <v>0</v>
      </c>
      <c r="AXK13" s="319">
        <f t="shared" ref="AXK13" ca="1" si="4058">IF(AXA13&lt;&gt;"",VLOOKUP(AXA13,AWH4:AWP40,9,FALSE),"")</f>
        <v>44</v>
      </c>
      <c r="AXL13" s="319">
        <f t="shared" ca="1" si="3005"/>
        <v>0</v>
      </c>
      <c r="AXM13" s="319">
        <f t="shared" ref="AXM13" ca="1" si="4059">IF(AXA13&lt;&gt;"",RANK(AXL13,AXL11:AXL15),"")</f>
        <v>1</v>
      </c>
      <c r="AXN13" s="319">
        <f t="shared" ref="AXN13" ca="1" si="4060">IF(AXA13&lt;&gt;"",SUMPRODUCT((AXL11:AXL15=AXL13)*(AXG11:AXG15&gt;AXG13)),"")</f>
        <v>0</v>
      </c>
      <c r="AXO13" s="319">
        <f t="shared" ref="AXO13" ca="1" si="4061">IF(AXA13&lt;&gt;"",SUMPRODUCT((AXL11:AXL15=AXL13)*(AXG11:AXG15=AXG13)*(AXE11:AXE15&gt;AXE13)),"")</f>
        <v>0</v>
      </c>
      <c r="AXP13" s="319">
        <f t="shared" ref="AXP13" ca="1" si="4062">IF(AXA13&lt;&gt;"",SUMPRODUCT((AXL11:AXL15=AXL13)*(AXG11:AXG15=AXG13)*(AXE11:AXE15=AXE13)*(AXI11:AXI15&gt;AXI13)),"")</f>
        <v>0</v>
      </c>
      <c r="AXQ13" s="319">
        <f t="shared" ref="AXQ13" ca="1" si="4063">IF(AXA13&lt;&gt;"",SUMPRODUCT((AXL11:AXL15=AXL13)*(AXG11:AXG15=AXG13)*(AXE11:AXE15=AXE13)*(AXI11:AXI15=AXI13)*(AXJ11:AXJ15&gt;AXJ13)),"")</f>
        <v>0</v>
      </c>
      <c r="AXR13" s="319">
        <f t="shared" ref="AXR13" ca="1" si="4064">IF(AXA13&lt;&gt;"",SUMPRODUCT((AXL11:AXL15=AXL13)*(AXG11:AXG15=AXG13)*(AXE11:AXE15=AXE13)*(AXI11:AXI15=AXI13)*(AXJ11:AXJ15=AXJ13)*(AXK11:AXK15&gt;AXK13)),"")</f>
        <v>1</v>
      </c>
      <c r="AXS13" s="319">
        <f ca="1">IF(AXA13&lt;&gt;"",IF(AXS53&lt;&gt;"",IF(AWZ50=3,AXS53,AXS53+AWZ50),SUM(AXM13:AXR13)),"")</f>
        <v>2</v>
      </c>
      <c r="AXT13" s="319" t="str">
        <f t="shared" ref="AXT13" ca="1" si="4065">IF(AXA13&lt;&gt;"",INDEX(AXA11:AXA15,MATCH(3,AXS11:AXS15,0),0),"")</f>
        <v>Croatia</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0</v>
      </c>
      <c r="BAH13" s="322">
        <f ca="1">IF(OFFSET('Player Game Board'!Q20,0,BAG1)&lt;&gt;"",OFFSET('Player Game Board'!Q20,0,BAG1),0)</f>
        <v>0</v>
      </c>
      <c r="BAI13" s="319" t="str">
        <f t="shared" si="131"/>
        <v>Georgia</v>
      </c>
      <c r="BAJ13" s="319" t="str">
        <f ca="1">IF(AND(OFFSET('Player Game Board'!P20,0,BAG1)&lt;&gt;"",OFFSET('Player Game Board'!Q20,0,BAG1)&lt;&gt;""),IF(BAG13&gt;BAH13,"W",IF(BAG13=BAH13,"D","L")),"")</f>
        <v/>
      </c>
      <c r="BAK13" s="319" t="str">
        <f t="shared" ca="1" si="132"/>
        <v/>
      </c>
      <c r="BAL13" s="319"/>
      <c r="BAM13" s="319"/>
      <c r="BAN13" s="324" t="s">
        <v>101</v>
      </c>
      <c r="BAO13" s="325" t="s">
        <v>102</v>
      </c>
      <c r="BAP13" s="325" t="s">
        <v>103</v>
      </c>
      <c r="BAQ13" s="325" t="s">
        <v>104</v>
      </c>
      <c r="BAR13" s="324" t="s">
        <v>101</v>
      </c>
      <c r="BAS13" s="324" t="s">
        <v>104</v>
      </c>
      <c r="BAT13" s="324" t="s">
        <v>102</v>
      </c>
      <c r="BAU13" s="324" t="s">
        <v>103</v>
      </c>
      <c r="BAV13" s="325"/>
      <c r="BAW13" s="326">
        <f t="shared" ref="BAW13" ca="1" si="4102">IFERROR(MATCH(BAW12,BAN13:BAQ13,0),0)</f>
        <v>1</v>
      </c>
      <c r="BAX13" s="326">
        <f t="shared" ref="BAX13" ca="1" si="4103">IFERROR(MATCH(BAX12,BAN13:BAQ13,0),0)</f>
        <v>4</v>
      </c>
      <c r="BAY13" s="326">
        <f t="shared" ref="BAY13" ca="1" si="4104">IFERROR(MATCH(BAY12,BAN13:BAQ13,0),0)</f>
        <v>2</v>
      </c>
      <c r="BAZ13" s="326">
        <f t="shared" ref="BAZ13" ca="1" si="4105">IFERROR(MATCH(BAZ12,BAN13:BAQ13,0),0)</f>
        <v>3</v>
      </c>
      <c r="BBA13" s="326">
        <f t="shared" ref="BBA13:BBA27" ca="1" si="4106">SUM(BAW13:BAZ13)</f>
        <v>10</v>
      </c>
      <c r="BBB13" s="325"/>
      <c r="BBC13" s="325" t="str">
        <f t="shared" ref="BBC13" ca="1" si="4107">IF(BBC38="A",INDEX(BAN3:BAN8,MATCH(1,BBA3:BBA8,0),0),"")</f>
        <v>Scotland</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101</v>
      </c>
      <c r="BFM13" s="325" t="s">
        <v>102</v>
      </c>
      <c r="BFN13" s="325" t="s">
        <v>103</v>
      </c>
      <c r="BFO13" s="325" t="s">
        <v>104</v>
      </c>
      <c r="BFP13" s="324" t="s">
        <v>101</v>
      </c>
      <c r="BFQ13" s="324" t="s">
        <v>104</v>
      </c>
      <c r="BFR13" s="324" t="s">
        <v>102</v>
      </c>
      <c r="BFS13" s="324" t="s">
        <v>103</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ht="13.8" x14ac:dyDescent="0.3">
      <c r="A14" s="319">
        <f>IF('Player Game Board'!B90="© 2024 | journalSHEET.com",VLOOKUP(B14,CW11:CX15,2,FALSE),1)</f>
        <v>4</v>
      </c>
      <c r="B14" s="319" t="str">
        <f>'Language Table'!C9</f>
        <v>Croatia</v>
      </c>
      <c r="C14" s="319">
        <f>SUMPRODUCT((CZ3:CZ42=B14)*(DD3:DD42="W"))+SUMPRODUCT((DC3:DC42=B14)*(DE3:DE42="W"))</f>
        <v>0</v>
      </c>
      <c r="D14" s="319">
        <f>SUMPRODUCT((CZ3:CZ42=B14)*(DD3:DD42="D"))+SUMPRODUCT((DC3:DC42=B14)*(DE3:DE42="D"))</f>
        <v>0</v>
      </c>
      <c r="E14" s="319">
        <f>SUMPRODUCT((CZ3:CZ42=B14)*(DD3:DD42="L"))+SUMPRODUCT((DC3:DC42=B14)*(DE3:DE42="L"))</f>
        <v>1</v>
      </c>
      <c r="F14" s="319">
        <f>SUMIF(CZ3:CZ60,B14,DA3:DA60)+SUMIF(DC3:DC60,B14,DB3:DB60)</f>
        <v>0</v>
      </c>
      <c r="G14" s="319">
        <f>SUMIF(DC3:DC60,B14,DA3:DA60)+SUMIF(CZ3:CZ60,B14,DB3:DB60)</f>
        <v>3</v>
      </c>
      <c r="H14" s="319">
        <f t="shared" si="2706"/>
        <v>997</v>
      </c>
      <c r="I14" s="319">
        <f t="shared" si="2707"/>
        <v>0</v>
      </c>
      <c r="J14" s="319">
        <v>40</v>
      </c>
      <c r="K14" s="319">
        <f>IF(COUNTIF(I11:I15,4)&lt;&gt;4,RANK(I14,I11:I15),I54)</f>
        <v>3</v>
      </c>
      <c r="L14" s="319"/>
      <c r="M14" s="319">
        <f>SUMPRODUCT((K11:K14=K14)*(J11:J14&lt;J14))+K14</f>
        <v>3</v>
      </c>
      <c r="N14" s="319" t="str">
        <f>INDEX(B11:B15,MATCH(4,M11:M15,0),0)</f>
        <v>Albania</v>
      </c>
      <c r="O14" s="319">
        <f>INDEX(K11:K15,MATCH(N14,B11:B15,0),0)</f>
        <v>3</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Albania</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0</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0</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0</v>
      </c>
      <c r="BO14" s="319">
        <f>BM14-BN14+1000</f>
        <v>1000</v>
      </c>
      <c r="BP14" s="319">
        <f t="shared" si="3539"/>
        <v>0</v>
      </c>
      <c r="BQ14" s="319">
        <f>IF(BI14&lt;&gt;"",VLOOKUP(BI14,B4:H40,7,FALSE),"")</f>
        <v>999</v>
      </c>
      <c r="BR14" s="319">
        <f>IF(BI14&lt;&gt;"",VLOOKUP(BI14,B4:H40,5,FALSE),"")</f>
        <v>1</v>
      </c>
      <c r="BS14" s="319">
        <f>IF(BI14&lt;&gt;"",VLOOKUP(BI14,B4:J40,9,FALSE),"")</f>
        <v>44</v>
      </c>
      <c r="BT14" s="319">
        <f t="shared" si="3540"/>
        <v>0</v>
      </c>
      <c r="BU14" s="319">
        <f>IF(BI14&lt;&gt;"",RANK(BT14,BT11:BT15),"")</f>
        <v>1</v>
      </c>
      <c r="BV14" s="319">
        <f>IF(BI14&lt;&gt;"",SUMPRODUCT((BT11:BT15=BT14)*(BO11:BO15&gt;BO14)),"")</f>
        <v>0</v>
      </c>
      <c r="BW14" s="319">
        <f>IF(BI14&lt;&gt;"",SUMPRODUCT((BT11:BT15=BT14)*(BO11:BO15=BO14)*(BM11:BM15&gt;BM14)),"")</f>
        <v>0</v>
      </c>
      <c r="BX14" s="319">
        <f>IF(BI14&lt;&gt;"",SUMPRODUCT((BT11:BT15=BT14)*(BO11:BO15=BO14)*(BM11:BM15=BM14)*(BQ11:BQ15&gt;BQ14)),"")</f>
        <v>0</v>
      </c>
      <c r="BY14" s="319">
        <f>IF(BI14&lt;&gt;"",SUMPRODUCT((BT11:BT15=BT14)*(BO11:BO15=BO14)*(BM11:BM15=BM14)*(BQ11:BQ15=BQ14)*(BR11:BR15&gt;BR14)),"")</f>
        <v>0</v>
      </c>
      <c r="BZ14" s="319">
        <f>IF(BI14&lt;&gt;"",SUMPRODUCT((BT11:BT15=BT14)*(BO11:BO15=BO14)*(BM11:BM15=BM14)*(BQ11:BQ15=BQ14)*(BR11:BR15=BR14)*(BS11:BS15&gt;BS14)),"")</f>
        <v>0</v>
      </c>
      <c r="CA14" s="319">
        <f>IF(BI14&lt;&gt;"",SUM(BU14:BZ14)+2,"")</f>
        <v>3</v>
      </c>
      <c r="CB14" s="319" t="str">
        <f>IF(BI14&lt;&gt;"",INDEX(BI13:BI15,MATCH(4,CA13:CA15,0),0),"")</f>
        <v>Croatia</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Croatia</v>
      </c>
      <c r="CX14" s="319">
        <v>4</v>
      </c>
      <c r="CY14" s="319">
        <v>12</v>
      </c>
      <c r="CZ14" s="319" t="str">
        <f>Matches!G19</f>
        <v>Portugal</v>
      </c>
      <c r="DA14" s="319">
        <f>IF(AND(Matches!H19&lt;&gt;"",Matches!I19&lt;&gt;""),Matches!H19,0)</f>
        <v>2</v>
      </c>
      <c r="DB14" s="319">
        <f>IF(AND(Matches!I19&lt;&gt;"",Matches!H19&lt;&gt;""),Matches!I19,0)</f>
        <v>1</v>
      </c>
      <c r="DC14" s="319" t="str">
        <f>Matches!J19</f>
        <v>Czechia</v>
      </c>
      <c r="DD14" s="319" t="str">
        <f>IF(AND(Matches!H19&lt;&gt;"",Matches!I19&lt;&gt;""),IF(DA14&gt;DB14,"W",IF(DA14=DB14,"D","L")),"")</f>
        <v>W</v>
      </c>
      <c r="DE14" s="319" t="str">
        <f t="shared" si="162"/>
        <v>L</v>
      </c>
      <c r="DF14" s="319"/>
      <c r="DG14" s="319"/>
      <c r="DH14" s="324" t="s">
        <v>101</v>
      </c>
      <c r="DI14" s="325" t="s">
        <v>102</v>
      </c>
      <c r="DJ14" s="325" t="s">
        <v>103</v>
      </c>
      <c r="DK14" s="325" t="s">
        <v>105</v>
      </c>
      <c r="DL14" s="324" t="s">
        <v>101</v>
      </c>
      <c r="DM14" s="324" t="s">
        <v>105</v>
      </c>
      <c r="DN14" s="324" t="s">
        <v>102</v>
      </c>
      <c r="DO14" s="324" t="s">
        <v>103</v>
      </c>
      <c r="DP14" s="325"/>
      <c r="DQ14" s="326">
        <f>IFERROR(MATCH(DQ12,DH14:DK14,0),0)</f>
        <v>3</v>
      </c>
      <c r="DR14" s="326">
        <f>IFERROR(MATCH(DR12,DH14:DK14,0),0)</f>
        <v>2</v>
      </c>
      <c r="DS14" s="326">
        <f>IFERROR(MATCH(DS12,DH14:DK14,0),0)</f>
        <v>0</v>
      </c>
      <c r="DT14" s="326">
        <f>IFERROR(MATCH(DT12,DH14:DK14,0),0)</f>
        <v>0</v>
      </c>
      <c r="DU14" s="326">
        <f t="shared" si="3541"/>
        <v>5</v>
      </c>
      <c r="DV14" s="325"/>
      <c r="DW14" s="325" t="str">
        <f>INDEX(DH3:DH8,MATCH(2,DU3:DU8,0),0)</f>
        <v>Albania</v>
      </c>
      <c r="DX14" s="325"/>
      <c r="DY14" s="319">
        <f ca="1">VLOOKUP(DZ14,HU11:HV15,2,FALSE)</f>
        <v>3</v>
      </c>
      <c r="DZ14" s="319" t="str">
        <f t="shared" si="3054"/>
        <v>Croatia</v>
      </c>
      <c r="EA14" s="319">
        <f ca="1">SUMPRODUCT((HX3:HX42=DZ14)*(IB3:IB42="W"))+SUMPRODUCT((IA3:IA42=DZ14)*(IC3:IC42="W"))</f>
        <v>1</v>
      </c>
      <c r="EB14" s="319">
        <f ca="1">SUMPRODUCT((HX3:HX42=DZ14)*(IB3:IB42="D"))+SUMPRODUCT((IA3:IA42=DZ14)*(IC3:IC42="D"))</f>
        <v>0</v>
      </c>
      <c r="EC14" s="319">
        <f ca="1">SUMPRODUCT((HX3:HX42=DZ14)*(IB3:IB42="L"))+SUMPRODUCT((IA3:IA42=DZ14)*(IC3:IC42="L"))</f>
        <v>2</v>
      </c>
      <c r="ED14" s="319">
        <f ca="1">SUMIF(HX3:HX60,DZ14,HY3:HY60)+SUMIF(IA3:IA60,DZ14,HZ3:HZ60)</f>
        <v>4</v>
      </c>
      <c r="EE14" s="319">
        <f ca="1">SUMIF(IA3:IA60,DZ14,HY3:HY60)+SUMIF(HX3:HX60,DZ14,HZ3:HZ60)</f>
        <v>6</v>
      </c>
      <c r="EF14" s="319">
        <f t="shared" ca="1" si="2710"/>
        <v>998</v>
      </c>
      <c r="EG14" s="319">
        <f t="shared" ca="1" si="2711"/>
        <v>3</v>
      </c>
      <c r="EH14" s="319">
        <f t="shared" si="609"/>
        <v>40</v>
      </c>
      <c r="EI14" s="319">
        <f ca="1">IF(COUNTIF(EG11:EG15,4)&lt;&gt;4,RANK(EG14,EG11:EG15),EG54)</f>
        <v>3</v>
      </c>
      <c r="EJ14" s="319"/>
      <c r="EK14" s="319">
        <f ca="1">SUMPRODUCT((EI11:EI14=EI14)*(EH11:EH14&lt;EH14))+EI14</f>
        <v>3</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3</v>
      </c>
      <c r="HZ14" s="322">
        <f ca="1">IF(OFFSET('Player Game Board'!Q21,0,HY1)&lt;&gt;"",OFFSET('Player Game Board'!Q21,0,HY1),0)</f>
        <v>1</v>
      </c>
      <c r="IA14" s="319" t="str">
        <f t="shared" si="165"/>
        <v>Czechia</v>
      </c>
      <c r="IB14" s="319" t="str">
        <f ca="1">IF(AND(OFFSET('Player Game Board'!P21,0,HY1)&lt;&gt;"",OFFSET('Player Game Board'!Q21,0,HY1)&lt;&gt;""),IF(HY14&gt;HZ14,"W",IF(HY14=HZ14,"D","L")),"")</f>
        <v>W</v>
      </c>
      <c r="IC14" s="319" t="str">
        <f t="shared" ca="1" si="166"/>
        <v>L</v>
      </c>
      <c r="ID14" s="319"/>
      <c r="IE14" s="319"/>
      <c r="IF14" s="324" t="s">
        <v>101</v>
      </c>
      <c r="IG14" s="325" t="s">
        <v>102</v>
      </c>
      <c r="IH14" s="325" t="s">
        <v>103</v>
      </c>
      <c r="II14" s="325" t="s">
        <v>105</v>
      </c>
      <c r="IJ14" s="324" t="s">
        <v>101</v>
      </c>
      <c r="IK14" s="324" t="s">
        <v>105</v>
      </c>
      <c r="IL14" s="324" t="s">
        <v>102</v>
      </c>
      <c r="IM14" s="324" t="s">
        <v>103</v>
      </c>
      <c r="IN14" s="325"/>
      <c r="IO14" s="326">
        <f ca="1">IFERROR(MATCH(IO12,IF14:II14,0),0)</f>
        <v>1</v>
      </c>
      <c r="IP14" s="326">
        <f ca="1">IFERROR(MATCH(IP12,IF14:II14,0),0)</f>
        <v>0</v>
      </c>
      <c r="IQ14" s="326">
        <f ca="1">IFERROR(MATCH(IQ12,IF14:II14,0),0)</f>
        <v>0</v>
      </c>
      <c r="IR14" s="326">
        <f ca="1">IFERROR(MATCH(IR12,IF14:II14,0),0)</f>
        <v>2</v>
      </c>
      <c r="IS14" s="326">
        <f t="shared" ca="1" si="3544"/>
        <v>3</v>
      </c>
      <c r="IT14" s="325"/>
      <c r="IU14" s="325" t="str">
        <f ca="1">INDEX(IF3:IF8,MATCH(2,IS3:IS8,0),0)</f>
        <v>Austria</v>
      </c>
      <c r="IV14" s="325"/>
      <c r="IW14" s="319">
        <f ca="1">VLOOKUP(IX14,MS11:MT15,2,FALSE)</f>
        <v>3</v>
      </c>
      <c r="IX14" s="319" t="str">
        <f t="shared" si="3058"/>
        <v>Croatia</v>
      </c>
      <c r="IY14" s="319">
        <f ca="1">SUMPRODUCT((MV3:MV42=IX14)*(MZ3:MZ42="W"))+SUMPRODUCT((MY3:MY42=IX14)*(NA3:NA42="W"))</f>
        <v>1</v>
      </c>
      <c r="IZ14" s="319">
        <f ca="1">SUMPRODUCT((MV3:MV42=IX14)*(MZ3:MZ42="D"))+SUMPRODUCT((MY3:MY42=IX14)*(NA3:NA42="D"))</f>
        <v>1</v>
      </c>
      <c r="JA14" s="319">
        <f ca="1">SUMPRODUCT((MV3:MV42=IX14)*(MZ3:MZ42="L"))+SUMPRODUCT((MY3:MY42=IX14)*(NA3:NA42="L"))</f>
        <v>1</v>
      </c>
      <c r="JB14" s="319">
        <f ca="1">SUMIF(MV3:MV60,IX14,MW3:MW60)+SUMIF(MY3:MY60,IX14,MX3:MX60)</f>
        <v>5</v>
      </c>
      <c r="JC14" s="319">
        <f ca="1">SUMIF(MY3:MY60,IX14,MW3:MW60)+SUMIF(MV3:MV60,IX14,MX3:MX60)</f>
        <v>3</v>
      </c>
      <c r="JD14" s="319">
        <f t="shared" ca="1" si="2714"/>
        <v>1002</v>
      </c>
      <c r="JE14" s="319">
        <f t="shared" ca="1" si="2715"/>
        <v>4</v>
      </c>
      <c r="JF14" s="319">
        <f t="shared" si="618"/>
        <v>40</v>
      </c>
      <c r="JG14" s="319">
        <f ca="1">IF(COUNTIF(JE11:JE15,4)&lt;&gt;4,RANK(JE14,JE11:JE15),JE54)</f>
        <v>3</v>
      </c>
      <c r="JH14" s="319"/>
      <c r="JI14" s="319">
        <f ca="1">SUMPRODUCT((JG11:JG14=JG14)*(JF11:JF14&lt;JF14))+JG14</f>
        <v>3</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1</v>
      </c>
      <c r="MX14" s="322">
        <f ca="1">IF(OFFSET('Player Game Board'!Q21,0,MW1)&lt;&gt;"",OFFSET('Player Game Board'!Q21,0,MW1),0)</f>
        <v>3</v>
      </c>
      <c r="MY14" s="319" t="str">
        <f t="shared" si="171"/>
        <v>Czechia</v>
      </c>
      <c r="MZ14" s="319" t="str">
        <f ca="1">IF(AND(OFFSET('Player Game Board'!P21,0,MW1)&lt;&gt;"",OFFSET('Player Game Board'!Q21,0,MW1)&lt;&gt;""),IF(MW14&gt;MX14,"W",IF(MW14=MX14,"D","L")),"")</f>
        <v>L</v>
      </c>
      <c r="NA14" s="319" t="str">
        <f t="shared" ca="1" si="172"/>
        <v>W</v>
      </c>
      <c r="NB14" s="319"/>
      <c r="NC14" s="319"/>
      <c r="ND14" s="324" t="s">
        <v>101</v>
      </c>
      <c r="NE14" s="325" t="s">
        <v>102</v>
      </c>
      <c r="NF14" s="325" t="s">
        <v>103</v>
      </c>
      <c r="NG14" s="325" t="s">
        <v>105</v>
      </c>
      <c r="NH14" s="324" t="s">
        <v>101</v>
      </c>
      <c r="NI14" s="324" t="s">
        <v>105</v>
      </c>
      <c r="NJ14" s="324" t="s">
        <v>102</v>
      </c>
      <c r="NK14" s="324" t="s">
        <v>103</v>
      </c>
      <c r="NL14" s="325"/>
      <c r="NM14" s="326">
        <f ca="1">IFERROR(MATCH(NM12,ND14:NG14,0),0)</f>
        <v>2</v>
      </c>
      <c r="NN14" s="326">
        <f ca="1">IFERROR(MATCH(NN12,ND14:NG14,0),0)</f>
        <v>1</v>
      </c>
      <c r="NO14" s="326">
        <f ca="1">IFERROR(MATCH(NO12,ND14:NG14,0),0)</f>
        <v>0</v>
      </c>
      <c r="NP14" s="326">
        <f ca="1">IFERROR(MATCH(NP12,ND14:NG14,0),0)</f>
        <v>4</v>
      </c>
      <c r="NQ14" s="326">
        <f t="shared" ca="1" si="3547"/>
        <v>7</v>
      </c>
      <c r="NR14" s="325"/>
      <c r="NS14" s="325" t="str">
        <f ca="1">INDEX(ND3:ND8,MATCH(2,NQ3:NQ8,0),0)</f>
        <v>Hungary</v>
      </c>
      <c r="NT14" s="325"/>
      <c r="NU14" s="319">
        <f t="shared" ref="NU14" ca="1" si="4184">VLOOKUP(NV14,RQ11:RR15,2,FALSE)</f>
        <v>3</v>
      </c>
      <c r="NV14" s="319" t="str">
        <f t="shared" si="2719"/>
        <v>Croatia</v>
      </c>
      <c r="NW14" s="319">
        <f t="shared" ref="NW14" ca="1" si="4185">SUMPRODUCT((RT3:RT42=NV14)*(RX3:RX42="W"))+SUMPRODUCT((RW3:RW42=NV14)*(RY3:RY42="W"))</f>
        <v>1</v>
      </c>
      <c r="NX14" s="319">
        <f t="shared" ref="NX14" ca="1" si="4186">SUMPRODUCT((RT3:RT42=NV14)*(RX3:RX42="D"))+SUMPRODUCT((RW3:RW42=NV14)*(RY3:RY42="D"))</f>
        <v>0</v>
      </c>
      <c r="NY14" s="319">
        <f t="shared" ref="NY14" ca="1" si="4187">SUMPRODUCT((RT3:RT42=NV14)*(RX3:RX42="L"))+SUMPRODUCT((RW3:RW42=NV14)*(RY3:RY42="L"))</f>
        <v>2</v>
      </c>
      <c r="NZ14" s="319">
        <f t="shared" ref="NZ14" ca="1" si="4188">SUMIF(RT3:RT60,NV14,RU3:RU60)+SUMIF(RW3:RW60,NV14,RV3:RV60)</f>
        <v>4</v>
      </c>
      <c r="OA14" s="319">
        <f t="shared" ref="OA14" ca="1" si="4189">SUMIF(RW3:RW60,NV14,RU3:RU60)+SUMIF(RT3:RT60,NV14,RV3:RV60)</f>
        <v>4</v>
      </c>
      <c r="OB14" s="319">
        <f t="shared" ca="1" si="2725"/>
        <v>1000</v>
      </c>
      <c r="OC14" s="319">
        <f t="shared" ca="1" si="2726"/>
        <v>3</v>
      </c>
      <c r="OD14" s="319">
        <f t="shared" si="630"/>
        <v>40</v>
      </c>
      <c r="OE14" s="319">
        <f t="shared" ref="OE14" ca="1" si="4190">IF(COUNTIF(OC11:OC15,4)&lt;&gt;4,RANK(OC14,OC11:OC15),OC54)</f>
        <v>3</v>
      </c>
      <c r="OF14" s="319"/>
      <c r="OG14" s="319">
        <f t="shared" ref="OG14" ca="1" si="4191">SUMPRODUCT((OE11:OE14=OE14)*(OD11:OD14&lt;OD14))+OE14</f>
        <v>3</v>
      </c>
      <c r="OH14" s="319" t="str">
        <f t="shared" ref="OH14" ca="1" si="4192">INDEX(NV11:NV15,MATCH(4,OG11:OG15,0),0)</f>
        <v>Albania</v>
      </c>
      <c r="OI14" s="319">
        <f t="shared" ref="OI14" ca="1" si="4193">INDEX(OE11:OE15,MATCH(OH14,NV11:NV15,0),0)</f>
        <v>4</v>
      </c>
      <c r="OJ14" s="319" t="str">
        <f t="shared" ca="1" si="3558"/>
        <v/>
      </c>
      <c r="OK14" s="319" t="str">
        <f t="shared" ca="1" si="3559"/>
        <v/>
      </c>
      <c r="OL14" s="319"/>
      <c r="OM14" s="319"/>
      <c r="ON14" s="319"/>
      <c r="OO14" s="319" t="str">
        <f t="shared" ca="1" si="2735"/>
        <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t="str">
        <f t="shared" ca="1" si="2742"/>
        <v/>
      </c>
      <c r="OW14" s="319" t="str">
        <f t="shared" ref="OW14" ca="1" si="4199">IF(OO14&lt;&gt;"",VLOOKUP(OO14,NV4:OB40,7,FALSE),"")</f>
        <v/>
      </c>
      <c r="OX14" s="319" t="str">
        <f t="shared" ref="OX14" ca="1" si="4200">IF(OO14&lt;&gt;"",VLOOKUP(OO14,NV4:OB40,5,FALSE),"")</f>
        <v/>
      </c>
      <c r="OY14" s="319" t="str">
        <f t="shared" ref="OY14" ca="1" si="4201">IF(OO14&lt;&gt;"",VLOOKUP(OO14,NV4:OD40,9,FALSE),"")</f>
        <v/>
      </c>
      <c r="OZ14" s="319" t="str">
        <f t="shared" ca="1" si="2746"/>
        <v/>
      </c>
      <c r="PA14" s="319" t="str">
        <f t="shared" ref="PA14" ca="1" si="4202">IF(OO14&lt;&gt;"",RANK(OZ14,OZ11:OZ15),"")</f>
        <v/>
      </c>
      <c r="PB14" s="319" t="str">
        <f t="shared" ref="PB14" ca="1" si="4203">IF(OO14&lt;&gt;"",SUMPRODUCT((OZ11:OZ15=OZ14)*(OU11:OU15&gt;OU14)),"")</f>
        <v/>
      </c>
      <c r="PC14" s="319" t="str">
        <f t="shared" ref="PC14" ca="1" si="4204">IF(OO14&lt;&gt;"",SUMPRODUCT((OZ11:OZ15=OZ14)*(OU11:OU15=OU14)*(OS11:OS15&gt;OS14)),"")</f>
        <v/>
      </c>
      <c r="PD14" s="319" t="str">
        <f t="shared" ref="PD14" ca="1" si="4205">IF(OO14&lt;&gt;"",SUMPRODUCT((OZ11:OZ15=OZ14)*(OU11:OU15=OU14)*(OS11:OS15=OS14)*(OW11:OW15&gt;OW14)),"")</f>
        <v/>
      </c>
      <c r="PE14" s="319" t="str">
        <f t="shared" ref="PE14" ca="1" si="4206">IF(OO14&lt;&gt;"",SUMPRODUCT((OZ11:OZ15=OZ14)*(OU11:OU15=OU14)*(OS11:OS15=OS14)*(OW11:OW15=OW14)*(OX11:OX15&gt;OX14)),"")</f>
        <v/>
      </c>
      <c r="PF14" s="319" t="str">
        <f t="shared" ref="PF14" ca="1" si="4207">IF(OO14&lt;&gt;"",SUMPRODUCT((OZ11:OZ15=OZ14)*(OU11:OU15=OU14)*(OS11:OS15=OS14)*(OW11:OW15=OW14)*(OX11:OX15=OX14)*(OY11:OY15&gt;OY14)),"")</f>
        <v/>
      </c>
      <c r="PG14" s="319" t="str">
        <f ca="1">IF(OO14&lt;&gt;"",IF(PG54&lt;&gt;"",IF(ON50=3,PG54,PG54+ON50),SUM(PA14:PF14)),"")</f>
        <v/>
      </c>
      <c r="PH14" s="319" t="str">
        <f t="shared" ref="PH14" ca="1" si="4208">IF(OO14&lt;&gt;"",INDEX(OO11:OO15,MATCH(4,PG11:PG15,0),0),"")</f>
        <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Albania</v>
      </c>
      <c r="RR14" s="319">
        <v>4</v>
      </c>
      <c r="RS14" s="319">
        <v>12</v>
      </c>
      <c r="RT14" s="319" t="str">
        <f t="shared" si="18"/>
        <v>Portugal</v>
      </c>
      <c r="RU14" s="322">
        <f ca="1">IF(OFFSET('Player Game Board'!P21,0,RU1)&lt;&gt;"",OFFSET('Player Game Board'!P21,0,RU1),0)</f>
        <v>2</v>
      </c>
      <c r="RV14" s="322">
        <f ca="1">IF(OFFSET('Player Game Board'!Q21,0,RU1)&lt;&gt;"",OFFSET('Player Game Board'!Q21,0,RU1),0)</f>
        <v>0</v>
      </c>
      <c r="RW14" s="319" t="str">
        <f t="shared" si="19"/>
        <v>Czechia</v>
      </c>
      <c r="RX14" s="319" t="str">
        <f ca="1">IF(AND(OFFSET('Player Game Board'!P21,0,RU1)&lt;&gt;"",OFFSET('Player Game Board'!Q21,0,RU1)&lt;&gt;""),IF(RU14&gt;RV14,"W",IF(RU14=RV14,"D","L")),"")</f>
        <v>W</v>
      </c>
      <c r="RY14" s="319" t="str">
        <f t="shared" ca="1" si="20"/>
        <v>L</v>
      </c>
      <c r="RZ14" s="319"/>
      <c r="SA14" s="319"/>
      <c r="SB14" s="324" t="s">
        <v>101</v>
      </c>
      <c r="SC14" s="325" t="s">
        <v>102</v>
      </c>
      <c r="SD14" s="325" t="s">
        <v>103</v>
      </c>
      <c r="SE14" s="325" t="s">
        <v>105</v>
      </c>
      <c r="SF14" s="324" t="s">
        <v>101</v>
      </c>
      <c r="SG14" s="324" t="s">
        <v>105</v>
      </c>
      <c r="SH14" s="324" t="s">
        <v>102</v>
      </c>
      <c r="SI14" s="324" t="s">
        <v>103</v>
      </c>
      <c r="SJ14" s="325"/>
      <c r="SK14" s="326">
        <f t="shared" ref="SK14" ca="1" si="4260">IFERROR(MATCH(SK12,SB14:SE14,0),0)</f>
        <v>3</v>
      </c>
      <c r="SL14" s="326">
        <f t="shared" ref="SL14" ca="1" si="4261">IFERROR(MATCH(SL12,SB14:SE14,0),0)</f>
        <v>2</v>
      </c>
      <c r="SM14" s="326">
        <f t="shared" ref="SM14" ca="1" si="4262">IFERROR(MATCH(SM12,SB14:SE14,0),0)</f>
        <v>0</v>
      </c>
      <c r="SN14" s="326">
        <f t="shared" ref="SN14" ca="1" si="4263">IFERROR(MATCH(SN12,SB14:SE14,0),0)</f>
        <v>4</v>
      </c>
      <c r="SO14" s="326">
        <f t="shared" ca="1" si="3616"/>
        <v>9</v>
      </c>
      <c r="SP14" s="325"/>
      <c r="SQ14" s="325" t="str">
        <f t="shared" ref="SQ14" ca="1" si="4264">INDEX(SB3:SB8,MATCH(2,SO3:SO8,0),0)</f>
        <v>Croatia</v>
      </c>
      <c r="SR14" s="325"/>
      <c r="SS14" s="319">
        <f t="shared" ref="SS14" ca="1" si="4265">VLOOKUP(ST14,WO11:WP15,2,FALSE)</f>
        <v>3</v>
      </c>
      <c r="ST14" s="319" t="str">
        <f t="shared" si="2756"/>
        <v>Croatia</v>
      </c>
      <c r="SU14" s="319">
        <f t="shared" ref="SU14" ca="1" si="4266">SUMPRODUCT((WR3:WR42=ST14)*(WV3:WV42="W"))+SUMPRODUCT((WU3:WU42=ST14)*(WW3:WW42="W"))</f>
        <v>1</v>
      </c>
      <c r="SV14" s="319">
        <f t="shared" ref="SV14" ca="1" si="4267">SUMPRODUCT((WR3:WR42=ST14)*(WV3:WV42="D"))+SUMPRODUCT((WU3:WU42=ST14)*(WW3:WW42="D"))</f>
        <v>0</v>
      </c>
      <c r="SW14" s="319">
        <f t="shared" ref="SW14" ca="1" si="4268">SUMPRODUCT((WR3:WR42=ST14)*(WV3:WV42="L"))+SUMPRODUCT((WU3:WU42=ST14)*(WW3:WW42="L"))</f>
        <v>2</v>
      </c>
      <c r="SX14" s="319">
        <f t="shared" ref="SX14" ca="1" si="4269">SUMIF(WR3:WR60,ST14,WS3:WS60)+SUMIF(WU3:WU60,ST14,WT3:WT60)</f>
        <v>4</v>
      </c>
      <c r="SY14" s="319">
        <f t="shared" ref="SY14" ca="1" si="4270">SUMIF(WU3:WU60,ST14,WS3:WS60)+SUMIF(WR3:WR60,ST14,WT3:WT60)</f>
        <v>4</v>
      </c>
      <c r="SZ14" s="319">
        <f t="shared" ca="1" si="2762"/>
        <v>1000</v>
      </c>
      <c r="TA14" s="319">
        <f t="shared" ca="1" si="2763"/>
        <v>3</v>
      </c>
      <c r="TB14" s="319">
        <f t="shared" si="690"/>
        <v>40</v>
      </c>
      <c r="TC14" s="319">
        <f t="shared" ref="TC14" ca="1" si="4271">IF(COUNTIF(TA11:TA15,4)&lt;&gt;4,RANK(TA14,TA11:TA15),TA54)</f>
        <v>3</v>
      </c>
      <c r="TD14" s="319"/>
      <c r="TE14" s="319">
        <f t="shared" ref="TE14" ca="1" si="4272">SUMPRODUCT((TC11:TC14=TC14)*(TB11:TB14&lt;TB14))+TC14</f>
        <v>3</v>
      </c>
      <c r="TF14" s="319" t="str">
        <f t="shared" ref="TF14" ca="1" si="4273">INDEX(ST11:ST15,MATCH(4,TE11:TE15,0),0)</f>
        <v>Albania</v>
      </c>
      <c r="TG14" s="319">
        <f t="shared" ref="TG14" ca="1" si="4274">INDEX(TC11:TC15,MATCH(TF14,ST11:ST15,0),0)</f>
        <v>4</v>
      </c>
      <c r="TH14" s="319" t="str">
        <f t="shared" ca="1" si="3628"/>
        <v/>
      </c>
      <c r="TI14" s="319" t="str">
        <f t="shared" ca="1" si="3629"/>
        <v/>
      </c>
      <c r="TJ14" s="319"/>
      <c r="TK14" s="319"/>
      <c r="TL14" s="319"/>
      <c r="TM14" s="319" t="str">
        <f t="shared" ca="1" si="2772"/>
        <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t="str">
        <f t="shared" ca="1" si="2779"/>
        <v/>
      </c>
      <c r="TU14" s="319" t="str">
        <f t="shared" ref="TU14" ca="1" si="4280">IF(TM14&lt;&gt;"",VLOOKUP(TM14,ST4:SZ40,7,FALSE),"")</f>
        <v/>
      </c>
      <c r="TV14" s="319" t="str">
        <f t="shared" ref="TV14" ca="1" si="4281">IF(TM14&lt;&gt;"",VLOOKUP(TM14,ST4:SZ40,5,FALSE),"")</f>
        <v/>
      </c>
      <c r="TW14" s="319" t="str">
        <f t="shared" ref="TW14" ca="1" si="4282">IF(TM14&lt;&gt;"",VLOOKUP(TM14,ST4:TB40,9,FALSE),"")</f>
        <v/>
      </c>
      <c r="TX14" s="319" t="str">
        <f t="shared" ca="1" si="2783"/>
        <v/>
      </c>
      <c r="TY14" s="319" t="str">
        <f t="shared" ref="TY14" ca="1" si="4283">IF(TM14&lt;&gt;"",RANK(TX14,TX11:TX15),"")</f>
        <v/>
      </c>
      <c r="TZ14" s="319" t="str">
        <f t="shared" ref="TZ14" ca="1" si="4284">IF(TM14&lt;&gt;"",SUMPRODUCT((TX11:TX15=TX14)*(TS11:TS15&gt;TS14)),"")</f>
        <v/>
      </c>
      <c r="UA14" s="319" t="str">
        <f t="shared" ref="UA14" ca="1" si="4285">IF(TM14&lt;&gt;"",SUMPRODUCT((TX11:TX15=TX14)*(TS11:TS15=TS14)*(TQ11:TQ15&gt;TQ14)),"")</f>
        <v/>
      </c>
      <c r="UB14" s="319" t="str">
        <f t="shared" ref="UB14" ca="1" si="4286">IF(TM14&lt;&gt;"",SUMPRODUCT((TX11:TX15=TX14)*(TS11:TS15=TS14)*(TQ11:TQ15=TQ14)*(TU11:TU15&gt;TU14)),"")</f>
        <v/>
      </c>
      <c r="UC14" s="319" t="str">
        <f t="shared" ref="UC14" ca="1" si="4287">IF(TM14&lt;&gt;"",SUMPRODUCT((TX11:TX15=TX14)*(TS11:TS15=TS14)*(TQ11:TQ15=TQ14)*(TU11:TU15=TU14)*(TV11:TV15&gt;TV14)),"")</f>
        <v/>
      </c>
      <c r="UD14" s="319" t="str">
        <f t="shared" ref="UD14" ca="1" si="4288">IF(TM14&lt;&gt;"",SUMPRODUCT((TX11:TX15=TX14)*(TS11:TS15=TS14)*(TQ11:TQ15=TQ14)*(TU11:TU15=TU14)*(TV11:TV15=TV14)*(TW11:TW15&gt;TW14)),"")</f>
        <v/>
      </c>
      <c r="UE14" s="319" t="str">
        <f ca="1">IF(TM14&lt;&gt;"",IF(UE54&lt;&gt;"",IF(TL50=3,UE54,UE54+TL50),SUM(TY14:UD14)),"")</f>
        <v/>
      </c>
      <c r="UF14" s="319" t="str">
        <f t="shared" ref="UF14" ca="1" si="4289">IF(TM14&lt;&gt;"",INDEX(TM11:TM15,MATCH(4,UE11:UE15,0),0),"")</f>
        <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Albania</v>
      </c>
      <c r="WP14" s="319">
        <v>4</v>
      </c>
      <c r="WQ14" s="319">
        <v>12</v>
      </c>
      <c r="WR14" s="319" t="str">
        <f t="shared" si="34"/>
        <v>Portugal</v>
      </c>
      <c r="WS14" s="322">
        <f ca="1">IF(OFFSET('Player Game Board'!P21,0,WS1)&lt;&gt;"",OFFSET('Player Game Board'!P21,0,WS1),0)</f>
        <v>1</v>
      </c>
      <c r="WT14" s="322">
        <f ca="1">IF(OFFSET('Player Game Board'!Q21,0,WS1)&lt;&gt;"",OFFSET('Player Game Board'!Q21,0,WS1),0)</f>
        <v>0</v>
      </c>
      <c r="WU14" s="319" t="str">
        <f t="shared" si="35"/>
        <v>Czechia</v>
      </c>
      <c r="WV14" s="319" t="str">
        <f ca="1">IF(AND(OFFSET('Player Game Board'!P21,0,WS1)&lt;&gt;"",OFFSET('Player Game Board'!Q21,0,WS1)&lt;&gt;""),IF(WS14&gt;WT14,"W",IF(WS14=WT14,"D","L")),"")</f>
        <v>W</v>
      </c>
      <c r="WW14" s="319" t="str">
        <f t="shared" ca="1" si="36"/>
        <v>L</v>
      </c>
      <c r="WX14" s="319"/>
      <c r="WY14" s="319"/>
      <c r="WZ14" s="324" t="s">
        <v>101</v>
      </c>
      <c r="XA14" s="325" t="s">
        <v>102</v>
      </c>
      <c r="XB14" s="325" t="s">
        <v>103</v>
      </c>
      <c r="XC14" s="325" t="s">
        <v>105</v>
      </c>
      <c r="XD14" s="324" t="s">
        <v>101</v>
      </c>
      <c r="XE14" s="324" t="s">
        <v>105</v>
      </c>
      <c r="XF14" s="324" t="s">
        <v>102</v>
      </c>
      <c r="XG14" s="324" t="s">
        <v>103</v>
      </c>
      <c r="XH14" s="325"/>
      <c r="XI14" s="326">
        <f t="shared" ref="XI14" ca="1" si="4341">IFERROR(MATCH(XI12,WZ14:XC14,0),0)</f>
        <v>0</v>
      </c>
      <c r="XJ14" s="326">
        <f t="shared" ref="XJ14" ca="1" si="4342">IFERROR(MATCH(XJ12,WZ14:XC14,0),0)</f>
        <v>4</v>
      </c>
      <c r="XK14" s="326">
        <f t="shared" ref="XK14" ca="1" si="4343">IFERROR(MATCH(XK12,WZ14:XC14,0),0)</f>
        <v>2</v>
      </c>
      <c r="XL14" s="326">
        <f t="shared" ref="XL14" ca="1" si="4344">IFERROR(MATCH(XL12,WZ14:XC14,0),0)</f>
        <v>1</v>
      </c>
      <c r="XM14" s="326">
        <f t="shared" ca="1" si="3686"/>
        <v>7</v>
      </c>
      <c r="XN14" s="325"/>
      <c r="XO14" s="325" t="str">
        <f t="shared" ref="XO14" ca="1" si="4345">INDEX(WZ3:WZ8,MATCH(2,XM3:XM8,0),0)</f>
        <v>Ukraine</v>
      </c>
      <c r="XP14" s="325"/>
      <c r="XQ14" s="319">
        <f t="shared" ref="XQ14" ca="1" si="4346">VLOOKUP(XR14,ABM11:ABN15,2,FALSE)</f>
        <v>2</v>
      </c>
      <c r="XR14" s="319" t="str">
        <f t="shared" si="2793"/>
        <v>Croatia</v>
      </c>
      <c r="XS14" s="319">
        <f t="shared" ref="XS14" ca="1" si="4347">SUMPRODUCT((ABP3:ABP42=XR14)*(ABT3:ABT42="W"))+SUMPRODUCT((ABS3:ABS42=XR14)*(ABU3:ABU42="W"))</f>
        <v>1</v>
      </c>
      <c r="XT14" s="319">
        <f t="shared" ref="XT14" ca="1" si="4348">SUMPRODUCT((ABP3:ABP42=XR14)*(ABT3:ABT42="D"))+SUMPRODUCT((ABS3:ABS42=XR14)*(ABU3:ABU42="D"))</f>
        <v>2</v>
      </c>
      <c r="XU14" s="319">
        <f t="shared" ref="XU14" ca="1" si="4349">SUMPRODUCT((ABP3:ABP42=XR14)*(ABT3:ABT42="L"))+SUMPRODUCT((ABS3:ABS42=XR14)*(ABU3:ABU42="L"))</f>
        <v>0</v>
      </c>
      <c r="XV14" s="319">
        <f t="shared" ref="XV14" ca="1" si="4350">SUMIF(ABP3:ABP60,XR14,ABQ3:ABQ60)+SUMIF(ABS3:ABS60,XR14,ABR3:ABR60)</f>
        <v>4</v>
      </c>
      <c r="XW14" s="319">
        <f t="shared" ref="XW14" ca="1" si="4351">SUMIF(ABS3:ABS60,XR14,ABQ3:ABQ60)+SUMIF(ABP3:ABP60,XR14,ABR3:ABR60)</f>
        <v>2</v>
      </c>
      <c r="XX14" s="319">
        <f t="shared" ca="1" si="2799"/>
        <v>1002</v>
      </c>
      <c r="XY14" s="319">
        <f t="shared" ca="1" si="2800"/>
        <v>5</v>
      </c>
      <c r="XZ14" s="319">
        <f t="shared" si="750"/>
        <v>40</v>
      </c>
      <c r="YA14" s="319">
        <f t="shared" ref="YA14" ca="1" si="4352">IF(COUNTIF(XY11:XY15,4)&lt;&gt;4,RANK(XY14,XY11:XY15),XY54)</f>
        <v>2</v>
      </c>
      <c r="YB14" s="319"/>
      <c r="YC14" s="319">
        <f t="shared" ref="YC14" ca="1" si="4353">SUMPRODUCT((YA11:YA14=YA14)*(XZ11:XZ14&lt;XZ14))+YA14</f>
        <v>2</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3</v>
      </c>
      <c r="ABR14" s="322">
        <f ca="1">IF(OFFSET('Player Game Board'!Q21,0,ABQ1)&lt;&gt;"",OFFSET('Player Game Board'!Q21,0,ABQ1),0)</f>
        <v>1</v>
      </c>
      <c r="ABS14" s="319" t="str">
        <f t="shared" si="51"/>
        <v>Czechia</v>
      </c>
      <c r="ABT14" s="319" t="str">
        <f ca="1">IF(AND(OFFSET('Player Game Board'!P21,0,ABQ1)&lt;&gt;"",OFFSET('Player Game Board'!Q21,0,ABQ1)&lt;&gt;""),IF(ABQ14&gt;ABR14,"W",IF(ABQ14=ABR14,"D","L")),"")</f>
        <v>W</v>
      </c>
      <c r="ABU14" s="319" t="str">
        <f t="shared" ca="1" si="52"/>
        <v>L</v>
      </c>
      <c r="ABV14" s="319"/>
      <c r="ABW14" s="319"/>
      <c r="ABX14" s="324" t="s">
        <v>101</v>
      </c>
      <c r="ABY14" s="325" t="s">
        <v>102</v>
      </c>
      <c r="ABZ14" s="325" t="s">
        <v>103</v>
      </c>
      <c r="ACA14" s="325" t="s">
        <v>105</v>
      </c>
      <c r="ACB14" s="324" t="s">
        <v>101</v>
      </c>
      <c r="ACC14" s="324" t="s">
        <v>105</v>
      </c>
      <c r="ACD14" s="324" t="s">
        <v>102</v>
      </c>
      <c r="ACE14" s="324" t="s">
        <v>103</v>
      </c>
      <c r="ACF14" s="325"/>
      <c r="ACG14" s="326">
        <f t="shared" ref="ACG14" ca="1" si="4422">IFERROR(MATCH(ACG12,ABX14:ACA14,0),0)</f>
        <v>3</v>
      </c>
      <c r="ACH14" s="326">
        <f t="shared" ref="ACH14" ca="1" si="4423">IFERROR(MATCH(ACH12,ABX14:ACA14,0),0)</f>
        <v>2</v>
      </c>
      <c r="ACI14" s="326">
        <f t="shared" ref="ACI14" ca="1" si="4424">IFERROR(MATCH(ACI12,ABX14:ACA14,0),0)</f>
        <v>0</v>
      </c>
      <c r="ACJ14" s="326">
        <f t="shared" ref="ACJ14" ca="1" si="4425">IFERROR(MATCH(ACJ12,ABX14:ACA14,0),0)</f>
        <v>1</v>
      </c>
      <c r="ACK14" s="326">
        <f t="shared" ca="1" si="3756"/>
        <v>6</v>
      </c>
      <c r="ACL14" s="325"/>
      <c r="ACM14" s="325" t="str">
        <f t="shared" ref="ACM14" ca="1" si="4426">INDEX(ABX3:ABX8,MATCH(2,ACK3:ACK8,0),0)</f>
        <v>Spain</v>
      </c>
      <c r="ACN14" s="325"/>
      <c r="ACO14" s="319">
        <f t="shared" ref="ACO14" ca="1" si="4427">VLOOKUP(ACP14,AGK11:AGL15,2,FALSE)</f>
        <v>3</v>
      </c>
      <c r="ACP14" s="319" t="str">
        <f t="shared" si="2830"/>
        <v>Croatia</v>
      </c>
      <c r="ACQ14" s="319">
        <f t="shared" ref="ACQ14" ca="1" si="4428">SUMPRODUCT((AGN3:AGN42=ACP14)*(AGR3:AGR42="W"))+SUMPRODUCT((AGQ3:AGQ42=ACP14)*(AGS3:AGS42="W"))</f>
        <v>1</v>
      </c>
      <c r="ACR14" s="319">
        <f t="shared" ref="ACR14" ca="1" si="4429">SUMPRODUCT((AGN3:AGN42=ACP14)*(AGR3:AGR42="D"))+SUMPRODUCT((AGQ3:AGQ42=ACP14)*(AGS3:AGS42="D"))</f>
        <v>0</v>
      </c>
      <c r="ACS14" s="319">
        <f t="shared" ref="ACS14" ca="1" si="4430">SUMPRODUCT((AGN3:AGN42=ACP14)*(AGR3:AGR42="L"))+SUMPRODUCT((AGQ3:AGQ42=ACP14)*(AGS3:AGS42="L"))</f>
        <v>2</v>
      </c>
      <c r="ACT14" s="319">
        <f t="shared" ref="ACT14" ca="1" si="4431">SUMIF(AGN3:AGN60,ACP14,AGO3:AGO60)+SUMIF(AGQ3:AGQ60,ACP14,AGP3:AGP60)</f>
        <v>4</v>
      </c>
      <c r="ACU14" s="319">
        <f t="shared" ref="ACU14" ca="1" si="4432">SUMIF(AGQ3:AGQ60,ACP14,AGO3:AGO60)+SUMIF(AGN3:AGN60,ACP14,AGP3:AGP60)</f>
        <v>4</v>
      </c>
      <c r="ACV14" s="319">
        <f t="shared" ca="1" si="2836"/>
        <v>1000</v>
      </c>
      <c r="ACW14" s="319">
        <f t="shared" ca="1" si="2837"/>
        <v>3</v>
      </c>
      <c r="ACX14" s="319">
        <f t="shared" si="810"/>
        <v>40</v>
      </c>
      <c r="ACY14" s="319">
        <f t="shared" ref="ACY14" ca="1" si="4433">IF(COUNTIF(ACW11:ACW15,4)&lt;&gt;4,RANK(ACW14,ACW11:ACW15),ACW54)</f>
        <v>3</v>
      </c>
      <c r="ACZ14" s="319"/>
      <c r="ADA14" s="319">
        <f t="shared" ref="ADA14" ca="1" si="4434">SUMPRODUCT((ACY11:ACY14=ACY14)*(ACX11:ACX14&lt;ACX14))+ACY14</f>
        <v>3</v>
      </c>
      <c r="ADB14" s="319" t="str">
        <f t="shared" ref="ADB14" ca="1" si="4435">INDEX(ACP11:ACP15,MATCH(4,ADA11:ADA15,0),0)</f>
        <v>Albania</v>
      </c>
      <c r="ADC14" s="319">
        <f t="shared" ref="ADC14" ca="1" si="4436">INDEX(ACY11:ACY15,MATCH(ADB14,ACP11:ACP15,0),0)</f>
        <v>4</v>
      </c>
      <c r="ADD14" s="319" t="str">
        <f t="shared" ca="1" si="3768"/>
        <v/>
      </c>
      <c r="ADE14" s="319" t="str">
        <f t="shared" ca="1" si="3769"/>
        <v/>
      </c>
      <c r="ADF14" s="319"/>
      <c r="ADG14" s="319"/>
      <c r="ADH14" s="319"/>
      <c r="ADI14" s="319" t="str">
        <f t="shared" ca="1" si="2846"/>
        <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t="str">
        <f t="shared" ca="1" si="2853"/>
        <v/>
      </c>
      <c r="ADQ14" s="319" t="str">
        <f t="shared" ref="ADQ14" ca="1" si="4442">IF(ADI14&lt;&gt;"",VLOOKUP(ADI14,ACP4:ACV40,7,FALSE),"")</f>
        <v/>
      </c>
      <c r="ADR14" s="319" t="str">
        <f t="shared" ref="ADR14" ca="1" si="4443">IF(ADI14&lt;&gt;"",VLOOKUP(ADI14,ACP4:ACV40,5,FALSE),"")</f>
        <v/>
      </c>
      <c r="ADS14" s="319" t="str">
        <f t="shared" ref="ADS14" ca="1" si="4444">IF(ADI14&lt;&gt;"",VLOOKUP(ADI14,ACP4:ACX40,9,FALSE),"")</f>
        <v/>
      </c>
      <c r="ADT14" s="319" t="str">
        <f t="shared" ca="1" si="2857"/>
        <v/>
      </c>
      <c r="ADU14" s="319" t="str">
        <f t="shared" ref="ADU14" ca="1" si="4445">IF(ADI14&lt;&gt;"",RANK(ADT14,ADT11:ADT15),"")</f>
        <v/>
      </c>
      <c r="ADV14" s="319" t="str">
        <f t="shared" ref="ADV14" ca="1" si="4446">IF(ADI14&lt;&gt;"",SUMPRODUCT((ADT11:ADT15=ADT14)*(ADO11:ADO15&gt;ADO14)),"")</f>
        <v/>
      </c>
      <c r="ADW14" s="319" t="str">
        <f t="shared" ref="ADW14" ca="1" si="4447">IF(ADI14&lt;&gt;"",SUMPRODUCT((ADT11:ADT15=ADT14)*(ADO11:ADO15=ADO14)*(ADM11:ADM15&gt;ADM14)),"")</f>
        <v/>
      </c>
      <c r="ADX14" s="319" t="str">
        <f t="shared" ref="ADX14" ca="1" si="4448">IF(ADI14&lt;&gt;"",SUMPRODUCT((ADT11:ADT15=ADT14)*(ADO11:ADO15=ADO14)*(ADM11:ADM15=ADM14)*(ADQ11:ADQ15&gt;ADQ14)),"")</f>
        <v/>
      </c>
      <c r="ADY14" s="319" t="str">
        <f t="shared" ref="ADY14" ca="1" si="4449">IF(ADI14&lt;&gt;"",SUMPRODUCT((ADT11:ADT15=ADT14)*(ADO11:ADO15=ADO14)*(ADM11:ADM15=ADM14)*(ADQ11:ADQ15=ADQ14)*(ADR11:ADR15&gt;ADR14)),"")</f>
        <v/>
      </c>
      <c r="ADZ14" s="319" t="str">
        <f t="shared" ref="ADZ14" ca="1" si="4450">IF(ADI14&lt;&gt;"",SUMPRODUCT((ADT11:ADT15=ADT14)*(ADO11:ADO15=ADO14)*(ADM11:ADM15=ADM14)*(ADQ11:ADQ15=ADQ14)*(ADR11:ADR15=ADR14)*(ADS11:ADS15&gt;ADS14)),"")</f>
        <v/>
      </c>
      <c r="AEA14" s="319" t="str">
        <f ca="1">IF(ADI14&lt;&gt;"",IF(AEA54&lt;&gt;"",IF(ADH50=3,AEA54,AEA54+ADH50),SUM(ADU14:ADZ14)),"")</f>
        <v/>
      </c>
      <c r="AEB14" s="319" t="str">
        <f t="shared" ref="AEB14" ca="1" si="4451">IF(ADI14&lt;&gt;"",INDEX(ADI11:ADI15,MATCH(4,AEA11:AEA15,0),0),"")</f>
        <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Albania</v>
      </c>
      <c r="AGL14" s="319">
        <v>4</v>
      </c>
      <c r="AGM14" s="319">
        <v>12</v>
      </c>
      <c r="AGN14" s="319" t="str">
        <f t="shared" si="66"/>
        <v>Portugal</v>
      </c>
      <c r="AGO14" s="322">
        <f ca="1">IF(OFFSET('Player Game Board'!P21,0,AGO1)&lt;&gt;"",OFFSET('Player Game Board'!P21,0,AGO1),0)</f>
        <v>3</v>
      </c>
      <c r="AGP14" s="322">
        <f ca="1">IF(OFFSET('Player Game Board'!Q21,0,AGO1)&lt;&gt;"",OFFSET('Player Game Board'!Q21,0,AGO1),0)</f>
        <v>2</v>
      </c>
      <c r="AGQ14" s="319" t="str">
        <f t="shared" si="67"/>
        <v>Czechia</v>
      </c>
      <c r="AGR14" s="319" t="str">
        <f ca="1">IF(AND(OFFSET('Player Game Board'!P21,0,AGO1)&lt;&gt;"",OFFSET('Player Game Board'!Q21,0,AGO1)&lt;&gt;""),IF(AGO14&gt;AGP14,"W",IF(AGO14=AGP14,"D","L")),"")</f>
        <v>W</v>
      </c>
      <c r="AGS14" s="319" t="str">
        <f t="shared" ca="1" si="68"/>
        <v>L</v>
      </c>
      <c r="AGT14" s="319"/>
      <c r="AGU14" s="319"/>
      <c r="AGV14" s="324" t="s">
        <v>101</v>
      </c>
      <c r="AGW14" s="325" t="s">
        <v>102</v>
      </c>
      <c r="AGX14" s="325" t="s">
        <v>103</v>
      </c>
      <c r="AGY14" s="325" t="s">
        <v>105</v>
      </c>
      <c r="AGZ14" s="324" t="s">
        <v>101</v>
      </c>
      <c r="AHA14" s="324" t="s">
        <v>105</v>
      </c>
      <c r="AHB14" s="324" t="s">
        <v>102</v>
      </c>
      <c r="AHC14" s="324" t="s">
        <v>103</v>
      </c>
      <c r="AHD14" s="325"/>
      <c r="AHE14" s="326">
        <f t="shared" ref="AHE14" ca="1" si="4503">IFERROR(MATCH(AHE12,AGV14:AGY14,0),0)</f>
        <v>0</v>
      </c>
      <c r="AHF14" s="326">
        <f t="shared" ref="AHF14" ca="1" si="4504">IFERROR(MATCH(AHF12,AGV14:AGY14,0),0)</f>
        <v>1</v>
      </c>
      <c r="AHG14" s="326">
        <f t="shared" ref="AHG14" ca="1" si="4505">IFERROR(MATCH(AHG12,AGV14:AGY14,0),0)</f>
        <v>2</v>
      </c>
      <c r="AHH14" s="326">
        <f t="shared" ref="AHH14" ca="1" si="4506">IFERROR(MATCH(AHH12,AGV14:AGY14,0),0)</f>
        <v>3</v>
      </c>
      <c r="AHI14" s="326">
        <f t="shared" ca="1" si="3826"/>
        <v>6</v>
      </c>
      <c r="AHJ14" s="325"/>
      <c r="AHK14" s="325" t="str">
        <f t="shared" ref="AHK14" ca="1" si="4507">INDEX(AGV3:AGV8,MATCH(2,AHI3:AHI8,0),0)</f>
        <v>Scotland</v>
      </c>
      <c r="AHL14" s="325"/>
      <c r="AHM14" s="319">
        <f t="shared" ref="AHM14" ca="1" si="4508">VLOOKUP(AHN14,ALI11:ALJ15,2,FALSE)</f>
        <v>3</v>
      </c>
      <c r="AHN14" s="319" t="str">
        <f t="shared" si="2867"/>
        <v>Croatia</v>
      </c>
      <c r="AHO14" s="319">
        <f t="shared" ref="AHO14" ca="1" si="4509">SUMPRODUCT((ALL3:ALL42=AHN14)*(ALP3:ALP42="W"))+SUMPRODUCT((ALO3:ALO42=AHN14)*(ALQ3:ALQ42="W"))</f>
        <v>0</v>
      </c>
      <c r="AHP14" s="319">
        <f t="shared" ref="AHP14" ca="1" si="4510">SUMPRODUCT((ALL3:ALL42=AHN14)*(ALP3:ALP42="D"))+SUMPRODUCT((ALO3:ALO42=AHN14)*(ALQ3:ALQ42="D"))</f>
        <v>0</v>
      </c>
      <c r="AHQ14" s="319">
        <f t="shared" ref="AHQ14" ca="1" si="4511">SUMPRODUCT((ALL3:ALL42=AHN14)*(ALP3:ALP42="L"))+SUMPRODUCT((ALO3:ALO42=AHN14)*(ALQ3:ALQ42="L"))</f>
        <v>0</v>
      </c>
      <c r="AHR14" s="319">
        <f t="shared" ref="AHR14" ca="1" si="4512">SUMIF(ALL3:ALL60,AHN14,ALM3:ALM60)+SUMIF(ALO3:ALO60,AHN14,ALN3:ALN60)</f>
        <v>0</v>
      </c>
      <c r="AHS14" s="319">
        <f t="shared" ref="AHS14" ca="1" si="4513">SUMIF(ALO3:ALO60,AHN14,ALM3:ALM60)+SUMIF(ALL3:ALL60,AHN14,ALN3:ALN60)</f>
        <v>0</v>
      </c>
      <c r="AHT14" s="319">
        <f t="shared" ca="1" si="2873"/>
        <v>1000</v>
      </c>
      <c r="AHU14" s="319">
        <f t="shared" ca="1" si="2874"/>
        <v>0</v>
      </c>
      <c r="AHV14" s="319">
        <f t="shared" si="870"/>
        <v>40</v>
      </c>
      <c r="AHW14" s="319">
        <f t="shared" ref="AHW14" ca="1" si="4514">IF(COUNTIF(AHU11:AHU15,4)&lt;&gt;4,RANK(AHU14,AHU11:AHU15),AHU54)</f>
        <v>1</v>
      </c>
      <c r="AHX14" s="319"/>
      <c r="AHY14" s="319">
        <f t="shared" ref="AHY14" ca="1" si="4515">SUMPRODUCT((AHW11:AHW14=AHW14)*(AHV11:AHV14&lt;AHV14))+AHW14</f>
        <v>2</v>
      </c>
      <c r="AHZ14" s="319" t="str">
        <f t="shared" ref="AHZ14" ca="1" si="4516">INDEX(AHN11:AHN15,MATCH(4,AHY11:AHY15,0),0)</f>
        <v>Spain</v>
      </c>
      <c r="AIA14" s="319">
        <f t="shared" ref="AIA14" ca="1" si="4517">INDEX(AHW11:AHW15,MATCH(AHZ14,AHN11:AHN15,0),0)</f>
        <v>1</v>
      </c>
      <c r="AIB14" s="319" t="str">
        <f t="shared" ca="1" si="3838"/>
        <v>Spain</v>
      </c>
      <c r="AIC14" s="319" t="str">
        <f t="shared" ca="1" si="3839"/>
        <v/>
      </c>
      <c r="AID14" s="319"/>
      <c r="AIE14" s="319"/>
      <c r="AIF14" s="319"/>
      <c r="AIG14" s="319" t="str">
        <f t="shared" ca="1" si="2883"/>
        <v>Spain</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f t="shared" ca="1" si="2890"/>
        <v>0</v>
      </c>
      <c r="AIO14" s="319">
        <f t="shared" ref="AIO14" ca="1" si="4523">IF(AIG14&lt;&gt;"",VLOOKUP(AIG14,AHN4:AHT40,7,FALSE),"")</f>
        <v>1000</v>
      </c>
      <c r="AIP14" s="319">
        <f t="shared" ref="AIP14" ca="1" si="4524">IF(AIG14&lt;&gt;"",VLOOKUP(AIG14,AHN4:AHT40,5,FALSE),"")</f>
        <v>0</v>
      </c>
      <c r="AIQ14" s="319">
        <f t="shared" ref="AIQ14" ca="1" si="4525">IF(AIG14&lt;&gt;"",VLOOKUP(AIG14,AHN4:AHV40,9,FALSE),"")</f>
        <v>51</v>
      </c>
      <c r="AIR14" s="319">
        <f t="shared" ca="1" si="2894"/>
        <v>0</v>
      </c>
      <c r="AIS14" s="319">
        <f t="shared" ref="AIS14" ca="1" si="4526">IF(AIG14&lt;&gt;"",RANK(AIR14,AIR11:AIR15),"")</f>
        <v>1</v>
      </c>
      <c r="AIT14" s="319">
        <f t="shared" ref="AIT14" ca="1" si="4527">IF(AIG14&lt;&gt;"",SUMPRODUCT((AIR11:AIR15=AIR14)*(AIM11:AIM15&gt;AIM14)),"")</f>
        <v>0</v>
      </c>
      <c r="AIU14" s="319">
        <f t="shared" ref="AIU14" ca="1" si="4528">IF(AIG14&lt;&gt;"",SUMPRODUCT((AIR11:AIR15=AIR14)*(AIM11:AIM15=AIM14)*(AIK11:AIK15&gt;AIK14)),"")</f>
        <v>0</v>
      </c>
      <c r="AIV14" s="319">
        <f t="shared" ref="AIV14" ca="1" si="4529">IF(AIG14&lt;&gt;"",SUMPRODUCT((AIR11:AIR15=AIR14)*(AIM11:AIM15=AIM14)*(AIK11:AIK15=AIK14)*(AIO11:AIO15&gt;AIO14)),"")</f>
        <v>0</v>
      </c>
      <c r="AIW14" s="319">
        <f t="shared" ref="AIW14" ca="1" si="4530">IF(AIG14&lt;&gt;"",SUMPRODUCT((AIR11:AIR15=AIR14)*(AIM11:AIM15=AIM14)*(AIK11:AIK15=AIK14)*(AIO11:AIO15=AIO14)*(AIP11:AIP15&gt;AIP14)),"")</f>
        <v>0</v>
      </c>
      <c r="AIX14" s="319">
        <f t="shared" ref="AIX14" ca="1" si="4531">IF(AIG14&lt;&gt;"",SUMPRODUCT((AIR11:AIR15=AIR14)*(AIM11:AIM15=AIM14)*(AIK11:AIK15=AIK14)*(AIO11:AIO15=AIO14)*(AIP11:AIP15=AIP14)*(AIQ11:AIQ15&gt;AIQ14)),"")</f>
        <v>0</v>
      </c>
      <c r="AIY14" s="319">
        <f ca="1">IF(AIG14&lt;&gt;"",IF(AIY54&lt;&gt;"",IF(AIF50=3,AIY54,AIY54+AIF50),SUM(AIS14:AIX14)),"")</f>
        <v>1</v>
      </c>
      <c r="AIZ14" s="319" t="str">
        <f t="shared" ref="AIZ14" ca="1" si="4532">IF(AIG14&lt;&gt;"",INDEX(AIG11:AIG15,MATCH(4,AIY11:AIY15,0),0),"")</f>
        <v>Italy</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Italy</v>
      </c>
      <c r="ALJ14" s="319">
        <v>4</v>
      </c>
      <c r="ALK14" s="319">
        <v>12</v>
      </c>
      <c r="ALL14" s="319" t="str">
        <f t="shared" si="82"/>
        <v>Portugal</v>
      </c>
      <c r="ALM14" s="322">
        <f ca="1">IF(OFFSET('Player Game Board'!P21,0,ALM1)&lt;&gt;"",OFFSET('Player Game Board'!P21,0,ALM1),0)</f>
        <v>0</v>
      </c>
      <c r="ALN14" s="322">
        <f ca="1">IF(OFFSET('Player Game Board'!Q21,0,ALM1)&lt;&gt;"",OFFSET('Player Game Board'!Q21,0,ALM1),0)</f>
        <v>0</v>
      </c>
      <c r="ALO14" s="319" t="str">
        <f t="shared" si="83"/>
        <v>Czechia</v>
      </c>
      <c r="ALP14" s="319" t="str">
        <f ca="1">IF(AND(OFFSET('Player Game Board'!P21,0,ALM1)&lt;&gt;"",OFFSET('Player Game Board'!Q21,0,ALM1)&lt;&gt;""),IF(ALM14&gt;ALN14,"W",IF(ALM14=ALN14,"D","L")),"")</f>
        <v/>
      </c>
      <c r="ALQ14" s="319" t="str">
        <f t="shared" ca="1" si="84"/>
        <v/>
      </c>
      <c r="ALR14" s="319"/>
      <c r="ALS14" s="319"/>
      <c r="ALT14" s="324" t="s">
        <v>101</v>
      </c>
      <c r="ALU14" s="325" t="s">
        <v>102</v>
      </c>
      <c r="ALV14" s="325" t="s">
        <v>103</v>
      </c>
      <c r="ALW14" s="325" t="s">
        <v>105</v>
      </c>
      <c r="ALX14" s="324" t="s">
        <v>101</v>
      </c>
      <c r="ALY14" s="324" t="s">
        <v>105</v>
      </c>
      <c r="ALZ14" s="324" t="s">
        <v>102</v>
      </c>
      <c r="AMA14" s="324" t="s">
        <v>103</v>
      </c>
      <c r="AMB14" s="325"/>
      <c r="AMC14" s="326">
        <f t="shared" ref="AMC14" ca="1" si="4584">IFERROR(MATCH(AMC12,ALT14:ALW14,0),0)</f>
        <v>1</v>
      </c>
      <c r="AMD14" s="326">
        <f t="shared" ref="AMD14" ca="1" si="4585">IFERROR(MATCH(AMD12,ALT14:ALW14,0),0)</f>
        <v>0</v>
      </c>
      <c r="AME14" s="326">
        <f t="shared" ref="AME14" ca="1" si="4586">IFERROR(MATCH(AME12,ALT14:ALW14,0),0)</f>
        <v>2</v>
      </c>
      <c r="AMF14" s="326">
        <f t="shared" ref="AMF14" ca="1" si="4587">IFERROR(MATCH(AMF12,ALT14:ALW14,0),0)</f>
        <v>3</v>
      </c>
      <c r="AMG14" s="326">
        <f t="shared" ca="1" si="3896"/>
        <v>6</v>
      </c>
      <c r="AMH14" s="325"/>
      <c r="AMI14" s="325" t="str">
        <f t="shared" ref="AMI14" ca="1" si="4588">INDEX(ALT3:ALT8,MATCH(2,AMG3:AMG8,0),0)</f>
        <v>Austria</v>
      </c>
      <c r="AMJ14" s="325"/>
      <c r="AMK14" s="319">
        <f t="shared" ref="AMK14" ca="1" si="4589">VLOOKUP(AML14,AQG11:AQH15,2,FALSE)</f>
        <v>3</v>
      </c>
      <c r="AML14" s="319" t="str">
        <f t="shared" si="2904"/>
        <v>Croatia</v>
      </c>
      <c r="AMM14" s="319">
        <f t="shared" ref="AMM14" ca="1" si="4590">SUMPRODUCT((AQJ3:AQJ42=AML14)*(AQN3:AQN42="W"))+SUMPRODUCT((AQM3:AQM42=AML14)*(AQO3:AQO42="W"))</f>
        <v>0</v>
      </c>
      <c r="AMN14" s="319">
        <f t="shared" ref="AMN14" ca="1" si="4591">SUMPRODUCT((AQJ3:AQJ42=AML14)*(AQN3:AQN42="D"))+SUMPRODUCT((AQM3:AQM42=AML14)*(AQO3:AQO42="D"))</f>
        <v>0</v>
      </c>
      <c r="AMO14" s="319">
        <f t="shared" ref="AMO14" ca="1" si="4592">SUMPRODUCT((AQJ3:AQJ42=AML14)*(AQN3:AQN42="L"))+SUMPRODUCT((AQM3:AQM42=AML14)*(AQO3:AQO42="L"))</f>
        <v>0</v>
      </c>
      <c r="AMP14" s="319">
        <f t="shared" ref="AMP14" ca="1" si="4593">SUMIF(AQJ3:AQJ60,AML14,AQK3:AQK60)+SUMIF(AQM3:AQM60,AML14,AQL3:AQL60)</f>
        <v>0</v>
      </c>
      <c r="AMQ14" s="319">
        <f t="shared" ref="AMQ14" ca="1" si="4594">SUMIF(AQM3:AQM60,AML14,AQK3:AQK60)+SUMIF(AQJ3:AQJ60,AML14,AQL3:AQL60)</f>
        <v>0</v>
      </c>
      <c r="AMR14" s="319">
        <f t="shared" ca="1" si="2910"/>
        <v>1000</v>
      </c>
      <c r="AMS14" s="319">
        <f t="shared" ca="1" si="2911"/>
        <v>0</v>
      </c>
      <c r="AMT14" s="319">
        <f t="shared" si="930"/>
        <v>40</v>
      </c>
      <c r="AMU14" s="319">
        <f t="shared" ref="AMU14" ca="1" si="4595">IF(COUNTIF(AMS11:AMS15,4)&lt;&gt;4,RANK(AMS14,AMS11:AMS15),AMS54)</f>
        <v>1</v>
      </c>
      <c r="AMV14" s="319"/>
      <c r="AMW14" s="319">
        <f t="shared" ref="AMW14" ca="1" si="4596">SUMPRODUCT((AMU11:AMU14=AMU14)*(AMT11:AMT14&lt;AMT14))+AMU14</f>
        <v>2</v>
      </c>
      <c r="AMX14" s="319" t="str">
        <f t="shared" ref="AMX14" ca="1" si="4597">INDEX(AML11:AML15,MATCH(4,AMW11:AMW15,0),0)</f>
        <v>Spain</v>
      </c>
      <c r="AMY14" s="319">
        <f t="shared" ref="AMY14" ca="1" si="4598">INDEX(AMU11:AMU15,MATCH(AMX14,AML11:AML15,0),0)</f>
        <v>1</v>
      </c>
      <c r="AMZ14" s="319" t="str">
        <f t="shared" ca="1" si="3908"/>
        <v>Spain</v>
      </c>
      <c r="ANA14" s="319" t="str">
        <f t="shared" ca="1" si="3909"/>
        <v/>
      </c>
      <c r="ANB14" s="319"/>
      <c r="ANC14" s="319"/>
      <c r="AND14" s="319"/>
      <c r="ANE14" s="319" t="str">
        <f t="shared" ca="1" si="2920"/>
        <v>Spain</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f t="shared" ca="1" si="2927"/>
        <v>0</v>
      </c>
      <c r="ANM14" s="319">
        <f t="shared" ref="ANM14" ca="1" si="4604">IF(ANE14&lt;&gt;"",VLOOKUP(ANE14,AML4:AMR40,7,FALSE),"")</f>
        <v>1000</v>
      </c>
      <c r="ANN14" s="319">
        <f t="shared" ref="ANN14" ca="1" si="4605">IF(ANE14&lt;&gt;"",VLOOKUP(ANE14,AML4:AMR40,5,FALSE),"")</f>
        <v>0</v>
      </c>
      <c r="ANO14" s="319">
        <f t="shared" ref="ANO14" ca="1" si="4606">IF(ANE14&lt;&gt;"",VLOOKUP(ANE14,AML4:AMT40,9,FALSE),"")</f>
        <v>51</v>
      </c>
      <c r="ANP14" s="319">
        <f t="shared" ca="1" si="2931"/>
        <v>0</v>
      </c>
      <c r="ANQ14" s="319">
        <f t="shared" ref="ANQ14" ca="1" si="4607">IF(ANE14&lt;&gt;"",RANK(ANP14,ANP11:ANP15),"")</f>
        <v>1</v>
      </c>
      <c r="ANR14" s="319">
        <f t="shared" ref="ANR14" ca="1" si="4608">IF(ANE14&lt;&gt;"",SUMPRODUCT((ANP11:ANP15=ANP14)*(ANK11:ANK15&gt;ANK14)),"")</f>
        <v>0</v>
      </c>
      <c r="ANS14" s="319">
        <f t="shared" ref="ANS14" ca="1" si="4609">IF(ANE14&lt;&gt;"",SUMPRODUCT((ANP11:ANP15=ANP14)*(ANK11:ANK15=ANK14)*(ANI11:ANI15&gt;ANI14)),"")</f>
        <v>0</v>
      </c>
      <c r="ANT14" s="319">
        <f t="shared" ref="ANT14" ca="1" si="4610">IF(ANE14&lt;&gt;"",SUMPRODUCT((ANP11:ANP15=ANP14)*(ANK11:ANK15=ANK14)*(ANI11:ANI15=ANI14)*(ANM11:ANM15&gt;ANM14)),"")</f>
        <v>0</v>
      </c>
      <c r="ANU14" s="319">
        <f t="shared" ref="ANU14" ca="1" si="4611">IF(ANE14&lt;&gt;"",SUMPRODUCT((ANP11:ANP15=ANP14)*(ANK11:ANK15=ANK14)*(ANI11:ANI15=ANI14)*(ANM11:ANM15=ANM14)*(ANN11:ANN15&gt;ANN14)),"")</f>
        <v>0</v>
      </c>
      <c r="ANV14" s="319">
        <f t="shared" ref="ANV14" ca="1" si="4612">IF(ANE14&lt;&gt;"",SUMPRODUCT((ANP11:ANP15=ANP14)*(ANK11:ANK15=ANK14)*(ANI11:ANI15=ANI14)*(ANM11:ANM15=ANM14)*(ANN11:ANN15=ANN14)*(ANO11:ANO15&gt;ANO14)),"")</f>
        <v>0</v>
      </c>
      <c r="ANW14" s="319">
        <f ca="1">IF(ANE14&lt;&gt;"",IF(ANW54&lt;&gt;"",IF(AND50=3,ANW54,ANW54+AND50),SUM(ANQ14:ANV14)),"")</f>
        <v>1</v>
      </c>
      <c r="ANX14" s="319" t="str">
        <f t="shared" ref="ANX14" ca="1" si="4613">IF(ANE14&lt;&gt;"",INDEX(ANE11:ANE15,MATCH(4,ANW11:ANW15,0),0),"")</f>
        <v>Italy</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Italy</v>
      </c>
      <c r="AQH14" s="319">
        <v>4</v>
      </c>
      <c r="AQI14" s="319">
        <v>12</v>
      </c>
      <c r="AQJ14" s="319" t="str">
        <f t="shared" si="98"/>
        <v>Portugal</v>
      </c>
      <c r="AQK14" s="322">
        <f ca="1">IF(OFFSET('Player Game Board'!P21,0,AQK1)&lt;&gt;"",OFFSET('Player Game Board'!P21,0,AQK1),0)</f>
        <v>0</v>
      </c>
      <c r="AQL14" s="322">
        <f ca="1">IF(OFFSET('Player Game Board'!Q21,0,AQK1)&lt;&gt;"",OFFSET('Player Game Board'!Q21,0,AQK1),0)</f>
        <v>0</v>
      </c>
      <c r="AQM14" s="319" t="str">
        <f t="shared" si="99"/>
        <v>Czechia</v>
      </c>
      <c r="AQN14" s="319" t="str">
        <f ca="1">IF(AND(OFFSET('Player Game Board'!P21,0,AQK1)&lt;&gt;"",OFFSET('Player Game Board'!Q21,0,AQK1)&lt;&gt;""),IF(AQK14&gt;AQL14,"W",IF(AQK14=AQL14,"D","L")),"")</f>
        <v/>
      </c>
      <c r="AQO14" s="319" t="str">
        <f t="shared" ca="1" si="100"/>
        <v/>
      </c>
      <c r="AQP14" s="319"/>
      <c r="AQQ14" s="319"/>
      <c r="AQR14" s="324" t="s">
        <v>101</v>
      </c>
      <c r="AQS14" s="325" t="s">
        <v>102</v>
      </c>
      <c r="AQT14" s="325" t="s">
        <v>103</v>
      </c>
      <c r="AQU14" s="325" t="s">
        <v>105</v>
      </c>
      <c r="AQV14" s="324" t="s">
        <v>101</v>
      </c>
      <c r="AQW14" s="324" t="s">
        <v>105</v>
      </c>
      <c r="AQX14" s="324" t="s">
        <v>102</v>
      </c>
      <c r="AQY14" s="324" t="s">
        <v>103</v>
      </c>
      <c r="AQZ14" s="325"/>
      <c r="ARA14" s="326">
        <f t="shared" ref="ARA14" ca="1" si="4665">IFERROR(MATCH(ARA12,AQR14:AQU14,0),0)</f>
        <v>1</v>
      </c>
      <c r="ARB14" s="326">
        <f t="shared" ref="ARB14" ca="1" si="4666">IFERROR(MATCH(ARB12,AQR14:AQU14,0),0)</f>
        <v>0</v>
      </c>
      <c r="ARC14" s="326">
        <f t="shared" ref="ARC14" ca="1" si="4667">IFERROR(MATCH(ARC12,AQR14:AQU14,0),0)</f>
        <v>2</v>
      </c>
      <c r="ARD14" s="326">
        <f t="shared" ref="ARD14" ca="1" si="4668">IFERROR(MATCH(ARD12,AQR14:AQU14,0),0)</f>
        <v>3</v>
      </c>
      <c r="ARE14" s="326">
        <f t="shared" ca="1" si="3966"/>
        <v>6</v>
      </c>
      <c r="ARF14" s="325"/>
      <c r="ARG14" s="325" t="str">
        <f t="shared" ref="ARG14" ca="1" si="4669">INDEX(AQR3:AQR8,MATCH(2,ARE3:ARE8,0),0)</f>
        <v>Austria</v>
      </c>
      <c r="ARH14" s="325"/>
      <c r="ARI14" s="319">
        <f t="shared" ref="ARI14" ca="1" si="4670">VLOOKUP(ARJ14,AVE11:AVF15,2,FALSE)</f>
        <v>3</v>
      </c>
      <c r="ARJ14" s="319" t="str">
        <f t="shared" si="2941"/>
        <v>Croatia</v>
      </c>
      <c r="ARK14" s="319">
        <f t="shared" ref="ARK14" ca="1" si="4671">SUMPRODUCT((AVH3:AVH42=ARJ14)*(AVL3:AVL42="W"))+SUMPRODUCT((AVK3:AVK42=ARJ14)*(AVM3:AVM42="W"))</f>
        <v>0</v>
      </c>
      <c r="ARL14" s="319">
        <f t="shared" ref="ARL14" ca="1" si="4672">SUMPRODUCT((AVH3:AVH42=ARJ14)*(AVL3:AVL42="D"))+SUMPRODUCT((AVK3:AVK42=ARJ14)*(AVM3:AVM42="D"))</f>
        <v>0</v>
      </c>
      <c r="ARM14" s="319">
        <f t="shared" ref="ARM14" ca="1" si="4673">SUMPRODUCT((AVH3:AVH42=ARJ14)*(AVL3:AVL42="L"))+SUMPRODUCT((AVK3:AVK42=ARJ14)*(AVM3:AVM42="L"))</f>
        <v>0</v>
      </c>
      <c r="ARN14" s="319">
        <f t="shared" ref="ARN14" ca="1" si="4674">SUMIF(AVH3:AVH60,ARJ14,AVI3:AVI60)+SUMIF(AVK3:AVK60,ARJ14,AVJ3:AVJ60)</f>
        <v>0</v>
      </c>
      <c r="ARO14" s="319">
        <f t="shared" ref="ARO14" ca="1" si="4675">SUMIF(AVK3:AVK60,ARJ14,AVI3:AVI60)+SUMIF(AVH3:AVH60,ARJ14,AVJ3:AVJ60)</f>
        <v>0</v>
      </c>
      <c r="ARP14" s="319">
        <f t="shared" ca="1" si="2947"/>
        <v>1000</v>
      </c>
      <c r="ARQ14" s="319">
        <f t="shared" ca="1" si="2948"/>
        <v>0</v>
      </c>
      <c r="ARR14" s="319">
        <f t="shared" si="990"/>
        <v>40</v>
      </c>
      <c r="ARS14" s="319">
        <f t="shared" ref="ARS14" ca="1" si="4676">IF(COUNTIF(ARQ11:ARQ15,4)&lt;&gt;4,RANK(ARQ14,ARQ11:ARQ15),ARQ54)</f>
        <v>1</v>
      </c>
      <c r="ART14" s="319"/>
      <c r="ARU14" s="319">
        <f t="shared" ref="ARU14" ca="1" si="4677">SUMPRODUCT((ARS11:ARS14=ARS14)*(ARR11:ARR14&lt;ARR14))+ARS14</f>
        <v>2</v>
      </c>
      <c r="ARV14" s="319" t="str">
        <f t="shared" ref="ARV14" ca="1" si="4678">INDEX(ARJ11:ARJ15,MATCH(4,ARU11:ARU15,0),0)</f>
        <v>Spain</v>
      </c>
      <c r="ARW14" s="319">
        <f t="shared" ref="ARW14" ca="1" si="4679">INDEX(ARS11:ARS15,MATCH(ARV14,ARJ11:ARJ15,0),0)</f>
        <v>1</v>
      </c>
      <c r="ARX14" s="319" t="str">
        <f t="shared" ca="1" si="3978"/>
        <v>Spain</v>
      </c>
      <c r="ARY14" s="319" t="str">
        <f t="shared" ca="1" si="3979"/>
        <v/>
      </c>
      <c r="ARZ14" s="319"/>
      <c r="ASA14" s="319"/>
      <c r="ASB14" s="319"/>
      <c r="ASC14" s="319" t="str">
        <f t="shared" ca="1" si="2957"/>
        <v>Spain</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f t="shared" ca="1" si="2964"/>
        <v>0</v>
      </c>
      <c r="ASK14" s="319">
        <f t="shared" ref="ASK14" ca="1" si="4685">IF(ASC14&lt;&gt;"",VLOOKUP(ASC14,ARJ4:ARP40,7,FALSE),"")</f>
        <v>1000</v>
      </c>
      <c r="ASL14" s="319">
        <f t="shared" ref="ASL14" ca="1" si="4686">IF(ASC14&lt;&gt;"",VLOOKUP(ASC14,ARJ4:ARP40,5,FALSE),"")</f>
        <v>0</v>
      </c>
      <c r="ASM14" s="319">
        <f t="shared" ref="ASM14" ca="1" si="4687">IF(ASC14&lt;&gt;"",VLOOKUP(ASC14,ARJ4:ARR40,9,FALSE),"")</f>
        <v>51</v>
      </c>
      <c r="ASN14" s="319">
        <f t="shared" ca="1" si="2968"/>
        <v>0</v>
      </c>
      <c r="ASO14" s="319">
        <f t="shared" ref="ASO14" ca="1" si="4688">IF(ASC14&lt;&gt;"",RANK(ASN14,ASN11:ASN15),"")</f>
        <v>1</v>
      </c>
      <c r="ASP14" s="319">
        <f t="shared" ref="ASP14" ca="1" si="4689">IF(ASC14&lt;&gt;"",SUMPRODUCT((ASN11:ASN15=ASN14)*(ASI11:ASI15&gt;ASI14)),"")</f>
        <v>0</v>
      </c>
      <c r="ASQ14" s="319">
        <f t="shared" ref="ASQ14" ca="1" si="4690">IF(ASC14&lt;&gt;"",SUMPRODUCT((ASN11:ASN15=ASN14)*(ASI11:ASI15=ASI14)*(ASG11:ASG15&gt;ASG14)),"")</f>
        <v>0</v>
      </c>
      <c r="ASR14" s="319">
        <f t="shared" ref="ASR14" ca="1" si="4691">IF(ASC14&lt;&gt;"",SUMPRODUCT((ASN11:ASN15=ASN14)*(ASI11:ASI15=ASI14)*(ASG11:ASG15=ASG14)*(ASK11:ASK15&gt;ASK14)),"")</f>
        <v>0</v>
      </c>
      <c r="ASS14" s="319">
        <f t="shared" ref="ASS14" ca="1" si="4692">IF(ASC14&lt;&gt;"",SUMPRODUCT((ASN11:ASN15=ASN14)*(ASI11:ASI15=ASI14)*(ASG11:ASG15=ASG14)*(ASK11:ASK15=ASK14)*(ASL11:ASL15&gt;ASL14)),"")</f>
        <v>0</v>
      </c>
      <c r="AST14" s="319">
        <f t="shared" ref="AST14" ca="1" si="4693">IF(ASC14&lt;&gt;"",SUMPRODUCT((ASN11:ASN15=ASN14)*(ASI11:ASI15=ASI14)*(ASG11:ASG15=ASG14)*(ASK11:ASK15=ASK14)*(ASL11:ASL15=ASL14)*(ASM11:ASM15&gt;ASM14)),"")</f>
        <v>0</v>
      </c>
      <c r="ASU14" s="319">
        <f ca="1">IF(ASC14&lt;&gt;"",IF(ASU54&lt;&gt;"",IF(ASB50=3,ASU54,ASU54+ASB50),SUM(ASO14:AST14)),"")</f>
        <v>1</v>
      </c>
      <c r="ASV14" s="319" t="str">
        <f t="shared" ref="ASV14" ca="1" si="4694">IF(ASC14&lt;&gt;"",INDEX(ASC11:ASC15,MATCH(4,ASU11:ASU15,0),0),"")</f>
        <v>Italy</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Italy</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0</v>
      </c>
      <c r="AVK14" s="319" t="str">
        <f t="shared" si="115"/>
        <v>Czechia</v>
      </c>
      <c r="AVL14" s="319" t="str">
        <f ca="1">IF(AND(OFFSET('Player Game Board'!P21,0,AVI1)&lt;&gt;"",OFFSET('Player Game Board'!Q21,0,AVI1)&lt;&gt;""),IF(AVI14&gt;AVJ14,"W",IF(AVI14=AVJ14,"D","L")),"")</f>
        <v/>
      </c>
      <c r="AVM14" s="319" t="str">
        <f t="shared" ca="1" si="116"/>
        <v/>
      </c>
      <c r="AVN14" s="319"/>
      <c r="AVO14" s="319"/>
      <c r="AVP14" s="324" t="s">
        <v>101</v>
      </c>
      <c r="AVQ14" s="325" t="s">
        <v>102</v>
      </c>
      <c r="AVR14" s="325" t="s">
        <v>103</v>
      </c>
      <c r="AVS14" s="325" t="s">
        <v>105</v>
      </c>
      <c r="AVT14" s="324" t="s">
        <v>101</v>
      </c>
      <c r="AVU14" s="324" t="s">
        <v>105</v>
      </c>
      <c r="AVV14" s="324" t="s">
        <v>102</v>
      </c>
      <c r="AVW14" s="324" t="s">
        <v>103</v>
      </c>
      <c r="AVX14" s="325"/>
      <c r="AVY14" s="326">
        <f t="shared" ref="AVY14" ca="1" si="4746">IFERROR(MATCH(AVY12,AVP14:AVS14,0),0)</f>
        <v>1</v>
      </c>
      <c r="AVZ14" s="326">
        <f t="shared" ref="AVZ14" ca="1" si="4747">IFERROR(MATCH(AVZ12,AVP14:AVS14,0),0)</f>
        <v>0</v>
      </c>
      <c r="AWA14" s="326">
        <f t="shared" ref="AWA14" ca="1" si="4748">IFERROR(MATCH(AWA12,AVP14:AVS14,0),0)</f>
        <v>2</v>
      </c>
      <c r="AWB14" s="326">
        <f t="shared" ref="AWB14" ca="1" si="4749">IFERROR(MATCH(AWB12,AVP14:AVS14,0),0)</f>
        <v>3</v>
      </c>
      <c r="AWC14" s="326">
        <f t="shared" ca="1" si="4036"/>
        <v>6</v>
      </c>
      <c r="AWD14" s="325"/>
      <c r="AWE14" s="325" t="str">
        <f t="shared" ref="AWE14" ca="1" si="4750">INDEX(AVP3:AVP8,MATCH(2,AWC3:AWC8,0),0)</f>
        <v>Austria</v>
      </c>
      <c r="AWF14" s="325"/>
      <c r="AWG14" s="319">
        <f t="shared" ref="AWG14" ca="1" si="4751">VLOOKUP(AWH14,BAC11:BAD15,2,FALSE)</f>
        <v>3</v>
      </c>
      <c r="AWH14" s="319" t="str">
        <f t="shared" si="2978"/>
        <v>Croatia</v>
      </c>
      <c r="AWI14" s="319">
        <f t="shared" ref="AWI14" ca="1" si="4752">SUMPRODUCT((BAF3:BAF42=AWH14)*(BAJ3:BAJ42="W"))+SUMPRODUCT((BAI3:BAI42=AWH14)*(BAK3:BAK42="W"))</f>
        <v>0</v>
      </c>
      <c r="AWJ14" s="319">
        <f t="shared" ref="AWJ14" ca="1" si="4753">SUMPRODUCT((BAF3:BAF42=AWH14)*(BAJ3:BAJ42="D"))+SUMPRODUCT((BAI3:BAI42=AWH14)*(BAK3:BAK42="D"))</f>
        <v>0</v>
      </c>
      <c r="AWK14" s="319">
        <f t="shared" ref="AWK14" ca="1" si="4754">SUMPRODUCT((BAF3:BAF42=AWH14)*(BAJ3:BAJ42="L"))+SUMPRODUCT((BAI3:BAI42=AWH14)*(BAK3:BAK42="L"))</f>
        <v>0</v>
      </c>
      <c r="AWL14" s="319">
        <f t="shared" ref="AWL14" ca="1" si="4755">SUMIF(BAF3:BAF60,AWH14,BAG3:BAG60)+SUMIF(BAI3:BAI60,AWH14,BAH3:BAH60)</f>
        <v>0</v>
      </c>
      <c r="AWM14" s="319">
        <f t="shared" ref="AWM14" ca="1" si="4756">SUMIF(BAI3:BAI60,AWH14,BAG3:BAG60)+SUMIF(BAF3:BAF60,AWH14,BAH3:BAH60)</f>
        <v>0</v>
      </c>
      <c r="AWN14" s="319">
        <f t="shared" ca="1" si="2984"/>
        <v>1000</v>
      </c>
      <c r="AWO14" s="319">
        <f t="shared" ca="1" si="2985"/>
        <v>0</v>
      </c>
      <c r="AWP14" s="319">
        <f t="shared" si="1050"/>
        <v>40</v>
      </c>
      <c r="AWQ14" s="319">
        <f t="shared" ref="AWQ14" ca="1" si="4757">IF(COUNTIF(AWO11:AWO15,4)&lt;&gt;4,RANK(AWO14,AWO11:AWO15),AWO54)</f>
        <v>1</v>
      </c>
      <c r="AWR14" s="319"/>
      <c r="AWS14" s="319">
        <f t="shared" ref="AWS14" ca="1" si="4758">SUMPRODUCT((AWQ11:AWQ14=AWQ14)*(AWP11:AWP14&lt;AWP14))+AWQ14</f>
        <v>2</v>
      </c>
      <c r="AWT14" s="319" t="str">
        <f t="shared" ref="AWT14" ca="1" si="4759">INDEX(AWH11:AWH15,MATCH(4,AWS11:AWS15,0),0)</f>
        <v>Spain</v>
      </c>
      <c r="AWU14" s="319">
        <f t="shared" ref="AWU14" ca="1" si="4760">INDEX(AWQ11:AWQ15,MATCH(AWT14,AWH11:AWH15,0),0)</f>
        <v>1</v>
      </c>
      <c r="AWV14" s="319" t="str">
        <f t="shared" ca="1" si="4048"/>
        <v>Spain</v>
      </c>
      <c r="AWW14" s="319" t="str">
        <f t="shared" ca="1" si="4049"/>
        <v/>
      </c>
      <c r="AWX14" s="319"/>
      <c r="AWY14" s="319"/>
      <c r="AWZ14" s="319"/>
      <c r="AXA14" s="319" t="str">
        <f t="shared" ca="1" si="2994"/>
        <v>Spain</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f t="shared" ca="1" si="3001"/>
        <v>0</v>
      </c>
      <c r="AXI14" s="319">
        <f t="shared" ref="AXI14" ca="1" si="4766">IF(AXA14&lt;&gt;"",VLOOKUP(AXA14,AWH4:AWN40,7,FALSE),"")</f>
        <v>1000</v>
      </c>
      <c r="AXJ14" s="319">
        <f t="shared" ref="AXJ14" ca="1" si="4767">IF(AXA14&lt;&gt;"",VLOOKUP(AXA14,AWH4:AWN40,5,FALSE),"")</f>
        <v>0</v>
      </c>
      <c r="AXK14" s="319">
        <f t="shared" ref="AXK14" ca="1" si="4768">IF(AXA14&lt;&gt;"",VLOOKUP(AXA14,AWH4:AWP40,9,FALSE),"")</f>
        <v>51</v>
      </c>
      <c r="AXL14" s="319">
        <f t="shared" ca="1" si="3005"/>
        <v>0</v>
      </c>
      <c r="AXM14" s="319">
        <f t="shared" ref="AXM14" ca="1" si="4769">IF(AXA14&lt;&gt;"",RANK(AXL14,AXL11:AXL15),"")</f>
        <v>1</v>
      </c>
      <c r="AXN14" s="319">
        <f t="shared" ref="AXN14" ca="1" si="4770">IF(AXA14&lt;&gt;"",SUMPRODUCT((AXL11:AXL15=AXL14)*(AXG11:AXG15&gt;AXG14)),"")</f>
        <v>0</v>
      </c>
      <c r="AXO14" s="319">
        <f t="shared" ref="AXO14" ca="1" si="4771">IF(AXA14&lt;&gt;"",SUMPRODUCT((AXL11:AXL15=AXL14)*(AXG11:AXG15=AXG14)*(AXE11:AXE15&gt;AXE14)),"")</f>
        <v>0</v>
      </c>
      <c r="AXP14" s="319">
        <f t="shared" ref="AXP14" ca="1" si="4772">IF(AXA14&lt;&gt;"",SUMPRODUCT((AXL11:AXL15=AXL14)*(AXG11:AXG15=AXG14)*(AXE11:AXE15=AXE14)*(AXI11:AXI15&gt;AXI14)),"")</f>
        <v>0</v>
      </c>
      <c r="AXQ14" s="319">
        <f t="shared" ref="AXQ14" ca="1" si="4773">IF(AXA14&lt;&gt;"",SUMPRODUCT((AXL11:AXL15=AXL14)*(AXG11:AXG15=AXG14)*(AXE11:AXE15=AXE14)*(AXI11:AXI15=AXI14)*(AXJ11:AXJ15&gt;AXJ14)),"")</f>
        <v>0</v>
      </c>
      <c r="AXR14" s="319">
        <f t="shared" ref="AXR14" ca="1" si="4774">IF(AXA14&lt;&gt;"",SUMPRODUCT((AXL11:AXL15=AXL14)*(AXG11:AXG15=AXG14)*(AXE11:AXE15=AXE14)*(AXI11:AXI15=AXI14)*(AXJ11:AXJ15=AXJ14)*(AXK11:AXK15&gt;AXK14)),"")</f>
        <v>0</v>
      </c>
      <c r="AXS14" s="319">
        <f ca="1">IF(AXA14&lt;&gt;"",IF(AXS54&lt;&gt;"",IF(AWZ50=3,AXS54,AXS54+AWZ50),SUM(AXM14:AXR14)),"")</f>
        <v>1</v>
      </c>
      <c r="AXT14" s="319" t="str">
        <f t="shared" ref="AXT14" ca="1" si="4775">IF(AXA14&lt;&gt;"",INDEX(AXA11:AXA15,MATCH(4,AXS11:AXS15,0),0),"")</f>
        <v>Italy</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Italy</v>
      </c>
      <c r="BAD14" s="319">
        <v>4</v>
      </c>
      <c r="BAE14" s="319">
        <v>12</v>
      </c>
      <c r="BAF14" s="319" t="str">
        <f t="shared" si="130"/>
        <v>Portugal</v>
      </c>
      <c r="BAG14" s="322">
        <f ca="1">IF(OFFSET('Player Game Board'!P21,0,BAG1)&lt;&gt;"",OFFSET('Player Game Board'!P21,0,BAG1),0)</f>
        <v>0</v>
      </c>
      <c r="BAH14" s="322">
        <f ca="1">IF(OFFSET('Player Game Board'!Q21,0,BAG1)&lt;&gt;"",OFFSET('Player Game Board'!Q21,0,BAG1),0)</f>
        <v>0</v>
      </c>
      <c r="BAI14" s="319" t="str">
        <f t="shared" si="131"/>
        <v>Czechia</v>
      </c>
      <c r="BAJ14" s="319" t="str">
        <f ca="1">IF(AND(OFFSET('Player Game Board'!P21,0,BAG1)&lt;&gt;"",OFFSET('Player Game Board'!Q21,0,BAG1)&lt;&gt;""),IF(BAG14&gt;BAH14,"W",IF(BAG14=BAH14,"D","L")),"")</f>
        <v/>
      </c>
      <c r="BAK14" s="319" t="str">
        <f t="shared" ca="1" si="132"/>
        <v/>
      </c>
      <c r="BAL14" s="319"/>
      <c r="BAM14" s="319"/>
      <c r="BAN14" s="324" t="s">
        <v>101</v>
      </c>
      <c r="BAO14" s="325" t="s">
        <v>102</v>
      </c>
      <c r="BAP14" s="325" t="s">
        <v>103</v>
      </c>
      <c r="BAQ14" s="325" t="s">
        <v>105</v>
      </c>
      <c r="BAR14" s="324" t="s">
        <v>101</v>
      </c>
      <c r="BAS14" s="324" t="s">
        <v>105</v>
      </c>
      <c r="BAT14" s="324" t="s">
        <v>102</v>
      </c>
      <c r="BAU14" s="324" t="s">
        <v>103</v>
      </c>
      <c r="BAV14" s="325"/>
      <c r="BAW14" s="326">
        <f t="shared" ref="BAW14" ca="1" si="4827">IFERROR(MATCH(BAW12,BAN14:BAQ14,0),0)</f>
        <v>1</v>
      </c>
      <c r="BAX14" s="326">
        <f t="shared" ref="BAX14" ca="1" si="4828">IFERROR(MATCH(BAX12,BAN14:BAQ14,0),0)</f>
        <v>0</v>
      </c>
      <c r="BAY14" s="326">
        <f t="shared" ref="BAY14" ca="1" si="4829">IFERROR(MATCH(BAY12,BAN14:BAQ14,0),0)</f>
        <v>2</v>
      </c>
      <c r="BAZ14" s="326">
        <f t="shared" ref="BAZ14" ca="1" si="4830">IFERROR(MATCH(BAZ12,BAN14:BAQ14,0),0)</f>
        <v>3</v>
      </c>
      <c r="BBA14" s="326">
        <f t="shared" ca="1" si="4106"/>
        <v>6</v>
      </c>
      <c r="BBB14" s="325"/>
      <c r="BBC14" s="325" t="str">
        <f t="shared" ref="BBC14" ca="1" si="4831">INDEX(BAN3:BAN8,MATCH(2,BBA3:BBA8,0),0)</f>
        <v>Austria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101</v>
      </c>
      <c r="BFM14" s="325" t="s">
        <v>102</v>
      </c>
      <c r="BFN14" s="325" t="s">
        <v>103</v>
      </c>
      <c r="BFO14" s="325" t="s">
        <v>105</v>
      </c>
      <c r="BFP14" s="324" t="s">
        <v>101</v>
      </c>
      <c r="BFQ14" s="324" t="s">
        <v>105</v>
      </c>
      <c r="BFR14" s="324" t="s">
        <v>102</v>
      </c>
      <c r="BFS14" s="324" t="s">
        <v>103</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ht="13.8" x14ac:dyDescent="0.3">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0</v>
      </c>
      <c r="DB15" s="319">
        <f>IF(AND(Matches!I20&lt;&gt;"",Matches!H20&lt;&gt;""),Matches!I20,0)</f>
        <v>0</v>
      </c>
      <c r="DC15" s="319" t="str">
        <f>Matches!J20</f>
        <v>Switzerland</v>
      </c>
      <c r="DD15" s="319" t="str">
        <f>IF(AND(Matches!H20&lt;&gt;"",Matches!I20&lt;&gt;""),IF(DA15&gt;DB15,"W",IF(DA15=DB15,"D","L")),"")</f>
        <v/>
      </c>
      <c r="DE15" s="319" t="str">
        <f t="shared" si="162"/>
        <v/>
      </c>
      <c r="DF15" s="319"/>
      <c r="DG15" s="319"/>
      <c r="DH15" s="324" t="s">
        <v>101</v>
      </c>
      <c r="DI15" s="325" t="s">
        <v>102</v>
      </c>
      <c r="DJ15" s="325" t="s">
        <v>103</v>
      </c>
      <c r="DK15" s="325" t="s">
        <v>106</v>
      </c>
      <c r="DL15" s="324" t="s">
        <v>101</v>
      </c>
      <c r="DM15" s="324" t="s">
        <v>106</v>
      </c>
      <c r="DN15" s="324" t="s">
        <v>102</v>
      </c>
      <c r="DO15" s="324" t="s">
        <v>103</v>
      </c>
      <c r="DP15" s="325"/>
      <c r="DQ15" s="326">
        <f>IFERROR(MATCH(DQ12,DH15:DK15,0),0)</f>
        <v>3</v>
      </c>
      <c r="DR15" s="326">
        <f>IFERROR(MATCH(DR12,DH15:DK15,0),0)</f>
        <v>2</v>
      </c>
      <c r="DS15" s="326">
        <f>IFERROR(MATCH(DS12,DH15:DK15,0),0)</f>
        <v>4</v>
      </c>
      <c r="DT15" s="326">
        <f>IFERROR(MATCH(DT12,DH15:DK15,0),0)</f>
        <v>0</v>
      </c>
      <c r="DU15" s="326">
        <f t="shared" si="3541"/>
        <v>9</v>
      </c>
      <c r="DV15" s="325"/>
      <c r="DW15" s="325" t="str">
        <f>INDEX(DH3:DH8,MATCH(3,DU3:DU8,0),0)</f>
        <v>Czechia</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2</v>
      </c>
      <c r="HZ15" s="322">
        <f ca="1">IF(OFFSET('Player Game Board'!Q22,0,HY1)&lt;&gt;"",OFFSET('Player Game Board'!Q22,0,HY1),0)</f>
        <v>2</v>
      </c>
      <c r="IA15" s="319" t="str">
        <f t="shared" si="165"/>
        <v>Switzerland</v>
      </c>
      <c r="IB15" s="319" t="str">
        <f ca="1">IF(AND(OFFSET('Player Game Board'!P22,0,HY1)&lt;&gt;"",OFFSET('Player Game Board'!Q22,0,HY1)&lt;&gt;""),IF(HY15&gt;HZ15,"W",IF(HY15=HZ15,"D","L")),"")</f>
        <v>D</v>
      </c>
      <c r="IC15" s="319" t="str">
        <f t="shared" ca="1" si="166"/>
        <v>D</v>
      </c>
      <c r="ID15" s="319"/>
      <c r="IE15" s="319"/>
      <c r="IF15" s="324" t="s">
        <v>101</v>
      </c>
      <c r="IG15" s="325" t="s">
        <v>102</v>
      </c>
      <c r="IH15" s="325" t="s">
        <v>103</v>
      </c>
      <c r="II15" s="325" t="s">
        <v>106</v>
      </c>
      <c r="IJ15" s="324" t="s">
        <v>101</v>
      </c>
      <c r="IK15" s="324" t="s">
        <v>106</v>
      </c>
      <c r="IL15" s="324" t="s">
        <v>102</v>
      </c>
      <c r="IM15" s="324" t="s">
        <v>103</v>
      </c>
      <c r="IN15" s="325"/>
      <c r="IO15" s="326">
        <f ca="1">IFERROR(MATCH(IO12,IF15:II15,0),0)</f>
        <v>1</v>
      </c>
      <c r="IP15" s="326">
        <f ca="1">IFERROR(MATCH(IP12,IF15:II15,0),0)</f>
        <v>0</v>
      </c>
      <c r="IQ15" s="326">
        <f ca="1">IFERROR(MATCH(IQ12,IF15:II15,0),0)</f>
        <v>4</v>
      </c>
      <c r="IR15" s="326">
        <f ca="1">IFERROR(MATCH(IR12,IF15:II15,0),0)</f>
        <v>2</v>
      </c>
      <c r="IS15" s="326">
        <f t="shared" ca="1" si="3544"/>
        <v>7</v>
      </c>
      <c r="IT15" s="325"/>
      <c r="IU15" s="325" t="str">
        <f ca="1">INDEX(IF3:IF8,MATCH(3,IS3:IS8,0),0)</f>
        <v>Czechia</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1</v>
      </c>
      <c r="MX15" s="322">
        <f ca="1">IF(OFFSET('Player Game Board'!Q22,0,MW1)&lt;&gt;"",OFFSET('Player Game Board'!Q22,0,MW1),0)</f>
        <v>0</v>
      </c>
      <c r="MY15" s="319" t="str">
        <f t="shared" si="171"/>
        <v>Switzerland</v>
      </c>
      <c r="MZ15" s="319" t="str">
        <f ca="1">IF(AND(OFFSET('Player Game Board'!P22,0,MW1)&lt;&gt;"",OFFSET('Player Game Board'!Q22,0,MW1)&lt;&gt;""),IF(MW15&gt;MX15,"W",IF(MW15=MX15,"D","L")),"")</f>
        <v>W</v>
      </c>
      <c r="NA15" s="319" t="str">
        <f t="shared" ca="1" si="172"/>
        <v>L</v>
      </c>
      <c r="NB15" s="319"/>
      <c r="NC15" s="319"/>
      <c r="ND15" s="324" t="s">
        <v>101</v>
      </c>
      <c r="NE15" s="325" t="s">
        <v>102</v>
      </c>
      <c r="NF15" s="325" t="s">
        <v>103</v>
      </c>
      <c r="NG15" s="325" t="s">
        <v>106</v>
      </c>
      <c r="NH15" s="324" t="s">
        <v>101</v>
      </c>
      <c r="NI15" s="324" t="s">
        <v>106</v>
      </c>
      <c r="NJ15" s="324" t="s">
        <v>102</v>
      </c>
      <c r="NK15" s="324" t="s">
        <v>103</v>
      </c>
      <c r="NL15" s="325"/>
      <c r="NM15" s="326">
        <f ca="1">IFERROR(MATCH(NM12,ND15:NG15,0),0)</f>
        <v>2</v>
      </c>
      <c r="NN15" s="326">
        <f ca="1">IFERROR(MATCH(NN12,ND15:NG15,0),0)</f>
        <v>1</v>
      </c>
      <c r="NO15" s="326">
        <f ca="1">IFERROR(MATCH(NO12,ND15:NG15,0),0)</f>
        <v>4</v>
      </c>
      <c r="NP15" s="326">
        <f ca="1">IFERROR(MATCH(NP12,ND15:NG15,0),0)</f>
        <v>0</v>
      </c>
      <c r="NQ15" s="326">
        <f t="shared" ca="1" si="3547"/>
        <v>7</v>
      </c>
      <c r="NR15" s="325"/>
      <c r="NS15" s="325" t="str">
        <f ca="1">INDEX(ND3:ND8,MATCH(3,NQ3:NQ8,0),0)</f>
        <v>Türkiye</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0</v>
      </c>
      <c r="RV15" s="322">
        <f ca="1">IF(OFFSET('Player Game Board'!Q22,0,RU1)&lt;&gt;"",OFFSET('Player Game Board'!Q22,0,RU1),0)</f>
        <v>0</v>
      </c>
      <c r="RW15" s="319" t="str">
        <f t="shared" si="19"/>
        <v>Switzerland</v>
      </c>
      <c r="RX15" s="319" t="str">
        <f ca="1">IF(AND(OFFSET('Player Game Board'!P22,0,RU1)&lt;&gt;"",OFFSET('Player Game Board'!Q22,0,RU1)&lt;&gt;""),IF(RU15&gt;RV15,"W",IF(RU15=RV15,"D","L")),"")</f>
        <v>D</v>
      </c>
      <c r="RY15" s="319" t="str">
        <f t="shared" ca="1" si="20"/>
        <v>D</v>
      </c>
      <c r="RZ15" s="319"/>
      <c r="SA15" s="319"/>
      <c r="SB15" s="324" t="s">
        <v>101</v>
      </c>
      <c r="SC15" s="325" t="s">
        <v>102</v>
      </c>
      <c r="SD15" s="325" t="s">
        <v>103</v>
      </c>
      <c r="SE15" s="325" t="s">
        <v>106</v>
      </c>
      <c r="SF15" s="324" t="s">
        <v>101</v>
      </c>
      <c r="SG15" s="324" t="s">
        <v>106</v>
      </c>
      <c r="SH15" s="324" t="s">
        <v>102</v>
      </c>
      <c r="SI15" s="324" t="s">
        <v>103</v>
      </c>
      <c r="SJ15" s="325"/>
      <c r="SK15" s="326">
        <f t="shared" ref="SK15" ca="1" si="4913">IFERROR(MATCH(SK12,SB15:SE15,0),0)</f>
        <v>3</v>
      </c>
      <c r="SL15" s="326">
        <f t="shared" ref="SL15" ca="1" si="4914">IFERROR(MATCH(SL12,SB15:SE15,0),0)</f>
        <v>2</v>
      </c>
      <c r="SM15" s="326">
        <f t="shared" ref="SM15" ca="1" si="4915">IFERROR(MATCH(SM12,SB15:SE15,0),0)</f>
        <v>4</v>
      </c>
      <c r="SN15" s="326">
        <f t="shared" ref="SN15" ca="1" si="4916">IFERROR(MATCH(SN12,SB15:SE15,0),0)</f>
        <v>0</v>
      </c>
      <c r="SO15" s="326">
        <f t="shared" ca="1" si="3616"/>
        <v>9</v>
      </c>
      <c r="SP15" s="325"/>
      <c r="SQ15" s="325" t="str">
        <f t="shared" ref="SQ15" ca="1" si="4917">INDEX(SB3:SB8,MATCH(3,SO3:SO8,0),0)</f>
        <v>Czechia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1</v>
      </c>
      <c r="WT15" s="322">
        <f ca="1">IF(OFFSET('Player Game Board'!Q22,0,WS1)&lt;&gt;"",OFFSET('Player Game Board'!Q22,0,WS1),0)</f>
        <v>2</v>
      </c>
      <c r="WU15" s="319" t="str">
        <f t="shared" si="35"/>
        <v>Switzerland</v>
      </c>
      <c r="WV15" s="319" t="str">
        <f ca="1">IF(AND(OFFSET('Player Game Board'!P22,0,WS1)&lt;&gt;"",OFFSET('Player Game Board'!Q22,0,WS1)&lt;&gt;""),IF(WS15&gt;WT15,"W",IF(WS15=WT15,"D","L")),"")</f>
        <v>L</v>
      </c>
      <c r="WW15" s="319" t="str">
        <f t="shared" ca="1" si="36"/>
        <v>W</v>
      </c>
      <c r="WX15" s="319"/>
      <c r="WY15" s="319"/>
      <c r="WZ15" s="324" t="s">
        <v>101</v>
      </c>
      <c r="XA15" s="325" t="s">
        <v>102</v>
      </c>
      <c r="XB15" s="325" t="s">
        <v>103</v>
      </c>
      <c r="XC15" s="325" t="s">
        <v>106</v>
      </c>
      <c r="XD15" s="324" t="s">
        <v>101</v>
      </c>
      <c r="XE15" s="324" t="s">
        <v>106</v>
      </c>
      <c r="XF15" s="324" t="s">
        <v>102</v>
      </c>
      <c r="XG15" s="324" t="s">
        <v>103</v>
      </c>
      <c r="XH15" s="325"/>
      <c r="XI15" s="326">
        <f t="shared" ref="XI15" ca="1" si="4918">IFERROR(MATCH(XI12,WZ15:XC15,0),0)</f>
        <v>4</v>
      </c>
      <c r="XJ15" s="326">
        <f t="shared" ref="XJ15" ca="1" si="4919">IFERROR(MATCH(XJ12,WZ15:XC15,0),0)</f>
        <v>0</v>
      </c>
      <c r="XK15" s="326">
        <f t="shared" ref="XK15" ca="1" si="4920">IFERROR(MATCH(XK12,WZ15:XC15,0),0)</f>
        <v>2</v>
      </c>
      <c r="XL15" s="326">
        <f t="shared" ref="XL15" ca="1" si="4921">IFERROR(MATCH(XL12,WZ15:XC15,0),0)</f>
        <v>1</v>
      </c>
      <c r="XM15" s="326">
        <f t="shared" ca="1" si="3686"/>
        <v>7</v>
      </c>
      <c r="XN15" s="325"/>
      <c r="XO15" s="325" t="str">
        <f t="shared" ref="XO15" ca="1" si="4922">INDEX(WZ3:WZ8,MATCH(3,XM3:XM8,0),0)</f>
        <v>Croatia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3</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W</v>
      </c>
      <c r="ABU15" s="319" t="str">
        <f t="shared" ca="1" si="52"/>
        <v>L</v>
      </c>
      <c r="ABV15" s="319"/>
      <c r="ABW15" s="319"/>
      <c r="ABX15" s="324" t="s">
        <v>101</v>
      </c>
      <c r="ABY15" s="325" t="s">
        <v>102</v>
      </c>
      <c r="ABZ15" s="325" t="s">
        <v>103</v>
      </c>
      <c r="ACA15" s="325" t="s">
        <v>106</v>
      </c>
      <c r="ACB15" s="324" t="s">
        <v>101</v>
      </c>
      <c r="ACC15" s="324" t="s">
        <v>106</v>
      </c>
      <c r="ACD15" s="324" t="s">
        <v>102</v>
      </c>
      <c r="ACE15" s="324" t="s">
        <v>103</v>
      </c>
      <c r="ACF15" s="325"/>
      <c r="ACG15" s="326">
        <f t="shared" ref="ACG15" ca="1" si="4923">IFERROR(MATCH(ACG12,ABX15:ACA15,0),0)</f>
        <v>3</v>
      </c>
      <c r="ACH15" s="326">
        <f t="shared" ref="ACH15" ca="1" si="4924">IFERROR(MATCH(ACH12,ABX15:ACA15,0),0)</f>
        <v>2</v>
      </c>
      <c r="ACI15" s="326">
        <f t="shared" ref="ACI15" ca="1" si="4925">IFERROR(MATCH(ACI12,ABX15:ACA15,0),0)</f>
        <v>0</v>
      </c>
      <c r="ACJ15" s="326">
        <f t="shared" ref="ACJ15" ca="1" si="4926">IFERROR(MATCH(ACJ12,ABX15:ACA15,0),0)</f>
        <v>1</v>
      </c>
      <c r="ACK15" s="326">
        <f t="shared" ca="1" si="3756"/>
        <v>6</v>
      </c>
      <c r="ACL15" s="325"/>
      <c r="ACM15" s="325" t="str">
        <f t="shared" ref="ACM15" ca="1" si="4927">INDEX(ABX3:ABX8,MATCH(3,ACK3:ACK8,0),0)</f>
        <v>Austria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1</v>
      </c>
      <c r="AGP15" s="322">
        <f ca="1">IF(OFFSET('Player Game Board'!Q22,0,AGO1)&lt;&gt;"",OFFSET('Player Game Board'!Q22,0,AGO1),0)</f>
        <v>1</v>
      </c>
      <c r="AGQ15" s="319" t="str">
        <f t="shared" si="67"/>
        <v>Switzerland</v>
      </c>
      <c r="AGR15" s="319" t="str">
        <f ca="1">IF(AND(OFFSET('Player Game Board'!P22,0,AGO1)&lt;&gt;"",OFFSET('Player Game Board'!Q22,0,AGO1)&lt;&gt;""),IF(AGO15&gt;AGP15,"W",IF(AGO15=AGP15,"D","L")),"")</f>
        <v>D</v>
      </c>
      <c r="AGS15" s="319" t="str">
        <f t="shared" ca="1" si="68"/>
        <v>D</v>
      </c>
      <c r="AGT15" s="319"/>
      <c r="AGU15" s="319"/>
      <c r="AGV15" s="324" t="s">
        <v>101</v>
      </c>
      <c r="AGW15" s="325" t="s">
        <v>102</v>
      </c>
      <c r="AGX15" s="325" t="s">
        <v>103</v>
      </c>
      <c r="AGY15" s="325" t="s">
        <v>106</v>
      </c>
      <c r="AGZ15" s="324" t="s">
        <v>101</v>
      </c>
      <c r="AHA15" s="324" t="s">
        <v>106</v>
      </c>
      <c r="AHB15" s="324" t="s">
        <v>102</v>
      </c>
      <c r="AHC15" s="324" t="s">
        <v>103</v>
      </c>
      <c r="AHD15" s="325"/>
      <c r="AHE15" s="326">
        <f t="shared" ref="AHE15" ca="1" si="4928">IFERROR(MATCH(AHE12,AGV15:AGY15,0),0)</f>
        <v>4</v>
      </c>
      <c r="AHF15" s="326">
        <f t="shared" ref="AHF15" ca="1" si="4929">IFERROR(MATCH(AHF12,AGV15:AGY15,0),0)</f>
        <v>1</v>
      </c>
      <c r="AHG15" s="326">
        <f t="shared" ref="AHG15" ca="1" si="4930">IFERROR(MATCH(AHG12,AGV15:AGY15,0),0)</f>
        <v>2</v>
      </c>
      <c r="AHH15" s="326">
        <f t="shared" ref="AHH15" ca="1" si="4931">IFERROR(MATCH(AHH12,AGV15:AGY15,0),0)</f>
        <v>3</v>
      </c>
      <c r="AHI15" s="326">
        <f t="shared" ca="1" si="3826"/>
        <v>10</v>
      </c>
      <c r="AHJ15" s="325"/>
      <c r="AHK15" s="325" t="str">
        <f t="shared" ref="AHK15" ca="1" si="4932">INDEX(AGV3:AGV8,MATCH(3,AHI3:AHI8,0),0)</f>
        <v>Croatia</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0</v>
      </c>
      <c r="ALN15" s="322">
        <f ca="1">IF(OFFSET('Player Game Board'!Q22,0,ALM1)&lt;&gt;"",OFFSET('Player Game Board'!Q22,0,ALM1),0)</f>
        <v>0</v>
      </c>
      <c r="ALO15" s="319" t="str">
        <f t="shared" si="83"/>
        <v>Switzerland</v>
      </c>
      <c r="ALP15" s="319" t="str">
        <f ca="1">IF(AND(OFFSET('Player Game Board'!P22,0,ALM1)&lt;&gt;"",OFFSET('Player Game Board'!Q22,0,ALM1)&lt;&gt;""),IF(ALM15&gt;ALN15,"W",IF(ALM15=ALN15,"D","L")),"")</f>
        <v/>
      </c>
      <c r="ALQ15" s="319" t="str">
        <f t="shared" ca="1" si="84"/>
        <v/>
      </c>
      <c r="ALR15" s="319"/>
      <c r="ALS15" s="319"/>
      <c r="ALT15" s="324" t="s">
        <v>101</v>
      </c>
      <c r="ALU15" s="325" t="s">
        <v>102</v>
      </c>
      <c r="ALV15" s="325" t="s">
        <v>103</v>
      </c>
      <c r="ALW15" s="325" t="s">
        <v>106</v>
      </c>
      <c r="ALX15" s="324" t="s">
        <v>101</v>
      </c>
      <c r="ALY15" s="324" t="s">
        <v>106</v>
      </c>
      <c r="ALZ15" s="324" t="s">
        <v>102</v>
      </c>
      <c r="AMA15" s="324" t="s">
        <v>103</v>
      </c>
      <c r="AMB15" s="325"/>
      <c r="AMC15" s="326">
        <f t="shared" ref="AMC15" ca="1" si="4933">IFERROR(MATCH(AMC12,ALT15:ALW15,0),0)</f>
        <v>1</v>
      </c>
      <c r="AMD15" s="326">
        <f t="shared" ref="AMD15" ca="1" si="4934">IFERROR(MATCH(AMD12,ALT15:ALW15,0),0)</f>
        <v>0</v>
      </c>
      <c r="AME15" s="326">
        <f t="shared" ref="AME15" ca="1" si="4935">IFERROR(MATCH(AME12,ALT15:ALW15,0),0)</f>
        <v>2</v>
      </c>
      <c r="AMF15" s="326">
        <f t="shared" ref="AMF15" ca="1" si="4936">IFERROR(MATCH(AMF12,ALT15:ALW15,0),0)</f>
        <v>3</v>
      </c>
      <c r="AMG15" s="326">
        <f t="shared" ca="1" si="3896"/>
        <v>6</v>
      </c>
      <c r="AMH15" s="325"/>
      <c r="AMI15" s="325" t="str">
        <f t="shared" ref="AMI15" ca="1" si="4937">INDEX(ALT3:ALT8,MATCH(3,AMG3:AMG8,0),0)</f>
        <v>Croatia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0</v>
      </c>
      <c r="AQL15" s="322">
        <f ca="1">IF(OFFSET('Player Game Board'!Q22,0,AQK1)&lt;&gt;"",OFFSET('Player Game Board'!Q22,0,AQK1),0)</f>
        <v>0</v>
      </c>
      <c r="AQM15" s="319" t="str">
        <f t="shared" si="99"/>
        <v>Switzerland</v>
      </c>
      <c r="AQN15" s="319" t="str">
        <f ca="1">IF(AND(OFFSET('Player Game Board'!P22,0,AQK1)&lt;&gt;"",OFFSET('Player Game Board'!Q22,0,AQK1)&lt;&gt;""),IF(AQK15&gt;AQL15,"W",IF(AQK15=AQL15,"D","L")),"")</f>
        <v/>
      </c>
      <c r="AQO15" s="319" t="str">
        <f t="shared" ca="1" si="100"/>
        <v/>
      </c>
      <c r="AQP15" s="319"/>
      <c r="AQQ15" s="319"/>
      <c r="AQR15" s="324" t="s">
        <v>101</v>
      </c>
      <c r="AQS15" s="325" t="s">
        <v>102</v>
      </c>
      <c r="AQT15" s="325" t="s">
        <v>103</v>
      </c>
      <c r="AQU15" s="325" t="s">
        <v>106</v>
      </c>
      <c r="AQV15" s="324" t="s">
        <v>101</v>
      </c>
      <c r="AQW15" s="324" t="s">
        <v>106</v>
      </c>
      <c r="AQX15" s="324" t="s">
        <v>102</v>
      </c>
      <c r="AQY15" s="324" t="s">
        <v>103</v>
      </c>
      <c r="AQZ15" s="325"/>
      <c r="ARA15" s="326">
        <f t="shared" ref="ARA15" ca="1" si="4938">IFERROR(MATCH(ARA12,AQR15:AQU15,0),0)</f>
        <v>1</v>
      </c>
      <c r="ARB15" s="326">
        <f t="shared" ref="ARB15" ca="1" si="4939">IFERROR(MATCH(ARB12,AQR15:AQU15,0),0)</f>
        <v>0</v>
      </c>
      <c r="ARC15" s="326">
        <f t="shared" ref="ARC15" ca="1" si="4940">IFERROR(MATCH(ARC12,AQR15:AQU15,0),0)</f>
        <v>2</v>
      </c>
      <c r="ARD15" s="326">
        <f t="shared" ref="ARD15" ca="1" si="4941">IFERROR(MATCH(ARD12,AQR15:AQU15,0),0)</f>
        <v>3</v>
      </c>
      <c r="ARE15" s="326">
        <f t="shared" ca="1" si="3966"/>
        <v>6</v>
      </c>
      <c r="ARF15" s="325"/>
      <c r="ARG15" s="325" t="str">
        <f t="shared" ref="ARG15" ca="1" si="4942">INDEX(AQR3:AQR8,MATCH(3,ARE3:ARE8,0),0)</f>
        <v>Croatia</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0</v>
      </c>
      <c r="AVJ15" s="322">
        <f ca="1">IF(OFFSET('Player Game Board'!Q22,0,AVI1)&lt;&gt;"",OFFSET('Player Game Board'!Q22,0,AVI1),0)</f>
        <v>0</v>
      </c>
      <c r="AVK15" s="319" t="str">
        <f t="shared" si="115"/>
        <v>Switzerland</v>
      </c>
      <c r="AVL15" s="319" t="str">
        <f ca="1">IF(AND(OFFSET('Player Game Board'!P22,0,AVI1)&lt;&gt;"",OFFSET('Player Game Board'!Q22,0,AVI1)&lt;&gt;""),IF(AVI15&gt;AVJ15,"W",IF(AVI15=AVJ15,"D","L")),"")</f>
        <v/>
      </c>
      <c r="AVM15" s="319" t="str">
        <f t="shared" ca="1" si="116"/>
        <v/>
      </c>
      <c r="AVN15" s="319"/>
      <c r="AVO15" s="319"/>
      <c r="AVP15" s="324" t="s">
        <v>101</v>
      </c>
      <c r="AVQ15" s="325" t="s">
        <v>102</v>
      </c>
      <c r="AVR15" s="325" t="s">
        <v>103</v>
      </c>
      <c r="AVS15" s="325" t="s">
        <v>106</v>
      </c>
      <c r="AVT15" s="324" t="s">
        <v>101</v>
      </c>
      <c r="AVU15" s="324" t="s">
        <v>106</v>
      </c>
      <c r="AVV15" s="324" t="s">
        <v>102</v>
      </c>
      <c r="AVW15" s="324" t="s">
        <v>103</v>
      </c>
      <c r="AVX15" s="325"/>
      <c r="AVY15" s="326">
        <f t="shared" ref="AVY15" ca="1" si="4943">IFERROR(MATCH(AVY12,AVP15:AVS15,0),0)</f>
        <v>1</v>
      </c>
      <c r="AVZ15" s="326">
        <f t="shared" ref="AVZ15" ca="1" si="4944">IFERROR(MATCH(AVZ12,AVP15:AVS15,0),0)</f>
        <v>0</v>
      </c>
      <c r="AWA15" s="326">
        <f t="shared" ref="AWA15" ca="1" si="4945">IFERROR(MATCH(AWA12,AVP15:AVS15,0),0)</f>
        <v>2</v>
      </c>
      <c r="AWB15" s="326">
        <f t="shared" ref="AWB15" ca="1" si="4946">IFERROR(MATCH(AWB12,AVP15:AVS15,0),0)</f>
        <v>3</v>
      </c>
      <c r="AWC15" s="326">
        <f t="shared" ca="1" si="4036"/>
        <v>6</v>
      </c>
      <c r="AWD15" s="325"/>
      <c r="AWE15" s="325" t="str">
        <f t="shared" ref="AWE15" ca="1" si="4947">INDEX(AVP3:AVP8,MATCH(3,AWC3:AWC8,0),0)</f>
        <v>Croatia</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0</v>
      </c>
      <c r="BAH15" s="322">
        <f ca="1">IF(OFFSET('Player Game Board'!Q22,0,BAG1)&lt;&gt;"",OFFSET('Player Game Board'!Q22,0,BAG1),0)</f>
        <v>0</v>
      </c>
      <c r="BAI15" s="319" t="str">
        <f t="shared" si="131"/>
        <v>Switzerland</v>
      </c>
      <c r="BAJ15" s="319" t="str">
        <f ca="1">IF(AND(OFFSET('Player Game Board'!P22,0,BAG1)&lt;&gt;"",OFFSET('Player Game Board'!Q22,0,BAG1)&lt;&gt;""),IF(BAG15&gt;BAH15,"W",IF(BAG15=BAH15,"D","L")),"")</f>
        <v/>
      </c>
      <c r="BAK15" s="319" t="str">
        <f t="shared" ca="1" si="132"/>
        <v/>
      </c>
      <c r="BAL15" s="319"/>
      <c r="BAM15" s="319"/>
      <c r="BAN15" s="324" t="s">
        <v>101</v>
      </c>
      <c r="BAO15" s="325" t="s">
        <v>102</v>
      </c>
      <c r="BAP15" s="325" t="s">
        <v>103</v>
      </c>
      <c r="BAQ15" s="325" t="s">
        <v>106</v>
      </c>
      <c r="BAR15" s="324" t="s">
        <v>101</v>
      </c>
      <c r="BAS15" s="324" t="s">
        <v>106</v>
      </c>
      <c r="BAT15" s="324" t="s">
        <v>102</v>
      </c>
      <c r="BAU15" s="324" t="s">
        <v>103</v>
      </c>
      <c r="BAV15" s="325"/>
      <c r="BAW15" s="326">
        <f t="shared" ref="BAW15" ca="1" si="4948">IFERROR(MATCH(BAW12,BAN15:BAQ15,0),0)</f>
        <v>1</v>
      </c>
      <c r="BAX15" s="326">
        <f t="shared" ref="BAX15" ca="1" si="4949">IFERROR(MATCH(BAX12,BAN15:BAQ15,0),0)</f>
        <v>0</v>
      </c>
      <c r="BAY15" s="326">
        <f t="shared" ref="BAY15" ca="1" si="4950">IFERROR(MATCH(BAY12,BAN15:BAQ15,0),0)</f>
        <v>2</v>
      </c>
      <c r="BAZ15" s="326">
        <f t="shared" ref="BAZ15" ca="1" si="4951">IFERROR(MATCH(BAZ12,BAN15:BAQ15,0),0)</f>
        <v>3</v>
      </c>
      <c r="BBA15" s="326">
        <f t="shared" ca="1" si="4106"/>
        <v>6</v>
      </c>
      <c r="BBB15" s="325"/>
      <c r="BBC15" s="325" t="str">
        <f t="shared" ref="BBC15" ca="1" si="4952">INDEX(BAN3:BAN8,MATCH(3,BBA3:BBA8,0),0)</f>
        <v>Croatia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101</v>
      </c>
      <c r="BFM15" s="325" t="s">
        <v>102</v>
      </c>
      <c r="BFN15" s="325" t="s">
        <v>103</v>
      </c>
      <c r="BFO15" s="325" t="s">
        <v>106</v>
      </c>
      <c r="BFP15" s="324" t="s">
        <v>101</v>
      </c>
      <c r="BFQ15" s="324" t="s">
        <v>106</v>
      </c>
      <c r="BFR15" s="324" t="s">
        <v>102</v>
      </c>
      <c r="BFS15" s="324" t="s">
        <v>103</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ht="13.8" x14ac:dyDescent="0.3">
      <c r="A16" s="319"/>
      <c r="B16" s="319"/>
      <c r="C16" s="319"/>
      <c r="D16" s="319"/>
      <c r="E16" s="319"/>
      <c r="F16" s="319" t="s">
        <v>357</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0</v>
      </c>
      <c r="DB16" s="319">
        <f>IF(AND(Matches!I21&lt;&gt;"",Matches!H21&lt;&gt;""),Matches!I21,0)</f>
        <v>0</v>
      </c>
      <c r="DC16" s="319" t="str">
        <f>Matches!J21</f>
        <v>Hungary</v>
      </c>
      <c r="DD16" s="319" t="str">
        <f>IF(AND(Matches!H21&lt;&gt;"",Matches!I21&lt;&gt;""),IF(DA16&gt;DB16,"W",IF(DA16=DB16,"D","L")),"")</f>
        <v/>
      </c>
      <c r="DE16" s="319" t="str">
        <f t="shared" si="162"/>
        <v/>
      </c>
      <c r="DF16" s="319"/>
      <c r="DG16" s="319"/>
      <c r="DH16" s="324" t="s">
        <v>101</v>
      </c>
      <c r="DI16" s="325" t="s">
        <v>102</v>
      </c>
      <c r="DJ16" s="325" t="s">
        <v>104</v>
      </c>
      <c r="DK16" s="325" t="s">
        <v>105</v>
      </c>
      <c r="DL16" s="324" t="s">
        <v>104</v>
      </c>
      <c r="DM16" s="324" t="s">
        <v>105</v>
      </c>
      <c r="DN16" s="324" t="s">
        <v>101</v>
      </c>
      <c r="DO16" s="324" t="s">
        <v>102</v>
      </c>
      <c r="DP16" s="325"/>
      <c r="DQ16" s="326">
        <f>IFERROR(MATCH(DQ12,DH16:DK16,0),0)</f>
        <v>0</v>
      </c>
      <c r="DR16" s="326">
        <f>IFERROR(MATCH(DR12,DH16:DK16,0),0)</f>
        <v>2</v>
      </c>
      <c r="DS16" s="326">
        <f>IFERROR(MATCH(DS12,DH16:DK16,0),0)</f>
        <v>0</v>
      </c>
      <c r="DT16" s="326">
        <f>IFERROR(MATCH(DT12,DH16:DK16,0),0)</f>
        <v>3</v>
      </c>
      <c r="DU16" s="326">
        <f t="shared" si="3541"/>
        <v>5</v>
      </c>
      <c r="DV16" s="325"/>
      <c r="DW16" s="325" t="str">
        <f>INDEX(DH3:DH8,MATCH(4,DU3:DU8,0),0)</f>
        <v>Poland</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3</v>
      </c>
      <c r="HZ16" s="322">
        <f ca="1">IF(OFFSET('Player Game Board'!Q23,0,HY1)&lt;&gt;"",OFFSET('Player Game Board'!Q23,0,HY1),0)</f>
        <v>0</v>
      </c>
      <c r="IA16" s="319" t="str">
        <f t="shared" si="165"/>
        <v>Hungary</v>
      </c>
      <c r="IB16" s="319" t="str">
        <f ca="1">IF(AND(OFFSET('Player Game Board'!P23,0,HY1)&lt;&gt;"",OFFSET('Player Game Board'!Q23,0,HY1)&lt;&gt;""),IF(HY16&gt;HZ16,"W",IF(HY16=HZ16,"D","L")),"")</f>
        <v>W</v>
      </c>
      <c r="IC16" s="319" t="str">
        <f t="shared" ca="1" si="166"/>
        <v>L</v>
      </c>
      <c r="ID16" s="319"/>
      <c r="IE16" s="319"/>
      <c r="IF16" s="324" t="s">
        <v>101</v>
      </c>
      <c r="IG16" s="325" t="s">
        <v>102</v>
      </c>
      <c r="IH16" s="325" t="s">
        <v>104</v>
      </c>
      <c r="II16" s="325" t="s">
        <v>105</v>
      </c>
      <c r="IJ16" s="324" t="s">
        <v>104</v>
      </c>
      <c r="IK16" s="324" t="s">
        <v>105</v>
      </c>
      <c r="IL16" s="324" t="s">
        <v>101</v>
      </c>
      <c r="IM16" s="324" t="s">
        <v>102</v>
      </c>
      <c r="IN16" s="325"/>
      <c r="IO16" s="326">
        <f ca="1">IFERROR(MATCH(IO12,IF16:II16,0),0)</f>
        <v>1</v>
      </c>
      <c r="IP16" s="326">
        <f ca="1">IFERROR(MATCH(IP12,IF16:II16,0),0)</f>
        <v>3</v>
      </c>
      <c r="IQ16" s="326">
        <f ca="1">IFERROR(MATCH(IQ12,IF16:II16,0),0)</f>
        <v>0</v>
      </c>
      <c r="IR16" s="326">
        <f ca="1">IFERROR(MATCH(IR12,IF16:II16,0),0)</f>
        <v>2</v>
      </c>
      <c r="IS16" s="326">
        <f t="shared" ca="1" si="3544"/>
        <v>6</v>
      </c>
      <c r="IT16" s="325"/>
      <c r="IU16" s="325" t="str">
        <f ca="1">INDEX(IF3:IF8,MATCH(4,IS3:IS8,0),0)</f>
        <v>Croatia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1</v>
      </c>
      <c r="MX16" s="322">
        <f ca="1">IF(OFFSET('Player Game Board'!Q23,0,MW1)&lt;&gt;"",OFFSET('Player Game Board'!Q23,0,MW1),0)</f>
        <v>1</v>
      </c>
      <c r="MY16" s="319" t="str">
        <f t="shared" si="171"/>
        <v>Hungary</v>
      </c>
      <c r="MZ16" s="319" t="str">
        <f ca="1">IF(AND(OFFSET('Player Game Board'!P23,0,MW1)&lt;&gt;"",OFFSET('Player Game Board'!Q23,0,MW1)&lt;&gt;""),IF(MW16&gt;MX16,"W",IF(MW16=MX16,"D","L")),"")</f>
        <v>D</v>
      </c>
      <c r="NA16" s="319" t="str">
        <f t="shared" ca="1" si="172"/>
        <v>D</v>
      </c>
      <c r="NB16" s="319"/>
      <c r="NC16" s="319"/>
      <c r="ND16" s="324" t="s">
        <v>101</v>
      </c>
      <c r="NE16" s="325" t="s">
        <v>102</v>
      </c>
      <c r="NF16" s="325" t="s">
        <v>104</v>
      </c>
      <c r="NG16" s="325" t="s">
        <v>105</v>
      </c>
      <c r="NH16" s="324" t="s">
        <v>104</v>
      </c>
      <c r="NI16" s="324" t="s">
        <v>105</v>
      </c>
      <c r="NJ16" s="324" t="s">
        <v>101</v>
      </c>
      <c r="NK16" s="324" t="s">
        <v>102</v>
      </c>
      <c r="NL16" s="325"/>
      <c r="NM16" s="326">
        <f ca="1">IFERROR(MATCH(NM12,ND16:NG16,0),0)</f>
        <v>2</v>
      </c>
      <c r="NN16" s="326">
        <f ca="1">IFERROR(MATCH(NN12,ND16:NG16,0),0)</f>
        <v>1</v>
      </c>
      <c r="NO16" s="326">
        <f ca="1">IFERROR(MATCH(NO12,ND16:NG16,0),0)</f>
        <v>0</v>
      </c>
      <c r="NP16" s="326">
        <f ca="1">IFERROR(MATCH(NP12,ND16:NG16,0),0)</f>
        <v>4</v>
      </c>
      <c r="NQ16" s="326">
        <f t="shared" ca="1" si="3547"/>
        <v>7</v>
      </c>
      <c r="NR16" s="325"/>
      <c r="NS16" s="325" t="str">
        <f ca="1">INDEX(ND3:ND8,MATCH(4,NQ3:NQ8,0),0)</f>
        <v>Romania</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2</v>
      </c>
      <c r="RV16" s="322">
        <f ca="1">IF(OFFSET('Player Game Board'!Q23,0,RU1)&lt;&gt;"",OFFSET('Player Game Board'!Q23,0,RU1),0)</f>
        <v>1</v>
      </c>
      <c r="RW16" s="319" t="str">
        <f t="shared" si="19"/>
        <v>Hungary</v>
      </c>
      <c r="RX16" s="319" t="str">
        <f ca="1">IF(AND(OFFSET('Player Game Board'!P23,0,RU1)&lt;&gt;"",OFFSET('Player Game Board'!Q23,0,RU1)&lt;&gt;""),IF(RU16&gt;RV16,"W",IF(RU16=RV16,"D","L")),"")</f>
        <v>W</v>
      </c>
      <c r="RY16" s="319" t="str">
        <f t="shared" ca="1" si="20"/>
        <v>L</v>
      </c>
      <c r="RZ16" s="319"/>
      <c r="SA16" s="319"/>
      <c r="SB16" s="324" t="s">
        <v>101</v>
      </c>
      <c r="SC16" s="325" t="s">
        <v>102</v>
      </c>
      <c r="SD16" s="325" t="s">
        <v>104</v>
      </c>
      <c r="SE16" s="325" t="s">
        <v>105</v>
      </c>
      <c r="SF16" s="324" t="s">
        <v>104</v>
      </c>
      <c r="SG16" s="324" t="s">
        <v>105</v>
      </c>
      <c r="SH16" s="324" t="s">
        <v>101</v>
      </c>
      <c r="SI16" s="324" t="s">
        <v>102</v>
      </c>
      <c r="SJ16" s="325"/>
      <c r="SK16" s="326">
        <f t="shared" ref="SK16" ca="1" si="4958">IFERROR(MATCH(SK12,SB16:SE16,0),0)</f>
        <v>0</v>
      </c>
      <c r="SL16" s="326">
        <f t="shared" ref="SL16" ca="1" si="4959">IFERROR(MATCH(SL12,SB16:SE16,0),0)</f>
        <v>2</v>
      </c>
      <c r="SM16" s="326">
        <f t="shared" ref="SM16" ca="1" si="4960">IFERROR(MATCH(SM12,SB16:SE16,0),0)</f>
        <v>0</v>
      </c>
      <c r="SN16" s="326">
        <f t="shared" ref="SN16" ca="1" si="4961">IFERROR(MATCH(SN12,SB16:SE16,0),0)</f>
        <v>4</v>
      </c>
      <c r="SO16" s="326">
        <f t="shared" ca="1" si="3616"/>
        <v>6</v>
      </c>
      <c r="SP16" s="325"/>
      <c r="SQ16" s="325" t="str">
        <f t="shared" ref="SQ16" ca="1" si="4962">INDEX(SB3:SB8,MATCH(4,SO3:SO8,0),0)</f>
        <v>Belgium</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3</v>
      </c>
      <c r="WT16" s="322">
        <f ca="1">IF(OFFSET('Player Game Board'!Q23,0,WS1)&lt;&gt;"",OFFSET('Player Game Board'!Q23,0,WS1),0)</f>
        <v>0</v>
      </c>
      <c r="WU16" s="319" t="str">
        <f t="shared" si="35"/>
        <v>Hungary</v>
      </c>
      <c r="WV16" s="319" t="str">
        <f ca="1">IF(AND(OFFSET('Player Game Board'!P23,0,WS1)&lt;&gt;"",OFFSET('Player Game Board'!Q23,0,WS1)&lt;&gt;""),IF(WS16&gt;WT16,"W",IF(WS16=WT16,"D","L")),"")</f>
        <v>W</v>
      </c>
      <c r="WW16" s="319" t="str">
        <f t="shared" ca="1" si="36"/>
        <v>L</v>
      </c>
      <c r="WX16" s="319"/>
      <c r="WY16" s="319"/>
      <c r="WZ16" s="324" t="s">
        <v>101</v>
      </c>
      <c r="XA16" s="325" t="s">
        <v>102</v>
      </c>
      <c r="XB16" s="325" t="s">
        <v>104</v>
      </c>
      <c r="XC16" s="325" t="s">
        <v>105</v>
      </c>
      <c r="XD16" s="324" t="s">
        <v>104</v>
      </c>
      <c r="XE16" s="324" t="s">
        <v>105</v>
      </c>
      <c r="XF16" s="324" t="s">
        <v>101</v>
      </c>
      <c r="XG16" s="324" t="s">
        <v>102</v>
      </c>
      <c r="XH16" s="325"/>
      <c r="XI16" s="326">
        <f t="shared" ref="XI16" ca="1" si="4963">IFERROR(MATCH(XI12,WZ16:XC16,0),0)</f>
        <v>0</v>
      </c>
      <c r="XJ16" s="326">
        <f t="shared" ref="XJ16" ca="1" si="4964">IFERROR(MATCH(XJ12,WZ16:XC16,0),0)</f>
        <v>4</v>
      </c>
      <c r="XK16" s="326">
        <f t="shared" ref="XK16" ca="1" si="4965">IFERROR(MATCH(XK12,WZ16:XC16,0),0)</f>
        <v>2</v>
      </c>
      <c r="XL16" s="326">
        <f t="shared" ref="XL16" ca="1" si="4966">IFERROR(MATCH(XL12,WZ16:XC16,0),0)</f>
        <v>1</v>
      </c>
      <c r="XM16" s="326">
        <f t="shared" ca="1" si="3686"/>
        <v>7</v>
      </c>
      <c r="XN16" s="325"/>
      <c r="XO16" s="325" t="str">
        <f t="shared" ref="XO16" ca="1" si="4967">INDEX(WZ3:WZ8,MATCH(4,XM3:XM8,0),0)</f>
        <v>Scotland</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4</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101</v>
      </c>
      <c r="ABY16" s="325" t="s">
        <v>102</v>
      </c>
      <c r="ABZ16" s="325" t="s">
        <v>104</v>
      </c>
      <c r="ACA16" s="325" t="s">
        <v>105</v>
      </c>
      <c r="ACB16" s="324" t="s">
        <v>104</v>
      </c>
      <c r="ACC16" s="324" t="s">
        <v>105</v>
      </c>
      <c r="ACD16" s="324" t="s">
        <v>101</v>
      </c>
      <c r="ACE16" s="324" t="s">
        <v>102</v>
      </c>
      <c r="ACF16" s="325"/>
      <c r="ACG16" s="326">
        <f t="shared" ref="ACG16" ca="1" si="4968">IFERROR(MATCH(ACG12,ABX16:ACA16,0),0)</f>
        <v>0</v>
      </c>
      <c r="ACH16" s="326">
        <f t="shared" ref="ACH16" ca="1" si="4969">IFERROR(MATCH(ACH12,ABX16:ACA16,0),0)</f>
        <v>2</v>
      </c>
      <c r="ACI16" s="326">
        <f t="shared" ref="ACI16" ca="1" si="4970">IFERROR(MATCH(ACI12,ABX16:ACA16,0),0)</f>
        <v>3</v>
      </c>
      <c r="ACJ16" s="326">
        <f t="shared" ref="ACJ16" ca="1" si="4971">IFERROR(MATCH(ACJ12,ABX16:ACA16,0),0)</f>
        <v>1</v>
      </c>
      <c r="ACK16" s="326">
        <f t="shared" ca="1" si="3756"/>
        <v>6</v>
      </c>
      <c r="ACL16" s="325"/>
      <c r="ACM16" s="325" t="str">
        <f t="shared" ref="ACM16" ca="1" si="4972">INDEX(ABX3:ABX8,MATCH(4,ACK3:ACK8,0),0)</f>
        <v>Switzerland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2</v>
      </c>
      <c r="AGP16" s="322">
        <f ca="1">IF(OFFSET('Player Game Board'!Q23,0,AGO1)&lt;&gt;"",OFFSET('Player Game Board'!Q23,0,AGO1),0)</f>
        <v>0</v>
      </c>
      <c r="AGQ16" s="319" t="str">
        <f t="shared" si="67"/>
        <v>Hungary</v>
      </c>
      <c r="AGR16" s="319" t="str">
        <f ca="1">IF(AND(OFFSET('Player Game Board'!P23,0,AGO1)&lt;&gt;"",OFFSET('Player Game Board'!Q23,0,AGO1)&lt;&gt;""),IF(AGO16&gt;AGP16,"W",IF(AGO16=AGP16,"D","L")),"")</f>
        <v>W</v>
      </c>
      <c r="AGS16" s="319" t="str">
        <f t="shared" ca="1" si="68"/>
        <v>L</v>
      </c>
      <c r="AGT16" s="319"/>
      <c r="AGU16" s="319"/>
      <c r="AGV16" s="324" t="s">
        <v>101</v>
      </c>
      <c r="AGW16" s="325" t="s">
        <v>102</v>
      </c>
      <c r="AGX16" s="325" t="s">
        <v>104</v>
      </c>
      <c r="AGY16" s="325" t="s">
        <v>105</v>
      </c>
      <c r="AGZ16" s="324" t="s">
        <v>104</v>
      </c>
      <c r="AHA16" s="324" t="s">
        <v>105</v>
      </c>
      <c r="AHB16" s="324" t="s">
        <v>101</v>
      </c>
      <c r="AHC16" s="324" t="s">
        <v>102</v>
      </c>
      <c r="AHD16" s="325"/>
      <c r="AHE16" s="326">
        <f t="shared" ref="AHE16" ca="1" si="4973">IFERROR(MATCH(AHE12,AGV16:AGY16,0),0)</f>
        <v>0</v>
      </c>
      <c r="AHF16" s="326">
        <f t="shared" ref="AHF16" ca="1" si="4974">IFERROR(MATCH(AHF12,AGV16:AGY16,0),0)</f>
        <v>1</v>
      </c>
      <c r="AHG16" s="326">
        <f t="shared" ref="AHG16" ca="1" si="4975">IFERROR(MATCH(AHG12,AGV16:AGY16,0),0)</f>
        <v>2</v>
      </c>
      <c r="AHH16" s="326">
        <f t="shared" ref="AHH16" ca="1" si="4976">IFERROR(MATCH(AHH12,AGV16:AGY16,0),0)</f>
        <v>0</v>
      </c>
      <c r="AHI16" s="326">
        <f t="shared" ca="1" si="3826"/>
        <v>3</v>
      </c>
      <c r="AHJ16" s="325"/>
      <c r="AHK16" s="325" t="str">
        <f t="shared" ref="AHK16" ca="1" si="4977">INDEX(AGV3:AGV8,MATCH(4,AHI3:AHI8,0),0)</f>
        <v>Serbia</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0</v>
      </c>
      <c r="ALN16" s="322">
        <f ca="1">IF(OFFSET('Player Game Board'!Q23,0,ALM1)&lt;&gt;"",OFFSET('Player Game Board'!Q23,0,ALM1),0)</f>
        <v>0</v>
      </c>
      <c r="ALO16" s="319" t="str">
        <f t="shared" si="83"/>
        <v>Hungary</v>
      </c>
      <c r="ALP16" s="319" t="str">
        <f ca="1">IF(AND(OFFSET('Player Game Board'!P23,0,ALM1)&lt;&gt;"",OFFSET('Player Game Board'!Q23,0,ALM1)&lt;&gt;""),IF(ALM16&gt;ALN16,"W",IF(ALM16=ALN16,"D","L")),"")</f>
        <v/>
      </c>
      <c r="ALQ16" s="319" t="str">
        <f t="shared" ca="1" si="84"/>
        <v/>
      </c>
      <c r="ALR16" s="319"/>
      <c r="ALS16" s="319"/>
      <c r="ALT16" s="324" t="s">
        <v>101</v>
      </c>
      <c r="ALU16" s="325" t="s">
        <v>102</v>
      </c>
      <c r="ALV16" s="325" t="s">
        <v>104</v>
      </c>
      <c r="ALW16" s="325" t="s">
        <v>105</v>
      </c>
      <c r="ALX16" s="324" t="s">
        <v>104</v>
      </c>
      <c r="ALY16" s="324" t="s">
        <v>105</v>
      </c>
      <c r="ALZ16" s="324" t="s">
        <v>101</v>
      </c>
      <c r="AMA16" s="324" t="s">
        <v>102</v>
      </c>
      <c r="AMB16" s="325"/>
      <c r="AMC16" s="326">
        <f t="shared" ref="AMC16" ca="1" si="4978">IFERROR(MATCH(AMC12,ALT16:ALW16,0),0)</f>
        <v>1</v>
      </c>
      <c r="AMD16" s="326">
        <f t="shared" ref="AMD16" ca="1" si="4979">IFERROR(MATCH(AMD12,ALT16:ALW16,0),0)</f>
        <v>3</v>
      </c>
      <c r="AME16" s="326">
        <f t="shared" ref="AME16" ca="1" si="4980">IFERROR(MATCH(AME12,ALT16:ALW16,0),0)</f>
        <v>2</v>
      </c>
      <c r="AMF16" s="326">
        <f t="shared" ref="AMF16" ca="1" si="4981">IFERROR(MATCH(AMF12,ALT16:ALW16,0),0)</f>
        <v>0</v>
      </c>
      <c r="AMG16" s="326">
        <f t="shared" ca="1" si="3896"/>
        <v>6</v>
      </c>
      <c r="AMH16" s="325"/>
      <c r="AMI16" s="325" t="str">
        <f t="shared" ref="AMI16" ca="1" si="4982">INDEX(ALT3:ALT8,MATCH(4,AMG3:AMG8,0),0)</f>
        <v>Slovenia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0</v>
      </c>
      <c r="AQL16" s="322">
        <f ca="1">IF(OFFSET('Player Game Board'!Q23,0,AQK1)&lt;&gt;"",OFFSET('Player Game Board'!Q23,0,AQK1),0)</f>
        <v>0</v>
      </c>
      <c r="AQM16" s="319" t="str">
        <f t="shared" si="99"/>
        <v>Hungary</v>
      </c>
      <c r="AQN16" s="319" t="str">
        <f ca="1">IF(AND(OFFSET('Player Game Board'!P23,0,AQK1)&lt;&gt;"",OFFSET('Player Game Board'!Q23,0,AQK1)&lt;&gt;""),IF(AQK16&gt;AQL16,"W",IF(AQK16=AQL16,"D","L")),"")</f>
        <v/>
      </c>
      <c r="AQO16" s="319" t="str">
        <f t="shared" ca="1" si="100"/>
        <v/>
      </c>
      <c r="AQP16" s="319"/>
      <c r="AQQ16" s="319"/>
      <c r="AQR16" s="324" t="s">
        <v>101</v>
      </c>
      <c r="AQS16" s="325" t="s">
        <v>102</v>
      </c>
      <c r="AQT16" s="325" t="s">
        <v>104</v>
      </c>
      <c r="AQU16" s="325" t="s">
        <v>105</v>
      </c>
      <c r="AQV16" s="324" t="s">
        <v>104</v>
      </c>
      <c r="AQW16" s="324" t="s">
        <v>105</v>
      </c>
      <c r="AQX16" s="324" t="s">
        <v>101</v>
      </c>
      <c r="AQY16" s="324" t="s">
        <v>102</v>
      </c>
      <c r="AQZ16" s="325"/>
      <c r="ARA16" s="326">
        <f t="shared" ref="ARA16" ca="1" si="4983">IFERROR(MATCH(ARA12,AQR16:AQU16,0),0)</f>
        <v>1</v>
      </c>
      <c r="ARB16" s="326">
        <f t="shared" ref="ARB16" ca="1" si="4984">IFERROR(MATCH(ARB12,AQR16:AQU16,0),0)</f>
        <v>3</v>
      </c>
      <c r="ARC16" s="326">
        <f t="shared" ref="ARC16" ca="1" si="4985">IFERROR(MATCH(ARC12,AQR16:AQU16,0),0)</f>
        <v>2</v>
      </c>
      <c r="ARD16" s="326">
        <f t="shared" ref="ARD16" ca="1" si="4986">IFERROR(MATCH(ARD12,AQR16:AQU16,0),0)</f>
        <v>0</v>
      </c>
      <c r="ARE16" s="326">
        <f t="shared" ca="1" si="3966"/>
        <v>6</v>
      </c>
      <c r="ARF16" s="325"/>
      <c r="ARG16" s="325" t="str">
        <f t="shared" ref="ARG16" ca="1" si="4987">INDEX(AQR3:AQR8,MATCH(4,ARE3:ARE8,0),0)</f>
        <v>Slovenia</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0</v>
      </c>
      <c r="AVJ16" s="322">
        <f ca="1">IF(OFFSET('Player Game Board'!Q23,0,AVI1)&lt;&gt;"",OFFSET('Player Game Board'!Q23,0,AVI1),0)</f>
        <v>0</v>
      </c>
      <c r="AVK16" s="319" t="str">
        <f t="shared" si="115"/>
        <v>Hungary</v>
      </c>
      <c r="AVL16" s="319" t="str">
        <f ca="1">IF(AND(OFFSET('Player Game Board'!P23,0,AVI1)&lt;&gt;"",OFFSET('Player Game Board'!Q23,0,AVI1)&lt;&gt;""),IF(AVI16&gt;AVJ16,"W",IF(AVI16=AVJ16,"D","L")),"")</f>
        <v/>
      </c>
      <c r="AVM16" s="319" t="str">
        <f t="shared" ca="1" si="116"/>
        <v/>
      </c>
      <c r="AVN16" s="319"/>
      <c r="AVO16" s="319"/>
      <c r="AVP16" s="324" t="s">
        <v>101</v>
      </c>
      <c r="AVQ16" s="325" t="s">
        <v>102</v>
      </c>
      <c r="AVR16" s="325" t="s">
        <v>104</v>
      </c>
      <c r="AVS16" s="325" t="s">
        <v>105</v>
      </c>
      <c r="AVT16" s="324" t="s">
        <v>104</v>
      </c>
      <c r="AVU16" s="324" t="s">
        <v>105</v>
      </c>
      <c r="AVV16" s="324" t="s">
        <v>101</v>
      </c>
      <c r="AVW16" s="324" t="s">
        <v>102</v>
      </c>
      <c r="AVX16" s="325"/>
      <c r="AVY16" s="326">
        <f t="shared" ref="AVY16" ca="1" si="4988">IFERROR(MATCH(AVY12,AVP16:AVS16,0),0)</f>
        <v>1</v>
      </c>
      <c r="AVZ16" s="326">
        <f t="shared" ref="AVZ16" ca="1" si="4989">IFERROR(MATCH(AVZ12,AVP16:AVS16,0),0)</f>
        <v>3</v>
      </c>
      <c r="AWA16" s="326">
        <f t="shared" ref="AWA16" ca="1" si="4990">IFERROR(MATCH(AWA12,AVP16:AVS16,0),0)</f>
        <v>2</v>
      </c>
      <c r="AWB16" s="326">
        <f t="shared" ref="AWB16" ca="1" si="4991">IFERROR(MATCH(AWB12,AVP16:AVS16,0),0)</f>
        <v>0</v>
      </c>
      <c r="AWC16" s="326">
        <f t="shared" ca="1" si="4036"/>
        <v>6</v>
      </c>
      <c r="AWD16" s="325"/>
      <c r="AWE16" s="325" t="str">
        <f t="shared" ref="AWE16" ca="1" si="4992">INDEX(AVP3:AVP8,MATCH(4,AWC3:AWC8,0),0)</f>
        <v>Slovenia</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0</v>
      </c>
      <c r="BAH16" s="322">
        <f ca="1">IF(OFFSET('Player Game Board'!Q23,0,BAG1)&lt;&gt;"",OFFSET('Player Game Board'!Q23,0,BAG1),0)</f>
        <v>0</v>
      </c>
      <c r="BAI16" s="319" t="str">
        <f t="shared" si="131"/>
        <v>Hungary</v>
      </c>
      <c r="BAJ16" s="319" t="str">
        <f ca="1">IF(AND(OFFSET('Player Game Board'!P23,0,BAG1)&lt;&gt;"",OFFSET('Player Game Board'!Q23,0,BAG1)&lt;&gt;""),IF(BAG16&gt;BAH16,"W",IF(BAG16=BAH16,"D","L")),"")</f>
        <v/>
      </c>
      <c r="BAK16" s="319" t="str">
        <f t="shared" ca="1" si="132"/>
        <v/>
      </c>
      <c r="BAL16" s="319"/>
      <c r="BAM16" s="319"/>
      <c r="BAN16" s="324" t="s">
        <v>101</v>
      </c>
      <c r="BAO16" s="325" t="s">
        <v>102</v>
      </c>
      <c r="BAP16" s="325" t="s">
        <v>104</v>
      </c>
      <c r="BAQ16" s="325" t="s">
        <v>105</v>
      </c>
      <c r="BAR16" s="324" t="s">
        <v>104</v>
      </c>
      <c r="BAS16" s="324" t="s">
        <v>105</v>
      </c>
      <c r="BAT16" s="324" t="s">
        <v>101</v>
      </c>
      <c r="BAU16" s="324" t="s">
        <v>102</v>
      </c>
      <c r="BAV16" s="325"/>
      <c r="BAW16" s="326">
        <f t="shared" ref="BAW16" ca="1" si="4993">IFERROR(MATCH(BAW12,BAN16:BAQ16,0),0)</f>
        <v>1</v>
      </c>
      <c r="BAX16" s="326">
        <f t="shared" ref="BAX16" ca="1" si="4994">IFERROR(MATCH(BAX12,BAN16:BAQ16,0),0)</f>
        <v>3</v>
      </c>
      <c r="BAY16" s="326">
        <f t="shared" ref="BAY16" ca="1" si="4995">IFERROR(MATCH(BAY12,BAN16:BAQ16,0),0)</f>
        <v>2</v>
      </c>
      <c r="BAZ16" s="326">
        <f t="shared" ref="BAZ16" ca="1" si="4996">IFERROR(MATCH(BAZ12,BAN16:BAQ16,0),0)</f>
        <v>0</v>
      </c>
      <c r="BBA16" s="326">
        <f t="shared" ca="1" si="4106"/>
        <v>6</v>
      </c>
      <c r="BBB16" s="325"/>
      <c r="BBC16" s="325" t="str">
        <f t="shared" ref="BBC16" ca="1" si="4997">INDEX(BAN3:BAN8,MATCH(4,BBA3:BBA8,0),0)</f>
        <v>Slovenia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101</v>
      </c>
      <c r="BFM16" s="325" t="s">
        <v>102</v>
      </c>
      <c r="BFN16" s="325" t="s">
        <v>104</v>
      </c>
      <c r="BFO16" s="325" t="s">
        <v>105</v>
      </c>
      <c r="BFP16" s="324" t="s">
        <v>104</v>
      </c>
      <c r="BFQ16" s="324" t="s">
        <v>105</v>
      </c>
      <c r="BFR16" s="324" t="s">
        <v>101</v>
      </c>
      <c r="BFS16" s="324" t="s">
        <v>102</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ht="13.8" x14ac:dyDescent="0.3">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0</v>
      </c>
      <c r="DB17" s="319">
        <f>IF(AND(Matches!I22&lt;&gt;"",Matches!H22&lt;&gt;""),Matches!I22,0)</f>
        <v>0</v>
      </c>
      <c r="DC17" s="319" t="str">
        <f>Matches!J22</f>
        <v>Albania</v>
      </c>
      <c r="DD17" s="319" t="str">
        <f>IF(AND(Matches!H22&lt;&gt;"",Matches!I22&lt;&gt;""),IF(DA17&gt;DB17,"W",IF(DA17=DB17,"D","L")),"")</f>
        <v/>
      </c>
      <c r="DE17" s="319" t="str">
        <f t="shared" si="162"/>
        <v/>
      </c>
      <c r="DF17" s="319"/>
      <c r="DG17" s="319"/>
      <c r="DH17" s="324" t="s">
        <v>101</v>
      </c>
      <c r="DI17" s="325" t="s">
        <v>102</v>
      </c>
      <c r="DJ17" s="325" t="s">
        <v>104</v>
      </c>
      <c r="DK17" s="325" t="s">
        <v>106</v>
      </c>
      <c r="DL17" s="324" t="s">
        <v>104</v>
      </c>
      <c r="DM17" s="324" t="s">
        <v>106</v>
      </c>
      <c r="DN17" s="324" t="s">
        <v>101</v>
      </c>
      <c r="DO17" s="324" t="s">
        <v>102</v>
      </c>
      <c r="DP17" s="325"/>
      <c r="DQ17" s="326">
        <f>IFERROR(MATCH(DQ12,DH17:DK17,0),0)</f>
        <v>0</v>
      </c>
      <c r="DR17" s="326">
        <f>IFERROR(MATCH(DR12,DH17:DK17,0),0)</f>
        <v>2</v>
      </c>
      <c r="DS17" s="326">
        <f>IFERROR(MATCH(DS12,DH17:DK17,0),0)</f>
        <v>4</v>
      </c>
      <c r="DT17" s="326">
        <f>IFERROR(MATCH(DT12,DH17:DK17,0),0)</f>
        <v>3</v>
      </c>
      <c r="DU17" s="326">
        <f t="shared" si="3541"/>
        <v>9</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2</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101</v>
      </c>
      <c r="IG17" s="325" t="s">
        <v>102</v>
      </c>
      <c r="IH17" s="325" t="s">
        <v>104</v>
      </c>
      <c r="II17" s="325" t="s">
        <v>106</v>
      </c>
      <c r="IJ17" s="324" t="s">
        <v>104</v>
      </c>
      <c r="IK17" s="324" t="s">
        <v>106</v>
      </c>
      <c r="IL17" s="324" t="s">
        <v>101</v>
      </c>
      <c r="IM17" s="324" t="s">
        <v>102</v>
      </c>
      <c r="IN17" s="325"/>
      <c r="IO17" s="326">
        <f ca="1">IFERROR(MATCH(IO12,IF17:II17,0),0)</f>
        <v>1</v>
      </c>
      <c r="IP17" s="326">
        <f ca="1">IFERROR(MATCH(IP12,IF17:II17,0),0)</f>
        <v>3</v>
      </c>
      <c r="IQ17" s="326">
        <f ca="1">IFERROR(MATCH(IQ12,IF17:II17,0),0)</f>
        <v>4</v>
      </c>
      <c r="IR17" s="326">
        <f ca="1">IFERROR(MATCH(IR12,IF17:II17,0),0)</f>
        <v>2</v>
      </c>
      <c r="IS17" s="326">
        <f t="shared" ca="1" si="3544"/>
        <v>10</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0</v>
      </c>
      <c r="MY17" s="319" t="str">
        <f t="shared" si="171"/>
        <v>Albania</v>
      </c>
      <c r="MZ17" s="319" t="str">
        <f ca="1">IF(AND(OFFSET('Player Game Board'!P24,0,MW1)&lt;&gt;"",OFFSET('Player Game Board'!Q24,0,MW1)&lt;&gt;""),IF(MW17&gt;MX17,"W",IF(MW17=MX17,"D","L")),"")</f>
        <v>W</v>
      </c>
      <c r="NA17" s="319" t="str">
        <f t="shared" ca="1" si="172"/>
        <v>L</v>
      </c>
      <c r="NB17" s="319"/>
      <c r="NC17" s="319"/>
      <c r="ND17" s="324" t="s">
        <v>101</v>
      </c>
      <c r="NE17" s="325" t="s">
        <v>102</v>
      </c>
      <c r="NF17" s="325" t="s">
        <v>104</v>
      </c>
      <c r="NG17" s="325" t="s">
        <v>106</v>
      </c>
      <c r="NH17" s="324" t="s">
        <v>104</v>
      </c>
      <c r="NI17" s="324" t="s">
        <v>106</v>
      </c>
      <c r="NJ17" s="324" t="s">
        <v>101</v>
      </c>
      <c r="NK17" s="324" t="s">
        <v>102</v>
      </c>
      <c r="NL17" s="325"/>
      <c r="NM17" s="326">
        <f ca="1">IFERROR(MATCH(NM12,ND17:NG17,0),0)</f>
        <v>2</v>
      </c>
      <c r="NN17" s="326">
        <f ca="1">IFERROR(MATCH(NN12,ND17:NG17,0),0)</f>
        <v>1</v>
      </c>
      <c r="NO17" s="326">
        <f ca="1">IFERROR(MATCH(NO12,ND17:NG17,0),0)</f>
        <v>4</v>
      </c>
      <c r="NP17" s="326">
        <f ca="1">IFERROR(MATCH(NP12,ND17:NG17,0),0)</f>
        <v>0</v>
      </c>
      <c r="NQ17" s="326">
        <f t="shared" ca="1" si="3547"/>
        <v>7</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2</v>
      </c>
      <c r="RV17" s="322">
        <f ca="1">IF(OFFSET('Player Game Board'!Q24,0,RU1)&lt;&gt;"",OFFSET('Player Game Board'!Q24,0,RU1),0)</f>
        <v>0</v>
      </c>
      <c r="RW17" s="319" t="str">
        <f t="shared" si="19"/>
        <v>Albania</v>
      </c>
      <c r="RX17" s="319" t="str">
        <f ca="1">IF(AND(OFFSET('Player Game Board'!P24,0,RU1)&lt;&gt;"",OFFSET('Player Game Board'!Q24,0,RU1)&lt;&gt;""),IF(RU17&gt;RV17,"W",IF(RU17=RV17,"D","L")),"")</f>
        <v>W</v>
      </c>
      <c r="RY17" s="319" t="str">
        <f t="shared" ca="1" si="20"/>
        <v>L</v>
      </c>
      <c r="RZ17" s="319"/>
      <c r="SA17" s="319"/>
      <c r="SB17" s="324" t="s">
        <v>101</v>
      </c>
      <c r="SC17" s="325" t="s">
        <v>102</v>
      </c>
      <c r="SD17" s="325" t="s">
        <v>104</v>
      </c>
      <c r="SE17" s="325" t="s">
        <v>106</v>
      </c>
      <c r="SF17" s="324" t="s">
        <v>104</v>
      </c>
      <c r="SG17" s="324" t="s">
        <v>106</v>
      </c>
      <c r="SH17" s="324" t="s">
        <v>101</v>
      </c>
      <c r="SI17" s="324" t="s">
        <v>102</v>
      </c>
      <c r="SJ17" s="325"/>
      <c r="SK17" s="326">
        <f t="shared" ref="SK17" ca="1" si="5003">IFERROR(MATCH(SK12,SB17:SE17,0),0)</f>
        <v>0</v>
      </c>
      <c r="SL17" s="326">
        <f t="shared" ref="SL17" ca="1" si="5004">IFERROR(MATCH(SL12,SB17:SE17,0),0)</f>
        <v>2</v>
      </c>
      <c r="SM17" s="326">
        <f t="shared" ref="SM17" ca="1" si="5005">IFERROR(MATCH(SM12,SB17:SE17,0),0)</f>
        <v>4</v>
      </c>
      <c r="SN17" s="326">
        <f t="shared" ref="SN17" ca="1" si="5006">IFERROR(MATCH(SN12,SB17:SE17,0),0)</f>
        <v>0</v>
      </c>
      <c r="SO17" s="326">
        <f t="shared" ca="1" si="3616"/>
        <v>6</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2</v>
      </c>
      <c r="WT17" s="322">
        <f ca="1">IF(OFFSET('Player Game Board'!Q24,0,WS1)&lt;&gt;"",OFFSET('Player Game Board'!Q24,0,WS1),0)</f>
        <v>0</v>
      </c>
      <c r="WU17" s="319" t="str">
        <f t="shared" si="35"/>
        <v>Albania</v>
      </c>
      <c r="WV17" s="319" t="str">
        <f ca="1">IF(AND(OFFSET('Player Game Board'!P24,0,WS1)&lt;&gt;"",OFFSET('Player Game Board'!Q24,0,WS1)&lt;&gt;""),IF(WS17&gt;WT17,"W",IF(WS17=WT17,"D","L")),"")</f>
        <v>W</v>
      </c>
      <c r="WW17" s="319" t="str">
        <f t="shared" ca="1" si="36"/>
        <v>L</v>
      </c>
      <c r="WX17" s="319"/>
      <c r="WY17" s="319"/>
      <c r="WZ17" s="324" t="s">
        <v>101</v>
      </c>
      <c r="XA17" s="325" t="s">
        <v>102</v>
      </c>
      <c r="XB17" s="325" t="s">
        <v>104</v>
      </c>
      <c r="XC17" s="325" t="s">
        <v>106</v>
      </c>
      <c r="XD17" s="324" t="s">
        <v>104</v>
      </c>
      <c r="XE17" s="324" t="s">
        <v>106</v>
      </c>
      <c r="XF17" s="324" t="s">
        <v>101</v>
      </c>
      <c r="XG17" s="324" t="s">
        <v>102</v>
      </c>
      <c r="XH17" s="325"/>
      <c r="XI17" s="326">
        <f t="shared" ref="XI17" ca="1" si="5007">IFERROR(MATCH(XI12,WZ17:XC17,0),0)</f>
        <v>4</v>
      </c>
      <c r="XJ17" s="326">
        <f t="shared" ref="XJ17" ca="1" si="5008">IFERROR(MATCH(XJ12,WZ17:XC17,0),0)</f>
        <v>0</v>
      </c>
      <c r="XK17" s="326">
        <f t="shared" ref="XK17" ca="1" si="5009">IFERROR(MATCH(XK12,WZ17:XC17,0),0)</f>
        <v>2</v>
      </c>
      <c r="XL17" s="326">
        <f t="shared" ref="XL17" ca="1" si="5010">IFERROR(MATCH(XL12,WZ17:XC17,0),0)</f>
        <v>1</v>
      </c>
      <c r="XM17" s="326">
        <f t="shared" ca="1" si="3686"/>
        <v>7</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2</v>
      </c>
      <c r="ABR17" s="322">
        <f ca="1">IF(OFFSET('Player Game Board'!Q24,0,ABQ1)&lt;&gt;"",OFFSET('Player Game Board'!Q24,0,ABQ1),0)</f>
        <v>0</v>
      </c>
      <c r="ABS17" s="319" t="str">
        <f t="shared" si="51"/>
        <v>Albania</v>
      </c>
      <c r="ABT17" s="319" t="str">
        <f ca="1">IF(AND(OFFSET('Player Game Board'!P24,0,ABQ1)&lt;&gt;"",OFFSET('Player Game Board'!Q24,0,ABQ1)&lt;&gt;""),IF(ABQ17&gt;ABR17,"W",IF(ABQ17=ABR17,"D","L")),"")</f>
        <v>W</v>
      </c>
      <c r="ABU17" s="319" t="str">
        <f t="shared" ca="1" si="52"/>
        <v>L</v>
      </c>
      <c r="ABV17" s="319"/>
      <c r="ABW17" s="319"/>
      <c r="ABX17" s="324" t="s">
        <v>101</v>
      </c>
      <c r="ABY17" s="325" t="s">
        <v>102</v>
      </c>
      <c r="ABZ17" s="325" t="s">
        <v>104</v>
      </c>
      <c r="ACA17" s="325" t="s">
        <v>106</v>
      </c>
      <c r="ACB17" s="324" t="s">
        <v>104</v>
      </c>
      <c r="ACC17" s="324" t="s">
        <v>106</v>
      </c>
      <c r="ACD17" s="324" t="s">
        <v>101</v>
      </c>
      <c r="ACE17" s="324" t="s">
        <v>102</v>
      </c>
      <c r="ACF17" s="325"/>
      <c r="ACG17" s="326">
        <f t="shared" ref="ACG17" ca="1" si="5011">IFERROR(MATCH(ACG12,ABX17:ACA17,0),0)</f>
        <v>0</v>
      </c>
      <c r="ACH17" s="326">
        <f t="shared" ref="ACH17" ca="1" si="5012">IFERROR(MATCH(ACH12,ABX17:ACA17,0),0)</f>
        <v>2</v>
      </c>
      <c r="ACI17" s="326">
        <f t="shared" ref="ACI17" ca="1" si="5013">IFERROR(MATCH(ACI12,ABX17:ACA17,0),0)</f>
        <v>3</v>
      </c>
      <c r="ACJ17" s="326">
        <f t="shared" ref="ACJ17" ca="1" si="5014">IFERROR(MATCH(ACJ12,ABX17:ACA17,0),0)</f>
        <v>1</v>
      </c>
      <c r="ACK17" s="326">
        <f t="shared" ca="1" si="3756"/>
        <v>6</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2</v>
      </c>
      <c r="AGP17" s="322">
        <f ca="1">IF(OFFSET('Player Game Board'!Q24,0,AGO1)&lt;&gt;"",OFFSET('Player Game Board'!Q24,0,AGO1),0)</f>
        <v>0</v>
      </c>
      <c r="AGQ17" s="319" t="str">
        <f t="shared" si="67"/>
        <v>Albania</v>
      </c>
      <c r="AGR17" s="319" t="str">
        <f ca="1">IF(AND(OFFSET('Player Game Board'!P24,0,AGO1)&lt;&gt;"",OFFSET('Player Game Board'!Q24,0,AGO1)&lt;&gt;""),IF(AGO17&gt;AGP17,"W",IF(AGO17=AGP17,"D","L")),"")</f>
        <v>W</v>
      </c>
      <c r="AGS17" s="319" t="str">
        <f t="shared" ca="1" si="68"/>
        <v>L</v>
      </c>
      <c r="AGT17" s="319"/>
      <c r="AGU17" s="319"/>
      <c r="AGV17" s="324" t="s">
        <v>101</v>
      </c>
      <c r="AGW17" s="325" t="s">
        <v>102</v>
      </c>
      <c r="AGX17" s="325" t="s">
        <v>104</v>
      </c>
      <c r="AGY17" s="325" t="s">
        <v>106</v>
      </c>
      <c r="AGZ17" s="324" t="s">
        <v>104</v>
      </c>
      <c r="AHA17" s="324" t="s">
        <v>106</v>
      </c>
      <c r="AHB17" s="324" t="s">
        <v>101</v>
      </c>
      <c r="AHC17" s="324" t="s">
        <v>102</v>
      </c>
      <c r="AHD17" s="325"/>
      <c r="AHE17" s="326">
        <f t="shared" ref="AHE17" ca="1" si="5015">IFERROR(MATCH(AHE12,AGV17:AGY17,0),0)</f>
        <v>4</v>
      </c>
      <c r="AHF17" s="326">
        <f t="shared" ref="AHF17" ca="1" si="5016">IFERROR(MATCH(AHF12,AGV17:AGY17,0),0)</f>
        <v>1</v>
      </c>
      <c r="AHG17" s="326">
        <f t="shared" ref="AHG17" ca="1" si="5017">IFERROR(MATCH(AHG12,AGV17:AGY17,0),0)</f>
        <v>2</v>
      </c>
      <c r="AHH17" s="326">
        <f t="shared" ref="AHH17" ca="1" si="5018">IFERROR(MATCH(AHH12,AGV17:AGY17,0),0)</f>
        <v>0</v>
      </c>
      <c r="AHI17" s="326">
        <f t="shared" ca="1" si="3826"/>
        <v>7</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0</v>
      </c>
      <c r="ALN17" s="322">
        <f ca="1">IF(OFFSET('Player Game Board'!Q24,0,ALM1)&lt;&gt;"",OFFSET('Player Game Board'!Q24,0,ALM1),0)</f>
        <v>0</v>
      </c>
      <c r="ALO17" s="319" t="str">
        <f t="shared" si="83"/>
        <v>Albania</v>
      </c>
      <c r="ALP17" s="319" t="str">
        <f ca="1">IF(AND(OFFSET('Player Game Board'!P24,0,ALM1)&lt;&gt;"",OFFSET('Player Game Board'!Q24,0,ALM1)&lt;&gt;""),IF(ALM17&gt;ALN17,"W",IF(ALM17=ALN17,"D","L")),"")</f>
        <v/>
      </c>
      <c r="ALQ17" s="319" t="str">
        <f t="shared" ca="1" si="84"/>
        <v/>
      </c>
      <c r="ALR17" s="319"/>
      <c r="ALS17" s="319"/>
      <c r="ALT17" s="324" t="s">
        <v>101</v>
      </c>
      <c r="ALU17" s="325" t="s">
        <v>102</v>
      </c>
      <c r="ALV17" s="325" t="s">
        <v>104</v>
      </c>
      <c r="ALW17" s="325" t="s">
        <v>106</v>
      </c>
      <c r="ALX17" s="324" t="s">
        <v>104</v>
      </c>
      <c r="ALY17" s="324" t="s">
        <v>106</v>
      </c>
      <c r="ALZ17" s="324" t="s">
        <v>101</v>
      </c>
      <c r="AMA17" s="324" t="s">
        <v>102</v>
      </c>
      <c r="AMB17" s="325"/>
      <c r="AMC17" s="326">
        <f t="shared" ref="AMC17" ca="1" si="5019">IFERROR(MATCH(AMC12,ALT17:ALW17,0),0)</f>
        <v>1</v>
      </c>
      <c r="AMD17" s="326">
        <f t="shared" ref="AMD17" ca="1" si="5020">IFERROR(MATCH(AMD12,ALT17:ALW17,0),0)</f>
        <v>3</v>
      </c>
      <c r="AME17" s="326">
        <f t="shared" ref="AME17" ca="1" si="5021">IFERROR(MATCH(AME12,ALT17:ALW17,0),0)</f>
        <v>2</v>
      </c>
      <c r="AMF17" s="326">
        <f t="shared" ref="AMF17" ca="1" si="5022">IFERROR(MATCH(AMF12,ALT17:ALW17,0),0)</f>
        <v>0</v>
      </c>
      <c r="AMG17" s="326">
        <f t="shared" ca="1" si="3896"/>
        <v>6</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0</v>
      </c>
      <c r="AQL17" s="322">
        <f ca="1">IF(OFFSET('Player Game Board'!Q24,0,AQK1)&lt;&gt;"",OFFSET('Player Game Board'!Q24,0,AQK1),0)</f>
        <v>0</v>
      </c>
      <c r="AQM17" s="319" t="str">
        <f t="shared" si="99"/>
        <v>Albania</v>
      </c>
      <c r="AQN17" s="319" t="str">
        <f ca="1">IF(AND(OFFSET('Player Game Board'!P24,0,AQK1)&lt;&gt;"",OFFSET('Player Game Board'!Q24,0,AQK1)&lt;&gt;""),IF(AQK17&gt;AQL17,"W",IF(AQK17=AQL17,"D","L")),"")</f>
        <v/>
      </c>
      <c r="AQO17" s="319" t="str">
        <f t="shared" ca="1" si="100"/>
        <v/>
      </c>
      <c r="AQP17" s="319"/>
      <c r="AQQ17" s="319"/>
      <c r="AQR17" s="324" t="s">
        <v>101</v>
      </c>
      <c r="AQS17" s="325" t="s">
        <v>102</v>
      </c>
      <c r="AQT17" s="325" t="s">
        <v>104</v>
      </c>
      <c r="AQU17" s="325" t="s">
        <v>106</v>
      </c>
      <c r="AQV17" s="324" t="s">
        <v>104</v>
      </c>
      <c r="AQW17" s="324" t="s">
        <v>106</v>
      </c>
      <c r="AQX17" s="324" t="s">
        <v>101</v>
      </c>
      <c r="AQY17" s="324" t="s">
        <v>102</v>
      </c>
      <c r="AQZ17" s="325"/>
      <c r="ARA17" s="326">
        <f t="shared" ref="ARA17" ca="1" si="5023">IFERROR(MATCH(ARA12,AQR17:AQU17,0),0)</f>
        <v>1</v>
      </c>
      <c r="ARB17" s="326">
        <f t="shared" ref="ARB17" ca="1" si="5024">IFERROR(MATCH(ARB12,AQR17:AQU17,0),0)</f>
        <v>3</v>
      </c>
      <c r="ARC17" s="326">
        <f t="shared" ref="ARC17" ca="1" si="5025">IFERROR(MATCH(ARC12,AQR17:AQU17,0),0)</f>
        <v>2</v>
      </c>
      <c r="ARD17" s="326">
        <f t="shared" ref="ARD17" ca="1" si="5026">IFERROR(MATCH(ARD12,AQR17:AQU17,0),0)</f>
        <v>0</v>
      </c>
      <c r="ARE17" s="326">
        <f t="shared" ca="1" si="3966"/>
        <v>6</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0</v>
      </c>
      <c r="AVJ17" s="322">
        <f ca="1">IF(OFFSET('Player Game Board'!Q24,0,AVI1)&lt;&gt;"",OFFSET('Player Game Board'!Q24,0,AVI1),0)</f>
        <v>0</v>
      </c>
      <c r="AVK17" s="319" t="str">
        <f t="shared" si="115"/>
        <v>Albania</v>
      </c>
      <c r="AVL17" s="319" t="str">
        <f ca="1">IF(AND(OFFSET('Player Game Board'!P24,0,AVI1)&lt;&gt;"",OFFSET('Player Game Board'!Q24,0,AVI1)&lt;&gt;""),IF(AVI17&gt;AVJ17,"W",IF(AVI17=AVJ17,"D","L")),"")</f>
        <v/>
      </c>
      <c r="AVM17" s="319" t="str">
        <f t="shared" ca="1" si="116"/>
        <v/>
      </c>
      <c r="AVN17" s="319"/>
      <c r="AVO17" s="319"/>
      <c r="AVP17" s="324" t="s">
        <v>101</v>
      </c>
      <c r="AVQ17" s="325" t="s">
        <v>102</v>
      </c>
      <c r="AVR17" s="325" t="s">
        <v>104</v>
      </c>
      <c r="AVS17" s="325" t="s">
        <v>106</v>
      </c>
      <c r="AVT17" s="324" t="s">
        <v>104</v>
      </c>
      <c r="AVU17" s="324" t="s">
        <v>106</v>
      </c>
      <c r="AVV17" s="324" t="s">
        <v>101</v>
      </c>
      <c r="AVW17" s="324" t="s">
        <v>102</v>
      </c>
      <c r="AVX17" s="325"/>
      <c r="AVY17" s="326">
        <f t="shared" ref="AVY17" ca="1" si="5027">IFERROR(MATCH(AVY12,AVP17:AVS17,0),0)</f>
        <v>1</v>
      </c>
      <c r="AVZ17" s="326">
        <f t="shared" ref="AVZ17" ca="1" si="5028">IFERROR(MATCH(AVZ12,AVP17:AVS17,0),0)</f>
        <v>3</v>
      </c>
      <c r="AWA17" s="326">
        <f t="shared" ref="AWA17" ca="1" si="5029">IFERROR(MATCH(AWA12,AVP17:AVS17,0),0)</f>
        <v>2</v>
      </c>
      <c r="AWB17" s="326">
        <f t="shared" ref="AWB17" ca="1" si="5030">IFERROR(MATCH(AWB12,AVP17:AVS17,0),0)</f>
        <v>0</v>
      </c>
      <c r="AWC17" s="326">
        <f t="shared" ca="1" si="4036"/>
        <v>6</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0</v>
      </c>
      <c r="BAH17" s="322">
        <f ca="1">IF(OFFSET('Player Game Board'!Q24,0,BAG1)&lt;&gt;"",OFFSET('Player Game Board'!Q24,0,BAG1),0)</f>
        <v>0</v>
      </c>
      <c r="BAI17" s="319" t="str">
        <f t="shared" si="131"/>
        <v>Albania</v>
      </c>
      <c r="BAJ17" s="319" t="str">
        <f ca="1">IF(AND(OFFSET('Player Game Board'!P24,0,BAG1)&lt;&gt;"",OFFSET('Player Game Board'!Q24,0,BAG1)&lt;&gt;""),IF(BAG17&gt;BAH17,"W",IF(BAG17=BAH17,"D","L")),"")</f>
        <v/>
      </c>
      <c r="BAK17" s="319" t="str">
        <f t="shared" ca="1" si="132"/>
        <v/>
      </c>
      <c r="BAL17" s="319"/>
      <c r="BAM17" s="319"/>
      <c r="BAN17" s="324" t="s">
        <v>101</v>
      </c>
      <c r="BAO17" s="325" t="s">
        <v>102</v>
      </c>
      <c r="BAP17" s="325" t="s">
        <v>104</v>
      </c>
      <c r="BAQ17" s="325" t="s">
        <v>106</v>
      </c>
      <c r="BAR17" s="324" t="s">
        <v>104</v>
      </c>
      <c r="BAS17" s="324" t="s">
        <v>106</v>
      </c>
      <c r="BAT17" s="324" t="s">
        <v>101</v>
      </c>
      <c r="BAU17" s="324" t="s">
        <v>102</v>
      </c>
      <c r="BAV17" s="325"/>
      <c r="BAW17" s="326">
        <f t="shared" ref="BAW17" ca="1" si="5031">IFERROR(MATCH(BAW12,BAN17:BAQ17,0),0)</f>
        <v>1</v>
      </c>
      <c r="BAX17" s="326">
        <f t="shared" ref="BAX17" ca="1" si="5032">IFERROR(MATCH(BAX12,BAN17:BAQ17,0),0)</f>
        <v>3</v>
      </c>
      <c r="BAY17" s="326">
        <f t="shared" ref="BAY17" ca="1" si="5033">IFERROR(MATCH(BAY12,BAN17:BAQ17,0),0)</f>
        <v>2</v>
      </c>
      <c r="BAZ17" s="326">
        <f t="shared" ref="BAZ17" ca="1" si="5034">IFERROR(MATCH(BAZ12,BAN17:BAQ17,0),0)</f>
        <v>0</v>
      </c>
      <c r="BBA17" s="326">
        <f t="shared" ca="1" si="4106"/>
        <v>6</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101</v>
      </c>
      <c r="BFM17" s="325" t="s">
        <v>102</v>
      </c>
      <c r="BFN17" s="325" t="s">
        <v>104</v>
      </c>
      <c r="BFO17" s="325" t="s">
        <v>106</v>
      </c>
      <c r="BFP17" s="324" t="s">
        <v>104</v>
      </c>
      <c r="BFQ17" s="324" t="s">
        <v>106</v>
      </c>
      <c r="BFR17" s="324" t="s">
        <v>101</v>
      </c>
      <c r="BFS17" s="324" t="s">
        <v>102</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ht="13.8" x14ac:dyDescent="0.3">
      <c r="A18" s="319">
        <f>VLOOKUP(B18,CW18:CX22,2,FALSE)</f>
        <v>4</v>
      </c>
      <c r="B18" s="319" t="str">
        <f>'Language Table'!C21</f>
        <v>Serbia</v>
      </c>
      <c r="C18" s="319">
        <f>SUMPRODUCT((CZ3:CZ42=B18)*(DD3:DD42="W"))+SUMPRODUCT((DC3:DC42=B18)*(DE3:DE42="W"))</f>
        <v>0</v>
      </c>
      <c r="D18" s="319">
        <f>SUMPRODUCT((CZ3:CZ42=B18)*(DD3:DD42="D"))+SUMPRODUCT((DC3:DC42=B18)*(DE3:DE42="D"))</f>
        <v>0</v>
      </c>
      <c r="E18" s="319">
        <f>SUMPRODUCT((CZ3:CZ42=B18)*(DD3:DD42="L"))+SUMPRODUCT((DC3:DC42=B18)*(DE3:DE42="L"))</f>
        <v>1</v>
      </c>
      <c r="F18" s="319">
        <f>SUMIF(CZ3:CZ60,B18,DA3:DA60)+SUMIF(DC3:DC60,B18,DB3:DB60)</f>
        <v>0</v>
      </c>
      <c r="G18" s="319">
        <f>SUMIF(DC3:DC60,B18,DA3:DA60)+SUMIF(CZ3:CZ60,B18,DB3:DB60)</f>
        <v>1</v>
      </c>
      <c r="H18" s="319">
        <f t="shared" ref="H18:H21" si="5039">F18-G18+1000</f>
        <v>999</v>
      </c>
      <c r="I18" s="319">
        <f t="shared" ref="I18:I21" si="5040">C18*3+D18*1</f>
        <v>0</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0</v>
      </c>
      <c r="DB18" s="319">
        <f>IF(AND(Matches!I23&lt;&gt;"",Matches!H23&lt;&gt;""),Matches!I23,0)</f>
        <v>0</v>
      </c>
      <c r="DC18" s="319" t="str">
        <f>Matches!J23</f>
        <v>Italy</v>
      </c>
      <c r="DD18" s="319" t="str">
        <f>IF(AND(Matches!H23&lt;&gt;"",Matches!I23&lt;&gt;""),IF(DA18&gt;DB18,"W",IF(DA18=DB18,"D","L")),"")</f>
        <v/>
      </c>
      <c r="DE18" s="319" t="str">
        <f t="shared" si="162"/>
        <v/>
      </c>
      <c r="DF18" s="319"/>
      <c r="DG18" s="319"/>
      <c r="DH18" s="324" t="s">
        <v>101</v>
      </c>
      <c r="DI18" s="325" t="s">
        <v>102</v>
      </c>
      <c r="DJ18" s="325" t="s">
        <v>105</v>
      </c>
      <c r="DK18" s="325" t="s">
        <v>106</v>
      </c>
      <c r="DL18" s="324" t="s">
        <v>105</v>
      </c>
      <c r="DM18" s="324" t="s">
        <v>106</v>
      </c>
      <c r="DN18" s="324" t="s">
        <v>102</v>
      </c>
      <c r="DO18" s="324" t="s">
        <v>101</v>
      </c>
      <c r="DP18" s="325"/>
      <c r="DQ18" s="326">
        <f>IFERROR(MATCH(DQ12,DH18:DK18,0),0)</f>
        <v>0</v>
      </c>
      <c r="DR18" s="326">
        <f>IFERROR(MATCH(DR12,DH18:DK18,0),0)</f>
        <v>2</v>
      </c>
      <c r="DS18" s="326">
        <f>IFERROR(MATCH(DS12,DH18:DK18,0),0)</f>
        <v>4</v>
      </c>
      <c r="DT18" s="326">
        <f>IFERROR(MATCH(DT12,DH18:DK18,0),0)</f>
        <v>0</v>
      </c>
      <c r="DU18" s="326">
        <f t="shared" si="3541"/>
        <v>6</v>
      </c>
      <c r="DV18" s="325" t="s">
        <v>358</v>
      </c>
      <c r="DW18" s="325" t="str">
        <f>INDEX(DH3:DH8,MATCH(INDEX(DL13:DL27,MATCH(10,DU13:DU27,0),0),DV3:DV8,0),0)</f>
        <v>Czechia</v>
      </c>
      <c r="DX18" s="325"/>
      <c r="DY18" s="319">
        <f ca="1">VLOOKUP(DZ18,HU18:HV22,2,FALSE)</f>
        <v>4</v>
      </c>
      <c r="DZ18" s="319" t="str">
        <f>B18</f>
        <v>Serbia</v>
      </c>
      <c r="EA18" s="319">
        <f ca="1">SUMPRODUCT((HX3:HX42=DZ18)*(IB3:IB42="W"))+SUMPRODUCT((IA3:IA42=DZ18)*(IC3:IC42="W"))</f>
        <v>0</v>
      </c>
      <c r="EB18" s="319">
        <f ca="1">SUMPRODUCT((HX3:HX42=DZ18)*(IB3:IB42="D"))+SUMPRODUCT((IA3:IA42=DZ18)*(IC3:IC42="D"))</f>
        <v>1</v>
      </c>
      <c r="EC18" s="319">
        <f ca="1">SUMPRODUCT((HX3:HX42=DZ18)*(IB3:IB42="L"))+SUMPRODUCT((IA3:IA42=DZ18)*(IC3:IC42="L"))</f>
        <v>2</v>
      </c>
      <c r="ED18" s="319">
        <f ca="1">SUMIF(HX3:HX60,DZ18,HY3:HY60)+SUMIF(IA3:IA60,DZ18,HZ3:HZ60)</f>
        <v>2</v>
      </c>
      <c r="EE18" s="319">
        <f ca="1">SUMIF(IA3:IA60,DZ18,HY3:HY60)+SUMIF(HX3:HX60,DZ18,HZ3:HZ60)</f>
        <v>6</v>
      </c>
      <c r="EF18" s="319">
        <f t="shared" ref="EF18:EF21" ca="1" si="5043">ED18-EE18+1000</f>
        <v>996</v>
      </c>
      <c r="EG18" s="319">
        <f t="shared" ref="EG18:EG21" ca="1" si="5044">EA18*3+EB18*1</f>
        <v>1</v>
      </c>
      <c r="EH18" s="319">
        <f t="shared" si="609"/>
        <v>35</v>
      </c>
      <c r="EI18" s="319">
        <f ca="1">IF(COUNTIF(EG18:EG22,4)&lt;&gt;4,RANK(EG18,EG18:EG22),EG58)</f>
        <v>4</v>
      </c>
      <c r="EJ18" s="319"/>
      <c r="EK18" s="319">
        <f ca="1">SUMPRODUCT((EI18:EI21=EI18)*(EH18:EH21&lt;EH18))+EI18</f>
        <v>4</v>
      </c>
      <c r="EL18" s="319" t="str">
        <f ca="1">INDEX(DZ18:DZ22,MATCH(1,EK18:EK22,0),0)</f>
        <v>Denmark</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Denmark</v>
      </c>
      <c r="HV18" s="319">
        <v>1</v>
      </c>
      <c r="HW18" s="319">
        <v>16</v>
      </c>
      <c r="HX18" s="319" t="str">
        <f t="shared" si="164"/>
        <v>Spain</v>
      </c>
      <c r="HY18" s="322">
        <f ca="1">IF(OFFSET('Player Game Board'!P25,0,HY1)&lt;&gt;"",OFFSET('Player Game Board'!P25,0,HY1),0)</f>
        <v>2</v>
      </c>
      <c r="HZ18" s="322">
        <f ca="1">IF(OFFSET('Player Game Board'!Q25,0,HY1)&lt;&gt;"",OFFSET('Player Game Board'!Q25,0,HY1),0)</f>
        <v>2</v>
      </c>
      <c r="IA18" s="319" t="str">
        <f t="shared" si="165"/>
        <v>Italy</v>
      </c>
      <c r="IB18" s="319" t="str">
        <f ca="1">IF(AND(OFFSET('Player Game Board'!P25,0,HY1)&lt;&gt;"",OFFSET('Player Game Board'!Q25,0,HY1)&lt;&gt;""),IF(HY18&gt;HZ18,"W",IF(HY18=HZ18,"D","L")),"")</f>
        <v>D</v>
      </c>
      <c r="IC18" s="319" t="str">
        <f t="shared" ca="1" si="166"/>
        <v>D</v>
      </c>
      <c r="ID18" s="319"/>
      <c r="IE18" s="319"/>
      <c r="IF18" s="324" t="s">
        <v>101</v>
      </c>
      <c r="IG18" s="325" t="s">
        <v>102</v>
      </c>
      <c r="IH18" s="325" t="s">
        <v>105</v>
      </c>
      <c r="II18" s="325" t="s">
        <v>106</v>
      </c>
      <c r="IJ18" s="324" t="s">
        <v>105</v>
      </c>
      <c r="IK18" s="324" t="s">
        <v>106</v>
      </c>
      <c r="IL18" s="324" t="s">
        <v>102</v>
      </c>
      <c r="IM18" s="324" t="s">
        <v>101</v>
      </c>
      <c r="IN18" s="325"/>
      <c r="IO18" s="326">
        <f ca="1">IFERROR(MATCH(IO12,IF18:II18,0),0)</f>
        <v>1</v>
      </c>
      <c r="IP18" s="326">
        <f ca="1">IFERROR(MATCH(IP12,IF18:II18,0),0)</f>
        <v>0</v>
      </c>
      <c r="IQ18" s="326">
        <f ca="1">IFERROR(MATCH(IQ12,IF18:II18,0),0)</f>
        <v>4</v>
      </c>
      <c r="IR18" s="326">
        <f ca="1">IFERROR(MATCH(IR12,IF18:II18,0),0)</f>
        <v>2</v>
      </c>
      <c r="IS18" s="326">
        <f t="shared" ca="1" si="3544"/>
        <v>7</v>
      </c>
      <c r="IT18" s="325" t="s">
        <v>358</v>
      </c>
      <c r="IU18" s="325" t="str">
        <f ca="1">INDEX(IF3:IF8,MATCH(INDEX(IJ13:IJ27,MATCH(10,IS13:IS27,0),0),IT3:IT8,0),0)</f>
        <v>Austria</v>
      </c>
      <c r="IV18" s="325">
        <f t="shared" ref="IV18:IV33" ca="1" si="5047">IFERROR(IF(MATCH(IU18,QualifiedCountries,0),1,0),0)</f>
        <v>0</v>
      </c>
      <c r="IW18" s="319">
        <f ca="1">VLOOKUP(IX18,MS18:MT22,2,FALSE)</f>
        <v>4</v>
      </c>
      <c r="IX18" s="319" t="str">
        <f>DZ18</f>
        <v>Serbia</v>
      </c>
      <c r="IY18" s="319">
        <f ca="1">SUMPRODUCT((MV3:MV42=IX18)*(MZ3:MZ42="W"))+SUMPRODUCT((MY3:MY42=IX18)*(NA3:NA42="W"))</f>
        <v>0</v>
      </c>
      <c r="IZ18" s="319">
        <f ca="1">SUMPRODUCT((MV3:MV42=IX18)*(MZ3:MZ42="D"))+SUMPRODUCT((MY3:MY42=IX18)*(NA3:NA42="D"))</f>
        <v>2</v>
      </c>
      <c r="JA18" s="319">
        <f ca="1">SUMPRODUCT((MV3:MV42=IX18)*(MZ3:MZ42="L"))+SUMPRODUCT((MY3:MY42=IX18)*(NA3:NA42="L"))</f>
        <v>1</v>
      </c>
      <c r="JB18" s="319">
        <f ca="1">SUMIF(MV3:MV60,IX18,MW3:MW60)+SUMIF(MY3:MY60,IX18,MX3:MX60)</f>
        <v>2</v>
      </c>
      <c r="JC18" s="319">
        <f ca="1">SUMIF(MY3:MY60,IX18,MW3:MW60)+SUMIF(MV3:MV60,IX18,MX3:MX60)</f>
        <v>3</v>
      </c>
      <c r="JD18" s="319">
        <f t="shared" ref="JD18:JD21" ca="1" si="5048">JB18-JC18+1000</f>
        <v>999</v>
      </c>
      <c r="JE18" s="319">
        <f t="shared" ref="JE18:JE21" ca="1" si="5049">IY18*3+IZ18*1</f>
        <v>2</v>
      </c>
      <c r="JF18" s="319">
        <f t="shared" si="618"/>
        <v>35</v>
      </c>
      <c r="JG18" s="319">
        <f ca="1">IF(COUNTIF(JE18:JE22,4)&lt;&gt;4,RANK(JE18,JE18:JE22),JE58)</f>
        <v>2</v>
      </c>
      <c r="JH18" s="319"/>
      <c r="JI18" s="319">
        <f ca="1">SUMPRODUCT((JG18:JG21=JG18)*(JF18:JF21&lt;JF18))+JG18</f>
        <v>2</v>
      </c>
      <c r="JJ18" s="319" t="str">
        <f ca="1">INDEX(IX18:IX22,MATCH(1,JI18:JI22,0),0)</f>
        <v>England</v>
      </c>
      <c r="JK18" s="319">
        <f ca="1">INDEX(JG18:JG22,MATCH(JJ18,IX18:IX22,0),0)</f>
        <v>1</v>
      </c>
      <c r="JL18" s="319" t="str">
        <f ca="1">IF(JK19=1,JJ18,"")</f>
        <v/>
      </c>
      <c r="JM18" s="319" t="str">
        <f ca="1">IF(JK20=2,JJ19,"")</f>
        <v>Serbia</v>
      </c>
      <c r="JN18" s="319" t="str">
        <f ca="1">IF(JK21=3,JJ20,"")</f>
        <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0</v>
      </c>
      <c r="MX18" s="322">
        <f ca="1">IF(OFFSET('Player Game Board'!Q25,0,MW1)&lt;&gt;"",OFFSET('Player Game Board'!Q25,0,MW1),0)</f>
        <v>0</v>
      </c>
      <c r="MY18" s="319" t="str">
        <f t="shared" si="171"/>
        <v>Italy</v>
      </c>
      <c r="MZ18" s="319" t="str">
        <f ca="1">IF(AND(OFFSET('Player Game Board'!P25,0,MW1)&lt;&gt;"",OFFSET('Player Game Board'!Q25,0,MW1)&lt;&gt;""),IF(MW18&gt;MX18,"W",IF(MW18=MX18,"D","L")),"")</f>
        <v>D</v>
      </c>
      <c r="NA18" s="319" t="str">
        <f t="shared" ca="1" si="172"/>
        <v>D</v>
      </c>
      <c r="NB18" s="319"/>
      <c r="NC18" s="319"/>
      <c r="ND18" s="324" t="s">
        <v>101</v>
      </c>
      <c r="NE18" s="325" t="s">
        <v>102</v>
      </c>
      <c r="NF18" s="325" t="s">
        <v>105</v>
      </c>
      <c r="NG18" s="325" t="s">
        <v>106</v>
      </c>
      <c r="NH18" s="324" t="s">
        <v>105</v>
      </c>
      <c r="NI18" s="324" t="s">
        <v>106</v>
      </c>
      <c r="NJ18" s="324" t="s">
        <v>102</v>
      </c>
      <c r="NK18" s="324" t="s">
        <v>101</v>
      </c>
      <c r="NL18" s="325"/>
      <c r="NM18" s="326">
        <f ca="1">IFERROR(MATCH(NM12,ND18:NG18,0),0)</f>
        <v>2</v>
      </c>
      <c r="NN18" s="326">
        <f ca="1">IFERROR(MATCH(NN12,ND18:NG18,0),0)</f>
        <v>1</v>
      </c>
      <c r="NO18" s="326">
        <f ca="1">IFERROR(MATCH(NO12,ND18:NG18,0),0)</f>
        <v>4</v>
      </c>
      <c r="NP18" s="326">
        <f ca="1">IFERROR(MATCH(NP12,ND18:NG18,0),0)</f>
        <v>3</v>
      </c>
      <c r="NQ18" s="326">
        <f t="shared" ca="1" si="3547"/>
        <v>10</v>
      </c>
      <c r="NR18" s="325" t="s">
        <v>358</v>
      </c>
      <c r="NS18" s="325" t="str">
        <f ca="1">INDEX(ND3:ND8,MATCH(INDEX(NH13:NH27,MATCH(10,NQ13:NQ27,0),0),NR3:NR8,0),0)</f>
        <v>Romania</v>
      </c>
      <c r="NT18" s="325">
        <f t="shared" ref="NT18:NT33" ca="1" si="5052">IFERROR(IF(MATCH(NS18,QualifiedCountries,0),1,0),0)</f>
        <v>1</v>
      </c>
      <c r="NU18" s="319">
        <f t="shared" ref="NU18" ca="1" si="5053">VLOOKUP(NV18,RQ18:RR22,2,FALSE)</f>
        <v>2</v>
      </c>
      <c r="NV18" s="319" t="str">
        <f t="shared" ref="NV18:NV21" si="5054">IX18</f>
        <v>Serbia</v>
      </c>
      <c r="NW18" s="319">
        <f t="shared" ref="NW18" ca="1" si="5055">SUMPRODUCT((RT3:RT42=NV18)*(RX3:RX42="W"))+SUMPRODUCT((RW3:RW42=NV18)*(RY3:RY42="W"))</f>
        <v>1</v>
      </c>
      <c r="NX18" s="319">
        <f t="shared" ref="NX18" ca="1" si="5056">SUMPRODUCT((RT3:RT42=NV18)*(RX3:RX42="D"))+SUMPRODUCT((RW3:RW42=NV18)*(RY3:RY42="D"))</f>
        <v>1</v>
      </c>
      <c r="NY18" s="319">
        <f t="shared" ref="NY18" ca="1" si="5057">SUMPRODUCT((RT3:RT42=NV18)*(RX3:RX42="L"))+SUMPRODUCT((RW3:RW42=NV18)*(RY3:RY42="L"))</f>
        <v>1</v>
      </c>
      <c r="NZ18" s="319">
        <f t="shared" ref="NZ18" ca="1" si="5058">SUMIF(RT3:RT60,NV18,RU3:RU60)+SUMIF(RW3:RW60,NV18,RV3:RV60)</f>
        <v>3</v>
      </c>
      <c r="OA18" s="319">
        <f t="shared" ref="OA18" ca="1" si="5059">SUMIF(RW3:RW60,NV18,RU3:RU60)+SUMIF(RT3:RT60,NV18,RV3:RV60)</f>
        <v>2</v>
      </c>
      <c r="OB18" s="319">
        <f t="shared" ref="OB18:OB21" ca="1" si="5060">NZ18-OA18+1000</f>
        <v>1001</v>
      </c>
      <c r="OC18" s="319">
        <f t="shared" ref="OC18:OC21" ca="1" si="5061">NW18*3+NX18*1</f>
        <v>4</v>
      </c>
      <c r="OD18" s="319">
        <f t="shared" si="630"/>
        <v>35</v>
      </c>
      <c r="OE18" s="319">
        <f t="shared" ref="OE18" ca="1" si="5062">IF(COUNTIF(OC18:OC22,4)&lt;&gt;4,RANK(OC18,OC18:OC22),OC58)</f>
        <v>2</v>
      </c>
      <c r="OF18" s="319"/>
      <c r="OG18" s="319">
        <f t="shared" ref="OG18" ca="1" si="5063">SUMPRODUCT((OE18:OE21=OE18)*(OD18:OD21&lt;OD18))+OE18</f>
        <v>2</v>
      </c>
      <c r="OH18" s="319" t="str">
        <f t="shared" ref="OH18" ca="1" si="5064">INDEX(NV18:NV22,MATCH(1,OG18:OG22,0),0)</f>
        <v>England</v>
      </c>
      <c r="OI18" s="319">
        <f t="shared" ref="OI18" ca="1" si="5065">INDEX(OE18:OE22,MATCH(OH18,NV18:NV22,0),0)</f>
        <v>1</v>
      </c>
      <c r="OJ18" s="319" t="str">
        <f t="shared" ref="OJ18" ca="1" si="5066">IF(OI19=1,OH18,"")</f>
        <v/>
      </c>
      <c r="OK18" s="319" t="str">
        <f t="shared" ref="OK18" ca="1" si="5067">IF(OI20=2,OH19,"")</f>
        <v>Serbia</v>
      </c>
      <c r="OL18" s="319" t="str">
        <f t="shared" ref="OL18" ca="1" si="5068">IF(OI21=3,OH20,"")</f>
        <v/>
      </c>
      <c r="OM18" s="319" t="str">
        <f t="shared" ref="OM18" si="5069">IF(OI22=4,OH21,"")</f>
        <v/>
      </c>
      <c r="ON18" s="319"/>
      <c r="OO18" s="319" t="str">
        <f t="shared" ref="OO18:OO21" ca="1" si="5070">IF(OJ18&lt;&gt;"",OJ18,"")</f>
        <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t="str">
        <f t="shared" ref="OV18:OV21" ca="1" si="5077">IF(OO18&lt;&gt;"",OP18*3+OQ18*1,"")</f>
        <v/>
      </c>
      <c r="OW18" s="319" t="str">
        <f t="shared" ref="OW18" ca="1" si="5078">IF(OO18&lt;&gt;"",VLOOKUP(OO18,NV4:OB40,7,FALSE),"")</f>
        <v/>
      </c>
      <c r="OX18" s="319" t="str">
        <f t="shared" ref="OX18" ca="1" si="5079">IF(OO18&lt;&gt;"",VLOOKUP(OO18,NV4:OB40,5,FALSE),"")</f>
        <v/>
      </c>
      <c r="OY18" s="319" t="str">
        <f t="shared" ref="OY18" ca="1" si="5080">IF(OO18&lt;&gt;"",VLOOKUP(OO18,NV4:OD40,9,FALSE),"")</f>
        <v/>
      </c>
      <c r="OZ18" s="319" t="str">
        <f t="shared" ref="OZ18:OZ21" ca="1" si="5081">OV18</f>
        <v/>
      </c>
      <c r="PA18" s="319" t="str">
        <f t="shared" ref="PA18" ca="1" si="5082">IF(OO18&lt;&gt;"",RANK(OZ18,OZ18:OZ22),"")</f>
        <v/>
      </c>
      <c r="PB18" s="319" t="str">
        <f t="shared" ref="PB18" ca="1" si="5083">IF(OO18&lt;&gt;"",SUMPRODUCT((OZ18:OZ22=OZ18)*(OU18:OU22&gt;OU18)),"")</f>
        <v/>
      </c>
      <c r="PC18" s="319" t="str">
        <f t="shared" ref="PC18" ca="1" si="5084">IF(OO18&lt;&gt;"",SUMPRODUCT((OZ18:OZ22=OZ18)*(OU18:OU22=OU18)*(OS18:OS22&gt;OS18)),"")</f>
        <v/>
      </c>
      <c r="PD18" s="319" t="str">
        <f t="shared" ref="PD18" ca="1" si="5085">IF(OO18&lt;&gt;"",SUMPRODUCT((OZ18:OZ22=OZ18)*(OU18:OU22=OU18)*(OS18:OS22=OS18)*(OW18:OW22&gt;OW18)),"")</f>
        <v/>
      </c>
      <c r="PE18" s="319" t="str">
        <f t="shared" ref="PE18" ca="1" si="5086">IF(OO18&lt;&gt;"",SUMPRODUCT((OZ18:OZ22=OZ18)*(OU18:OU22=OU18)*(OS18:OS22=OS18)*(OW18:OW22=OW18)*(OX18:OX22&gt;OX18)),"")</f>
        <v/>
      </c>
      <c r="PF18" s="319" t="str">
        <f t="shared" ref="PF18" ca="1" si="5087">IF(OO18&lt;&gt;"",SUMPRODUCT((OZ18:OZ22=OZ18)*(OU18:OU22=OU18)*(OS18:OS22=OS18)*(OW18:OW22=OW18)*(OX18:OX22=OX18)*(OY18:OY22&gt;OY18)),"")</f>
        <v/>
      </c>
      <c r="PG18" s="319" t="str">
        <f ca="1">IF(OO18&lt;&gt;"",IF(PG58&lt;&gt;"",IF(ON57=3,PG58,PG58+ON57),SUM(PA18:PF18)),"")</f>
        <v/>
      </c>
      <c r="PH18" s="319" t="str">
        <f t="shared" ref="PH18" ca="1" si="5088">IF(OO18&lt;&gt;"",INDEX(OO18:OO22,MATCH(1,PG18:PG22,0),0),"")</f>
        <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England</v>
      </c>
      <c r="RR18" s="319">
        <v>1</v>
      </c>
      <c r="RS18" s="319">
        <v>16</v>
      </c>
      <c r="RT18" s="319" t="str">
        <f t="shared" si="18"/>
        <v>Spain</v>
      </c>
      <c r="RU18" s="322">
        <f ca="1">IF(OFFSET('Player Game Board'!P25,0,RU1)&lt;&gt;"",OFFSET('Player Game Board'!P25,0,RU1),0)</f>
        <v>1</v>
      </c>
      <c r="RV18" s="322">
        <f ca="1">IF(OFFSET('Player Game Board'!Q25,0,RU1)&lt;&gt;"",OFFSET('Player Game Board'!Q25,0,RU1),0)</f>
        <v>1</v>
      </c>
      <c r="RW18" s="319" t="str">
        <f t="shared" si="19"/>
        <v>Italy</v>
      </c>
      <c r="RX18" s="319" t="str">
        <f ca="1">IF(AND(OFFSET('Player Game Board'!P25,0,RU1)&lt;&gt;"",OFFSET('Player Game Board'!Q25,0,RU1)&lt;&gt;""),IF(RU18&gt;RV18,"W",IF(RU18=RV18,"D","L")),"")</f>
        <v>D</v>
      </c>
      <c r="RY18" s="319" t="str">
        <f t="shared" ca="1" si="20"/>
        <v>D</v>
      </c>
      <c r="RZ18" s="319"/>
      <c r="SA18" s="319"/>
      <c r="SB18" s="324" t="s">
        <v>101</v>
      </c>
      <c r="SC18" s="325" t="s">
        <v>102</v>
      </c>
      <c r="SD18" s="325" t="s">
        <v>105</v>
      </c>
      <c r="SE18" s="325" t="s">
        <v>106</v>
      </c>
      <c r="SF18" s="324" t="s">
        <v>105</v>
      </c>
      <c r="SG18" s="324" t="s">
        <v>106</v>
      </c>
      <c r="SH18" s="324" t="s">
        <v>102</v>
      </c>
      <c r="SI18" s="324" t="s">
        <v>101</v>
      </c>
      <c r="SJ18" s="325"/>
      <c r="SK18" s="326">
        <f t="shared" ref="SK18" ca="1" si="5090">IFERROR(MATCH(SK12,SB18:SE18,0),0)</f>
        <v>0</v>
      </c>
      <c r="SL18" s="326">
        <f t="shared" ref="SL18" ca="1" si="5091">IFERROR(MATCH(SL12,SB18:SE18,0),0)</f>
        <v>2</v>
      </c>
      <c r="SM18" s="326">
        <f t="shared" ref="SM18" ca="1" si="5092">IFERROR(MATCH(SM12,SB18:SE18,0),0)</f>
        <v>4</v>
      </c>
      <c r="SN18" s="326">
        <f t="shared" ref="SN18" ca="1" si="5093">IFERROR(MATCH(SN12,SB18:SE18,0),0)</f>
        <v>3</v>
      </c>
      <c r="SO18" s="326">
        <f t="shared" ca="1" si="3616"/>
        <v>9</v>
      </c>
      <c r="SP18" s="325" t="s">
        <v>358</v>
      </c>
      <c r="SQ18" s="325" t="str">
        <f t="shared" ref="SQ18" ca="1" si="5094">INDEX(SB3:SB8,MATCH(INDEX(SF13:SF27,MATCH(10,SO13:SO27,0),0),SP3:SP8,0),0)</f>
        <v>Czechia</v>
      </c>
      <c r="SR18" s="325">
        <f t="shared" ref="SR18:SR33" ca="1" si="5095">IFERROR(IF(MATCH(SQ18,QualifiedCountries,0),1,0),0)</f>
        <v>1</v>
      </c>
      <c r="SS18" s="319">
        <f t="shared" ref="SS18" ca="1" si="5096">VLOOKUP(ST18,WO18:WP22,2,FALSE)</f>
        <v>4</v>
      </c>
      <c r="ST18" s="319" t="str">
        <f t="shared" ref="ST18:ST21" si="5097">NV18</f>
        <v>Serbia</v>
      </c>
      <c r="SU18" s="319">
        <f t="shared" ref="SU18" ca="1" si="5098">SUMPRODUCT((WR3:WR42=ST18)*(WV3:WV42="W"))+SUMPRODUCT((WU3:WU42=ST18)*(WW3:WW42="W"))</f>
        <v>0</v>
      </c>
      <c r="SV18" s="319">
        <f t="shared" ref="SV18" ca="1" si="5099">SUMPRODUCT((WR3:WR42=ST18)*(WV3:WV42="D"))+SUMPRODUCT((WU3:WU42=ST18)*(WW3:WW42="D"))</f>
        <v>1</v>
      </c>
      <c r="SW18" s="319">
        <f t="shared" ref="SW18" ca="1" si="5100">SUMPRODUCT((WR3:WR42=ST18)*(WV3:WV42="L"))+SUMPRODUCT((WU3:WU42=ST18)*(WW3:WW42="L"))</f>
        <v>2</v>
      </c>
      <c r="SX18" s="319">
        <f t="shared" ref="SX18" ca="1" si="5101">SUMIF(WR3:WR60,ST18,WS3:WS60)+SUMIF(WU3:WU60,ST18,WT3:WT60)</f>
        <v>0</v>
      </c>
      <c r="SY18" s="319">
        <f t="shared" ref="SY18" ca="1" si="5102">SUMIF(WU3:WU60,ST18,WS3:WS60)+SUMIF(WR3:WR60,ST18,WT3:WT60)</f>
        <v>3</v>
      </c>
      <c r="SZ18" s="319">
        <f t="shared" ref="SZ18:SZ21" ca="1" si="5103">SX18-SY18+1000</f>
        <v>997</v>
      </c>
      <c r="TA18" s="319">
        <f t="shared" ref="TA18:TA21" ca="1" si="5104">SU18*3+SV18*1</f>
        <v>1</v>
      </c>
      <c r="TB18" s="319">
        <f t="shared" si="690"/>
        <v>35</v>
      </c>
      <c r="TC18" s="319">
        <f t="shared" ref="TC18" ca="1" si="5105">IF(COUNTIF(TA18:TA22,4)&lt;&gt;4,RANK(TA18,TA18:TA22),TA58)</f>
        <v>3</v>
      </c>
      <c r="TD18" s="319"/>
      <c r="TE18" s="319">
        <f t="shared" ref="TE18" ca="1" si="5106">SUMPRODUCT((TC18:TC21=TC18)*(TB18:TB21&lt;TB18))+TC18</f>
        <v>3</v>
      </c>
      <c r="TF18" s="319" t="str">
        <f t="shared" ref="TF18" ca="1" si="5107">INDEX(ST18:ST22,MATCH(1,TE18:TE22,0),0)</f>
        <v>England</v>
      </c>
      <c r="TG18" s="319">
        <f t="shared" ref="TG18" ca="1" si="5108">INDEX(TC18:TC22,MATCH(TF18,ST18:ST22,0),0)</f>
        <v>1</v>
      </c>
      <c r="TH18" s="319" t="str">
        <f t="shared" ref="TH18" ca="1" si="5109">IF(TG19=1,TF18,"")</f>
        <v/>
      </c>
      <c r="TI18" s="319" t="str">
        <f t="shared" ref="TI18" ca="1" si="5110">IF(TG20=2,TF19,"")</f>
        <v/>
      </c>
      <c r="TJ18" s="319" t="str">
        <f t="shared" ref="TJ18" ca="1" si="5111">IF(TG21=3,TF20,"")</f>
        <v>Serbia</v>
      </c>
      <c r="TK18" s="319" t="str">
        <f t="shared" ref="TK18" si="5112">IF(TG22=4,TF21,"")</f>
        <v/>
      </c>
      <c r="TL18" s="319"/>
      <c r="TM18" s="319" t="str">
        <f t="shared" ref="TM18:TM21" ca="1" si="5113">IF(TH18&lt;&gt;"",TH18,"")</f>
        <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0</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0</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0</v>
      </c>
      <c r="TS18" s="319">
        <f t="shared" ref="TS18:TS21" ca="1" si="5119">TQ18-TR18+1000</f>
        <v>1000</v>
      </c>
      <c r="TT18" s="319" t="str">
        <f t="shared" ref="TT18:TT21" ca="1" si="5120">IF(TM18&lt;&gt;"",TN18*3+TO18*1,"")</f>
        <v/>
      </c>
      <c r="TU18" s="319" t="str">
        <f t="shared" ref="TU18" ca="1" si="5121">IF(TM18&lt;&gt;"",VLOOKUP(TM18,ST4:SZ40,7,FALSE),"")</f>
        <v/>
      </c>
      <c r="TV18" s="319" t="str">
        <f t="shared" ref="TV18" ca="1" si="5122">IF(TM18&lt;&gt;"",VLOOKUP(TM18,ST4:SZ40,5,FALSE),"")</f>
        <v/>
      </c>
      <c r="TW18" s="319" t="str">
        <f t="shared" ref="TW18" ca="1" si="5123">IF(TM18&lt;&gt;"",VLOOKUP(TM18,ST4:TB40,9,FALSE),"")</f>
        <v/>
      </c>
      <c r="TX18" s="319" t="str">
        <f t="shared" ref="TX18:TX21" ca="1" si="5124">TT18</f>
        <v/>
      </c>
      <c r="TY18" s="319" t="str">
        <f t="shared" ref="TY18" ca="1" si="5125">IF(TM18&lt;&gt;"",RANK(TX18,TX18:TX22),"")</f>
        <v/>
      </c>
      <c r="TZ18" s="319" t="str">
        <f t="shared" ref="TZ18" ca="1" si="5126">IF(TM18&lt;&gt;"",SUMPRODUCT((TX18:TX22=TX18)*(TS18:TS22&gt;TS18)),"")</f>
        <v/>
      </c>
      <c r="UA18" s="319" t="str">
        <f t="shared" ref="UA18" ca="1" si="5127">IF(TM18&lt;&gt;"",SUMPRODUCT((TX18:TX22=TX18)*(TS18:TS22=TS18)*(TQ18:TQ22&gt;TQ18)),"")</f>
        <v/>
      </c>
      <c r="UB18" s="319" t="str">
        <f t="shared" ref="UB18" ca="1" si="5128">IF(TM18&lt;&gt;"",SUMPRODUCT((TX18:TX22=TX18)*(TS18:TS22=TS18)*(TQ18:TQ22=TQ18)*(TU18:TU22&gt;TU18)),"")</f>
        <v/>
      </c>
      <c r="UC18" s="319" t="str">
        <f t="shared" ref="UC18" ca="1" si="5129">IF(TM18&lt;&gt;"",SUMPRODUCT((TX18:TX22=TX18)*(TS18:TS22=TS18)*(TQ18:TQ22=TQ18)*(TU18:TU22=TU18)*(TV18:TV22&gt;TV18)),"")</f>
        <v/>
      </c>
      <c r="UD18" s="319" t="str">
        <f t="shared" ref="UD18" ca="1" si="5130">IF(TM18&lt;&gt;"",SUMPRODUCT((TX18:TX22=TX18)*(TS18:TS22=TS18)*(TQ18:TQ22=TQ18)*(TU18:TU22=TU18)*(TV18:TV22=TV18)*(TW18:TW22&gt;TW18)),"")</f>
        <v/>
      </c>
      <c r="UE18" s="319" t="str">
        <f ca="1">IF(TM18&lt;&gt;"",IF(UE58&lt;&gt;"",IF(TL57=3,UE58,UE58+TL57),SUM(TY18:UD18)),"")</f>
        <v/>
      </c>
      <c r="UF18" s="319" t="str">
        <f t="shared" ref="UF18" ca="1" si="5131">IF(TM18&lt;&gt;"",INDEX(TM18:TM22,MATCH(1,UE18:UE22,0),0),"")</f>
        <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1</v>
      </c>
      <c r="WT18" s="322">
        <f ca="1">IF(OFFSET('Player Game Board'!Q25,0,WS1)&lt;&gt;"",OFFSET('Player Game Board'!Q25,0,WS1),0)</f>
        <v>1</v>
      </c>
      <c r="WU18" s="319" t="str">
        <f t="shared" si="35"/>
        <v>Italy</v>
      </c>
      <c r="WV18" s="319" t="str">
        <f ca="1">IF(AND(OFFSET('Player Game Board'!P25,0,WS1)&lt;&gt;"",OFFSET('Player Game Board'!Q25,0,WS1)&lt;&gt;""),IF(WS18&gt;WT18,"W",IF(WS18=WT18,"D","L")),"")</f>
        <v>D</v>
      </c>
      <c r="WW18" s="319" t="str">
        <f t="shared" ca="1" si="36"/>
        <v>D</v>
      </c>
      <c r="WX18" s="319"/>
      <c r="WY18" s="319"/>
      <c r="WZ18" s="324" t="s">
        <v>101</v>
      </c>
      <c r="XA18" s="325" t="s">
        <v>102</v>
      </c>
      <c r="XB18" s="325" t="s">
        <v>105</v>
      </c>
      <c r="XC18" s="325" t="s">
        <v>106</v>
      </c>
      <c r="XD18" s="324" t="s">
        <v>105</v>
      </c>
      <c r="XE18" s="324" t="s">
        <v>106</v>
      </c>
      <c r="XF18" s="324" t="s">
        <v>102</v>
      </c>
      <c r="XG18" s="324" t="s">
        <v>101</v>
      </c>
      <c r="XH18" s="325"/>
      <c r="XI18" s="326">
        <f t="shared" ref="XI18" ca="1" si="5133">IFERROR(MATCH(XI12,WZ18:XC18,0),0)</f>
        <v>4</v>
      </c>
      <c r="XJ18" s="326">
        <f t="shared" ref="XJ18" ca="1" si="5134">IFERROR(MATCH(XJ12,WZ18:XC18,0),0)</f>
        <v>3</v>
      </c>
      <c r="XK18" s="326">
        <f t="shared" ref="XK18" ca="1" si="5135">IFERROR(MATCH(XK12,WZ18:XC18,0),0)</f>
        <v>2</v>
      </c>
      <c r="XL18" s="326">
        <f t="shared" ref="XL18" ca="1" si="5136">IFERROR(MATCH(XL12,WZ18:XC18,0),0)</f>
        <v>1</v>
      </c>
      <c r="XM18" s="326">
        <f t="shared" ca="1" si="3686"/>
        <v>10</v>
      </c>
      <c r="XN18" s="325" t="s">
        <v>358</v>
      </c>
      <c r="XO18" s="325" t="str">
        <f t="shared" ref="XO18" ca="1" si="5137">INDEX(WZ3:WZ8,MATCH(INDEX(XD13:XD27,MATCH(10,XM13:XM27,0),0),XN3:XN8,0),0)</f>
        <v>Ukraine</v>
      </c>
      <c r="XP18" s="325">
        <f t="shared" ref="XP18:XP33" ca="1" si="5138">IFERROR(IF(MATCH(XO18,QualifiedCountries,0),1,0),0)</f>
        <v>0</v>
      </c>
      <c r="XQ18" s="319">
        <f t="shared" ref="XQ18" ca="1" si="5139">VLOOKUP(XR18,ABM18:ABN22,2,FALSE)</f>
        <v>3</v>
      </c>
      <c r="XR18" s="319" t="str">
        <f t="shared" ref="XR18:XR21" si="5140">ST18</f>
        <v>Serbia</v>
      </c>
      <c r="XS18" s="319">
        <f t="shared" ref="XS18" ca="1" si="5141">SUMPRODUCT((ABP3:ABP42=XR18)*(ABT3:ABT42="W"))+SUMPRODUCT((ABS3:ABS42=XR18)*(ABU3:ABU42="W"))</f>
        <v>1</v>
      </c>
      <c r="XT18" s="319">
        <f t="shared" ref="XT18" ca="1" si="5142">SUMPRODUCT((ABP3:ABP42=XR18)*(ABT3:ABT42="D"))+SUMPRODUCT((ABS3:ABS42=XR18)*(ABU3:ABU42="D"))</f>
        <v>1</v>
      </c>
      <c r="XU18" s="319">
        <f t="shared" ref="XU18" ca="1" si="5143">SUMPRODUCT((ABP3:ABP42=XR18)*(ABT3:ABT42="L"))+SUMPRODUCT((ABS3:ABS42=XR18)*(ABU3:ABU42="L"))</f>
        <v>1</v>
      </c>
      <c r="XV18" s="319">
        <f t="shared" ref="XV18" ca="1" si="5144">SUMIF(ABP3:ABP60,XR18,ABQ3:ABQ60)+SUMIF(ABS3:ABS60,XR18,ABR3:ABR60)</f>
        <v>5</v>
      </c>
      <c r="XW18" s="319">
        <f t="shared" ref="XW18" ca="1" si="5145">SUMIF(ABS3:ABS60,XR18,ABQ3:ABQ60)+SUMIF(ABP3:ABP60,XR18,ABR3:ABR60)</f>
        <v>4</v>
      </c>
      <c r="XX18" s="319">
        <f t="shared" ref="XX18:XX21" ca="1" si="5146">XV18-XW18+1000</f>
        <v>1001</v>
      </c>
      <c r="XY18" s="319">
        <f t="shared" ref="XY18:XY21" ca="1" si="5147">XS18*3+XT18*1</f>
        <v>4</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Denmark</v>
      </c>
      <c r="YE18" s="319">
        <f t="shared" ref="YE18" ca="1" si="5151">INDEX(YA18:YA22,MATCH(YD18,XR18:XR22,0),0)</f>
        <v>1</v>
      </c>
      <c r="YF18" s="319" t="str">
        <f t="shared" ref="YF18" ca="1" si="5152">IF(YE19=1,YD18,"")</f>
        <v/>
      </c>
      <c r="YG18" s="319" t="str">
        <f t="shared" ref="YG18" ca="1" si="5153">IF(YE20=2,YD19,"")</f>
        <v/>
      </c>
      <c r="YH18" s="319" t="str">
        <f t="shared" ref="YH18" ca="1" si="5154">IF(YE21=3,YD20,"")</f>
        <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Denmark</v>
      </c>
      <c r="ABN18" s="319">
        <v>1</v>
      </c>
      <c r="ABO18" s="319">
        <v>16</v>
      </c>
      <c r="ABP18" s="319" t="str">
        <f t="shared" si="50"/>
        <v>Spain</v>
      </c>
      <c r="ABQ18" s="322">
        <f ca="1">IF(OFFSET('Player Game Board'!P25,0,ABQ1)&lt;&gt;"",OFFSET('Player Game Board'!P25,0,ABQ1),0)</f>
        <v>1</v>
      </c>
      <c r="ABR18" s="322">
        <f ca="1">IF(OFFSET('Player Game Board'!Q25,0,ABQ1)&lt;&gt;"",OFFSET('Player Game Board'!Q25,0,ABQ1),0)</f>
        <v>2</v>
      </c>
      <c r="ABS18" s="319" t="str">
        <f t="shared" si="51"/>
        <v>Italy</v>
      </c>
      <c r="ABT18" s="319" t="str">
        <f ca="1">IF(AND(OFFSET('Player Game Board'!P25,0,ABQ1)&lt;&gt;"",OFFSET('Player Game Board'!Q25,0,ABQ1)&lt;&gt;""),IF(ABQ18&gt;ABR18,"W",IF(ABQ18=ABR18,"D","L")),"")</f>
        <v>L</v>
      </c>
      <c r="ABU18" s="319" t="str">
        <f t="shared" ca="1" si="52"/>
        <v>W</v>
      </c>
      <c r="ABV18" s="319"/>
      <c r="ABW18" s="319"/>
      <c r="ABX18" s="324" t="s">
        <v>101</v>
      </c>
      <c r="ABY18" s="325" t="s">
        <v>102</v>
      </c>
      <c r="ABZ18" s="325" t="s">
        <v>105</v>
      </c>
      <c r="ACA18" s="325" t="s">
        <v>106</v>
      </c>
      <c r="ACB18" s="324" t="s">
        <v>105</v>
      </c>
      <c r="ACC18" s="324" t="s">
        <v>106</v>
      </c>
      <c r="ACD18" s="324" t="s">
        <v>102</v>
      </c>
      <c r="ACE18" s="324" t="s">
        <v>101</v>
      </c>
      <c r="ACF18" s="325"/>
      <c r="ACG18" s="326">
        <f t="shared" ref="ACG18" ca="1" si="5176">IFERROR(MATCH(ACG12,ABX18:ACA18,0),0)</f>
        <v>0</v>
      </c>
      <c r="ACH18" s="326">
        <f t="shared" ref="ACH18" ca="1" si="5177">IFERROR(MATCH(ACH12,ABX18:ACA18,0),0)</f>
        <v>2</v>
      </c>
      <c r="ACI18" s="326">
        <f t="shared" ref="ACI18" ca="1" si="5178">IFERROR(MATCH(ACI12,ABX18:ACA18,0),0)</f>
        <v>0</v>
      </c>
      <c r="ACJ18" s="326">
        <f t="shared" ref="ACJ18" ca="1" si="5179">IFERROR(MATCH(ACJ12,ABX18:ACA18,0),0)</f>
        <v>1</v>
      </c>
      <c r="ACK18" s="326">
        <f t="shared" ca="1" si="3756"/>
        <v>3</v>
      </c>
      <c r="ACL18" s="325" t="s">
        <v>358</v>
      </c>
      <c r="ACM18" s="325" t="str">
        <f t="shared" ref="ACM18" ca="1" si="5180">INDEX(ABX3:ABX8,MATCH(INDEX(ACB13:ACB27,MATCH(10,ACK13:ACK27,0),0),ACL3:ACL8,0),0)</f>
        <v>Switzerland</v>
      </c>
      <c r="ACN18" s="325">
        <f t="shared" ref="ACN18:ACN33" ca="1" si="5181">IFERROR(IF(MATCH(ACM18,QualifiedCountries,0),1,0),0)</f>
        <v>1</v>
      </c>
      <c r="ACO18" s="319">
        <f t="shared" ref="ACO18" ca="1" si="5182">VLOOKUP(ACP18,AGK18:AGL22,2,FALSE)</f>
        <v>3</v>
      </c>
      <c r="ACP18" s="319" t="str">
        <f t="shared" ref="ACP18:ACP21" si="5183">XR18</f>
        <v>Serbia</v>
      </c>
      <c r="ACQ18" s="319">
        <f t="shared" ref="ACQ18" ca="1" si="5184">SUMPRODUCT((AGN3:AGN42=ACP18)*(AGR3:AGR42="W"))+SUMPRODUCT((AGQ3:AGQ42=ACP18)*(AGS3:AGS42="W"))</f>
        <v>1</v>
      </c>
      <c r="ACR18" s="319">
        <f t="shared" ref="ACR18" ca="1" si="5185">SUMPRODUCT((AGN3:AGN42=ACP18)*(AGR3:AGR42="D"))+SUMPRODUCT((AGQ3:AGQ42=ACP18)*(AGS3:AGS42="D"))</f>
        <v>0</v>
      </c>
      <c r="ACS18" s="319">
        <f t="shared" ref="ACS18" ca="1" si="5186">SUMPRODUCT((AGN3:AGN42=ACP18)*(AGR3:AGR42="L"))+SUMPRODUCT((AGQ3:AGQ42=ACP18)*(AGS3:AGS42="L"))</f>
        <v>2</v>
      </c>
      <c r="ACT18" s="319">
        <f t="shared" ref="ACT18" ca="1" si="5187">SUMIF(AGN3:AGN60,ACP18,AGO3:AGO60)+SUMIF(AGQ3:AGQ60,ACP18,AGP3:AGP60)</f>
        <v>4</v>
      </c>
      <c r="ACU18" s="319">
        <f t="shared" ref="ACU18" ca="1" si="5188">SUMIF(AGQ3:AGQ60,ACP18,AGO3:AGO60)+SUMIF(AGN3:AGN60,ACP18,AGP3:AGP60)</f>
        <v>6</v>
      </c>
      <c r="ACV18" s="319">
        <f t="shared" ref="ACV18:ACV21" ca="1" si="5189">ACT18-ACU18+1000</f>
        <v>998</v>
      </c>
      <c r="ACW18" s="319">
        <f t="shared" ref="ACW18:ACW21" ca="1" si="5190">ACQ18*3+ACR18*1</f>
        <v>3</v>
      </c>
      <c r="ACX18" s="319">
        <f t="shared" si="810"/>
        <v>35</v>
      </c>
      <c r="ACY18" s="319">
        <f t="shared" ref="ACY18" ca="1" si="5191">IF(COUNTIF(ACW18:ACW22,4)&lt;&gt;4,RANK(ACW18,ACW18:ACW22),ACW58)</f>
        <v>3</v>
      </c>
      <c r="ACZ18" s="319"/>
      <c r="ADA18" s="319">
        <f t="shared" ref="ADA18" ca="1" si="5192">SUMPRODUCT((ACY18:ACY21=ACY18)*(ACX18:ACX21&lt;ACX18))+ACY18</f>
        <v>3</v>
      </c>
      <c r="ADB18" s="319" t="str">
        <f t="shared" ref="ADB18" ca="1" si="5193">INDEX(ACP18:ACP22,MATCH(1,ADA18:ADA22,0),0)</f>
        <v>England</v>
      </c>
      <c r="ADC18" s="319">
        <f t="shared" ref="ADC18" ca="1" si="5194">INDEX(ACY18:ACY22,MATCH(ADB18,ACP18:ACP22,0),0)</f>
        <v>1</v>
      </c>
      <c r="ADD18" s="319" t="str">
        <f t="shared" ref="ADD18" ca="1" si="5195">IF(ADC19=1,ADB18,"")</f>
        <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t="str">
        <f t="shared" ref="ADP18:ADP21" ca="1" si="5206">IF(ADI18&lt;&gt;"",ADJ18*3+ADK18*1,"")</f>
        <v/>
      </c>
      <c r="ADQ18" s="319" t="str">
        <f t="shared" ref="ADQ18" ca="1" si="5207">IF(ADI18&lt;&gt;"",VLOOKUP(ADI18,ACP4:ACV40,7,FALSE),"")</f>
        <v/>
      </c>
      <c r="ADR18" s="319" t="str">
        <f t="shared" ref="ADR18" ca="1" si="5208">IF(ADI18&lt;&gt;"",VLOOKUP(ADI18,ACP4:ACV40,5,FALSE),"")</f>
        <v/>
      </c>
      <c r="ADS18" s="319" t="str">
        <f t="shared" ref="ADS18" ca="1" si="5209">IF(ADI18&lt;&gt;"",VLOOKUP(ADI18,ACP4:ACX40,9,FALSE),"")</f>
        <v/>
      </c>
      <c r="ADT18" s="319" t="str">
        <f t="shared" ref="ADT18:ADT21" ca="1" si="5210">ADP18</f>
        <v/>
      </c>
      <c r="ADU18" s="319" t="str">
        <f t="shared" ref="ADU18" ca="1" si="5211">IF(ADI18&lt;&gt;"",RANK(ADT18,ADT18:ADT22),"")</f>
        <v/>
      </c>
      <c r="ADV18" s="319" t="str">
        <f t="shared" ref="ADV18" ca="1" si="5212">IF(ADI18&lt;&gt;"",SUMPRODUCT((ADT18:ADT22=ADT18)*(ADO18:ADO22&gt;ADO18)),"")</f>
        <v/>
      </c>
      <c r="ADW18" s="319" t="str">
        <f t="shared" ref="ADW18" ca="1" si="5213">IF(ADI18&lt;&gt;"",SUMPRODUCT((ADT18:ADT22=ADT18)*(ADO18:ADO22=ADO18)*(ADM18:ADM22&gt;ADM18)),"")</f>
        <v/>
      </c>
      <c r="ADX18" s="319" t="str">
        <f t="shared" ref="ADX18" ca="1" si="5214">IF(ADI18&lt;&gt;"",SUMPRODUCT((ADT18:ADT22=ADT18)*(ADO18:ADO22=ADO18)*(ADM18:ADM22=ADM18)*(ADQ18:ADQ22&gt;ADQ18)),"")</f>
        <v/>
      </c>
      <c r="ADY18" s="319" t="str">
        <f t="shared" ref="ADY18" ca="1" si="5215">IF(ADI18&lt;&gt;"",SUMPRODUCT((ADT18:ADT22=ADT18)*(ADO18:ADO22=ADO18)*(ADM18:ADM22=ADM18)*(ADQ18:ADQ22=ADQ18)*(ADR18:ADR22&gt;ADR18)),"")</f>
        <v/>
      </c>
      <c r="ADZ18" s="319" t="str">
        <f t="shared" ref="ADZ18" ca="1" si="5216">IF(ADI18&lt;&gt;"",SUMPRODUCT((ADT18:ADT22=ADT18)*(ADO18:ADO22=ADO18)*(ADM18:ADM22=ADM18)*(ADQ18:ADQ22=ADQ18)*(ADR18:ADR22=ADR18)*(ADS18:ADS22&gt;ADS18)),"")</f>
        <v/>
      </c>
      <c r="AEA18" s="319" t="str">
        <f ca="1">IF(ADI18&lt;&gt;"",IF(AEA58&lt;&gt;"",IF(ADH57=3,AEA58,AEA58+ADH57),SUM(ADU18:ADZ18)),"")</f>
        <v/>
      </c>
      <c r="AEB18" s="319" t="str">
        <f t="shared" ref="AEB18" ca="1" si="5217">IF(ADI18&lt;&gt;"",INDEX(ADI18:ADI22,MATCH(1,AEA18:AEA22,0),0),"")</f>
        <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1</v>
      </c>
      <c r="AGP18" s="322">
        <f ca="1">IF(OFFSET('Player Game Board'!Q25,0,AGO1)&lt;&gt;"",OFFSET('Player Game Board'!Q25,0,AGO1),0)</f>
        <v>1</v>
      </c>
      <c r="AGQ18" s="319" t="str">
        <f t="shared" si="67"/>
        <v>Italy</v>
      </c>
      <c r="AGR18" s="319" t="str">
        <f ca="1">IF(AND(OFFSET('Player Game Board'!P25,0,AGO1)&lt;&gt;"",OFFSET('Player Game Board'!Q25,0,AGO1)&lt;&gt;""),IF(AGO18&gt;AGP18,"W",IF(AGO18=AGP18,"D","L")),"")</f>
        <v>D</v>
      </c>
      <c r="AGS18" s="319" t="str">
        <f t="shared" ca="1" si="68"/>
        <v>D</v>
      </c>
      <c r="AGT18" s="319"/>
      <c r="AGU18" s="319"/>
      <c r="AGV18" s="324" t="s">
        <v>101</v>
      </c>
      <c r="AGW18" s="325" t="s">
        <v>102</v>
      </c>
      <c r="AGX18" s="325" t="s">
        <v>105</v>
      </c>
      <c r="AGY18" s="325" t="s">
        <v>106</v>
      </c>
      <c r="AGZ18" s="324" t="s">
        <v>105</v>
      </c>
      <c r="AHA18" s="324" t="s">
        <v>106</v>
      </c>
      <c r="AHB18" s="324" t="s">
        <v>102</v>
      </c>
      <c r="AHC18" s="324" t="s">
        <v>101</v>
      </c>
      <c r="AHD18" s="325"/>
      <c r="AHE18" s="326">
        <f t="shared" ref="AHE18" ca="1" si="5219">IFERROR(MATCH(AHE12,AGV18:AGY18,0),0)</f>
        <v>4</v>
      </c>
      <c r="AHF18" s="326">
        <f t="shared" ref="AHF18" ca="1" si="5220">IFERROR(MATCH(AHF12,AGV18:AGY18,0),0)</f>
        <v>1</v>
      </c>
      <c r="AHG18" s="326">
        <f t="shared" ref="AHG18" ca="1" si="5221">IFERROR(MATCH(AHG12,AGV18:AGY18,0),0)</f>
        <v>2</v>
      </c>
      <c r="AHH18" s="326">
        <f t="shared" ref="AHH18" ca="1" si="5222">IFERROR(MATCH(AHH12,AGV18:AGY18,0),0)</f>
        <v>0</v>
      </c>
      <c r="AHI18" s="326">
        <f t="shared" ca="1" si="3826"/>
        <v>7</v>
      </c>
      <c r="AHJ18" s="325" t="s">
        <v>358</v>
      </c>
      <c r="AHK18" s="325" t="str">
        <f t="shared" ref="AHK18" ca="1" si="5223">INDEX(AGV3:AGV8,MATCH(INDEX(AGZ13:AGZ27,MATCH(10,AHI13:AHI27,0),0),AHJ3:AHJ8,0),0)</f>
        <v>Scotland</v>
      </c>
      <c r="AHL18" s="325">
        <f t="shared" ref="AHL18:AHL33" ca="1" si="5224">IFERROR(IF(MATCH(AHK18,QualifiedCountries,0),1,0),0)</f>
        <v>0</v>
      </c>
      <c r="AHM18" s="319">
        <f t="shared" ref="AHM18" ca="1" si="5225">VLOOKUP(AHN18,ALI18:ALJ22,2,FALSE)</f>
        <v>4</v>
      </c>
      <c r="AHN18" s="319" t="str">
        <f t="shared" ref="AHN18:AHN21" si="5226">ACP18</f>
        <v>Serbia</v>
      </c>
      <c r="AHO18" s="319">
        <f t="shared" ref="AHO18" ca="1" si="5227">SUMPRODUCT((ALL3:ALL42=AHN18)*(ALP3:ALP42="W"))+SUMPRODUCT((ALO3:ALO42=AHN18)*(ALQ3:ALQ42="W"))</f>
        <v>0</v>
      </c>
      <c r="AHP18" s="319">
        <f t="shared" ref="AHP18" ca="1" si="5228">SUMPRODUCT((ALL3:ALL42=AHN18)*(ALP3:ALP42="D"))+SUMPRODUCT((ALO3:ALO42=AHN18)*(ALQ3:ALQ42="D"))</f>
        <v>0</v>
      </c>
      <c r="AHQ18" s="319">
        <f t="shared" ref="AHQ18" ca="1" si="5229">SUMPRODUCT((ALL3:ALL42=AHN18)*(ALP3:ALP42="L"))+SUMPRODUCT((ALO3:ALO42=AHN18)*(ALQ3:ALQ42="L"))</f>
        <v>0</v>
      </c>
      <c r="AHR18" s="319">
        <f t="shared" ref="AHR18" ca="1" si="5230">SUMIF(ALL3:ALL60,AHN18,ALM3:ALM60)+SUMIF(ALO3:ALO60,AHN18,ALN3:ALN60)</f>
        <v>0</v>
      </c>
      <c r="AHS18" s="319">
        <f t="shared" ref="AHS18" ca="1" si="5231">SUMIF(ALO3:ALO60,AHN18,ALM3:ALM60)+SUMIF(ALL3:ALL60,AHN18,ALN3:ALN60)</f>
        <v>0</v>
      </c>
      <c r="AHT18" s="319">
        <f t="shared" ref="AHT18:AHT21" ca="1" si="5232">AHR18-AHS18+1000</f>
        <v>1000</v>
      </c>
      <c r="AHU18" s="319">
        <f t="shared" ref="AHU18:AHU21" ca="1" si="5233">AHO18*3+AHP18*1</f>
        <v>0</v>
      </c>
      <c r="AHV18" s="319">
        <f t="shared" si="870"/>
        <v>35</v>
      </c>
      <c r="AHW18" s="319">
        <f t="shared" ref="AHW18" ca="1" si="5234">IF(COUNTIF(AHU18:AHU22,4)&lt;&gt;4,RANK(AHU18,AHU18:AHU22),AHU58)</f>
        <v>1</v>
      </c>
      <c r="AHX18" s="319"/>
      <c r="AHY18" s="319">
        <f t="shared" ref="AHY18" ca="1" si="5235">SUMPRODUCT((AHW18:AHW21=AHW18)*(AHV18:AHV21&lt;AHV18))+AHW18</f>
        <v>1</v>
      </c>
      <c r="AHZ18" s="319" t="str">
        <f t="shared" ref="AHZ18" ca="1" si="5236">INDEX(AHN18:AHN22,MATCH(1,AHY18:AHY22,0),0)</f>
        <v>Serbia</v>
      </c>
      <c r="AIA18" s="319">
        <f t="shared" ref="AIA18" ca="1" si="5237">INDEX(AHW18:AHW22,MATCH(AHZ18,AHN18:AHN22,0),0)</f>
        <v>1</v>
      </c>
      <c r="AIB18" s="319" t="str">
        <f t="shared" ref="AIB18" ca="1" si="5238">IF(AIA19=1,AHZ18,"")</f>
        <v>Serbia</v>
      </c>
      <c r="AIC18" s="319" t="str">
        <f t="shared" ref="AIC18" ca="1" si="5239">IF(AIA20=2,AHZ19,"")</f>
        <v/>
      </c>
      <c r="AID18" s="319" t="str">
        <f t="shared" ref="AID18" ca="1" si="5240">IF(AIA21=3,AHZ20,"")</f>
        <v/>
      </c>
      <c r="AIE18" s="319" t="str">
        <f t="shared" ref="AIE18" si="5241">IF(AIA22=4,AHZ21,"")</f>
        <v/>
      </c>
      <c r="AIF18" s="319"/>
      <c r="AIG18" s="319" t="str">
        <f t="shared" ref="AIG18:AIG21" ca="1" si="5242">IF(AIB18&lt;&gt;"",AIB18,"")</f>
        <v>Serbia</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f t="shared" ref="AIN18:AIN21" ca="1" si="5249">IF(AIG18&lt;&gt;"",AIH18*3+AII18*1,"")</f>
        <v>0</v>
      </c>
      <c r="AIO18" s="319">
        <f t="shared" ref="AIO18" ca="1" si="5250">IF(AIG18&lt;&gt;"",VLOOKUP(AIG18,AHN4:AHT40,7,FALSE),"")</f>
        <v>1000</v>
      </c>
      <c r="AIP18" s="319">
        <f t="shared" ref="AIP18" ca="1" si="5251">IF(AIG18&lt;&gt;"",VLOOKUP(AIG18,AHN4:AHT40,5,FALSE),"")</f>
        <v>0</v>
      </c>
      <c r="AIQ18" s="319">
        <f t="shared" ref="AIQ18" ca="1" si="5252">IF(AIG18&lt;&gt;"",VLOOKUP(AIG18,AHN4:AHV40,9,FALSE),"")</f>
        <v>35</v>
      </c>
      <c r="AIR18" s="319">
        <f t="shared" ref="AIR18:AIR21" ca="1" si="5253">AIN18</f>
        <v>0</v>
      </c>
      <c r="AIS18" s="319">
        <f t="shared" ref="AIS18" ca="1" si="5254">IF(AIG18&lt;&gt;"",RANK(AIR18,AIR18:AIR22),"")</f>
        <v>1</v>
      </c>
      <c r="AIT18" s="319">
        <f t="shared" ref="AIT18" ca="1" si="5255">IF(AIG18&lt;&gt;"",SUMPRODUCT((AIR18:AIR22=AIR18)*(AIM18:AIM22&gt;AIM18)),"")</f>
        <v>0</v>
      </c>
      <c r="AIU18" s="319">
        <f t="shared" ref="AIU18" ca="1" si="5256">IF(AIG18&lt;&gt;"",SUMPRODUCT((AIR18:AIR22=AIR18)*(AIM18:AIM22=AIM18)*(AIK18:AIK22&gt;AIK18)),"")</f>
        <v>0</v>
      </c>
      <c r="AIV18" s="319">
        <f t="shared" ref="AIV18" ca="1" si="5257">IF(AIG18&lt;&gt;"",SUMPRODUCT((AIR18:AIR22=AIR18)*(AIM18:AIM22=AIM18)*(AIK18:AIK22=AIK18)*(AIO18:AIO22&gt;AIO18)),"")</f>
        <v>0</v>
      </c>
      <c r="AIW18" s="319">
        <f t="shared" ref="AIW18" ca="1" si="5258">IF(AIG18&lt;&gt;"",SUMPRODUCT((AIR18:AIR22=AIR18)*(AIM18:AIM22=AIM18)*(AIK18:AIK22=AIK18)*(AIO18:AIO22=AIO18)*(AIP18:AIP22&gt;AIP18)),"")</f>
        <v>0</v>
      </c>
      <c r="AIX18" s="319">
        <f t="shared" ref="AIX18" ca="1" si="5259">IF(AIG18&lt;&gt;"",SUMPRODUCT((AIR18:AIR22=AIR18)*(AIM18:AIM22=AIM18)*(AIK18:AIK22=AIK18)*(AIO18:AIO22=AIO18)*(AIP18:AIP22=AIP18)*(AIQ18:AIQ22&gt;AIQ18)),"")</f>
        <v>3</v>
      </c>
      <c r="AIY18" s="319">
        <f ca="1">IF(AIG18&lt;&gt;"",IF(AIY58&lt;&gt;"",IF(AIF57=3,AIY58,AIY58+AIF57),SUM(AIS18:AIX18)),"")</f>
        <v>4</v>
      </c>
      <c r="AIZ18" s="319" t="str">
        <f t="shared" ref="AIZ18" ca="1" si="5260">IF(AIG18&lt;&gt;"",INDEX(AIG18:AIG22,MATCH(1,AIY18:AIY22,0),0),"")</f>
        <v>England</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0</v>
      </c>
      <c r="ALN18" s="322">
        <f ca="1">IF(OFFSET('Player Game Board'!Q25,0,ALM1)&lt;&gt;"",OFFSET('Player Game Board'!Q25,0,ALM1),0)</f>
        <v>0</v>
      </c>
      <c r="ALO18" s="319" t="str">
        <f t="shared" si="83"/>
        <v>Italy</v>
      </c>
      <c r="ALP18" s="319" t="str">
        <f ca="1">IF(AND(OFFSET('Player Game Board'!P25,0,ALM1)&lt;&gt;"",OFFSET('Player Game Board'!Q25,0,ALM1)&lt;&gt;""),IF(ALM18&gt;ALN18,"W",IF(ALM18=ALN18,"D","L")),"")</f>
        <v/>
      </c>
      <c r="ALQ18" s="319" t="str">
        <f t="shared" ca="1" si="84"/>
        <v/>
      </c>
      <c r="ALR18" s="319"/>
      <c r="ALS18" s="319"/>
      <c r="ALT18" s="324" t="s">
        <v>101</v>
      </c>
      <c r="ALU18" s="325" t="s">
        <v>102</v>
      </c>
      <c r="ALV18" s="325" t="s">
        <v>105</v>
      </c>
      <c r="ALW18" s="325" t="s">
        <v>106</v>
      </c>
      <c r="ALX18" s="324" t="s">
        <v>105</v>
      </c>
      <c r="ALY18" s="324" t="s">
        <v>106</v>
      </c>
      <c r="ALZ18" s="324" t="s">
        <v>102</v>
      </c>
      <c r="AMA18" s="324" t="s">
        <v>101</v>
      </c>
      <c r="AMB18" s="325"/>
      <c r="AMC18" s="326">
        <f t="shared" ref="AMC18" ca="1" si="5262">IFERROR(MATCH(AMC12,ALT18:ALW18,0),0)</f>
        <v>1</v>
      </c>
      <c r="AMD18" s="326">
        <f t="shared" ref="AMD18" ca="1" si="5263">IFERROR(MATCH(AMD12,ALT18:ALW18,0),0)</f>
        <v>0</v>
      </c>
      <c r="AME18" s="326">
        <f t="shared" ref="AME18" ca="1" si="5264">IFERROR(MATCH(AME12,ALT18:ALW18,0),0)</f>
        <v>2</v>
      </c>
      <c r="AMF18" s="326">
        <f t="shared" ref="AMF18" ca="1" si="5265">IFERROR(MATCH(AMF12,ALT18:ALW18,0),0)</f>
        <v>0</v>
      </c>
      <c r="AMG18" s="326">
        <f t="shared" ca="1" si="3896"/>
        <v>3</v>
      </c>
      <c r="AMH18" s="325" t="s">
        <v>358</v>
      </c>
      <c r="AMI18" s="325" t="str">
        <f t="shared" ref="AMI18" ca="1" si="5266">INDEX(ALT3:ALT8,MATCH(INDEX(ALX13:ALX27,MATCH(10,AMG13:AMG27,0),0),AMH3:AMH8,0),0)</f>
        <v>Scotland</v>
      </c>
      <c r="AMJ18" s="325">
        <f t="shared" ref="AMJ18:AMJ33" ca="1" si="5267">IFERROR(IF(MATCH(AMI18,QualifiedCountries,0),1,0),0)</f>
        <v>0</v>
      </c>
      <c r="AMK18" s="319">
        <f t="shared" ref="AMK18" ca="1" si="5268">VLOOKUP(AML18,AQG18:AQH22,2,FALSE)</f>
        <v>4</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0</v>
      </c>
      <c r="AMO18" s="319">
        <f t="shared" ref="AMO18" ca="1" si="5272">SUMPRODUCT((AQJ3:AQJ42=AML18)*(AQN3:AQN42="L"))+SUMPRODUCT((AQM3:AQM42=AML18)*(AQO3:AQO42="L"))</f>
        <v>0</v>
      </c>
      <c r="AMP18" s="319">
        <f t="shared" ref="AMP18" ca="1" si="5273">SUMIF(AQJ3:AQJ60,AML18,AQK3:AQK60)+SUMIF(AQM3:AQM60,AML18,AQL3:AQL60)</f>
        <v>0</v>
      </c>
      <c r="AMQ18" s="319">
        <f t="shared" ref="AMQ18" ca="1" si="5274">SUMIF(AQM3:AQM60,AML18,AQK3:AQK60)+SUMIF(AQJ3:AQJ60,AML18,AQL3:AQL60)</f>
        <v>0</v>
      </c>
      <c r="AMR18" s="319">
        <f t="shared" ref="AMR18:AMR21" ca="1" si="5275">AMP18-AMQ18+1000</f>
        <v>1000</v>
      </c>
      <c r="AMS18" s="319">
        <f t="shared" ref="AMS18:AMS21" ca="1" si="5276">AMM18*3+AMN18*1</f>
        <v>0</v>
      </c>
      <c r="AMT18" s="319">
        <f t="shared" si="930"/>
        <v>35</v>
      </c>
      <c r="AMU18" s="319">
        <f t="shared" ref="AMU18" ca="1" si="5277">IF(COUNTIF(AMS18:AMS22,4)&lt;&gt;4,RANK(AMS18,AMS18:AMS22),AMS58)</f>
        <v>1</v>
      </c>
      <c r="AMV18" s="319"/>
      <c r="AMW18" s="319">
        <f t="shared" ref="AMW18" ca="1" si="5278">SUMPRODUCT((AMU18:AMU21=AMU18)*(AMT18:AMT21&lt;AMT18))+AMU18</f>
        <v>1</v>
      </c>
      <c r="AMX18" s="319" t="str">
        <f t="shared" ref="AMX18" ca="1" si="5279">INDEX(AML18:AML22,MATCH(1,AMW18:AMW22,0),0)</f>
        <v>Serbia</v>
      </c>
      <c r="AMY18" s="319">
        <f t="shared" ref="AMY18" ca="1" si="5280">INDEX(AMU18:AMU22,MATCH(AMX18,AML18:AML22,0),0)</f>
        <v>1</v>
      </c>
      <c r="AMZ18" s="319" t="str">
        <f t="shared" ref="AMZ18" ca="1" si="5281">IF(AMY19=1,AMX18,"")</f>
        <v>Serbia</v>
      </c>
      <c r="ANA18" s="319" t="str">
        <f t="shared" ref="ANA18" ca="1" si="5282">IF(AMY20=2,AMX19,"")</f>
        <v/>
      </c>
      <c r="ANB18" s="319" t="str">
        <f t="shared" ref="ANB18" ca="1" si="5283">IF(AMY21=3,AMX20,"")</f>
        <v/>
      </c>
      <c r="ANC18" s="319" t="str">
        <f t="shared" ref="ANC18" si="5284">IF(AMY22=4,AMX21,"")</f>
        <v/>
      </c>
      <c r="AND18" s="319"/>
      <c r="ANE18" s="319" t="str">
        <f t="shared" ref="ANE18:ANE21" ca="1" si="5285">IF(AMZ18&lt;&gt;"",AMZ18,"")</f>
        <v>Serbia</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0</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0</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0</v>
      </c>
      <c r="ANK18" s="319">
        <f t="shared" ref="ANK18:ANK21" ca="1" si="5291">ANI18-ANJ18+1000</f>
        <v>1000</v>
      </c>
      <c r="ANL18" s="319">
        <f t="shared" ref="ANL18:ANL21" ca="1" si="5292">IF(ANE18&lt;&gt;"",ANF18*3+ANG18*1,"")</f>
        <v>0</v>
      </c>
      <c r="ANM18" s="319">
        <f t="shared" ref="ANM18" ca="1" si="5293">IF(ANE18&lt;&gt;"",VLOOKUP(ANE18,AML4:AMR40,7,FALSE),"")</f>
        <v>1000</v>
      </c>
      <c r="ANN18" s="319">
        <f t="shared" ref="ANN18" ca="1" si="5294">IF(ANE18&lt;&gt;"",VLOOKUP(ANE18,AML4:AMR40,5,FALSE),"")</f>
        <v>0</v>
      </c>
      <c r="ANO18" s="319">
        <f t="shared" ref="ANO18" ca="1" si="5295">IF(ANE18&lt;&gt;"",VLOOKUP(ANE18,AML4:AMT40,9,FALSE),"")</f>
        <v>35</v>
      </c>
      <c r="ANP18" s="319">
        <f t="shared" ref="ANP18:ANP21" ca="1" si="5296">ANL18</f>
        <v>0</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0</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3</v>
      </c>
      <c r="ANW18" s="319">
        <f ca="1">IF(ANE18&lt;&gt;"",IF(ANW58&lt;&gt;"",IF(AND57=3,ANW58,ANW58+AND57),SUM(ANQ18:ANV18)),"")</f>
        <v>4</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0</v>
      </c>
      <c r="AQL18" s="322">
        <f ca="1">IF(OFFSET('Player Game Board'!Q25,0,AQK1)&lt;&gt;"",OFFSET('Player Game Board'!Q25,0,AQK1),0)</f>
        <v>0</v>
      </c>
      <c r="AQM18" s="319" t="str">
        <f t="shared" si="99"/>
        <v>Italy</v>
      </c>
      <c r="AQN18" s="319" t="str">
        <f ca="1">IF(AND(OFFSET('Player Game Board'!P25,0,AQK1)&lt;&gt;"",OFFSET('Player Game Board'!Q25,0,AQK1)&lt;&gt;""),IF(AQK18&gt;AQL18,"W",IF(AQK18=AQL18,"D","L")),"")</f>
        <v/>
      </c>
      <c r="AQO18" s="319" t="str">
        <f t="shared" ca="1" si="100"/>
        <v/>
      </c>
      <c r="AQP18" s="319"/>
      <c r="AQQ18" s="319"/>
      <c r="AQR18" s="324" t="s">
        <v>101</v>
      </c>
      <c r="AQS18" s="325" t="s">
        <v>102</v>
      </c>
      <c r="AQT18" s="325" t="s">
        <v>105</v>
      </c>
      <c r="AQU18" s="325" t="s">
        <v>106</v>
      </c>
      <c r="AQV18" s="324" t="s">
        <v>105</v>
      </c>
      <c r="AQW18" s="324" t="s">
        <v>106</v>
      </c>
      <c r="AQX18" s="324" t="s">
        <v>102</v>
      </c>
      <c r="AQY18" s="324" t="s">
        <v>101</v>
      </c>
      <c r="AQZ18" s="325"/>
      <c r="ARA18" s="326">
        <f t="shared" ref="ARA18" ca="1" si="5305">IFERROR(MATCH(ARA12,AQR18:AQU18,0),0)</f>
        <v>1</v>
      </c>
      <c r="ARB18" s="326">
        <f t="shared" ref="ARB18" ca="1" si="5306">IFERROR(MATCH(ARB12,AQR18:AQU18,0),0)</f>
        <v>0</v>
      </c>
      <c r="ARC18" s="326">
        <f t="shared" ref="ARC18" ca="1" si="5307">IFERROR(MATCH(ARC12,AQR18:AQU18,0),0)</f>
        <v>2</v>
      </c>
      <c r="ARD18" s="326">
        <f t="shared" ref="ARD18" ca="1" si="5308">IFERROR(MATCH(ARD12,AQR18:AQU18,0),0)</f>
        <v>0</v>
      </c>
      <c r="ARE18" s="326">
        <f t="shared" ca="1" si="3966"/>
        <v>3</v>
      </c>
      <c r="ARF18" s="325" t="s">
        <v>358</v>
      </c>
      <c r="ARG18" s="325" t="str">
        <f t="shared" ref="ARG18" ca="1" si="5309">INDEX(AQR3:AQR8,MATCH(INDEX(AQV13:AQV27,MATCH(10,ARE13:ARE27,0),0),ARF3:ARF8,0),0)</f>
        <v>Scotland</v>
      </c>
      <c r="ARH18" s="325">
        <f t="shared" ref="ARH18:ARH33" ca="1" si="5310">IFERROR(IF(MATCH(ARG18,QualifiedCountries,0),1,0),0)</f>
        <v>0</v>
      </c>
      <c r="ARI18" s="319">
        <f t="shared" ref="ARI18" ca="1" si="5311">VLOOKUP(ARJ18,AVE18:AVF22,2,FALSE)</f>
        <v>4</v>
      </c>
      <c r="ARJ18" s="319" t="str">
        <f t="shared" ref="ARJ18:ARJ21" si="5312">AML18</f>
        <v>Serbia</v>
      </c>
      <c r="ARK18" s="319">
        <f t="shared" ref="ARK18" ca="1" si="5313">SUMPRODUCT((AVH3:AVH42=ARJ18)*(AVL3:AVL42="W"))+SUMPRODUCT((AVK3:AVK42=ARJ18)*(AVM3:AVM42="W"))</f>
        <v>0</v>
      </c>
      <c r="ARL18" s="319">
        <f t="shared" ref="ARL18" ca="1" si="5314">SUMPRODUCT((AVH3:AVH42=ARJ18)*(AVL3:AVL42="D"))+SUMPRODUCT((AVK3:AVK42=ARJ18)*(AVM3:AVM42="D"))</f>
        <v>0</v>
      </c>
      <c r="ARM18" s="319">
        <f t="shared" ref="ARM18" ca="1" si="5315">SUMPRODUCT((AVH3:AVH42=ARJ18)*(AVL3:AVL42="L"))+SUMPRODUCT((AVK3:AVK42=ARJ18)*(AVM3:AVM42="L"))</f>
        <v>0</v>
      </c>
      <c r="ARN18" s="319">
        <f t="shared" ref="ARN18" ca="1" si="5316">SUMIF(AVH3:AVH60,ARJ18,AVI3:AVI60)+SUMIF(AVK3:AVK60,ARJ18,AVJ3:AVJ60)</f>
        <v>0</v>
      </c>
      <c r="ARO18" s="319">
        <f t="shared" ref="ARO18" ca="1" si="5317">SUMIF(AVK3:AVK60,ARJ18,AVI3:AVI60)+SUMIF(AVH3:AVH60,ARJ18,AVJ3:AVJ60)</f>
        <v>0</v>
      </c>
      <c r="ARP18" s="319">
        <f t="shared" ref="ARP18:ARP21" ca="1" si="5318">ARN18-ARO18+1000</f>
        <v>1000</v>
      </c>
      <c r="ARQ18" s="319">
        <f t="shared" ref="ARQ18:ARQ21" ca="1" si="5319">ARK18*3+ARL18*1</f>
        <v>0</v>
      </c>
      <c r="ARR18" s="319">
        <f t="shared" si="990"/>
        <v>35</v>
      </c>
      <c r="ARS18" s="319">
        <f t="shared" ref="ARS18" ca="1" si="5320">IF(COUNTIF(ARQ18:ARQ22,4)&lt;&gt;4,RANK(ARQ18,ARQ18:ARQ22),ARQ58)</f>
        <v>1</v>
      </c>
      <c r="ART18" s="319"/>
      <c r="ARU18" s="319">
        <f t="shared" ref="ARU18" ca="1" si="5321">SUMPRODUCT((ARS18:ARS21=ARS18)*(ARR18:ARR21&lt;ARR18))+ARS18</f>
        <v>1</v>
      </c>
      <c r="ARV18" s="319" t="str">
        <f t="shared" ref="ARV18" ca="1" si="5322">INDEX(ARJ18:ARJ22,MATCH(1,ARU18:ARU22,0),0)</f>
        <v>Serbia</v>
      </c>
      <c r="ARW18" s="319">
        <f t="shared" ref="ARW18" ca="1" si="5323">INDEX(ARS18:ARS22,MATCH(ARV18,ARJ18:ARJ22,0),0)</f>
        <v>1</v>
      </c>
      <c r="ARX18" s="319" t="str">
        <f t="shared" ref="ARX18" ca="1" si="5324">IF(ARW19=1,ARV18,"")</f>
        <v>Serbia</v>
      </c>
      <c r="ARY18" s="319" t="str">
        <f t="shared" ref="ARY18" ca="1" si="5325">IF(ARW20=2,ARV19,"")</f>
        <v/>
      </c>
      <c r="ARZ18" s="319" t="str">
        <f t="shared" ref="ARZ18" ca="1" si="5326">IF(ARW21=3,ARV20,"")</f>
        <v/>
      </c>
      <c r="ASA18" s="319" t="str">
        <f t="shared" ref="ASA18" si="5327">IF(ARW22=4,ARV21,"")</f>
        <v/>
      </c>
      <c r="ASB18" s="319"/>
      <c r="ASC18" s="319" t="str">
        <f t="shared" ref="ASC18:ASC21" ca="1" si="5328">IF(ARX18&lt;&gt;"",ARX18,"")</f>
        <v>Serbia</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f t="shared" ref="ASJ18:ASJ21" ca="1" si="5335">IF(ASC18&lt;&gt;"",ASD18*3+ASE18*1,"")</f>
        <v>0</v>
      </c>
      <c r="ASK18" s="319">
        <f t="shared" ref="ASK18" ca="1" si="5336">IF(ASC18&lt;&gt;"",VLOOKUP(ASC18,ARJ4:ARP40,7,FALSE),"")</f>
        <v>1000</v>
      </c>
      <c r="ASL18" s="319">
        <f t="shared" ref="ASL18" ca="1" si="5337">IF(ASC18&lt;&gt;"",VLOOKUP(ASC18,ARJ4:ARP40,5,FALSE),"")</f>
        <v>0</v>
      </c>
      <c r="ASM18" s="319">
        <f t="shared" ref="ASM18" ca="1" si="5338">IF(ASC18&lt;&gt;"",VLOOKUP(ASC18,ARJ4:ARR40,9,FALSE),"")</f>
        <v>35</v>
      </c>
      <c r="ASN18" s="319">
        <f t="shared" ref="ASN18:ASN21" ca="1" si="5339">ASJ18</f>
        <v>0</v>
      </c>
      <c r="ASO18" s="319">
        <f t="shared" ref="ASO18" ca="1" si="5340">IF(ASC18&lt;&gt;"",RANK(ASN18,ASN18:ASN22),"")</f>
        <v>1</v>
      </c>
      <c r="ASP18" s="319">
        <f t="shared" ref="ASP18" ca="1" si="5341">IF(ASC18&lt;&gt;"",SUMPRODUCT((ASN18:ASN22=ASN18)*(ASI18:ASI22&gt;ASI18)),"")</f>
        <v>0</v>
      </c>
      <c r="ASQ18" s="319">
        <f t="shared" ref="ASQ18" ca="1" si="5342">IF(ASC18&lt;&gt;"",SUMPRODUCT((ASN18:ASN22=ASN18)*(ASI18:ASI22=ASI18)*(ASG18:ASG22&gt;ASG18)),"")</f>
        <v>0</v>
      </c>
      <c r="ASR18" s="319">
        <f t="shared" ref="ASR18" ca="1" si="5343">IF(ASC18&lt;&gt;"",SUMPRODUCT((ASN18:ASN22=ASN18)*(ASI18:ASI22=ASI18)*(ASG18:ASG22=ASG18)*(ASK18:ASK22&gt;ASK18)),"")</f>
        <v>0</v>
      </c>
      <c r="ASS18" s="319">
        <f t="shared" ref="ASS18" ca="1" si="5344">IF(ASC18&lt;&gt;"",SUMPRODUCT((ASN18:ASN22=ASN18)*(ASI18:ASI22=ASI18)*(ASG18:ASG22=ASG18)*(ASK18:ASK22=ASK18)*(ASL18:ASL22&gt;ASL18)),"")</f>
        <v>0</v>
      </c>
      <c r="AST18" s="319">
        <f t="shared" ref="AST18" ca="1" si="5345">IF(ASC18&lt;&gt;"",SUMPRODUCT((ASN18:ASN22=ASN18)*(ASI18:ASI22=ASI18)*(ASG18:ASG22=ASG18)*(ASK18:ASK22=ASK18)*(ASL18:ASL22=ASL18)*(ASM18:ASM22&gt;ASM18)),"")</f>
        <v>3</v>
      </c>
      <c r="ASU18" s="319">
        <f ca="1">IF(ASC18&lt;&gt;"",IF(ASU58&lt;&gt;"",IF(ASB57=3,ASU58,ASU58+ASB57),SUM(ASO18:AST18)),"")</f>
        <v>4</v>
      </c>
      <c r="ASV18" s="319" t="str">
        <f t="shared" ref="ASV18" ca="1" si="5346">IF(ASC18&lt;&gt;"",INDEX(ASC18:ASC22,MATCH(1,ASU18:ASU22,0),0),"")</f>
        <v>England</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England</v>
      </c>
      <c r="AVF18" s="319">
        <v>1</v>
      </c>
      <c r="AVG18" s="319">
        <v>16</v>
      </c>
      <c r="AVH18" s="319" t="str">
        <f t="shared" si="114"/>
        <v>Spain</v>
      </c>
      <c r="AVI18" s="322">
        <f ca="1">IF(OFFSET('Player Game Board'!P25,0,AVI1)&lt;&gt;"",OFFSET('Player Game Board'!P25,0,AVI1),0)</f>
        <v>0</v>
      </c>
      <c r="AVJ18" s="322">
        <f ca="1">IF(OFFSET('Player Game Board'!Q25,0,AVI1)&lt;&gt;"",OFFSET('Player Game Board'!Q25,0,AVI1),0)</f>
        <v>0</v>
      </c>
      <c r="AVK18" s="319" t="str">
        <f t="shared" si="115"/>
        <v>Italy</v>
      </c>
      <c r="AVL18" s="319" t="str">
        <f ca="1">IF(AND(OFFSET('Player Game Board'!P25,0,AVI1)&lt;&gt;"",OFFSET('Player Game Board'!Q25,0,AVI1)&lt;&gt;""),IF(AVI18&gt;AVJ18,"W",IF(AVI18=AVJ18,"D","L")),"")</f>
        <v/>
      </c>
      <c r="AVM18" s="319" t="str">
        <f t="shared" ca="1" si="116"/>
        <v/>
      </c>
      <c r="AVN18" s="319"/>
      <c r="AVO18" s="319"/>
      <c r="AVP18" s="324" t="s">
        <v>101</v>
      </c>
      <c r="AVQ18" s="325" t="s">
        <v>102</v>
      </c>
      <c r="AVR18" s="325" t="s">
        <v>105</v>
      </c>
      <c r="AVS18" s="325" t="s">
        <v>106</v>
      </c>
      <c r="AVT18" s="324" t="s">
        <v>105</v>
      </c>
      <c r="AVU18" s="324" t="s">
        <v>106</v>
      </c>
      <c r="AVV18" s="324" t="s">
        <v>102</v>
      </c>
      <c r="AVW18" s="324" t="s">
        <v>101</v>
      </c>
      <c r="AVX18" s="325"/>
      <c r="AVY18" s="326">
        <f t="shared" ref="AVY18" ca="1" si="5348">IFERROR(MATCH(AVY12,AVP18:AVS18,0),0)</f>
        <v>1</v>
      </c>
      <c r="AVZ18" s="326">
        <f t="shared" ref="AVZ18" ca="1" si="5349">IFERROR(MATCH(AVZ12,AVP18:AVS18,0),0)</f>
        <v>0</v>
      </c>
      <c r="AWA18" s="326">
        <f t="shared" ref="AWA18" ca="1" si="5350">IFERROR(MATCH(AWA12,AVP18:AVS18,0),0)</f>
        <v>2</v>
      </c>
      <c r="AWB18" s="326">
        <f t="shared" ref="AWB18" ca="1" si="5351">IFERROR(MATCH(AWB12,AVP18:AVS18,0),0)</f>
        <v>0</v>
      </c>
      <c r="AWC18" s="326">
        <f t="shared" ca="1" si="4036"/>
        <v>3</v>
      </c>
      <c r="AWD18" s="325" t="s">
        <v>358</v>
      </c>
      <c r="AWE18" s="325" t="str">
        <f t="shared" ref="AWE18" ca="1" si="5352">INDEX(AVP3:AVP8,MATCH(INDEX(AVT13:AVT27,MATCH(10,AWC13:AWC27,0),0),AWD3:AWD8,0),0)</f>
        <v>Scotland</v>
      </c>
      <c r="AWF18" s="325">
        <f t="shared" ref="AWF18:AWF33" ca="1" si="5353">IFERROR(IF(MATCH(AWE18,QualifiedCountries,0),1,0),0)</f>
        <v>0</v>
      </c>
      <c r="AWG18" s="319">
        <f t="shared" ref="AWG18" ca="1" si="5354">VLOOKUP(AWH18,BAC18:BAD22,2,FALSE)</f>
        <v>4</v>
      </c>
      <c r="AWH18" s="319" t="str">
        <f t="shared" ref="AWH18:AWH21" si="5355">ARJ18</f>
        <v>Serbia</v>
      </c>
      <c r="AWI18" s="319">
        <f t="shared" ref="AWI18" ca="1" si="5356">SUMPRODUCT((BAF3:BAF42=AWH18)*(BAJ3:BAJ42="W"))+SUMPRODUCT((BAI3:BAI42=AWH18)*(BAK3:BAK42="W"))</f>
        <v>0</v>
      </c>
      <c r="AWJ18" s="319">
        <f t="shared" ref="AWJ18" ca="1" si="5357">SUMPRODUCT((BAF3:BAF42=AWH18)*(BAJ3:BAJ42="D"))+SUMPRODUCT((BAI3:BAI42=AWH18)*(BAK3:BAK42="D"))</f>
        <v>0</v>
      </c>
      <c r="AWK18" s="319">
        <f t="shared" ref="AWK18" ca="1" si="5358">SUMPRODUCT((BAF3:BAF42=AWH18)*(BAJ3:BAJ42="L"))+SUMPRODUCT((BAI3:BAI42=AWH18)*(BAK3:BAK42="L"))</f>
        <v>0</v>
      </c>
      <c r="AWL18" s="319">
        <f t="shared" ref="AWL18" ca="1" si="5359">SUMIF(BAF3:BAF60,AWH18,BAG3:BAG60)+SUMIF(BAI3:BAI60,AWH18,BAH3:BAH60)</f>
        <v>0</v>
      </c>
      <c r="AWM18" s="319">
        <f t="shared" ref="AWM18" ca="1" si="5360">SUMIF(BAI3:BAI60,AWH18,BAG3:BAG60)+SUMIF(BAF3:BAF60,AWH18,BAH3:BAH60)</f>
        <v>0</v>
      </c>
      <c r="AWN18" s="319">
        <f t="shared" ref="AWN18:AWN21" ca="1" si="5361">AWL18-AWM18+1000</f>
        <v>1000</v>
      </c>
      <c r="AWO18" s="319">
        <f t="shared" ref="AWO18:AWO21" ca="1" si="5362">AWI18*3+AWJ18*1</f>
        <v>0</v>
      </c>
      <c r="AWP18" s="319">
        <f t="shared" si="1050"/>
        <v>35</v>
      </c>
      <c r="AWQ18" s="319">
        <f t="shared" ref="AWQ18" ca="1" si="5363">IF(COUNTIF(AWO18:AWO22,4)&lt;&gt;4,RANK(AWO18,AWO18:AWO22),AWO58)</f>
        <v>1</v>
      </c>
      <c r="AWR18" s="319"/>
      <c r="AWS18" s="319">
        <f t="shared" ref="AWS18" ca="1" si="5364">SUMPRODUCT((AWQ18:AWQ21=AWQ18)*(AWP18:AWP21&lt;AWP18))+AWQ18</f>
        <v>1</v>
      </c>
      <c r="AWT18" s="319" t="str">
        <f t="shared" ref="AWT18" ca="1" si="5365">INDEX(AWH18:AWH22,MATCH(1,AWS18:AWS22,0),0)</f>
        <v>Serbia</v>
      </c>
      <c r="AWU18" s="319">
        <f t="shared" ref="AWU18" ca="1" si="5366">INDEX(AWQ18:AWQ22,MATCH(AWT18,AWH18:AWH22,0),0)</f>
        <v>1</v>
      </c>
      <c r="AWV18" s="319" t="str">
        <f t="shared" ref="AWV18" ca="1" si="5367">IF(AWU19=1,AWT18,"")</f>
        <v>Serbia</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Serbia</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f t="shared" ref="AXH18:AXH21" ca="1" si="5378">IF(AXA18&lt;&gt;"",AXB18*3+AXC18*1,"")</f>
        <v>0</v>
      </c>
      <c r="AXI18" s="319">
        <f t="shared" ref="AXI18" ca="1" si="5379">IF(AXA18&lt;&gt;"",VLOOKUP(AXA18,AWH4:AWN40,7,FALSE),"")</f>
        <v>1000</v>
      </c>
      <c r="AXJ18" s="319">
        <f t="shared" ref="AXJ18" ca="1" si="5380">IF(AXA18&lt;&gt;"",VLOOKUP(AXA18,AWH4:AWN40,5,FALSE),"")</f>
        <v>0</v>
      </c>
      <c r="AXK18" s="319">
        <f t="shared" ref="AXK18" ca="1" si="5381">IF(AXA18&lt;&gt;"",VLOOKUP(AXA18,AWH4:AWP40,9,FALSE),"")</f>
        <v>35</v>
      </c>
      <c r="AXL18" s="319">
        <f t="shared" ref="AXL18:AXL21" ca="1" si="5382">AXH18</f>
        <v>0</v>
      </c>
      <c r="AXM18" s="319">
        <f t="shared" ref="AXM18" ca="1" si="5383">IF(AXA18&lt;&gt;"",RANK(AXL18,AXL18:AXL22),"")</f>
        <v>1</v>
      </c>
      <c r="AXN18" s="319">
        <f t="shared" ref="AXN18" ca="1" si="5384">IF(AXA18&lt;&gt;"",SUMPRODUCT((AXL18:AXL22=AXL18)*(AXG18:AXG22&gt;AXG18)),"")</f>
        <v>0</v>
      </c>
      <c r="AXO18" s="319">
        <f t="shared" ref="AXO18" ca="1" si="5385">IF(AXA18&lt;&gt;"",SUMPRODUCT((AXL18:AXL22=AXL18)*(AXG18:AXG22=AXG18)*(AXE18:AXE22&gt;AXE18)),"")</f>
        <v>0</v>
      </c>
      <c r="AXP18" s="319">
        <f t="shared" ref="AXP18" ca="1" si="5386">IF(AXA18&lt;&gt;"",SUMPRODUCT((AXL18:AXL22=AXL18)*(AXG18:AXG22=AXG18)*(AXE18:AXE22=AXE18)*(AXI18:AXI22&gt;AXI18)),"")</f>
        <v>0</v>
      </c>
      <c r="AXQ18" s="319">
        <f t="shared" ref="AXQ18" ca="1" si="5387">IF(AXA18&lt;&gt;"",SUMPRODUCT((AXL18:AXL22=AXL18)*(AXG18:AXG22=AXG18)*(AXE18:AXE22=AXE18)*(AXI18:AXI22=AXI18)*(AXJ18:AXJ22&gt;AXJ18)),"")</f>
        <v>0</v>
      </c>
      <c r="AXR18" s="319">
        <f t="shared" ref="AXR18" ca="1" si="5388">IF(AXA18&lt;&gt;"",SUMPRODUCT((AXL18:AXL22=AXL18)*(AXG18:AXG22=AXG18)*(AXE18:AXE22=AXE18)*(AXI18:AXI22=AXI18)*(AXJ18:AXJ22=AXJ18)*(AXK18:AXK22&gt;AXK18)),"")</f>
        <v>3</v>
      </c>
      <c r="AXS18" s="319">
        <f ca="1">IF(AXA18&lt;&gt;"",IF(AXS58&lt;&gt;"",IF(AWZ57=3,AXS58,AXS58+AWZ57),SUM(AXM18:AXR18)),"")</f>
        <v>4</v>
      </c>
      <c r="AXT18" s="319" t="str">
        <f t="shared" ref="AXT18" ca="1" si="5389">IF(AXA18&lt;&gt;"",INDEX(AXA18:AXA22,MATCH(1,AXS18:AXS22,0),0),"")</f>
        <v>England</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0</v>
      </c>
      <c r="BAH18" s="322">
        <f ca="1">IF(OFFSET('Player Game Board'!Q25,0,BAG1)&lt;&gt;"",OFFSET('Player Game Board'!Q25,0,BAG1),0)</f>
        <v>0</v>
      </c>
      <c r="BAI18" s="319" t="str">
        <f t="shared" si="131"/>
        <v>Italy</v>
      </c>
      <c r="BAJ18" s="319" t="str">
        <f ca="1">IF(AND(OFFSET('Player Game Board'!P25,0,BAG1)&lt;&gt;"",OFFSET('Player Game Board'!Q25,0,BAG1)&lt;&gt;""),IF(BAG18&gt;BAH18,"W",IF(BAG18=BAH18,"D","L")),"")</f>
        <v/>
      </c>
      <c r="BAK18" s="319" t="str">
        <f t="shared" ca="1" si="132"/>
        <v/>
      </c>
      <c r="BAL18" s="319"/>
      <c r="BAM18" s="319"/>
      <c r="BAN18" s="324" t="s">
        <v>101</v>
      </c>
      <c r="BAO18" s="325" t="s">
        <v>102</v>
      </c>
      <c r="BAP18" s="325" t="s">
        <v>105</v>
      </c>
      <c r="BAQ18" s="325" t="s">
        <v>106</v>
      </c>
      <c r="BAR18" s="324" t="s">
        <v>105</v>
      </c>
      <c r="BAS18" s="324" t="s">
        <v>106</v>
      </c>
      <c r="BAT18" s="324" t="s">
        <v>102</v>
      </c>
      <c r="BAU18" s="324" t="s">
        <v>101</v>
      </c>
      <c r="BAV18" s="325"/>
      <c r="BAW18" s="326">
        <f t="shared" ref="BAW18" ca="1" si="5391">IFERROR(MATCH(BAW12,BAN18:BAQ18,0),0)</f>
        <v>1</v>
      </c>
      <c r="BAX18" s="326">
        <f t="shared" ref="BAX18" ca="1" si="5392">IFERROR(MATCH(BAX12,BAN18:BAQ18,0),0)</f>
        <v>0</v>
      </c>
      <c r="BAY18" s="326">
        <f t="shared" ref="BAY18" ca="1" si="5393">IFERROR(MATCH(BAY12,BAN18:BAQ18,0),0)</f>
        <v>2</v>
      </c>
      <c r="BAZ18" s="326">
        <f t="shared" ref="BAZ18" ca="1" si="5394">IFERROR(MATCH(BAZ12,BAN18:BAQ18,0),0)</f>
        <v>0</v>
      </c>
      <c r="BBA18" s="326">
        <f t="shared" ca="1" si="4106"/>
        <v>3</v>
      </c>
      <c r="BBB18" s="325" t="s">
        <v>358</v>
      </c>
      <c r="BBC18" s="325" t="str">
        <f t="shared" ref="BBC18" ca="1" si="5395">INDEX(BAN3:BAN8,MATCH(INDEX(BAR13:BAR27,MATCH(10,BBA13:BBA27,0),0),BBB3:BBB8,0),0)</f>
        <v>Scotland</v>
      </c>
      <c r="BBD18" s="325">
        <f t="shared" ref="BBD18:BBD33" ca="1" si="5396">IFERROR(IF(MATCH(BBC18,QualifiedCountries,0),1,0),0)</f>
        <v>0</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101</v>
      </c>
      <c r="BFM18" s="325" t="s">
        <v>102</v>
      </c>
      <c r="BFN18" s="325" t="s">
        <v>105</v>
      </c>
      <c r="BFO18" s="325" t="s">
        <v>106</v>
      </c>
      <c r="BFP18" s="324" t="s">
        <v>105</v>
      </c>
      <c r="BFQ18" s="324" t="s">
        <v>106</v>
      </c>
      <c r="BFR18" s="324" t="s">
        <v>102</v>
      </c>
      <c r="BFS18" s="324" t="s">
        <v>101</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358</v>
      </c>
      <c r="BGA18" s="325" t="str">
        <f t="shared" ref="BGA18" ca="1" si="5438">INDEX(BFL3:BFL8,MATCH(INDEX(BFP13:BFP27,MATCH(10,BFY13:BFY27,0),0),BFZ3:BFZ8,0),0)</f>
        <v>Scotland</v>
      </c>
      <c r="BGB18" s="325">
        <f t="shared" ref="BGB18:BGB33" ca="1" si="5439">IFERROR(IF(MATCH(BGA18,QualifiedCountries,0),1,0),0)</f>
        <v>0</v>
      </c>
    </row>
    <row r="19" spans="1:1536" ht="13.8" x14ac:dyDescent="0.3">
      <c r="A19" s="319">
        <f>VLOOKUP(B19,CW18:CX22,2,FALSE)</f>
        <v>1</v>
      </c>
      <c r="B19" s="319" t="str">
        <f>'Language Table'!C12</f>
        <v>England</v>
      </c>
      <c r="C19" s="319">
        <f>SUMPRODUCT((CZ3:CZ42=B19)*(DD3:DD42="W"))+SUMPRODUCT((DC3:DC42=B19)*(DE3:DE42="W"))</f>
        <v>1</v>
      </c>
      <c r="D19" s="319">
        <f>SUMPRODUCT((CZ3:CZ42=B19)*(DD3:DD42="D"))+SUMPRODUCT((DC3:DC42=B19)*(DE3:DE42="D"))</f>
        <v>0</v>
      </c>
      <c r="E19" s="319">
        <f>SUMPRODUCT((CZ3:CZ42=B19)*(DD3:DD42="L"))+SUMPRODUCT((DC3:DC42=B19)*(DE3:DE42="L"))</f>
        <v>0</v>
      </c>
      <c r="F19" s="319">
        <f>SUMIF(CZ3:CZ60,B19,DA3:DA60)+SUMIF(DC3:DC60,B19,DB3:DB60)</f>
        <v>1</v>
      </c>
      <c r="G19" s="319">
        <f>SUMIF(DC3:DC60,B19,DA3:DA60)+SUMIF(CZ3:CZ60,B19,DB3:DB60)</f>
        <v>0</v>
      </c>
      <c r="H19" s="319">
        <f t="shared" si="5039"/>
        <v>1001</v>
      </c>
      <c r="I19" s="319">
        <f t="shared" si="5040"/>
        <v>3</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1</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0</v>
      </c>
      <c r="DB19" s="319">
        <f>IF(License!G14="Musa",IF(AND(Matches!I24&lt;&gt;"",Matches!H24&lt;&gt;""),Matches!I24,0),1)</f>
        <v>0</v>
      </c>
      <c r="DC19" s="319" t="str">
        <f>Matches!J24</f>
        <v>England</v>
      </c>
      <c r="DD19" s="319" t="str">
        <f>IF(AND(Matches!H24&lt;&gt;"",Matches!I24&lt;&gt;""),IF(DA19&gt;DB19,"W",IF(DA19=DB19,"D","L")),"")</f>
        <v/>
      </c>
      <c r="DE19" s="319" t="str">
        <f t="shared" si="162"/>
        <v/>
      </c>
      <c r="DF19" s="319"/>
      <c r="DG19" s="319"/>
      <c r="DH19" s="324" t="s">
        <v>101</v>
      </c>
      <c r="DI19" s="325" t="s">
        <v>103</v>
      </c>
      <c r="DJ19" s="325" t="s">
        <v>104</v>
      </c>
      <c r="DK19" s="325" t="s">
        <v>105</v>
      </c>
      <c r="DL19" s="324" t="s">
        <v>105</v>
      </c>
      <c r="DM19" s="324" t="s">
        <v>104</v>
      </c>
      <c r="DN19" s="324" t="s">
        <v>103</v>
      </c>
      <c r="DO19" s="324" t="s">
        <v>101</v>
      </c>
      <c r="DP19" s="325"/>
      <c r="DQ19" s="326">
        <f>IFERROR(MATCH(DQ12,DH19:DK19,0),0)</f>
        <v>2</v>
      </c>
      <c r="DR19" s="326">
        <f>IFERROR(MATCH(DR12,DH19:DK19,0),0)</f>
        <v>0</v>
      </c>
      <c r="DS19" s="326">
        <f>IFERROR(MATCH(DS12,DH19:DK19,0),0)</f>
        <v>0</v>
      </c>
      <c r="DT19" s="326">
        <f>IFERROR(MATCH(DT12,DH19:DK19,0),0)</f>
        <v>3</v>
      </c>
      <c r="DU19" s="326">
        <f t="shared" si="3541"/>
        <v>5</v>
      </c>
      <c r="DV19" s="325" t="s">
        <v>353</v>
      </c>
      <c r="DW19" s="325" t="str">
        <f>INDEX(DH3:DH8,MATCH(INDEX(DM13:DM27,MATCH(10,DU13:DU27,0),0),DV3:DV8,0),0)</f>
        <v>Poland</v>
      </c>
      <c r="DX19" s="325"/>
      <c r="DY19" s="319">
        <f ca="1">VLOOKUP(DZ19,HU18:HV22,2,FALSE)</f>
        <v>2</v>
      </c>
      <c r="DZ19" s="319" t="str">
        <f t="shared" ref="DZ19:DZ21" si="5443">B19</f>
        <v>England</v>
      </c>
      <c r="EA19" s="319">
        <f ca="1">SUMPRODUCT((HX3:HX42=DZ19)*(IB3:IB42="W"))+SUMPRODUCT((IA3:IA42=DZ19)*(IC3:IC42="W"))</f>
        <v>2</v>
      </c>
      <c r="EB19" s="319">
        <f ca="1">SUMPRODUCT((HX3:HX42=DZ19)*(IB3:IB42="D"))+SUMPRODUCT((IA3:IA42=DZ19)*(IC3:IC42="D"))</f>
        <v>0</v>
      </c>
      <c r="EC19" s="319">
        <f ca="1">SUMPRODUCT((HX3:HX42=DZ19)*(IB3:IB42="L"))+SUMPRODUCT((IA3:IA42=DZ19)*(IC3:IC42="L"))</f>
        <v>1</v>
      </c>
      <c r="ED19" s="319">
        <f ca="1">SUMIF(HX3:HX60,DZ19,HY3:HY60)+SUMIF(IA3:IA60,DZ19,HZ3:HZ60)</f>
        <v>7</v>
      </c>
      <c r="EE19" s="319">
        <f ca="1">SUMIF(IA3:IA60,DZ19,HY3:HY60)+SUMIF(HX3:HX60,DZ19,HZ3:HZ60)</f>
        <v>4</v>
      </c>
      <c r="EF19" s="319">
        <f t="shared" ca="1" si="5043"/>
        <v>1003</v>
      </c>
      <c r="EG19" s="319">
        <f t="shared" ca="1" si="5044"/>
        <v>6</v>
      </c>
      <c r="EH19" s="319">
        <f t="shared" si="609"/>
        <v>49</v>
      </c>
      <c r="EI19" s="319">
        <f ca="1">IF(COUNTIF(EG18:EG22,4)&lt;&gt;4,RANK(EG19,EG18:EG22),EG59)</f>
        <v>2</v>
      </c>
      <c r="EJ19" s="319"/>
      <c r="EK19" s="319">
        <f ca="1">SUMPRODUCT((EI18:EI21=EI19)*(EH18:EH21&lt;EH19))+EI19</f>
        <v>2</v>
      </c>
      <c r="EL19" s="319" t="str">
        <f ca="1">INDEX(DZ18:DZ22,MATCH(2,EK18:EK22,0),0)</f>
        <v>England</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England</v>
      </c>
      <c r="HV19" s="319">
        <v>2</v>
      </c>
      <c r="HW19" s="319">
        <v>17</v>
      </c>
      <c r="HX19" s="319" t="str">
        <f t="shared" si="164"/>
        <v>Denmark</v>
      </c>
      <c r="HY19" s="322">
        <f ca="1">IF(OFFSET('Player Game Board'!P26,0,HY1)&lt;&gt;"",OFFSET('Player Game Board'!P26,0,HY1),0)</f>
        <v>3</v>
      </c>
      <c r="HZ19" s="322">
        <f ca="1">IF(OFFSET('Player Game Board'!Q26,0,HY1)&lt;&gt;"",OFFSET('Player Game Board'!Q26,0,HY1),0)</f>
        <v>2</v>
      </c>
      <c r="IA19" s="319" t="str">
        <f t="shared" si="165"/>
        <v>England</v>
      </c>
      <c r="IB19" s="319" t="str">
        <f ca="1">IF(AND(OFFSET('Player Game Board'!P26,0,HY1)&lt;&gt;"",OFFSET('Player Game Board'!Q26,0,HY1)&lt;&gt;""),IF(HY19&gt;HZ19,"W",IF(HY19=HZ19,"D","L")),"")</f>
        <v>W</v>
      </c>
      <c r="IC19" s="319" t="str">
        <f t="shared" ca="1" si="166"/>
        <v>L</v>
      </c>
      <c r="ID19" s="319"/>
      <c r="IE19" s="319"/>
      <c r="IF19" s="324" t="s">
        <v>101</v>
      </c>
      <c r="IG19" s="325" t="s">
        <v>103</v>
      </c>
      <c r="IH19" s="325" t="s">
        <v>104</v>
      </c>
      <c r="II19" s="325" t="s">
        <v>105</v>
      </c>
      <c r="IJ19" s="324" t="s">
        <v>105</v>
      </c>
      <c r="IK19" s="324" t="s">
        <v>104</v>
      </c>
      <c r="IL19" s="324" t="s">
        <v>103</v>
      </c>
      <c r="IM19" s="324" t="s">
        <v>101</v>
      </c>
      <c r="IN19" s="325"/>
      <c r="IO19" s="326">
        <f ca="1">IFERROR(MATCH(IO12,IF19:II19,0),0)</f>
        <v>1</v>
      </c>
      <c r="IP19" s="326">
        <f ca="1">IFERROR(MATCH(IP12,IF19:II19,0),0)</f>
        <v>3</v>
      </c>
      <c r="IQ19" s="326">
        <f ca="1">IFERROR(MATCH(IQ12,IF19:II19,0),0)</f>
        <v>0</v>
      </c>
      <c r="IR19" s="326">
        <f ca="1">IFERROR(MATCH(IR12,IF19:II19,0),0)</f>
        <v>0</v>
      </c>
      <c r="IS19" s="326">
        <f t="shared" ca="1" si="3544"/>
        <v>4</v>
      </c>
      <c r="IT19" s="325" t="s">
        <v>353</v>
      </c>
      <c r="IU19" s="325" t="str">
        <f ca="1">INDEX(IF3:IF8,MATCH(INDEX(IK13:IK27,MATCH(10,IS13:IS27,0),0),IT3:IT8,0),0)</f>
        <v>Czechia</v>
      </c>
      <c r="IV19" s="325">
        <f t="shared" ca="1" si="5047"/>
        <v>1</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4</v>
      </c>
      <c r="JC19" s="319">
        <f ca="1">SUMIF(MY3:MY60,IX19,MW3:MW60)+SUMIF(MV3:MV60,IX19,MX3:MX60)</f>
        <v>1</v>
      </c>
      <c r="JD19" s="319">
        <f t="shared" ca="1" si="5048"/>
        <v>1003</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Serbia</v>
      </c>
      <c r="JK19" s="319">
        <f ca="1">INDEX(JG18:JG22,MATCH(JJ19,IX18:IX22,0),0)</f>
        <v>2</v>
      </c>
      <c r="JL19" s="319" t="str">
        <f ca="1">IF(JL18&lt;&gt;"",JJ19,"")</f>
        <v/>
      </c>
      <c r="JM19" s="319" t="str">
        <f ca="1">IF(JM18&lt;&gt;"",JJ20,"")</f>
        <v>Slovenia</v>
      </c>
      <c r="JN19" s="319" t="str">
        <f ca="1">IF(JN18&lt;&gt;"",JJ21,"")</f>
        <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Serbia</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2</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2</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2</v>
      </c>
      <c r="KQ19" s="319">
        <f ca="1">KO19-KP19+1000</f>
        <v>1000</v>
      </c>
      <c r="KR19" s="319">
        <f t="shared" ref="KR19:KR21" ca="1" si="5449">IF(KK19&lt;&gt;"",KL19*3+KM19*1,"")</f>
        <v>2</v>
      </c>
      <c r="KS19" s="319">
        <f ca="1">IF(KK19&lt;&gt;"",VLOOKUP(KK19,IX4:JD40,7,FALSE),"")</f>
        <v>999</v>
      </c>
      <c r="KT19" s="319">
        <f ca="1">IF(KK19&lt;&gt;"",VLOOKUP(KK19,IX4:JD40,5,FALSE),"")</f>
        <v>2</v>
      </c>
      <c r="KU19" s="319">
        <f ca="1">IF(KK19&lt;&gt;"",VLOOKUP(KK19,IX4:JF40,9,FALSE),"")</f>
        <v>35</v>
      </c>
      <c r="KV19" s="319">
        <f t="shared" ref="KV19:KV21" ca="1" si="5450">KR19</f>
        <v>2</v>
      </c>
      <c r="KW19" s="319">
        <f ca="1">IF(KK19&lt;&gt;"",RANK(KV19,KV18:KV22),"")</f>
        <v>1</v>
      </c>
      <c r="KX19" s="319">
        <f ca="1">IF(KK19&lt;&gt;"",SUMPRODUCT((KV18:KV22=KV19)*(KQ18:KQ22&gt;KQ19)),"")</f>
        <v>0</v>
      </c>
      <c r="KY19" s="319">
        <f ca="1">IF(KK19&lt;&gt;"",SUMPRODUCT((KV18:KV22=KV19)*(KQ18:KQ22=KQ19)*(KO18:KO22&gt;KO19)),"")</f>
        <v>0</v>
      </c>
      <c r="KZ19" s="319">
        <f ca="1">IF(KK19&lt;&gt;"",SUMPRODUCT((KV18:KV22=KV19)*(KQ18:KQ22=KQ19)*(KO18:KO22=KO19)*(KS18:KS22&gt;KS19)),"")</f>
        <v>0</v>
      </c>
      <c r="LA19" s="319">
        <f ca="1">IF(KK19&lt;&gt;"",SUMPRODUCT((KV18:KV22=KV19)*(KQ18:KQ22=KQ19)*(KO18:KO22=KO19)*(KS18:KS22=KS19)*(KT18:KT22&gt;KT19)),"")</f>
        <v>1</v>
      </c>
      <c r="LB19" s="319">
        <f ca="1">IF(KK19&lt;&gt;"",SUMPRODUCT((KV18:KV22=KV19)*(KQ18:KQ22=KQ19)*(KO18:KO22=KO19)*(KS18:KS22=KS19)*(KT18:KT22=KT19)*(KU18:KU22&gt;KU19)),"")</f>
        <v>1</v>
      </c>
      <c r="LC19" s="319">
        <f ca="1">IF(KK19&lt;&gt;"",IF(LC59&lt;&gt;"",IF(KJ57=3,LC59,LC59+KJ57),SUM(KW19:LB19)+1),"")</f>
        <v>4</v>
      </c>
      <c r="LD19" s="319" t="str">
        <f ca="1">IF(KK19&lt;&gt;"",INDEX(KK19:KK22,MATCH(2,LC19:LC22,0),0),"")</f>
        <v>Denmark</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2</v>
      </c>
      <c r="MY19" s="319" t="str">
        <f t="shared" si="171"/>
        <v>England</v>
      </c>
      <c r="MZ19" s="319" t="str">
        <f ca="1">IF(AND(OFFSET('Player Game Board'!P26,0,MW1)&lt;&gt;"",OFFSET('Player Game Board'!Q26,0,MW1)&lt;&gt;""),IF(MW19&gt;MX19,"W",IF(MW19=MX19,"D","L")),"")</f>
        <v>L</v>
      </c>
      <c r="NA19" s="319" t="str">
        <f t="shared" ca="1" si="172"/>
        <v>W</v>
      </c>
      <c r="NB19" s="319"/>
      <c r="NC19" s="319"/>
      <c r="ND19" s="324" t="s">
        <v>101</v>
      </c>
      <c r="NE19" s="325" t="s">
        <v>103</v>
      </c>
      <c r="NF19" s="325" t="s">
        <v>104</v>
      </c>
      <c r="NG19" s="325" t="s">
        <v>105</v>
      </c>
      <c r="NH19" s="324" t="s">
        <v>105</v>
      </c>
      <c r="NI19" s="324" t="s">
        <v>104</v>
      </c>
      <c r="NJ19" s="324" t="s">
        <v>103</v>
      </c>
      <c r="NK19" s="324" t="s">
        <v>101</v>
      </c>
      <c r="NL19" s="325"/>
      <c r="NM19" s="326">
        <f ca="1">IFERROR(MATCH(NM12,ND19:NG19,0),0)</f>
        <v>0</v>
      </c>
      <c r="NN19" s="326">
        <f ca="1">IFERROR(MATCH(NN12,ND19:NG19,0),0)</f>
        <v>1</v>
      </c>
      <c r="NO19" s="326">
        <f ca="1">IFERROR(MATCH(NO12,ND19:NG19,0),0)</f>
        <v>0</v>
      </c>
      <c r="NP19" s="326">
        <f ca="1">IFERROR(MATCH(NP12,ND19:NG19,0),0)</f>
        <v>4</v>
      </c>
      <c r="NQ19" s="326">
        <f t="shared" ca="1" si="3547"/>
        <v>5</v>
      </c>
      <c r="NR19" s="325" t="s">
        <v>353</v>
      </c>
      <c r="NS19" s="325" t="str">
        <f ca="1">INDEX(ND3:ND8,MATCH(INDEX(NI13:NI27,MATCH(10,NQ13:NQ27,0),0),NR3:NR8,0),0)</f>
        <v>Türkiye</v>
      </c>
      <c r="NT19" s="325">
        <f t="shared" ca="1" si="5052"/>
        <v>1</v>
      </c>
      <c r="NU19" s="319">
        <f t="shared" ref="NU19" ca="1" si="5451">VLOOKUP(NV19,RQ18:RR22,2,FALSE)</f>
        <v>1</v>
      </c>
      <c r="NV19" s="319" t="str">
        <f t="shared" si="5054"/>
        <v>England</v>
      </c>
      <c r="NW19" s="319">
        <f t="shared" ref="NW19" ca="1" si="5452">SUMPRODUCT((RT3:RT42=NV19)*(RX3:RX42="W"))+SUMPRODUCT((RW3:RW42=NV19)*(RY3:RY42="W"))</f>
        <v>3</v>
      </c>
      <c r="NX19" s="319">
        <f t="shared" ref="NX19" ca="1" si="5453">SUMPRODUCT((RT3:RT42=NV19)*(RX3:RX42="D"))+SUMPRODUCT((RW3:RW42=NV19)*(RY3:RY42="D"))</f>
        <v>0</v>
      </c>
      <c r="NY19" s="319">
        <f t="shared" ref="NY19" ca="1" si="5454">SUMPRODUCT((RT3:RT42=NV19)*(RX3:RX42="L"))+SUMPRODUCT((RW3:RW42=NV19)*(RY3:RY42="L"))</f>
        <v>0</v>
      </c>
      <c r="NZ19" s="319">
        <f t="shared" ref="NZ19" ca="1" si="5455">SUMIF(RT3:RT60,NV19,RU3:RU60)+SUMIF(RW3:RW60,NV19,RV3:RV60)</f>
        <v>6</v>
      </c>
      <c r="OA19" s="319">
        <f t="shared" ref="OA19" ca="1" si="5456">SUMIF(RW3:RW60,NV19,RU3:RU60)+SUMIF(RT3:RT60,NV19,RV3:RV60)</f>
        <v>3</v>
      </c>
      <c r="OB19" s="319">
        <f t="shared" ca="1" si="5060"/>
        <v>1003</v>
      </c>
      <c r="OC19" s="319">
        <f t="shared" ca="1" si="5061"/>
        <v>9</v>
      </c>
      <c r="OD19" s="319">
        <f t="shared" si="630"/>
        <v>49</v>
      </c>
      <c r="OE19" s="319">
        <f t="shared" ref="OE19" ca="1" si="5457">IF(COUNTIF(OC18:OC22,4)&lt;&gt;4,RANK(OC19,OC18:OC22),OC59)</f>
        <v>1</v>
      </c>
      <c r="OF19" s="319"/>
      <c r="OG19" s="319">
        <f t="shared" ref="OG19" ca="1" si="5458">SUMPRODUCT((OE18:OE21=OE19)*(OD18:OD21&lt;OD19))+OE19</f>
        <v>1</v>
      </c>
      <c r="OH19" s="319" t="str">
        <f t="shared" ref="OH19" ca="1" si="5459">INDEX(NV18:NV22,MATCH(2,OG18:OG22,0),0)</f>
        <v>Serbia</v>
      </c>
      <c r="OI19" s="319">
        <f t="shared" ref="OI19" ca="1" si="5460">INDEX(OE18:OE22,MATCH(OH19,NV18:NV22,0),0)</f>
        <v>2</v>
      </c>
      <c r="OJ19" s="319" t="str">
        <f t="shared" ref="OJ19" ca="1" si="5461">IF(OJ18&lt;&gt;"",OH19,"")</f>
        <v/>
      </c>
      <c r="OK19" s="319" t="str">
        <f t="shared" ref="OK19" ca="1" si="5462">IF(OK18&lt;&gt;"",OH20,"")</f>
        <v>Denmark</v>
      </c>
      <c r="OL19" s="319" t="str">
        <f t="shared" ref="OL19" ca="1" si="5463">IF(OL18&lt;&gt;"",OH21,"")</f>
        <v/>
      </c>
      <c r="OM19" s="319" t="str">
        <f t="shared" ref="OM19" si="5464">IF(OM18&lt;&gt;"",OH22,"")</f>
        <v/>
      </c>
      <c r="ON19" s="319"/>
      <c r="OO19" s="319" t="str">
        <f t="shared" ca="1" si="5070"/>
        <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t="str">
        <f t="shared" ca="1" si="5077"/>
        <v/>
      </c>
      <c r="OW19" s="319" t="str">
        <f t="shared" ref="OW19" ca="1" si="5470">IF(OO19&lt;&gt;"",VLOOKUP(OO19,NV4:OB40,7,FALSE),"")</f>
        <v/>
      </c>
      <c r="OX19" s="319" t="str">
        <f t="shared" ref="OX19" ca="1" si="5471">IF(OO19&lt;&gt;"",VLOOKUP(OO19,NV4:OB40,5,FALSE),"")</f>
        <v/>
      </c>
      <c r="OY19" s="319" t="str">
        <f t="shared" ref="OY19" ca="1" si="5472">IF(OO19&lt;&gt;"",VLOOKUP(OO19,NV4:OD40,9,FALSE),"")</f>
        <v/>
      </c>
      <c r="OZ19" s="319" t="str">
        <f t="shared" ca="1" si="5081"/>
        <v/>
      </c>
      <c r="PA19" s="319" t="str">
        <f t="shared" ref="PA19" ca="1" si="5473">IF(OO19&lt;&gt;"",RANK(OZ19,OZ18:OZ22),"")</f>
        <v/>
      </c>
      <c r="PB19" s="319" t="str">
        <f t="shared" ref="PB19" ca="1" si="5474">IF(OO19&lt;&gt;"",SUMPRODUCT((OZ18:OZ22=OZ19)*(OU18:OU22&gt;OU19)),"")</f>
        <v/>
      </c>
      <c r="PC19" s="319" t="str">
        <f t="shared" ref="PC19" ca="1" si="5475">IF(OO19&lt;&gt;"",SUMPRODUCT((OZ18:OZ22=OZ19)*(OU18:OU22=OU19)*(OS18:OS22&gt;OS19)),"")</f>
        <v/>
      </c>
      <c r="PD19" s="319" t="str">
        <f t="shared" ref="PD19" ca="1" si="5476">IF(OO19&lt;&gt;"",SUMPRODUCT((OZ18:OZ22=OZ19)*(OU18:OU22=OU19)*(OS18:OS22=OS19)*(OW18:OW22&gt;OW19)),"")</f>
        <v/>
      </c>
      <c r="PE19" s="319" t="str">
        <f t="shared" ref="PE19" ca="1" si="5477">IF(OO19&lt;&gt;"",SUMPRODUCT((OZ18:OZ22=OZ19)*(OU18:OU22=OU19)*(OS18:OS22=OS19)*(OW18:OW22=OW19)*(OX18:OX22&gt;OX19)),"")</f>
        <v/>
      </c>
      <c r="PF19" s="319" t="str">
        <f t="shared" ref="PF19" ca="1" si="5478">IF(OO19&lt;&gt;"",SUMPRODUCT((OZ18:OZ22=OZ19)*(OU18:OU22=OU19)*(OS18:OS22=OS19)*(OW18:OW22=OW19)*(OX18:OX22=OX19)*(OY18:OY22&gt;OY19)),"")</f>
        <v/>
      </c>
      <c r="PG19" s="319" t="str">
        <f ca="1">IF(OO19&lt;&gt;"",IF(PG59&lt;&gt;"",IF(ON57=3,PG59,PG59+ON57),SUM(PA19:PF19)),"")</f>
        <v/>
      </c>
      <c r="PH19" s="319" t="str">
        <f t="shared" ref="PH19" ca="1" si="5479">IF(OO19&lt;&gt;"",INDEX(OO18:OO22,MATCH(2,PG18:PG22,0),0),"")</f>
        <v/>
      </c>
      <c r="PI19" s="319" t="str">
        <f t="shared" ref="PI19:PI21" ca="1" si="5480">IF(OK18&lt;&gt;"",OK18,"")</f>
        <v>Serbia</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1</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f t="shared" ref="PP19:PP21" ca="1" si="5487">IF(PI19&lt;&gt;"",PJ19*3+PK19*1,"")</f>
        <v>1</v>
      </c>
      <c r="PQ19" s="319">
        <f t="shared" ref="PQ19" ca="1" si="5488">IF(PI19&lt;&gt;"",VLOOKUP(PI19,NV4:OB40,7,FALSE),"")</f>
        <v>1001</v>
      </c>
      <c r="PR19" s="319">
        <f t="shared" ref="PR19" ca="1" si="5489">IF(PI19&lt;&gt;"",VLOOKUP(PI19,NV4:OB40,5,FALSE),"")</f>
        <v>3</v>
      </c>
      <c r="PS19" s="319">
        <f t="shared" ref="PS19" ca="1" si="5490">IF(PI19&lt;&gt;"",VLOOKUP(PI19,NV4:OD40,9,FALSE),"")</f>
        <v>35</v>
      </c>
      <c r="PT19" s="319">
        <f t="shared" ref="PT19:PT21" ca="1" si="5491">PP19</f>
        <v>1</v>
      </c>
      <c r="PU19" s="319">
        <f t="shared" ref="PU19" ca="1" si="5492">IF(PI19&lt;&gt;"",RANK(PT19,PT18:PT22),"")</f>
        <v>1</v>
      </c>
      <c r="PV19" s="319">
        <f t="shared" ref="PV19" ca="1" si="5493">IF(PI19&lt;&gt;"",SUMPRODUCT((PT18:PT22=PT19)*(PO18:PO22&gt;PO19)),"")</f>
        <v>0</v>
      </c>
      <c r="PW19" s="319">
        <f t="shared" ref="PW19" ca="1" si="5494">IF(PI19&lt;&gt;"",SUMPRODUCT((PT18:PT22=PT19)*(PO18:PO22=PO19)*(PM18:PM22&gt;PM19)),"")</f>
        <v>0</v>
      </c>
      <c r="PX19" s="319">
        <f t="shared" ref="PX19" ca="1" si="5495">IF(PI19&lt;&gt;"",SUMPRODUCT((PT18:PT22=PT19)*(PO18:PO22=PO19)*(PM18:PM22=PM19)*(PQ18:PQ22&gt;PQ19)),"")</f>
        <v>0</v>
      </c>
      <c r="PY19" s="319">
        <f t="shared" ref="PY19" ca="1" si="5496">IF(PI19&lt;&gt;"",SUMPRODUCT((PT18:PT22=PT19)*(PO18:PO22=PO19)*(PM18:PM22=PM19)*(PQ18:PQ22=PQ19)*(PR18:PR22&gt;PR19)),"")</f>
        <v>0</v>
      </c>
      <c r="PZ19" s="319">
        <f t="shared" ref="PZ19" ca="1" si="5497">IF(PI19&lt;&gt;"",SUMPRODUCT((PT18:PT22=PT19)*(PO18:PO22=PO19)*(PM18:PM22=PM19)*(PQ18:PQ22=PQ19)*(PR18:PR22=PR19)*(PS18:PS22&gt;PS19)),"")</f>
        <v>0</v>
      </c>
      <c r="QA19" s="319">
        <f ca="1">IF(PI19&lt;&gt;"",IF(QA59&lt;&gt;"",IF(PH57=3,QA59,QA59+PH57),SUM(PU19:PZ19)+1),"")</f>
        <v>2</v>
      </c>
      <c r="QB19" s="319" t="str">
        <f t="shared" ref="QB19" ca="1" si="5498">IF(PI19&lt;&gt;"",INDEX(PI19:PI22,MATCH(2,QA19:QA22,0),0),"")</f>
        <v>Serbia</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Serbia</v>
      </c>
      <c r="RR19" s="319">
        <v>2</v>
      </c>
      <c r="RS19" s="319">
        <v>17</v>
      </c>
      <c r="RT19" s="319" t="str">
        <f t="shared" si="18"/>
        <v>Denmark</v>
      </c>
      <c r="RU19" s="322">
        <f ca="1">IF(OFFSET('Player Game Board'!P26,0,RU1)&lt;&gt;"",OFFSET('Player Game Board'!P26,0,RU1),0)</f>
        <v>1</v>
      </c>
      <c r="RV19" s="322">
        <f ca="1">IF(OFFSET('Player Game Board'!Q26,0,RU1)&lt;&gt;"",OFFSET('Player Game Board'!Q26,0,RU1),0)</f>
        <v>2</v>
      </c>
      <c r="RW19" s="319" t="str">
        <f t="shared" si="19"/>
        <v>England</v>
      </c>
      <c r="RX19" s="319" t="str">
        <f ca="1">IF(AND(OFFSET('Player Game Board'!P26,0,RU1)&lt;&gt;"",OFFSET('Player Game Board'!Q26,0,RU1)&lt;&gt;""),IF(RU19&gt;RV19,"W",IF(RU19=RV19,"D","L")),"")</f>
        <v>L</v>
      </c>
      <c r="RY19" s="319" t="str">
        <f t="shared" ref="RY19:RY38" ca="1" si="5500">IF(RX19&lt;&gt;"",IF(RX19="W","L",IF(RX19="L","W","D")),"")</f>
        <v>W</v>
      </c>
      <c r="RZ19" s="319"/>
      <c r="SA19" s="319"/>
      <c r="SB19" s="324" t="s">
        <v>101</v>
      </c>
      <c r="SC19" s="325" t="s">
        <v>103</v>
      </c>
      <c r="SD19" s="325" t="s">
        <v>104</v>
      </c>
      <c r="SE19" s="325" t="s">
        <v>105</v>
      </c>
      <c r="SF19" s="324" t="s">
        <v>105</v>
      </c>
      <c r="SG19" s="324" t="s">
        <v>104</v>
      </c>
      <c r="SH19" s="324" t="s">
        <v>103</v>
      </c>
      <c r="SI19" s="324" t="s">
        <v>101</v>
      </c>
      <c r="SJ19" s="325"/>
      <c r="SK19" s="326">
        <f t="shared" ref="SK19" ca="1" si="5501">IFERROR(MATCH(SK12,SB19:SE19,0),0)</f>
        <v>2</v>
      </c>
      <c r="SL19" s="326">
        <f t="shared" ref="SL19" ca="1" si="5502">IFERROR(MATCH(SL12,SB19:SE19,0),0)</f>
        <v>0</v>
      </c>
      <c r="SM19" s="326">
        <f t="shared" ref="SM19" ca="1" si="5503">IFERROR(MATCH(SM12,SB19:SE19,0),0)</f>
        <v>0</v>
      </c>
      <c r="SN19" s="326">
        <f t="shared" ref="SN19" ca="1" si="5504">IFERROR(MATCH(SN12,SB19:SE19,0),0)</f>
        <v>4</v>
      </c>
      <c r="SO19" s="326">
        <f t="shared" ca="1" si="3616"/>
        <v>6</v>
      </c>
      <c r="SP19" s="325" t="s">
        <v>353</v>
      </c>
      <c r="SQ19" s="325" t="str">
        <f t="shared" ref="SQ19" ca="1" si="5505">INDEX(SB3:SB8,MATCH(INDEX(SG13:SG27,MATCH(10,SO13:SO27,0),0),SP3:SP8,0),0)</f>
        <v>Belgium</v>
      </c>
      <c r="SR19" s="325">
        <f t="shared" ca="1" si="5095"/>
        <v>0</v>
      </c>
      <c r="SS19" s="319">
        <f t="shared" ref="SS19" ca="1" si="5506">VLOOKUP(ST19,WO18:WP22,2,FALSE)</f>
        <v>1</v>
      </c>
      <c r="ST19" s="319" t="str">
        <f t="shared" si="5097"/>
        <v>England</v>
      </c>
      <c r="SU19" s="319">
        <f t="shared" ref="SU19" ca="1" si="5507">SUMPRODUCT((WR3:WR42=ST19)*(WV3:WV42="W"))+SUMPRODUCT((WU3:WU42=ST19)*(WW3:WW42="W"))</f>
        <v>3</v>
      </c>
      <c r="SV19" s="319">
        <f t="shared" ref="SV19" ca="1" si="5508">SUMPRODUCT((WR3:WR42=ST19)*(WV3:WV42="D"))+SUMPRODUCT((WU3:WU42=ST19)*(WW3:WW42="D"))</f>
        <v>0</v>
      </c>
      <c r="SW19" s="319">
        <f t="shared" ref="SW19" ca="1" si="5509">SUMPRODUCT((WR3:WR42=ST19)*(WV3:WV42="L"))+SUMPRODUCT((WU3:WU42=ST19)*(WW3:WW42="L"))</f>
        <v>0</v>
      </c>
      <c r="SX19" s="319">
        <f t="shared" ref="SX19" ca="1" si="5510">SUMIF(WR3:WR60,ST19,WS3:WS60)+SUMIF(WU3:WU60,ST19,WT3:WT60)</f>
        <v>7</v>
      </c>
      <c r="SY19" s="319">
        <f t="shared" ref="SY19" ca="1" si="5511">SUMIF(WU3:WU60,ST19,WS3:WS60)+SUMIF(WR3:WR60,ST19,WT3:WT60)</f>
        <v>2</v>
      </c>
      <c r="SZ19" s="319">
        <f t="shared" ca="1" si="5103"/>
        <v>1005</v>
      </c>
      <c r="TA19" s="319">
        <f t="shared" ca="1" si="5104"/>
        <v>9</v>
      </c>
      <c r="TB19" s="319">
        <f t="shared" si="690"/>
        <v>49</v>
      </c>
      <c r="TC19" s="319">
        <f t="shared" ref="TC19" ca="1" si="5512">IF(COUNTIF(TA18:TA22,4)&lt;&gt;4,RANK(TA19,TA18:TA22),TA59)</f>
        <v>1</v>
      </c>
      <c r="TD19" s="319"/>
      <c r="TE19" s="319">
        <f t="shared" ref="TE19" ca="1" si="5513">SUMPRODUCT((TC18:TC21=TC19)*(TB18:TB21&lt;TB19))+TC19</f>
        <v>1</v>
      </c>
      <c r="TF19" s="319" t="str">
        <f t="shared" ref="TF19" ca="1" si="5514">INDEX(ST18:ST22,MATCH(2,TE18:TE22,0),0)</f>
        <v>Denmark</v>
      </c>
      <c r="TG19" s="319">
        <f t="shared" ref="TG19" ca="1" si="5515">INDEX(TC18:TC22,MATCH(TF19,ST18:ST22,0),0)</f>
        <v>2</v>
      </c>
      <c r="TH19" s="319" t="str">
        <f t="shared" ref="TH19" ca="1" si="5516">IF(TH18&lt;&gt;"",TF19,"")</f>
        <v/>
      </c>
      <c r="TI19" s="319" t="str">
        <f t="shared" ref="TI19" ca="1" si="5517">IF(TI18&lt;&gt;"",TF20,"")</f>
        <v/>
      </c>
      <c r="TJ19" s="319" t="str">
        <f t="shared" ref="TJ19" ca="1" si="5518">IF(TJ18&lt;&gt;"",TF21,"")</f>
        <v>Slovenia</v>
      </c>
      <c r="TK19" s="319" t="str">
        <f t="shared" ref="TK19" si="5519">IF(TK18&lt;&gt;"",TF22,"")</f>
        <v/>
      </c>
      <c r="TL19" s="319"/>
      <c r="TM19" s="319" t="str">
        <f t="shared" ca="1" si="5113"/>
        <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0</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0</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0</v>
      </c>
      <c r="TS19" s="319">
        <f t="shared" ca="1" si="5119"/>
        <v>1000</v>
      </c>
      <c r="TT19" s="319" t="str">
        <f t="shared" ca="1" si="5120"/>
        <v/>
      </c>
      <c r="TU19" s="319" t="str">
        <f t="shared" ref="TU19" ca="1" si="5525">IF(TM19&lt;&gt;"",VLOOKUP(TM19,ST4:SZ40,7,FALSE),"")</f>
        <v/>
      </c>
      <c r="TV19" s="319" t="str">
        <f t="shared" ref="TV19" ca="1" si="5526">IF(TM19&lt;&gt;"",VLOOKUP(TM19,ST4:SZ40,5,FALSE),"")</f>
        <v/>
      </c>
      <c r="TW19" s="319" t="str">
        <f t="shared" ref="TW19" ca="1" si="5527">IF(TM19&lt;&gt;"",VLOOKUP(TM19,ST4:TB40,9,FALSE),"")</f>
        <v/>
      </c>
      <c r="TX19" s="319" t="str">
        <f t="shared" ca="1" si="5124"/>
        <v/>
      </c>
      <c r="TY19" s="319" t="str">
        <f t="shared" ref="TY19" ca="1" si="5528">IF(TM19&lt;&gt;"",RANK(TX19,TX18:TX22),"")</f>
        <v/>
      </c>
      <c r="TZ19" s="319" t="str">
        <f t="shared" ref="TZ19" ca="1" si="5529">IF(TM19&lt;&gt;"",SUMPRODUCT((TX18:TX22=TX19)*(TS18:TS22&gt;TS19)),"")</f>
        <v/>
      </c>
      <c r="UA19" s="319" t="str">
        <f t="shared" ref="UA19" ca="1" si="5530">IF(TM19&lt;&gt;"",SUMPRODUCT((TX18:TX22=TX19)*(TS18:TS22=TS19)*(TQ18:TQ22&gt;TQ19)),"")</f>
        <v/>
      </c>
      <c r="UB19" s="319" t="str">
        <f t="shared" ref="UB19" ca="1" si="5531">IF(TM19&lt;&gt;"",SUMPRODUCT((TX18:TX22=TX19)*(TS18:TS22=TS19)*(TQ18:TQ22=TQ19)*(TU18:TU22&gt;TU19)),"")</f>
        <v/>
      </c>
      <c r="UC19" s="319" t="str">
        <f t="shared" ref="UC19" ca="1" si="5532">IF(TM19&lt;&gt;"",SUMPRODUCT((TX18:TX22=TX19)*(TS18:TS22=TS19)*(TQ18:TQ22=TQ19)*(TU18:TU22=TU19)*(TV18:TV22&gt;TV19)),"")</f>
        <v/>
      </c>
      <c r="UD19" s="319" t="str">
        <f t="shared" ref="UD19" ca="1" si="5533">IF(TM19&lt;&gt;"",SUMPRODUCT((TX18:TX22=TX19)*(TS18:TS22=TS19)*(TQ18:TQ22=TQ19)*(TU18:TU22=TU19)*(TV18:TV22=TV19)*(TW18:TW22&gt;TW19)),"")</f>
        <v/>
      </c>
      <c r="UE19" s="319" t="str">
        <f ca="1">IF(TM19&lt;&gt;"",IF(UE59&lt;&gt;"",IF(TL57=3,UE59,UE59+TL57),SUM(TY19:UD19)),"")</f>
        <v/>
      </c>
      <c r="UF19" s="319" t="str">
        <f t="shared" ref="UF19" ca="1" si="5534">IF(TM19&lt;&gt;"",INDEX(TM18:TM22,MATCH(2,UE18:UE22,0),0),"")</f>
        <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1</v>
      </c>
      <c r="WT19" s="322">
        <f ca="1">IF(OFFSET('Player Game Board'!Q26,0,WS1)&lt;&gt;"",OFFSET('Player Game Board'!Q26,0,WS1),0)</f>
        <v>2</v>
      </c>
      <c r="WU19" s="319" t="str">
        <f t="shared" si="35"/>
        <v>England</v>
      </c>
      <c r="WV19" s="319" t="str">
        <f ca="1">IF(AND(OFFSET('Player Game Board'!P26,0,WS1)&lt;&gt;"",OFFSET('Player Game Board'!Q26,0,WS1)&lt;&gt;""),IF(WS19&gt;WT19,"W",IF(WS19=WT19,"D","L")),"")</f>
        <v>L</v>
      </c>
      <c r="WW19" s="319" t="str">
        <f t="shared" ref="WW19:WW38" ca="1" si="5555">IF(WV19&lt;&gt;"",IF(WV19="W","L",IF(WV19="L","W","D")),"")</f>
        <v>W</v>
      </c>
      <c r="WX19" s="319"/>
      <c r="WY19" s="319"/>
      <c r="WZ19" s="324" t="s">
        <v>101</v>
      </c>
      <c r="XA19" s="325" t="s">
        <v>103</v>
      </c>
      <c r="XB19" s="325" t="s">
        <v>104</v>
      </c>
      <c r="XC19" s="325" t="s">
        <v>105</v>
      </c>
      <c r="XD19" s="324" t="s">
        <v>105</v>
      </c>
      <c r="XE19" s="324" t="s">
        <v>104</v>
      </c>
      <c r="XF19" s="324" t="s">
        <v>103</v>
      </c>
      <c r="XG19" s="324" t="s">
        <v>101</v>
      </c>
      <c r="XH19" s="325"/>
      <c r="XI19" s="326">
        <f t="shared" ref="XI19" ca="1" si="5556">IFERROR(MATCH(XI12,WZ19:XC19,0),0)</f>
        <v>0</v>
      </c>
      <c r="XJ19" s="326">
        <f t="shared" ref="XJ19" ca="1" si="5557">IFERROR(MATCH(XJ12,WZ19:XC19,0),0)</f>
        <v>4</v>
      </c>
      <c r="XK19" s="326">
        <f t="shared" ref="XK19" ca="1" si="5558">IFERROR(MATCH(XK12,WZ19:XC19,0),0)</f>
        <v>0</v>
      </c>
      <c r="XL19" s="326">
        <f t="shared" ref="XL19" ca="1" si="5559">IFERROR(MATCH(XL12,WZ19:XC19,0),0)</f>
        <v>1</v>
      </c>
      <c r="XM19" s="326">
        <f t="shared" ca="1" si="3686"/>
        <v>5</v>
      </c>
      <c r="XN19" s="325" t="s">
        <v>353</v>
      </c>
      <c r="XO19" s="325" t="str">
        <f t="shared" ref="XO19" ca="1" si="5560">INDEX(WZ3:WZ8,MATCH(INDEX(XE13:XE27,MATCH(10,XM13:XM27,0),0),XN3:XN8,0),0)</f>
        <v>Czechia</v>
      </c>
      <c r="XP19" s="325">
        <f t="shared" ca="1" si="5138"/>
        <v>1</v>
      </c>
      <c r="XQ19" s="319">
        <f t="shared" ref="XQ19" ca="1" si="5561">VLOOKUP(XR19,ABM18:ABN22,2,FALSE)</f>
        <v>2</v>
      </c>
      <c r="XR19" s="319" t="str">
        <f t="shared" si="5140"/>
        <v>England</v>
      </c>
      <c r="XS19" s="319">
        <f t="shared" ref="XS19" ca="1" si="5562">SUMPRODUCT((ABP3:ABP42=XR19)*(ABT3:ABT42="W"))+SUMPRODUCT((ABS3:ABS42=XR19)*(ABU3:ABU42="W"))</f>
        <v>1</v>
      </c>
      <c r="XT19" s="319">
        <f t="shared" ref="XT19" ca="1" si="5563">SUMPRODUCT((ABP3:ABP42=XR19)*(ABT3:ABT42="D"))+SUMPRODUCT((ABS3:ABS42=XR19)*(ABU3:ABU42="D"))</f>
        <v>2</v>
      </c>
      <c r="XU19" s="319">
        <f t="shared" ref="XU19" ca="1" si="5564">SUMPRODUCT((ABP3:ABP42=XR19)*(ABT3:ABT42="L"))+SUMPRODUCT((ABS3:ABS42=XR19)*(ABU3:ABU42="L"))</f>
        <v>0</v>
      </c>
      <c r="XV19" s="319">
        <f t="shared" ref="XV19" ca="1" si="5565">SUMIF(ABP3:ABP60,XR19,ABQ3:ABQ60)+SUMIF(ABS3:ABS60,XR19,ABR3:ABR60)</f>
        <v>5</v>
      </c>
      <c r="XW19" s="319">
        <f t="shared" ref="XW19" ca="1" si="5566">SUMIF(ABS3:ABS60,XR19,ABQ3:ABQ60)+SUMIF(ABP3:ABP60,XR19,ABR3:ABR60)</f>
        <v>3</v>
      </c>
      <c r="XX19" s="319">
        <f t="shared" ca="1" si="5146"/>
        <v>1002</v>
      </c>
      <c r="XY19" s="319">
        <f t="shared" ca="1" si="5147"/>
        <v>5</v>
      </c>
      <c r="XZ19" s="319">
        <f t="shared" si="750"/>
        <v>49</v>
      </c>
      <c r="YA19" s="319">
        <f t="shared" ref="YA19" ca="1" si="5567">IF(COUNTIF(XY18:XY22,4)&lt;&gt;4,RANK(XY19,XY18:XY22),XY59)</f>
        <v>2</v>
      </c>
      <c r="YB19" s="319"/>
      <c r="YC19" s="319">
        <f t="shared" ref="YC19" ca="1" si="5568">SUMPRODUCT((YA18:YA21=YA19)*(XZ18:XZ21&lt;XZ19))+YA19</f>
        <v>2</v>
      </c>
      <c r="YD19" s="319" t="str">
        <f t="shared" ref="YD19" ca="1" si="5569">INDEX(XR18:XR22,MATCH(2,YC18:YC22,0),0)</f>
        <v>England</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England</v>
      </c>
      <c r="ABN19" s="319">
        <v>2</v>
      </c>
      <c r="ABO19" s="319">
        <v>17</v>
      </c>
      <c r="ABP19" s="319" t="str">
        <f t="shared" si="50"/>
        <v>Denmark</v>
      </c>
      <c r="ABQ19" s="322">
        <f ca="1">IF(OFFSET('Player Game Board'!P26,0,ABQ1)&lt;&gt;"",OFFSET('Player Game Board'!P26,0,ABQ1),0)</f>
        <v>1</v>
      </c>
      <c r="ABR19" s="322">
        <f ca="1">IF(OFFSET('Player Game Board'!Q26,0,ABQ1)&lt;&gt;"",OFFSET('Player Game Board'!Q26,0,ABQ1),0)</f>
        <v>1</v>
      </c>
      <c r="ABS19" s="319" t="str">
        <f t="shared" si="51"/>
        <v>England</v>
      </c>
      <c r="ABT19" s="319" t="str">
        <f ca="1">IF(AND(OFFSET('Player Game Board'!P26,0,ABQ1)&lt;&gt;"",OFFSET('Player Game Board'!Q26,0,ABQ1)&lt;&gt;""),IF(ABQ19&gt;ABR19,"W",IF(ABQ19=ABR19,"D","L")),"")</f>
        <v>D</v>
      </c>
      <c r="ABU19" s="319" t="str">
        <f t="shared" ref="ABU19:ABU38" ca="1" si="5610">IF(ABT19&lt;&gt;"",IF(ABT19="W","L",IF(ABT19="L","W","D")),"")</f>
        <v>D</v>
      </c>
      <c r="ABV19" s="319"/>
      <c r="ABW19" s="319"/>
      <c r="ABX19" s="324" t="s">
        <v>101</v>
      </c>
      <c r="ABY19" s="325" t="s">
        <v>103</v>
      </c>
      <c r="ABZ19" s="325" t="s">
        <v>104</v>
      </c>
      <c r="ACA19" s="325" t="s">
        <v>105</v>
      </c>
      <c r="ACB19" s="324" t="s">
        <v>105</v>
      </c>
      <c r="ACC19" s="324" t="s">
        <v>104</v>
      </c>
      <c r="ACD19" s="324" t="s">
        <v>103</v>
      </c>
      <c r="ACE19" s="324" t="s">
        <v>101</v>
      </c>
      <c r="ACF19" s="325"/>
      <c r="ACG19" s="326">
        <f t="shared" ref="ACG19" ca="1" si="5611">IFERROR(MATCH(ACG12,ABX19:ACA19,0),0)</f>
        <v>2</v>
      </c>
      <c r="ACH19" s="326">
        <f t="shared" ref="ACH19" ca="1" si="5612">IFERROR(MATCH(ACH12,ABX19:ACA19,0),0)</f>
        <v>0</v>
      </c>
      <c r="ACI19" s="326">
        <f t="shared" ref="ACI19" ca="1" si="5613">IFERROR(MATCH(ACI12,ABX19:ACA19,0),0)</f>
        <v>3</v>
      </c>
      <c r="ACJ19" s="326">
        <f t="shared" ref="ACJ19" ca="1" si="5614">IFERROR(MATCH(ACJ12,ABX19:ACA19,0),0)</f>
        <v>1</v>
      </c>
      <c r="ACK19" s="326">
        <f t="shared" ca="1" si="3756"/>
        <v>6</v>
      </c>
      <c r="ACL19" s="325" t="s">
        <v>353</v>
      </c>
      <c r="ACM19" s="325" t="str">
        <f t="shared" ref="ACM19" ca="1" si="5615">INDEX(ABX3:ABX8,MATCH(INDEX(ACC13:ACC27,MATCH(10,ACK13:ACK27,0),0),ACL3:ACL8,0),0)</f>
        <v>Austria</v>
      </c>
      <c r="ACN19" s="325">
        <f t="shared" ca="1" si="5181"/>
        <v>0</v>
      </c>
      <c r="ACO19" s="319">
        <f t="shared" ref="ACO19" ca="1" si="5616">VLOOKUP(ACP19,AGK18:AGL22,2,FALSE)</f>
        <v>1</v>
      </c>
      <c r="ACP19" s="319" t="str">
        <f t="shared" si="5183"/>
        <v>England</v>
      </c>
      <c r="ACQ19" s="319">
        <f t="shared" ref="ACQ19" ca="1" si="5617">SUMPRODUCT((AGN3:AGN42=ACP19)*(AGR3:AGR42="W"))+SUMPRODUCT((AGQ3:AGQ42=ACP19)*(AGS3:AGS42="W"))</f>
        <v>3</v>
      </c>
      <c r="ACR19" s="319">
        <f t="shared" ref="ACR19" ca="1" si="5618">SUMPRODUCT((AGN3:AGN42=ACP19)*(AGR3:AGR42="D"))+SUMPRODUCT((AGQ3:AGQ42=ACP19)*(AGS3:AGS42="D"))</f>
        <v>0</v>
      </c>
      <c r="ACS19" s="319">
        <f t="shared" ref="ACS19" ca="1" si="5619">SUMPRODUCT((AGN3:AGN42=ACP19)*(AGR3:AGR42="L"))+SUMPRODUCT((AGQ3:AGQ42=ACP19)*(AGS3:AGS42="L"))</f>
        <v>0</v>
      </c>
      <c r="ACT19" s="319">
        <f t="shared" ref="ACT19" ca="1" si="5620">SUMIF(AGN3:AGN60,ACP19,AGO3:AGO60)+SUMIF(AGQ3:AGQ60,ACP19,AGP3:AGP60)</f>
        <v>8</v>
      </c>
      <c r="ACU19" s="319">
        <f t="shared" ref="ACU19" ca="1" si="5621">SUMIF(AGQ3:AGQ60,ACP19,AGO3:AGO60)+SUMIF(AGN3:AGN60,ACP19,AGP3:AGP60)</f>
        <v>2</v>
      </c>
      <c r="ACV19" s="319">
        <f t="shared" ca="1" si="5189"/>
        <v>1006</v>
      </c>
      <c r="ACW19" s="319">
        <f t="shared" ca="1" si="5190"/>
        <v>9</v>
      </c>
      <c r="ACX19" s="319">
        <f t="shared" si="810"/>
        <v>49</v>
      </c>
      <c r="ACY19" s="319">
        <f t="shared" ref="ACY19" ca="1" si="5622">IF(COUNTIF(ACW18:ACW22,4)&lt;&gt;4,RANK(ACW19,ACW18:ACW22),ACW59)</f>
        <v>1</v>
      </c>
      <c r="ACZ19" s="319"/>
      <c r="ADA19" s="319">
        <f t="shared" ref="ADA19" ca="1" si="5623">SUMPRODUCT((ACY18:ACY21=ACY19)*(ACX18:ACX21&lt;ACX19))+ACY19</f>
        <v>1</v>
      </c>
      <c r="ADB19" s="319" t="str">
        <f t="shared" ref="ADB19" ca="1" si="5624">INDEX(ACP18:ACP22,MATCH(2,ADA18:ADA22,0),0)</f>
        <v>Denmark</v>
      </c>
      <c r="ADC19" s="319">
        <f t="shared" ref="ADC19" ca="1" si="5625">INDEX(ACY18:ACY22,MATCH(ADB19,ACP18:ACP22,0),0)</f>
        <v>2</v>
      </c>
      <c r="ADD19" s="319" t="str">
        <f t="shared" ref="ADD19" ca="1" si="5626">IF(ADD18&lt;&gt;"",ADB19,"")</f>
        <v/>
      </c>
      <c r="ADE19" s="319" t="str">
        <f t="shared" ref="ADE19" ca="1" si="5627">IF(ADE18&lt;&gt;"",ADB20,"")</f>
        <v/>
      </c>
      <c r="ADF19" s="319" t="str">
        <f t="shared" ref="ADF19" ca="1" si="5628">IF(ADF18&lt;&gt;"",ADB21,"")</f>
        <v/>
      </c>
      <c r="ADG19" s="319" t="str">
        <f t="shared" ref="ADG19" si="5629">IF(ADG18&lt;&gt;"",ADB22,"")</f>
        <v/>
      </c>
      <c r="ADH19" s="319"/>
      <c r="ADI19" s="319" t="str">
        <f t="shared" ca="1" si="5199"/>
        <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t="str">
        <f t="shared" ca="1" si="5206"/>
        <v/>
      </c>
      <c r="ADQ19" s="319" t="str">
        <f t="shared" ref="ADQ19" ca="1" si="5635">IF(ADI19&lt;&gt;"",VLOOKUP(ADI19,ACP4:ACV40,7,FALSE),"")</f>
        <v/>
      </c>
      <c r="ADR19" s="319" t="str">
        <f t="shared" ref="ADR19" ca="1" si="5636">IF(ADI19&lt;&gt;"",VLOOKUP(ADI19,ACP4:ACV40,5,FALSE),"")</f>
        <v/>
      </c>
      <c r="ADS19" s="319" t="str">
        <f t="shared" ref="ADS19" ca="1" si="5637">IF(ADI19&lt;&gt;"",VLOOKUP(ADI19,ACP4:ACX40,9,FALSE),"")</f>
        <v/>
      </c>
      <c r="ADT19" s="319" t="str">
        <f t="shared" ca="1" si="5210"/>
        <v/>
      </c>
      <c r="ADU19" s="319" t="str">
        <f t="shared" ref="ADU19" ca="1" si="5638">IF(ADI19&lt;&gt;"",RANK(ADT19,ADT18:ADT22),"")</f>
        <v/>
      </c>
      <c r="ADV19" s="319" t="str">
        <f t="shared" ref="ADV19" ca="1" si="5639">IF(ADI19&lt;&gt;"",SUMPRODUCT((ADT18:ADT22=ADT19)*(ADO18:ADO22&gt;ADO19)),"")</f>
        <v/>
      </c>
      <c r="ADW19" s="319" t="str">
        <f t="shared" ref="ADW19" ca="1" si="5640">IF(ADI19&lt;&gt;"",SUMPRODUCT((ADT18:ADT22=ADT19)*(ADO18:ADO22=ADO19)*(ADM18:ADM22&gt;ADM19)),"")</f>
        <v/>
      </c>
      <c r="ADX19" s="319" t="str">
        <f t="shared" ref="ADX19" ca="1" si="5641">IF(ADI19&lt;&gt;"",SUMPRODUCT((ADT18:ADT22=ADT19)*(ADO18:ADO22=ADO19)*(ADM18:ADM22=ADM19)*(ADQ18:ADQ22&gt;ADQ19)),"")</f>
        <v/>
      </c>
      <c r="ADY19" s="319" t="str">
        <f t="shared" ref="ADY19" ca="1" si="5642">IF(ADI19&lt;&gt;"",SUMPRODUCT((ADT18:ADT22=ADT19)*(ADO18:ADO22=ADO19)*(ADM18:ADM22=ADM19)*(ADQ18:ADQ22=ADQ19)*(ADR18:ADR22&gt;ADR19)),"")</f>
        <v/>
      </c>
      <c r="ADZ19" s="319" t="str">
        <f t="shared" ref="ADZ19" ca="1" si="5643">IF(ADI19&lt;&gt;"",SUMPRODUCT((ADT18:ADT22=ADT19)*(ADO18:ADO22=ADO19)*(ADM18:ADM22=ADM19)*(ADQ18:ADQ22=ADQ19)*(ADR18:ADR22=ADR19)*(ADS18:ADS22&gt;ADS19)),"")</f>
        <v/>
      </c>
      <c r="AEA19" s="319" t="str">
        <f ca="1">IF(ADI19&lt;&gt;"",IF(AEA59&lt;&gt;"",IF(ADH57=3,AEA59,AEA59+ADH57),SUM(ADU19:ADZ19)),"")</f>
        <v/>
      </c>
      <c r="AEB19" s="319" t="str">
        <f t="shared" ref="AEB19" ca="1" si="5644">IF(ADI19&lt;&gt;"",INDEX(ADI18:ADI22,MATCH(2,AEA18:AEA22,0),0),"")</f>
        <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1</v>
      </c>
      <c r="AGP19" s="322">
        <f ca="1">IF(OFFSET('Player Game Board'!Q26,0,AGO1)&lt;&gt;"",OFFSET('Player Game Board'!Q26,0,AGO1),0)</f>
        <v>2</v>
      </c>
      <c r="AGQ19" s="319" t="str">
        <f t="shared" si="67"/>
        <v>England</v>
      </c>
      <c r="AGR19" s="319" t="str">
        <f ca="1">IF(AND(OFFSET('Player Game Board'!P26,0,AGO1)&lt;&gt;"",OFFSET('Player Game Board'!Q26,0,AGO1)&lt;&gt;""),IF(AGO19&gt;AGP19,"W",IF(AGO19=AGP19,"D","L")),"")</f>
        <v>L</v>
      </c>
      <c r="AGS19" s="319" t="str">
        <f t="shared" ref="AGS19:AGS38" ca="1" si="5665">IF(AGR19&lt;&gt;"",IF(AGR19="W","L",IF(AGR19="L","W","D")),"")</f>
        <v>W</v>
      </c>
      <c r="AGT19" s="319"/>
      <c r="AGU19" s="319"/>
      <c r="AGV19" s="324" t="s">
        <v>101</v>
      </c>
      <c r="AGW19" s="325" t="s">
        <v>103</v>
      </c>
      <c r="AGX19" s="325" t="s">
        <v>104</v>
      </c>
      <c r="AGY19" s="325" t="s">
        <v>105</v>
      </c>
      <c r="AGZ19" s="324" t="s">
        <v>105</v>
      </c>
      <c r="AHA19" s="324" t="s">
        <v>104</v>
      </c>
      <c r="AHB19" s="324" t="s">
        <v>103</v>
      </c>
      <c r="AHC19" s="324" t="s">
        <v>101</v>
      </c>
      <c r="AHD19" s="325"/>
      <c r="AHE19" s="326">
        <f t="shared" ref="AHE19" ca="1" si="5666">IFERROR(MATCH(AHE12,AGV19:AGY19,0),0)</f>
        <v>0</v>
      </c>
      <c r="AHF19" s="326">
        <f t="shared" ref="AHF19" ca="1" si="5667">IFERROR(MATCH(AHF12,AGV19:AGY19,0),0)</f>
        <v>1</v>
      </c>
      <c r="AHG19" s="326">
        <f t="shared" ref="AHG19" ca="1" si="5668">IFERROR(MATCH(AHG12,AGV19:AGY19,0),0)</f>
        <v>0</v>
      </c>
      <c r="AHH19" s="326">
        <f t="shared" ref="AHH19" ca="1" si="5669">IFERROR(MATCH(AHH12,AGV19:AGY19,0),0)</f>
        <v>2</v>
      </c>
      <c r="AHI19" s="326">
        <f t="shared" ca="1" si="3826"/>
        <v>3</v>
      </c>
      <c r="AHJ19" s="325" t="s">
        <v>353</v>
      </c>
      <c r="AHK19" s="325" t="str">
        <f t="shared" ref="AHK19" ca="1" si="5670">INDEX(AGV3:AGV8,MATCH(INDEX(AHA13:AHA27,MATCH(10,AHI13:AHI27,0),0),AHJ3:AHJ8,0),0)</f>
        <v>Türkiye</v>
      </c>
      <c r="AHL19" s="325">
        <f t="shared" ca="1" si="5224"/>
        <v>1</v>
      </c>
      <c r="AHM19" s="319">
        <f t="shared" ref="AHM19" ca="1" si="5671">VLOOKUP(AHN19,ALI18:ALJ22,2,FALSE)</f>
        <v>1</v>
      </c>
      <c r="AHN19" s="319" t="str">
        <f t="shared" si="5226"/>
        <v>England</v>
      </c>
      <c r="AHO19" s="319">
        <f t="shared" ref="AHO19" ca="1" si="5672">SUMPRODUCT((ALL3:ALL42=AHN19)*(ALP3:ALP42="W"))+SUMPRODUCT((ALO3:ALO42=AHN19)*(ALQ3:ALQ42="W"))</f>
        <v>0</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0</v>
      </c>
      <c r="AHS19" s="319">
        <f t="shared" ref="AHS19" ca="1" si="5676">SUMIF(ALO3:ALO60,AHN19,ALM3:ALM60)+SUMIF(ALL3:ALL60,AHN19,ALN3:ALN60)</f>
        <v>0</v>
      </c>
      <c r="AHT19" s="319">
        <f t="shared" ca="1" si="5232"/>
        <v>1000</v>
      </c>
      <c r="AHU19" s="319">
        <f t="shared" ca="1" si="5233"/>
        <v>0</v>
      </c>
      <c r="AHV19" s="319">
        <f t="shared" si="870"/>
        <v>49</v>
      </c>
      <c r="AHW19" s="319">
        <f t="shared" ref="AHW19" ca="1" si="5677">IF(COUNTIF(AHU18:AHU22,4)&lt;&gt;4,RANK(AHU19,AHU18:AHU22),AHU59)</f>
        <v>1</v>
      </c>
      <c r="AHX19" s="319"/>
      <c r="AHY19" s="319">
        <f t="shared" ref="AHY19" ca="1" si="5678">SUMPRODUCT((AHW18:AHW21=AHW19)*(AHV18:AHV21&lt;AHV19))+AHW19</f>
        <v>4</v>
      </c>
      <c r="AHZ19" s="319" t="str">
        <f t="shared" ref="AHZ19" ca="1" si="5679">INDEX(AHN18:AHN22,MATCH(2,AHY18:AHY22,0),0)</f>
        <v>Slovenia</v>
      </c>
      <c r="AIA19" s="319">
        <f t="shared" ref="AIA19" ca="1" si="5680">INDEX(AHW18:AHW22,MATCH(AHZ19,AHN18:AHN22,0),0)</f>
        <v>1</v>
      </c>
      <c r="AIB19" s="319" t="str">
        <f t="shared" ref="AIB19" ca="1" si="5681">IF(AIB18&lt;&gt;"",AHZ19,"")</f>
        <v>Slovenia</v>
      </c>
      <c r="AIC19" s="319" t="str">
        <f t="shared" ref="AIC19" ca="1" si="5682">IF(AIC18&lt;&gt;"",AHZ20,"")</f>
        <v/>
      </c>
      <c r="AID19" s="319" t="str">
        <f t="shared" ref="AID19" ca="1" si="5683">IF(AID18&lt;&gt;"",AHZ21,"")</f>
        <v/>
      </c>
      <c r="AIE19" s="319" t="str">
        <f t="shared" ref="AIE19" si="5684">IF(AIE18&lt;&gt;"",AHZ22,"")</f>
        <v/>
      </c>
      <c r="AIF19" s="319"/>
      <c r="AIG19" s="319" t="str">
        <f t="shared" ca="1" si="5242"/>
        <v>Slovenia</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f t="shared" ca="1" si="5249"/>
        <v>0</v>
      </c>
      <c r="AIO19" s="319">
        <f t="shared" ref="AIO19" ca="1" si="5690">IF(AIG19&lt;&gt;"",VLOOKUP(AIG19,AHN4:AHT40,7,FALSE),"")</f>
        <v>1000</v>
      </c>
      <c r="AIP19" s="319">
        <f t="shared" ref="AIP19" ca="1" si="5691">IF(AIG19&lt;&gt;"",VLOOKUP(AIG19,AHN4:AHT40,5,FALSE),"")</f>
        <v>0</v>
      </c>
      <c r="AIQ19" s="319">
        <f t="shared" ref="AIQ19" ca="1" si="5692">IF(AIG19&lt;&gt;"",VLOOKUP(AIG19,AHN4:AHV40,9,FALSE),"")</f>
        <v>39</v>
      </c>
      <c r="AIR19" s="319">
        <f t="shared" ca="1" si="5253"/>
        <v>0</v>
      </c>
      <c r="AIS19" s="319">
        <f t="shared" ref="AIS19" ca="1" si="5693">IF(AIG19&lt;&gt;"",RANK(AIR19,AIR18:AIR22),"")</f>
        <v>1</v>
      </c>
      <c r="AIT19" s="319">
        <f t="shared" ref="AIT19" ca="1" si="5694">IF(AIG19&lt;&gt;"",SUMPRODUCT((AIR18:AIR22=AIR19)*(AIM18:AIM22&gt;AIM19)),"")</f>
        <v>0</v>
      </c>
      <c r="AIU19" s="319">
        <f t="shared" ref="AIU19" ca="1" si="5695">IF(AIG19&lt;&gt;"",SUMPRODUCT((AIR18:AIR22=AIR19)*(AIM18:AIM22=AIM19)*(AIK18:AIK22&gt;AIK19)),"")</f>
        <v>0</v>
      </c>
      <c r="AIV19" s="319">
        <f t="shared" ref="AIV19" ca="1" si="5696">IF(AIG19&lt;&gt;"",SUMPRODUCT((AIR18:AIR22=AIR19)*(AIM18:AIM22=AIM19)*(AIK18:AIK22=AIK19)*(AIO18:AIO22&gt;AIO19)),"")</f>
        <v>0</v>
      </c>
      <c r="AIW19" s="319">
        <f t="shared" ref="AIW19" ca="1" si="5697">IF(AIG19&lt;&gt;"",SUMPRODUCT((AIR18:AIR22=AIR19)*(AIM18:AIM22=AIM19)*(AIK18:AIK22=AIK19)*(AIO18:AIO22=AIO19)*(AIP18:AIP22&gt;AIP19)),"")</f>
        <v>0</v>
      </c>
      <c r="AIX19" s="319">
        <f t="shared" ref="AIX19" ca="1" si="5698">IF(AIG19&lt;&gt;"",SUMPRODUCT((AIR18:AIR22=AIR19)*(AIM18:AIM22=AIM19)*(AIK18:AIK22=AIK19)*(AIO18:AIO22=AIO19)*(AIP18:AIP22=AIP19)*(AIQ18:AIQ22&gt;AIQ19)),"")</f>
        <v>2</v>
      </c>
      <c r="AIY19" s="319">
        <f ca="1">IF(AIG19&lt;&gt;"",IF(AIY59&lt;&gt;"",IF(AIF57=3,AIY59,AIY59+AIF57),SUM(AIS19:AIX19)),"")</f>
        <v>3</v>
      </c>
      <c r="AIZ19" s="319" t="str">
        <f t="shared" ref="AIZ19" ca="1" si="5699">IF(AIG19&lt;&gt;"",INDEX(AIG18:AIG22,MATCH(2,AIY18:AIY22,0),0),"")</f>
        <v>Denmark</v>
      </c>
      <c r="AJA19" s="319" t="str">
        <f t="shared" ref="AJA19:AJA21" ca="1" si="5700">IF(AIC18&lt;&gt;"",AIC18,"")</f>
        <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19">
        <f t="shared" ref="AJG19:AJG21" ca="1" si="5706">AJE19-AJF19+1000</f>
        <v>1000</v>
      </c>
      <c r="AJH19" s="319" t="str">
        <f t="shared" ref="AJH19:AJH21" ca="1" si="5707">IF(AJA19&lt;&gt;"",AJB19*3+AJC19*1,"")</f>
        <v/>
      </c>
      <c r="AJI19" s="319" t="str">
        <f t="shared" ref="AJI19" ca="1" si="5708">IF(AJA19&lt;&gt;"",VLOOKUP(AJA19,AHN4:AHT40,7,FALSE),"")</f>
        <v/>
      </c>
      <c r="AJJ19" s="319" t="str">
        <f t="shared" ref="AJJ19" ca="1" si="5709">IF(AJA19&lt;&gt;"",VLOOKUP(AJA19,AHN4:AHT40,5,FALSE),"")</f>
        <v/>
      </c>
      <c r="AJK19" s="319" t="str">
        <f t="shared" ref="AJK19" ca="1" si="5710">IF(AJA19&lt;&gt;"",VLOOKUP(AJA19,AHN4:AHV40,9,FALSE),"")</f>
        <v/>
      </c>
      <c r="AJL19" s="319" t="str">
        <f t="shared" ref="AJL19:AJL21" ca="1" si="5711">AJH19</f>
        <v/>
      </c>
      <c r="AJM19" s="319" t="str">
        <f t="shared" ref="AJM19" ca="1" si="5712">IF(AJA19&lt;&gt;"",RANK(AJL19,AJL18:AJL22),"")</f>
        <v/>
      </c>
      <c r="AJN19" s="319" t="str">
        <f t="shared" ref="AJN19" ca="1" si="5713">IF(AJA19&lt;&gt;"",SUMPRODUCT((AJL18:AJL22=AJL19)*(AJG18:AJG22&gt;AJG19)),"")</f>
        <v/>
      </c>
      <c r="AJO19" s="319" t="str">
        <f t="shared" ref="AJO19" ca="1" si="5714">IF(AJA19&lt;&gt;"",SUMPRODUCT((AJL18:AJL22=AJL19)*(AJG18:AJG22=AJG19)*(AJE18:AJE22&gt;AJE19)),"")</f>
        <v/>
      </c>
      <c r="AJP19" s="319" t="str">
        <f t="shared" ref="AJP19" ca="1" si="5715">IF(AJA19&lt;&gt;"",SUMPRODUCT((AJL18:AJL22=AJL19)*(AJG18:AJG22=AJG19)*(AJE18:AJE22=AJE19)*(AJI18:AJI22&gt;AJI19)),"")</f>
        <v/>
      </c>
      <c r="AJQ19" s="319" t="str">
        <f t="shared" ref="AJQ19" ca="1" si="5716">IF(AJA19&lt;&gt;"",SUMPRODUCT((AJL18:AJL22=AJL19)*(AJG18:AJG22=AJG19)*(AJE18:AJE22=AJE19)*(AJI18:AJI22=AJI19)*(AJJ18:AJJ22&gt;AJJ19)),"")</f>
        <v/>
      </c>
      <c r="AJR19" s="319" t="str">
        <f t="shared" ref="AJR19" ca="1" si="5717">IF(AJA19&lt;&gt;"",SUMPRODUCT((AJL18:AJL22=AJL19)*(AJG18:AJG22=AJG19)*(AJE18:AJE22=AJE19)*(AJI18:AJI22=AJI19)*(AJJ18:AJJ22=AJJ19)*(AJK18:AJK22&gt;AJK19)),"")</f>
        <v/>
      </c>
      <c r="AJS19" s="319" t="str">
        <f ca="1">IF(AJA19&lt;&gt;"",IF(AJS59&lt;&gt;"",IF(AIZ57=3,AJS59,AJS59+AIZ57),SUM(AJM19:AJR19)+1),"")</f>
        <v/>
      </c>
      <c r="AJT19" s="319" t="str">
        <f t="shared" ref="AJT19" ca="1" si="5718">IF(AJA19&lt;&gt;"",INDEX(AJA19:AJA22,MATCH(2,AJS19:AJS22,0),0),"")</f>
        <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0</v>
      </c>
      <c r="ALN19" s="322">
        <f ca="1">IF(OFFSET('Player Game Board'!Q26,0,ALM1)&lt;&gt;"",OFFSET('Player Game Board'!Q26,0,ALM1),0)</f>
        <v>0</v>
      </c>
      <c r="ALO19" s="319" t="str">
        <f t="shared" si="83"/>
        <v>England</v>
      </c>
      <c r="ALP19" s="319" t="str">
        <f ca="1">IF(AND(OFFSET('Player Game Board'!P26,0,ALM1)&lt;&gt;"",OFFSET('Player Game Board'!Q26,0,ALM1)&lt;&gt;""),IF(ALM19&gt;ALN19,"W",IF(ALM19=ALN19,"D","L")),"")</f>
        <v/>
      </c>
      <c r="ALQ19" s="319" t="str">
        <f t="shared" ref="ALQ19:ALQ38" ca="1" si="5720">IF(ALP19&lt;&gt;"",IF(ALP19="W","L",IF(ALP19="L","W","D")),"")</f>
        <v/>
      </c>
      <c r="ALR19" s="319"/>
      <c r="ALS19" s="319"/>
      <c r="ALT19" s="324" t="s">
        <v>101</v>
      </c>
      <c r="ALU19" s="325" t="s">
        <v>103</v>
      </c>
      <c r="ALV19" s="325" t="s">
        <v>104</v>
      </c>
      <c r="ALW19" s="325" t="s">
        <v>105</v>
      </c>
      <c r="ALX19" s="324" t="s">
        <v>105</v>
      </c>
      <c r="ALY19" s="324" t="s">
        <v>104</v>
      </c>
      <c r="ALZ19" s="324" t="s">
        <v>103</v>
      </c>
      <c r="AMA19" s="324" t="s">
        <v>101</v>
      </c>
      <c r="AMB19" s="325"/>
      <c r="AMC19" s="326">
        <f t="shared" ref="AMC19" ca="1" si="5721">IFERROR(MATCH(AMC12,ALT19:ALW19,0),0)</f>
        <v>1</v>
      </c>
      <c r="AMD19" s="326">
        <f t="shared" ref="AMD19" ca="1" si="5722">IFERROR(MATCH(AMD12,ALT19:ALW19,0),0)</f>
        <v>3</v>
      </c>
      <c r="AME19" s="326">
        <f t="shared" ref="AME19" ca="1" si="5723">IFERROR(MATCH(AME12,ALT19:ALW19,0),0)</f>
        <v>0</v>
      </c>
      <c r="AMF19" s="326">
        <f t="shared" ref="AMF19" ca="1" si="5724">IFERROR(MATCH(AMF12,ALT19:ALW19,0),0)</f>
        <v>2</v>
      </c>
      <c r="AMG19" s="326">
        <f t="shared" ca="1" si="3896"/>
        <v>6</v>
      </c>
      <c r="AMH19" s="325" t="s">
        <v>353</v>
      </c>
      <c r="AMI19" s="325" t="str">
        <f t="shared" ref="AMI19" ca="1" si="5725">INDEX(ALT3:ALT8,MATCH(INDEX(ALY13:ALY27,MATCH(10,AMG13:AMG27,0),0),AMH3:AMH8,0),0)</f>
        <v>Austria</v>
      </c>
      <c r="AMJ19" s="325">
        <f t="shared" ca="1" si="5267"/>
        <v>0</v>
      </c>
      <c r="AMK19" s="319">
        <f t="shared" ref="AMK19" ca="1" si="5726">VLOOKUP(AML19,AQG18:AQH22,2,FALSE)</f>
        <v>1</v>
      </c>
      <c r="AML19" s="319" t="str">
        <f t="shared" si="5269"/>
        <v>England</v>
      </c>
      <c r="AMM19" s="319">
        <f t="shared" ref="AMM19" ca="1" si="5727">SUMPRODUCT((AQJ3:AQJ42=AML19)*(AQN3:AQN42="W"))+SUMPRODUCT((AQM3:AQM42=AML19)*(AQO3:AQO42="W"))</f>
        <v>0</v>
      </c>
      <c r="AMN19" s="319">
        <f t="shared" ref="AMN19" ca="1" si="5728">SUMPRODUCT((AQJ3:AQJ42=AML19)*(AQN3:AQN42="D"))+SUMPRODUCT((AQM3:AQM42=AML19)*(AQO3:AQO42="D"))</f>
        <v>0</v>
      </c>
      <c r="AMO19" s="319">
        <f t="shared" ref="AMO19" ca="1" si="5729">SUMPRODUCT((AQJ3:AQJ42=AML19)*(AQN3:AQN42="L"))+SUMPRODUCT((AQM3:AQM42=AML19)*(AQO3:AQO42="L"))</f>
        <v>0</v>
      </c>
      <c r="AMP19" s="319">
        <f t="shared" ref="AMP19" ca="1" si="5730">SUMIF(AQJ3:AQJ60,AML19,AQK3:AQK60)+SUMIF(AQM3:AQM60,AML19,AQL3:AQL60)</f>
        <v>0</v>
      </c>
      <c r="AMQ19" s="319">
        <f t="shared" ref="AMQ19" ca="1" si="5731">SUMIF(AQM3:AQM60,AML19,AQK3:AQK60)+SUMIF(AQJ3:AQJ60,AML19,AQL3:AQL60)</f>
        <v>0</v>
      </c>
      <c r="AMR19" s="319">
        <f t="shared" ca="1" si="5275"/>
        <v>1000</v>
      </c>
      <c r="AMS19" s="319">
        <f t="shared" ca="1" si="5276"/>
        <v>0</v>
      </c>
      <c r="AMT19" s="319">
        <f t="shared" si="930"/>
        <v>49</v>
      </c>
      <c r="AMU19" s="319">
        <f t="shared" ref="AMU19" ca="1" si="5732">IF(COUNTIF(AMS18:AMS22,4)&lt;&gt;4,RANK(AMS19,AMS18:AMS22),AMS59)</f>
        <v>1</v>
      </c>
      <c r="AMV19" s="319"/>
      <c r="AMW19" s="319">
        <f t="shared" ref="AMW19" ca="1" si="5733">SUMPRODUCT((AMU18:AMU21=AMU19)*(AMT18:AMT21&lt;AMT19))+AMU19</f>
        <v>4</v>
      </c>
      <c r="AMX19" s="319" t="str">
        <f t="shared" ref="AMX19" ca="1" si="5734">INDEX(AML18:AML22,MATCH(2,AMW18:AMW22,0),0)</f>
        <v>Slovenia</v>
      </c>
      <c r="AMY19" s="319">
        <f t="shared" ref="AMY19" ca="1" si="5735">INDEX(AMU18:AMU22,MATCH(AMX19,AML18:AML22,0),0)</f>
        <v>1</v>
      </c>
      <c r="AMZ19" s="319" t="str">
        <f t="shared" ref="AMZ19" ca="1" si="5736">IF(AMZ18&lt;&gt;"",AMX19,"")</f>
        <v>Slovenia</v>
      </c>
      <c r="ANA19" s="319" t="str">
        <f t="shared" ref="ANA19" ca="1" si="5737">IF(ANA18&lt;&gt;"",AMX20,"")</f>
        <v/>
      </c>
      <c r="ANB19" s="319" t="str">
        <f t="shared" ref="ANB19" ca="1" si="5738">IF(ANB18&lt;&gt;"",AMX21,"")</f>
        <v/>
      </c>
      <c r="ANC19" s="319" t="str">
        <f t="shared" ref="ANC19" si="5739">IF(ANC18&lt;&gt;"",AMX22,"")</f>
        <v/>
      </c>
      <c r="AND19" s="319"/>
      <c r="ANE19" s="319" t="str">
        <f t="shared" ca="1" si="5285"/>
        <v>Slovenia</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0</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0</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0</v>
      </c>
      <c r="ANK19" s="319">
        <f t="shared" ca="1" si="5291"/>
        <v>1000</v>
      </c>
      <c r="ANL19" s="319">
        <f t="shared" ca="1" si="5292"/>
        <v>0</v>
      </c>
      <c r="ANM19" s="319">
        <f t="shared" ref="ANM19" ca="1" si="5745">IF(ANE19&lt;&gt;"",VLOOKUP(ANE19,AML4:AMR40,7,FALSE),"")</f>
        <v>1000</v>
      </c>
      <c r="ANN19" s="319">
        <f t="shared" ref="ANN19" ca="1" si="5746">IF(ANE19&lt;&gt;"",VLOOKUP(ANE19,AML4:AMR40,5,FALSE),"")</f>
        <v>0</v>
      </c>
      <c r="ANO19" s="319">
        <f t="shared" ref="ANO19" ca="1" si="5747">IF(ANE19&lt;&gt;"",VLOOKUP(ANE19,AML4:AMT40,9,FALSE),"")</f>
        <v>39</v>
      </c>
      <c r="ANP19" s="319">
        <f t="shared" ca="1" si="5296"/>
        <v>0</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2</v>
      </c>
      <c r="ANW19" s="319">
        <f ca="1">IF(ANE19&lt;&gt;"",IF(ANW59&lt;&gt;"",IF(AND57=3,ANW59,ANW59+AND57),SUM(ANQ19:ANV19)),"")</f>
        <v>3</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0</v>
      </c>
      <c r="AQL19" s="322">
        <f ca="1">IF(OFFSET('Player Game Board'!Q26,0,AQK1)&lt;&gt;"",OFFSET('Player Game Board'!Q26,0,AQK1),0)</f>
        <v>0</v>
      </c>
      <c r="AQM19" s="319" t="str">
        <f t="shared" si="99"/>
        <v>England</v>
      </c>
      <c r="AQN19" s="319" t="str">
        <f ca="1">IF(AND(OFFSET('Player Game Board'!P26,0,AQK1)&lt;&gt;"",OFFSET('Player Game Board'!Q26,0,AQK1)&lt;&gt;""),IF(AQK19&gt;AQL19,"W",IF(AQK19=AQL19,"D","L")),"")</f>
        <v/>
      </c>
      <c r="AQO19" s="319" t="str">
        <f t="shared" ref="AQO19:AQO38" ca="1" si="5775">IF(AQN19&lt;&gt;"",IF(AQN19="W","L",IF(AQN19="L","W","D")),"")</f>
        <v/>
      </c>
      <c r="AQP19" s="319"/>
      <c r="AQQ19" s="319"/>
      <c r="AQR19" s="324" t="s">
        <v>101</v>
      </c>
      <c r="AQS19" s="325" t="s">
        <v>103</v>
      </c>
      <c r="AQT19" s="325" t="s">
        <v>104</v>
      </c>
      <c r="AQU19" s="325" t="s">
        <v>105</v>
      </c>
      <c r="AQV19" s="324" t="s">
        <v>105</v>
      </c>
      <c r="AQW19" s="324" t="s">
        <v>104</v>
      </c>
      <c r="AQX19" s="324" t="s">
        <v>103</v>
      </c>
      <c r="AQY19" s="324" t="s">
        <v>101</v>
      </c>
      <c r="AQZ19" s="325"/>
      <c r="ARA19" s="326">
        <f t="shared" ref="ARA19" ca="1" si="5776">IFERROR(MATCH(ARA12,AQR19:AQU19,0),0)</f>
        <v>1</v>
      </c>
      <c r="ARB19" s="326">
        <f t="shared" ref="ARB19" ca="1" si="5777">IFERROR(MATCH(ARB12,AQR19:AQU19,0),0)</f>
        <v>3</v>
      </c>
      <c r="ARC19" s="326">
        <f t="shared" ref="ARC19" ca="1" si="5778">IFERROR(MATCH(ARC12,AQR19:AQU19,0),0)</f>
        <v>0</v>
      </c>
      <c r="ARD19" s="326">
        <f t="shared" ref="ARD19" ca="1" si="5779">IFERROR(MATCH(ARD12,AQR19:AQU19,0),0)</f>
        <v>2</v>
      </c>
      <c r="ARE19" s="326">
        <f t="shared" ca="1" si="3966"/>
        <v>6</v>
      </c>
      <c r="ARF19" s="325" t="s">
        <v>353</v>
      </c>
      <c r="ARG19" s="325" t="str">
        <f t="shared" ref="ARG19" ca="1" si="5780">INDEX(AQR3:AQR8,MATCH(INDEX(AQW13:AQW27,MATCH(10,ARE13:ARE27,0),0),ARF3:ARF8,0),0)</f>
        <v>Austria</v>
      </c>
      <c r="ARH19" s="325">
        <f t="shared" ca="1" si="5310"/>
        <v>0</v>
      </c>
      <c r="ARI19" s="319">
        <f t="shared" ref="ARI19" ca="1" si="5781">VLOOKUP(ARJ19,AVE18:AVF22,2,FALSE)</f>
        <v>1</v>
      </c>
      <c r="ARJ19" s="319" t="str">
        <f t="shared" si="5312"/>
        <v>England</v>
      </c>
      <c r="ARK19" s="319">
        <f t="shared" ref="ARK19" ca="1" si="5782">SUMPRODUCT((AVH3:AVH42=ARJ19)*(AVL3:AVL42="W"))+SUMPRODUCT((AVK3:AVK42=ARJ19)*(AVM3:AVM42="W"))</f>
        <v>0</v>
      </c>
      <c r="ARL19" s="319">
        <f t="shared" ref="ARL19" ca="1" si="5783">SUMPRODUCT((AVH3:AVH42=ARJ19)*(AVL3:AVL42="D"))+SUMPRODUCT((AVK3:AVK42=ARJ19)*(AVM3:AVM42="D"))</f>
        <v>0</v>
      </c>
      <c r="ARM19" s="319">
        <f t="shared" ref="ARM19" ca="1" si="5784">SUMPRODUCT((AVH3:AVH42=ARJ19)*(AVL3:AVL42="L"))+SUMPRODUCT((AVK3:AVK42=ARJ19)*(AVM3:AVM42="L"))</f>
        <v>0</v>
      </c>
      <c r="ARN19" s="319">
        <f t="shared" ref="ARN19" ca="1" si="5785">SUMIF(AVH3:AVH60,ARJ19,AVI3:AVI60)+SUMIF(AVK3:AVK60,ARJ19,AVJ3:AVJ60)</f>
        <v>0</v>
      </c>
      <c r="ARO19" s="319">
        <f t="shared" ref="ARO19" ca="1" si="5786">SUMIF(AVK3:AVK60,ARJ19,AVI3:AVI60)+SUMIF(AVH3:AVH60,ARJ19,AVJ3:AVJ60)</f>
        <v>0</v>
      </c>
      <c r="ARP19" s="319">
        <f t="shared" ca="1" si="5318"/>
        <v>1000</v>
      </c>
      <c r="ARQ19" s="319">
        <f t="shared" ca="1" si="5319"/>
        <v>0</v>
      </c>
      <c r="ARR19" s="319">
        <f t="shared" si="990"/>
        <v>49</v>
      </c>
      <c r="ARS19" s="319">
        <f t="shared" ref="ARS19" ca="1" si="5787">IF(COUNTIF(ARQ18:ARQ22,4)&lt;&gt;4,RANK(ARQ19,ARQ18:ARQ22),ARQ59)</f>
        <v>1</v>
      </c>
      <c r="ART19" s="319"/>
      <c r="ARU19" s="319">
        <f t="shared" ref="ARU19" ca="1" si="5788">SUMPRODUCT((ARS18:ARS21=ARS19)*(ARR18:ARR21&lt;ARR19))+ARS19</f>
        <v>4</v>
      </c>
      <c r="ARV19" s="319" t="str">
        <f t="shared" ref="ARV19" ca="1" si="5789">INDEX(ARJ18:ARJ22,MATCH(2,ARU18:ARU22,0),0)</f>
        <v>Slovenia</v>
      </c>
      <c r="ARW19" s="319">
        <f t="shared" ref="ARW19" ca="1" si="5790">INDEX(ARS18:ARS22,MATCH(ARV19,ARJ18:ARJ22,0),0)</f>
        <v>1</v>
      </c>
      <c r="ARX19" s="319" t="str">
        <f t="shared" ref="ARX19" ca="1" si="5791">IF(ARX18&lt;&gt;"",ARV19,"")</f>
        <v>Slovenia</v>
      </c>
      <c r="ARY19" s="319" t="str">
        <f t="shared" ref="ARY19" ca="1" si="5792">IF(ARY18&lt;&gt;"",ARV20,"")</f>
        <v/>
      </c>
      <c r="ARZ19" s="319" t="str">
        <f t="shared" ref="ARZ19" ca="1" si="5793">IF(ARZ18&lt;&gt;"",ARV21,"")</f>
        <v/>
      </c>
      <c r="ASA19" s="319" t="str">
        <f t="shared" ref="ASA19" si="5794">IF(ASA18&lt;&gt;"",ARV22,"")</f>
        <v/>
      </c>
      <c r="ASB19" s="319"/>
      <c r="ASC19" s="319" t="str">
        <f t="shared" ca="1" si="5328"/>
        <v>Slovenia</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f t="shared" ca="1" si="5335"/>
        <v>0</v>
      </c>
      <c r="ASK19" s="319">
        <f t="shared" ref="ASK19" ca="1" si="5800">IF(ASC19&lt;&gt;"",VLOOKUP(ASC19,ARJ4:ARP40,7,FALSE),"")</f>
        <v>1000</v>
      </c>
      <c r="ASL19" s="319">
        <f t="shared" ref="ASL19" ca="1" si="5801">IF(ASC19&lt;&gt;"",VLOOKUP(ASC19,ARJ4:ARP40,5,FALSE),"")</f>
        <v>0</v>
      </c>
      <c r="ASM19" s="319">
        <f t="shared" ref="ASM19" ca="1" si="5802">IF(ASC19&lt;&gt;"",VLOOKUP(ASC19,ARJ4:ARR40,9,FALSE),"")</f>
        <v>39</v>
      </c>
      <c r="ASN19" s="319">
        <f t="shared" ca="1" si="5339"/>
        <v>0</v>
      </c>
      <c r="ASO19" s="319">
        <f t="shared" ref="ASO19" ca="1" si="5803">IF(ASC19&lt;&gt;"",RANK(ASN19,ASN18:ASN22),"")</f>
        <v>1</v>
      </c>
      <c r="ASP19" s="319">
        <f t="shared" ref="ASP19" ca="1" si="5804">IF(ASC19&lt;&gt;"",SUMPRODUCT((ASN18:ASN22=ASN19)*(ASI18:ASI22&gt;ASI19)),"")</f>
        <v>0</v>
      </c>
      <c r="ASQ19" s="319">
        <f t="shared" ref="ASQ19" ca="1" si="5805">IF(ASC19&lt;&gt;"",SUMPRODUCT((ASN18:ASN22=ASN19)*(ASI18:ASI22=ASI19)*(ASG18:ASG22&gt;ASG19)),"")</f>
        <v>0</v>
      </c>
      <c r="ASR19" s="319">
        <f t="shared" ref="ASR19" ca="1" si="5806">IF(ASC19&lt;&gt;"",SUMPRODUCT((ASN18:ASN22=ASN19)*(ASI18:ASI22=ASI19)*(ASG18:ASG22=ASG19)*(ASK18:ASK22&gt;ASK19)),"")</f>
        <v>0</v>
      </c>
      <c r="ASS19" s="319">
        <f t="shared" ref="ASS19" ca="1" si="5807">IF(ASC19&lt;&gt;"",SUMPRODUCT((ASN18:ASN22=ASN19)*(ASI18:ASI22=ASI19)*(ASG18:ASG22=ASG19)*(ASK18:ASK22=ASK19)*(ASL18:ASL22&gt;ASL19)),"")</f>
        <v>0</v>
      </c>
      <c r="AST19" s="319">
        <f t="shared" ref="AST19" ca="1" si="5808">IF(ASC19&lt;&gt;"",SUMPRODUCT((ASN18:ASN22=ASN19)*(ASI18:ASI22=ASI19)*(ASG18:ASG22=ASG19)*(ASK18:ASK22=ASK19)*(ASL18:ASL22=ASL19)*(ASM18:ASM22&gt;ASM19)),"")</f>
        <v>2</v>
      </c>
      <c r="ASU19" s="319">
        <f ca="1">IF(ASC19&lt;&gt;"",IF(ASU59&lt;&gt;"",IF(ASB57=3,ASU59,ASU59+ASB57),SUM(ASO19:AST19)),"")</f>
        <v>3</v>
      </c>
      <c r="ASV19" s="319" t="str">
        <f t="shared" ref="ASV19" ca="1" si="5809">IF(ASC19&lt;&gt;"",INDEX(ASC18:ASC22,MATCH(2,ASU18:ASU22,0),0),"")</f>
        <v>Denmark</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Denmark</v>
      </c>
      <c r="AVF19" s="319">
        <v>2</v>
      </c>
      <c r="AVG19" s="319">
        <v>17</v>
      </c>
      <c r="AVH19" s="319" t="str">
        <f t="shared" si="114"/>
        <v>Denmark</v>
      </c>
      <c r="AVI19" s="322">
        <f ca="1">IF(OFFSET('Player Game Board'!P26,0,AVI1)&lt;&gt;"",OFFSET('Player Game Board'!P26,0,AVI1),0)</f>
        <v>0</v>
      </c>
      <c r="AVJ19" s="322">
        <f ca="1">IF(OFFSET('Player Game Board'!Q26,0,AVI1)&lt;&gt;"",OFFSET('Player Game Board'!Q26,0,AVI1),0)</f>
        <v>0</v>
      </c>
      <c r="AVK19" s="319" t="str">
        <f t="shared" si="115"/>
        <v>England</v>
      </c>
      <c r="AVL19" s="319" t="str">
        <f ca="1">IF(AND(OFFSET('Player Game Board'!P26,0,AVI1)&lt;&gt;"",OFFSET('Player Game Board'!Q26,0,AVI1)&lt;&gt;""),IF(AVI19&gt;AVJ19,"W",IF(AVI19=AVJ19,"D","L")),"")</f>
        <v/>
      </c>
      <c r="AVM19" s="319" t="str">
        <f t="shared" ref="AVM19:AVM38" ca="1" si="5830">IF(AVL19&lt;&gt;"",IF(AVL19="W","L",IF(AVL19="L","W","D")),"")</f>
        <v/>
      </c>
      <c r="AVN19" s="319"/>
      <c r="AVO19" s="319"/>
      <c r="AVP19" s="324" t="s">
        <v>101</v>
      </c>
      <c r="AVQ19" s="325" t="s">
        <v>103</v>
      </c>
      <c r="AVR19" s="325" t="s">
        <v>104</v>
      </c>
      <c r="AVS19" s="325" t="s">
        <v>105</v>
      </c>
      <c r="AVT19" s="324" t="s">
        <v>105</v>
      </c>
      <c r="AVU19" s="324" t="s">
        <v>104</v>
      </c>
      <c r="AVV19" s="324" t="s">
        <v>103</v>
      </c>
      <c r="AVW19" s="324" t="s">
        <v>101</v>
      </c>
      <c r="AVX19" s="325"/>
      <c r="AVY19" s="326">
        <f t="shared" ref="AVY19" ca="1" si="5831">IFERROR(MATCH(AVY12,AVP19:AVS19,0),0)</f>
        <v>1</v>
      </c>
      <c r="AVZ19" s="326">
        <f t="shared" ref="AVZ19" ca="1" si="5832">IFERROR(MATCH(AVZ12,AVP19:AVS19,0),0)</f>
        <v>3</v>
      </c>
      <c r="AWA19" s="326">
        <f t="shared" ref="AWA19" ca="1" si="5833">IFERROR(MATCH(AWA12,AVP19:AVS19,0),0)</f>
        <v>0</v>
      </c>
      <c r="AWB19" s="326">
        <f t="shared" ref="AWB19" ca="1" si="5834">IFERROR(MATCH(AWB12,AVP19:AVS19,0),0)</f>
        <v>2</v>
      </c>
      <c r="AWC19" s="326">
        <f t="shared" ca="1" si="4036"/>
        <v>6</v>
      </c>
      <c r="AWD19" s="325" t="s">
        <v>353</v>
      </c>
      <c r="AWE19" s="325" t="str">
        <f t="shared" ref="AWE19" ca="1" si="5835">INDEX(AVP3:AVP8,MATCH(INDEX(AVU13:AVU27,MATCH(10,AWC13:AWC27,0),0),AWD3:AWD8,0),0)</f>
        <v>Austria</v>
      </c>
      <c r="AWF19" s="325">
        <f t="shared" ca="1" si="5353"/>
        <v>0</v>
      </c>
      <c r="AWG19" s="319">
        <f t="shared" ref="AWG19" ca="1" si="5836">VLOOKUP(AWH19,BAC18:BAD22,2,FALSE)</f>
        <v>1</v>
      </c>
      <c r="AWH19" s="319" t="str">
        <f t="shared" si="5355"/>
        <v>England</v>
      </c>
      <c r="AWI19" s="319">
        <f t="shared" ref="AWI19" ca="1" si="5837">SUMPRODUCT((BAF3:BAF42=AWH19)*(BAJ3:BAJ42="W"))+SUMPRODUCT((BAI3:BAI42=AWH19)*(BAK3:BAK42="W"))</f>
        <v>0</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0</v>
      </c>
      <c r="AWM19" s="319">
        <f t="shared" ref="AWM19" ca="1" si="5841">SUMIF(BAI3:BAI60,AWH19,BAG3:BAG60)+SUMIF(BAF3:BAF60,AWH19,BAH3:BAH60)</f>
        <v>0</v>
      </c>
      <c r="AWN19" s="319">
        <f t="shared" ca="1" si="5361"/>
        <v>1000</v>
      </c>
      <c r="AWO19" s="319">
        <f t="shared" ca="1" si="5362"/>
        <v>0</v>
      </c>
      <c r="AWP19" s="319">
        <f t="shared" si="1050"/>
        <v>49</v>
      </c>
      <c r="AWQ19" s="319">
        <f t="shared" ref="AWQ19" ca="1" si="5842">IF(COUNTIF(AWO18:AWO22,4)&lt;&gt;4,RANK(AWO19,AWO18:AWO22),AWO59)</f>
        <v>1</v>
      </c>
      <c r="AWR19" s="319"/>
      <c r="AWS19" s="319">
        <f t="shared" ref="AWS19" ca="1" si="5843">SUMPRODUCT((AWQ18:AWQ21=AWQ19)*(AWP18:AWP21&lt;AWP19))+AWQ19</f>
        <v>4</v>
      </c>
      <c r="AWT19" s="319" t="str">
        <f t="shared" ref="AWT19" ca="1" si="5844">INDEX(AWH18:AWH22,MATCH(2,AWS18:AWS22,0),0)</f>
        <v>Slovenia</v>
      </c>
      <c r="AWU19" s="319">
        <f t="shared" ref="AWU19" ca="1" si="5845">INDEX(AWQ18:AWQ22,MATCH(AWT19,AWH18:AWH22,0),0)</f>
        <v>1</v>
      </c>
      <c r="AWV19" s="319" t="str">
        <f t="shared" ref="AWV19" ca="1" si="5846">IF(AWV18&lt;&gt;"",AWT19,"")</f>
        <v>Slovenia</v>
      </c>
      <c r="AWW19" s="319" t="str">
        <f t="shared" ref="AWW19" ca="1" si="5847">IF(AWW18&lt;&gt;"",AWT20,"")</f>
        <v/>
      </c>
      <c r="AWX19" s="319" t="str">
        <f t="shared" ref="AWX19" ca="1" si="5848">IF(AWX18&lt;&gt;"",AWT21,"")</f>
        <v/>
      </c>
      <c r="AWY19" s="319" t="str">
        <f t="shared" ref="AWY19" si="5849">IF(AWY18&lt;&gt;"",AWT22,"")</f>
        <v/>
      </c>
      <c r="AWZ19" s="319"/>
      <c r="AXA19" s="319" t="str">
        <f t="shared" ca="1" si="5371"/>
        <v>Slovenia</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f t="shared" ca="1" si="5378"/>
        <v>0</v>
      </c>
      <c r="AXI19" s="319">
        <f t="shared" ref="AXI19" ca="1" si="5855">IF(AXA19&lt;&gt;"",VLOOKUP(AXA19,AWH4:AWN40,7,FALSE),"")</f>
        <v>1000</v>
      </c>
      <c r="AXJ19" s="319">
        <f t="shared" ref="AXJ19" ca="1" si="5856">IF(AXA19&lt;&gt;"",VLOOKUP(AXA19,AWH4:AWN40,5,FALSE),"")</f>
        <v>0</v>
      </c>
      <c r="AXK19" s="319">
        <f t="shared" ref="AXK19" ca="1" si="5857">IF(AXA19&lt;&gt;"",VLOOKUP(AXA19,AWH4:AWP40,9,FALSE),"")</f>
        <v>39</v>
      </c>
      <c r="AXL19" s="319">
        <f t="shared" ca="1" si="5382"/>
        <v>0</v>
      </c>
      <c r="AXM19" s="319">
        <f t="shared" ref="AXM19" ca="1" si="5858">IF(AXA19&lt;&gt;"",RANK(AXL19,AXL18:AXL22),"")</f>
        <v>1</v>
      </c>
      <c r="AXN19" s="319">
        <f t="shared" ref="AXN19" ca="1" si="5859">IF(AXA19&lt;&gt;"",SUMPRODUCT((AXL18:AXL22=AXL19)*(AXG18:AXG22&gt;AXG19)),"")</f>
        <v>0</v>
      </c>
      <c r="AXO19" s="319">
        <f t="shared" ref="AXO19" ca="1" si="5860">IF(AXA19&lt;&gt;"",SUMPRODUCT((AXL18:AXL22=AXL19)*(AXG18:AXG22=AXG19)*(AXE18:AXE22&gt;AXE19)),"")</f>
        <v>0</v>
      </c>
      <c r="AXP19" s="319">
        <f t="shared" ref="AXP19" ca="1" si="5861">IF(AXA19&lt;&gt;"",SUMPRODUCT((AXL18:AXL22=AXL19)*(AXG18:AXG22=AXG19)*(AXE18:AXE22=AXE19)*(AXI18:AXI22&gt;AXI19)),"")</f>
        <v>0</v>
      </c>
      <c r="AXQ19" s="319">
        <f t="shared" ref="AXQ19" ca="1" si="5862">IF(AXA19&lt;&gt;"",SUMPRODUCT((AXL18:AXL22=AXL19)*(AXG18:AXG22=AXG19)*(AXE18:AXE22=AXE19)*(AXI18:AXI22=AXI19)*(AXJ18:AXJ22&gt;AXJ19)),"")</f>
        <v>0</v>
      </c>
      <c r="AXR19" s="319">
        <f t="shared" ref="AXR19" ca="1" si="5863">IF(AXA19&lt;&gt;"",SUMPRODUCT((AXL18:AXL22=AXL19)*(AXG18:AXG22=AXG19)*(AXE18:AXE22=AXE19)*(AXI18:AXI22=AXI19)*(AXJ18:AXJ22=AXJ19)*(AXK18:AXK22&gt;AXK19)),"")</f>
        <v>2</v>
      </c>
      <c r="AXS19" s="319">
        <f ca="1">IF(AXA19&lt;&gt;"",IF(AXS59&lt;&gt;"",IF(AWZ57=3,AXS59,AXS59+AWZ57),SUM(AXM19:AXR19)),"")</f>
        <v>3</v>
      </c>
      <c r="AXT19" s="319" t="str">
        <f t="shared" ref="AXT19" ca="1" si="5864">IF(AXA19&lt;&gt;"",INDEX(AXA18:AXA22,MATCH(2,AXS18:AXS22,0),0),"")</f>
        <v>Denmark</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0</v>
      </c>
      <c r="BAH19" s="322">
        <f ca="1">IF(OFFSET('Player Game Board'!Q26,0,BAG1)&lt;&gt;"",OFFSET('Player Game Board'!Q26,0,BAG1),0)</f>
        <v>0</v>
      </c>
      <c r="BAI19" s="319" t="str">
        <f t="shared" si="131"/>
        <v>England</v>
      </c>
      <c r="BAJ19" s="319" t="str">
        <f ca="1">IF(AND(OFFSET('Player Game Board'!P26,0,BAG1)&lt;&gt;"",OFFSET('Player Game Board'!Q26,0,BAG1)&lt;&gt;""),IF(BAG19&gt;BAH19,"W",IF(BAG19=BAH19,"D","L")),"")</f>
        <v/>
      </c>
      <c r="BAK19" s="319" t="str">
        <f t="shared" ref="BAK19:BAK38" ca="1" si="5885">IF(BAJ19&lt;&gt;"",IF(BAJ19="W","L",IF(BAJ19="L","W","D")),"")</f>
        <v/>
      </c>
      <c r="BAL19" s="319"/>
      <c r="BAM19" s="319"/>
      <c r="BAN19" s="324" t="s">
        <v>101</v>
      </c>
      <c r="BAO19" s="325" t="s">
        <v>103</v>
      </c>
      <c r="BAP19" s="325" t="s">
        <v>104</v>
      </c>
      <c r="BAQ19" s="325" t="s">
        <v>105</v>
      </c>
      <c r="BAR19" s="324" t="s">
        <v>105</v>
      </c>
      <c r="BAS19" s="324" t="s">
        <v>104</v>
      </c>
      <c r="BAT19" s="324" t="s">
        <v>103</v>
      </c>
      <c r="BAU19" s="324" t="s">
        <v>101</v>
      </c>
      <c r="BAV19" s="325"/>
      <c r="BAW19" s="326">
        <f t="shared" ref="BAW19" ca="1" si="5886">IFERROR(MATCH(BAW12,BAN19:BAQ19,0),0)</f>
        <v>1</v>
      </c>
      <c r="BAX19" s="326">
        <f t="shared" ref="BAX19" ca="1" si="5887">IFERROR(MATCH(BAX12,BAN19:BAQ19,0),0)</f>
        <v>3</v>
      </c>
      <c r="BAY19" s="326">
        <f t="shared" ref="BAY19" ca="1" si="5888">IFERROR(MATCH(BAY12,BAN19:BAQ19,0),0)</f>
        <v>0</v>
      </c>
      <c r="BAZ19" s="326">
        <f t="shared" ref="BAZ19" ca="1" si="5889">IFERROR(MATCH(BAZ12,BAN19:BAQ19,0),0)</f>
        <v>2</v>
      </c>
      <c r="BBA19" s="326">
        <f t="shared" ca="1" si="4106"/>
        <v>6</v>
      </c>
      <c r="BBB19" s="325" t="s">
        <v>353</v>
      </c>
      <c r="BBC19" s="325" t="str">
        <f t="shared" ref="BBC19" ca="1" si="5890">INDEX(BAN3:BAN8,MATCH(INDEX(BAS13:BAS27,MATCH(10,BBA13:BBA27,0),0),BBB3:BBB8,0),0)</f>
        <v>Austria</v>
      </c>
      <c r="BBD19" s="325">
        <f t="shared" ca="1" si="5396"/>
        <v>0</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101</v>
      </c>
      <c r="BFM19" s="325" t="s">
        <v>103</v>
      </c>
      <c r="BFN19" s="325" t="s">
        <v>104</v>
      </c>
      <c r="BFO19" s="325" t="s">
        <v>105</v>
      </c>
      <c r="BFP19" s="324" t="s">
        <v>105</v>
      </c>
      <c r="BFQ19" s="324" t="s">
        <v>104</v>
      </c>
      <c r="BFR19" s="324" t="s">
        <v>103</v>
      </c>
      <c r="BFS19" s="324" t="s">
        <v>101</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353</v>
      </c>
      <c r="BGA19" s="325" t="str">
        <f t="shared" ref="BGA19" ca="1" si="5945">INDEX(BFL3:BFL8,MATCH(INDEX(BFQ13:BFQ27,MATCH(10,BFY13:BFY27,0),0),BFZ3:BFZ8,0),0)</f>
        <v>Austria</v>
      </c>
      <c r="BGB19" s="325">
        <f t="shared" ca="1" si="5439"/>
        <v>0</v>
      </c>
    </row>
    <row r="20" spans="1:1536" ht="13.8" x14ac:dyDescent="0.3">
      <c r="A20" s="319">
        <f>VLOOKUP(B20,CW18:CX22,2,FALSE)</f>
        <v>3</v>
      </c>
      <c r="B20" s="319" t="str">
        <f>'Language Table'!C23</f>
        <v>Slovenia</v>
      </c>
      <c r="C20" s="319">
        <f>SUMPRODUCT((CZ3:CZ42=B20)*(DD3:DD42="W"))+SUMPRODUCT((DC3:DC42=B20)*(DE3:DE42="W"))</f>
        <v>0</v>
      </c>
      <c r="D20" s="319">
        <f>SUMPRODUCT((CZ3:CZ42=B20)*(DD3:DD42="D"))+SUMPRODUCT((DC3:DC42=B20)*(DE3:DE42="D"))</f>
        <v>1</v>
      </c>
      <c r="E20" s="319">
        <f>SUMPRODUCT((CZ3:CZ42=B20)*(DD3:DD42="L"))+SUMPRODUCT((DC3:DC42=B20)*(DE3:DE42="L"))</f>
        <v>0</v>
      </c>
      <c r="F20" s="319">
        <f>SUMIF(CZ3:CZ60,B20,DA3:DA60)+SUMIF(DC3:DC60,B20,DB3:DB60)</f>
        <v>1</v>
      </c>
      <c r="G20" s="319">
        <f>SUMIF(DC3:DC60,B20,DA3:DA60)+SUMIF(CZ3:CZ60,B20,DB3:DB60)</f>
        <v>1</v>
      </c>
      <c r="H20" s="319">
        <f t="shared" si="5039"/>
        <v>1000</v>
      </c>
      <c r="I20" s="319">
        <f t="shared" si="5040"/>
        <v>1</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1</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0</v>
      </c>
      <c r="DB20" s="319">
        <f>IF(AND(Matches!I25&lt;&gt;"",Matches!H25&lt;&gt;""),Matches!I25,0)</f>
        <v>0</v>
      </c>
      <c r="DC20" s="319" t="str">
        <f>Matches!J25</f>
        <v>Serbia</v>
      </c>
      <c r="DD20" s="319" t="str">
        <f>IF(AND(Matches!H25&lt;&gt;"",Matches!I25&lt;&gt;""),IF(DA20&gt;DB20,"W",IF(DA20=DB20,"D","L")),"")</f>
        <v/>
      </c>
      <c r="DE20" s="319" t="str">
        <f t="shared" si="162"/>
        <v/>
      </c>
      <c r="DF20" s="319"/>
      <c r="DG20" s="319"/>
      <c r="DH20" s="324" t="s">
        <v>101</v>
      </c>
      <c r="DI20" s="325" t="s">
        <v>103</v>
      </c>
      <c r="DJ20" s="325" t="s">
        <v>104</v>
      </c>
      <c r="DK20" s="325" t="s">
        <v>106</v>
      </c>
      <c r="DL20" s="324" t="s">
        <v>106</v>
      </c>
      <c r="DM20" s="324" t="s">
        <v>104</v>
      </c>
      <c r="DN20" s="324" t="s">
        <v>103</v>
      </c>
      <c r="DO20" s="324" t="s">
        <v>101</v>
      </c>
      <c r="DP20" s="325"/>
      <c r="DQ20" s="326">
        <f>IFERROR(MATCH(DQ12,DH20:DK20,0),0)</f>
        <v>2</v>
      </c>
      <c r="DR20" s="326">
        <f>IFERROR(MATCH(DR12,DH20:DK20,0),0)</f>
        <v>0</v>
      </c>
      <c r="DS20" s="326">
        <f>IFERROR(MATCH(DS12,DH20:DK20,0),0)</f>
        <v>4</v>
      </c>
      <c r="DT20" s="326">
        <f>IFERROR(MATCH(DT12,DH20:DK20,0),0)</f>
        <v>3</v>
      </c>
      <c r="DU20" s="326">
        <f t="shared" si="3541"/>
        <v>9</v>
      </c>
      <c r="DV20" s="325" t="s">
        <v>354</v>
      </c>
      <c r="DW20" s="325" t="str">
        <f>INDEX(DH3:DH8,MATCH(INDEX(DN13:DN27,MATCH(10,DU13:DU27,0),0),DV3:DV8,0),0)</f>
        <v>Slovenia</v>
      </c>
      <c r="DX20" s="325"/>
      <c r="DY20" s="319">
        <f ca="1">VLOOKUP(DZ20,HU18:HV22,2,FALSE)</f>
        <v>3</v>
      </c>
      <c r="DZ20" s="319" t="str">
        <f t="shared" si="5443"/>
        <v>Slovenia</v>
      </c>
      <c r="EA20" s="319">
        <f ca="1">SUMPRODUCT((HX3:HX42=DZ20)*(IB3:IB42="W"))+SUMPRODUCT((IA3:IA42=DZ20)*(IC3:IC42="W"))</f>
        <v>0</v>
      </c>
      <c r="EB20" s="319">
        <f ca="1">SUMPRODUCT((HX3:HX42=DZ20)*(IB3:IB42="D"))+SUMPRODUCT((IA3:IA42=DZ20)*(IC3:IC42="D"))</f>
        <v>2</v>
      </c>
      <c r="EC20" s="319">
        <f ca="1">SUMPRODUCT((HX3:HX42=DZ20)*(IB3:IB42="L"))+SUMPRODUCT((IA3:IA42=DZ20)*(IC3:IC42="L"))</f>
        <v>1</v>
      </c>
      <c r="ED20" s="319">
        <f ca="1">SUMIF(HX3:HX60,DZ20,HY3:HY60)+SUMIF(IA3:IA60,DZ20,HZ3:HZ60)</f>
        <v>2</v>
      </c>
      <c r="EE20" s="319">
        <f ca="1">SUMIF(IA3:IA60,DZ20,HY3:HY60)+SUMIF(HX3:HX60,DZ20,HZ3:HZ60)</f>
        <v>5</v>
      </c>
      <c r="EF20" s="319">
        <f t="shared" ca="1" si="5043"/>
        <v>997</v>
      </c>
      <c r="EG20" s="319">
        <f t="shared" ca="1" si="5044"/>
        <v>2</v>
      </c>
      <c r="EH20" s="319">
        <f t="shared" si="609"/>
        <v>39</v>
      </c>
      <c r="EI20" s="319">
        <f ca="1">IF(COUNTIF(EG18:EG22,4)&lt;&gt;4,RANK(EG20,EG18:EG22),EG60)</f>
        <v>3</v>
      </c>
      <c r="EJ20" s="319"/>
      <c r="EK20" s="319">
        <f ca="1">SUMPRODUCT((EI18:EI21=EI20)*(EH18:EH21&lt;EH20))+EI20</f>
        <v>3</v>
      </c>
      <c r="EL20" s="319" t="str">
        <f ca="1">INDEX(DZ18:DZ22,MATCH(3,EK18:EK22,0),0)</f>
        <v>Slovenia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Slovenia</v>
      </c>
      <c r="HV20" s="319">
        <v>3</v>
      </c>
      <c r="HW20" s="319">
        <v>18</v>
      </c>
      <c r="HX20" s="319" t="str">
        <f t="shared" si="164"/>
        <v>Slovenia</v>
      </c>
      <c r="HY20" s="322">
        <f ca="1">IF(OFFSET('Player Game Board'!P27,0,HY1)&lt;&gt;"",OFFSET('Player Game Board'!P27,0,HY1),0)</f>
        <v>1</v>
      </c>
      <c r="HZ20" s="322">
        <f ca="1">IF(OFFSET('Player Game Board'!Q27,0,HY1)&lt;&gt;"",OFFSET('Player Game Board'!Q27,0,HY1),0)</f>
        <v>1</v>
      </c>
      <c r="IA20" s="319" t="str">
        <f t="shared" si="165"/>
        <v>Serbia</v>
      </c>
      <c r="IB20" s="319" t="str">
        <f ca="1">IF(AND(OFFSET('Player Game Board'!P27,0,HY1)&lt;&gt;"",OFFSET('Player Game Board'!Q27,0,HY1)&lt;&gt;""),IF(HY20&gt;HZ20,"W",IF(HY20=HZ20,"D","L")),"")</f>
        <v>D</v>
      </c>
      <c r="IC20" s="319" t="str">
        <f t="shared" ca="1" si="166"/>
        <v>D</v>
      </c>
      <c r="ID20" s="319"/>
      <c r="IE20" s="319"/>
      <c r="IF20" s="324" t="s">
        <v>101</v>
      </c>
      <c r="IG20" s="325" t="s">
        <v>103</v>
      </c>
      <c r="IH20" s="325" t="s">
        <v>104</v>
      </c>
      <c r="II20" s="325" t="s">
        <v>106</v>
      </c>
      <c r="IJ20" s="324" t="s">
        <v>106</v>
      </c>
      <c r="IK20" s="324" t="s">
        <v>104</v>
      </c>
      <c r="IL20" s="324" t="s">
        <v>103</v>
      </c>
      <c r="IM20" s="324" t="s">
        <v>101</v>
      </c>
      <c r="IN20" s="325"/>
      <c r="IO20" s="326">
        <f ca="1">IFERROR(MATCH(IO12,IF20:II20,0),0)</f>
        <v>1</v>
      </c>
      <c r="IP20" s="326">
        <f ca="1">IFERROR(MATCH(IP12,IF20:II20,0),0)</f>
        <v>3</v>
      </c>
      <c r="IQ20" s="326">
        <f ca="1">IFERROR(MATCH(IQ12,IF20:II20,0),0)</f>
        <v>4</v>
      </c>
      <c r="IR20" s="326">
        <f ca="1">IFERROR(MATCH(IR12,IF20:II20,0),0)</f>
        <v>0</v>
      </c>
      <c r="IS20" s="326">
        <f t="shared" ca="1" si="3544"/>
        <v>8</v>
      </c>
      <c r="IT20" s="325" t="s">
        <v>354</v>
      </c>
      <c r="IU20" s="325" t="str">
        <f ca="1">INDEX(IF3:IF8,MATCH(INDEX(IL13:IL27,MATCH(10,IS13:IS27,0),0),IT3:IT8,0),0)</f>
        <v>Scotland</v>
      </c>
      <c r="IV20" s="325">
        <f t="shared" ca="1" si="5047"/>
        <v>0</v>
      </c>
      <c r="IW20" s="319">
        <f ca="1">VLOOKUP(IX20,MS18:MT22,2,FALSE)</f>
        <v>3</v>
      </c>
      <c r="IX20" s="319" t="str">
        <f t="shared" si="5447"/>
        <v>Slovenia</v>
      </c>
      <c r="IY20" s="319">
        <f ca="1">SUMPRODUCT((MV3:MV42=IX20)*(MZ3:MZ42="W"))+SUMPRODUCT((MY3:MY42=IX20)*(NA3:NA42="W"))</f>
        <v>0</v>
      </c>
      <c r="IZ20" s="319">
        <f ca="1">SUMPRODUCT((MV3:MV42=IX20)*(MZ3:MZ42="D"))+SUMPRODUCT((MY3:MY42=IX20)*(NA3:NA42="D"))</f>
        <v>2</v>
      </c>
      <c r="JA20" s="319">
        <f ca="1">SUMPRODUCT((MV3:MV42=IX20)*(MZ3:MZ42="L"))+SUMPRODUCT((MY3:MY42=IX20)*(NA3:NA42="L"))</f>
        <v>1</v>
      </c>
      <c r="JB20" s="319">
        <f ca="1">SUMIF(MV3:MV60,IX20,MW3:MW60)+SUMIF(MY3:MY60,IX20,MX3:MX60)</f>
        <v>2</v>
      </c>
      <c r="JC20" s="319">
        <f ca="1">SUMIF(MY3:MY60,IX20,MW3:MW60)+SUMIF(MV3:MV60,IX20,MX3:MX60)</f>
        <v>3</v>
      </c>
      <c r="JD20" s="319">
        <f t="shared" ca="1" si="5048"/>
        <v>999</v>
      </c>
      <c r="JE20" s="319">
        <f t="shared" ca="1" si="5049"/>
        <v>2</v>
      </c>
      <c r="JF20" s="319">
        <f t="shared" si="618"/>
        <v>39</v>
      </c>
      <c r="JG20" s="319">
        <f ca="1">IF(COUNTIF(JE18:JE22,4)&lt;&gt;4,RANK(JE20,JE18:JE22),JE60)</f>
        <v>2</v>
      </c>
      <c r="JH20" s="319"/>
      <c r="JI20" s="319">
        <f ca="1">SUMPRODUCT((JG18:JG21=JG20)*(JF18:JF21&lt;JF20))+JG20</f>
        <v>3</v>
      </c>
      <c r="JJ20" s="319" t="str">
        <f ca="1">INDEX(IX18:IX22,MATCH(3,JI18:JI22,0),0)</f>
        <v>Slovenia</v>
      </c>
      <c r="JK20" s="319">
        <f ca="1">INDEX(JG18:JG22,MATCH(JJ20,IX18:IX22,0),0)</f>
        <v>2</v>
      </c>
      <c r="JL20" s="319" t="str">
        <f ca="1">IF(AND(JL19&lt;&gt;"",JK20=1),JJ20,"")</f>
        <v/>
      </c>
      <c r="JM20" s="319" t="str">
        <f ca="1">IF(AND(JM19&lt;&gt;"",JK21=2),JJ21,"")</f>
        <v>Denmark</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Slovenia</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2</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2</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2</v>
      </c>
      <c r="KQ20" s="319">
        <f ca="1">KO20-KP20+1000</f>
        <v>1000</v>
      </c>
      <c r="KR20" s="319">
        <f t="shared" ca="1" si="5449"/>
        <v>2</v>
      </c>
      <c r="KS20" s="319">
        <f ca="1">IF(KK20&lt;&gt;"",VLOOKUP(KK20,IX4:JD40,7,FALSE),"")</f>
        <v>999</v>
      </c>
      <c r="KT20" s="319">
        <f ca="1">IF(KK20&lt;&gt;"",VLOOKUP(KK20,IX4:JD40,5,FALSE),"")</f>
        <v>2</v>
      </c>
      <c r="KU20" s="319">
        <f ca="1">IF(KK20&lt;&gt;"",VLOOKUP(KK20,IX4:JF40,9,FALSE),"")</f>
        <v>39</v>
      </c>
      <c r="KV20" s="319">
        <f t="shared" ca="1" si="5450"/>
        <v>2</v>
      </c>
      <c r="KW20" s="319">
        <f ca="1">IF(KK20&lt;&gt;"",RANK(KV20,KV18:KV22),"")</f>
        <v>1</v>
      </c>
      <c r="KX20" s="319">
        <f ca="1">IF(KK20&lt;&gt;"",SUMPRODUCT((KV18:KV22=KV20)*(KQ18:KQ22&gt;KQ20)),"")</f>
        <v>0</v>
      </c>
      <c r="KY20" s="319">
        <f ca="1">IF(KK20&lt;&gt;"",SUMPRODUCT((KV18:KV22=KV20)*(KQ18:KQ22=KQ20)*(KO18:KO22&gt;KO20)),"")</f>
        <v>0</v>
      </c>
      <c r="KZ20" s="319">
        <f ca="1">IF(KK20&lt;&gt;"",SUMPRODUCT((KV18:KV22=KV20)*(KQ18:KQ22=KQ20)*(KO18:KO22=KO20)*(KS18:KS22&gt;KS20)),"")</f>
        <v>0</v>
      </c>
      <c r="LA20" s="319">
        <f ca="1">IF(KK20&lt;&gt;"",SUMPRODUCT((KV18:KV22=KV20)*(KQ18:KQ22=KQ20)*(KO18:KO22=KO20)*(KS18:KS22=KS20)*(KT18:KT22&gt;KT20)),"")</f>
        <v>1</v>
      </c>
      <c r="LB20" s="319">
        <f ca="1">IF(KK20&lt;&gt;"",SUMPRODUCT((KV18:KV22=KV20)*(KQ18:KQ22=KQ20)*(KO18:KO22=KO20)*(KS18:KS22=KS20)*(KT18:KT22=KT20)*(KU18:KU22&gt;KU20)),"")</f>
        <v>0</v>
      </c>
      <c r="LC20" s="319">
        <f ca="1">IF(KK20&lt;&gt;"",IF(LC60&lt;&gt;"",IF(KJ57=3,LC60,LC60+KJ57),SUM(KW20:LB20)+1),"")</f>
        <v>3</v>
      </c>
      <c r="LD20" s="319" t="str">
        <f ca="1">IF(KK20&lt;&gt;"",INDEX(KK19:KK22,MATCH(3,LC19:LC22,0),0),"")</f>
        <v>Slovenia</v>
      </c>
      <c r="LE20" s="319" t="str">
        <f ca="1">IF(JN18&lt;&gt;"",JN18,"")</f>
        <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0</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t="str">
        <f t="shared" ref="LL20:LL21" ca="1" si="5950">IF(LE20&lt;&gt;"",LF20*3+LG20*1,"")</f>
        <v/>
      </c>
      <c r="LM20" s="319" t="str">
        <f ca="1">IF(LE20&lt;&gt;"",VLOOKUP(LE20,IX4:JD40,7,FALSE),"")</f>
        <v/>
      </c>
      <c r="LN20" s="319" t="str">
        <f ca="1">IF(LE20&lt;&gt;"",VLOOKUP(LE20,IX4:JD40,5,FALSE),"")</f>
        <v/>
      </c>
      <c r="LO20" s="319" t="str">
        <f ca="1">IF(LE20&lt;&gt;"",VLOOKUP(LE20,IX4:JF40,9,FALSE),"")</f>
        <v/>
      </c>
      <c r="LP20" s="319" t="str">
        <f t="shared" ref="LP20:LP21" ca="1" si="5951">LL20</f>
        <v/>
      </c>
      <c r="LQ20" s="319" t="str">
        <f ca="1">IF(LE20&lt;&gt;"",RANK(LP20,LP18:LP22),"")</f>
        <v/>
      </c>
      <c r="LR20" s="319" t="str">
        <f ca="1">IF(LE20&lt;&gt;"",SUMPRODUCT((LP18:LP22=LP20)*(LK18:LK22&gt;LK20)),"")</f>
        <v/>
      </c>
      <c r="LS20" s="319" t="str">
        <f ca="1">IF(LE20&lt;&gt;"",SUMPRODUCT((LP18:LP22=LP20)*(LK18:LK22=LK20)*(LI18:LI22&gt;LI20)),"")</f>
        <v/>
      </c>
      <c r="LT20" s="319" t="str">
        <f ca="1">IF(LE20&lt;&gt;"",SUMPRODUCT((LP18:LP22=LP20)*(LK18:LK22=LK20)*(LI18:LI22=LI20)*(LM18:LM22&gt;LM20)),"")</f>
        <v/>
      </c>
      <c r="LU20" s="319" t="str">
        <f ca="1">IF(LE20&lt;&gt;"",SUMPRODUCT((LP18:LP22=LP20)*(LK18:LK22=LK20)*(LI18:LI22=LI20)*(LM18:LM22=LM20)*(LN18:LN22&gt;LN20)),"")</f>
        <v/>
      </c>
      <c r="LV20" s="319" t="str">
        <f ca="1">IF(LE20&lt;&gt;"",SUMPRODUCT((LP18:LP22=LP20)*(LK18:LK22=LK20)*(LI18:LI22=LI20)*(LM18:LM22=LM20)*(LN18:LN22=LN20)*(LO18:LO22&gt;LO20)),"")</f>
        <v/>
      </c>
      <c r="LW20" s="319" t="str">
        <f ca="1">IF(LE20&lt;&gt;"",SUM(LQ20:LV20)+2,"")</f>
        <v/>
      </c>
      <c r="LX20" s="319" t="str">
        <f ca="1">IF(LE20&lt;&gt;"",INDEX(LE20:LE22,MATCH(3,LW20:LW22,0),0),"")</f>
        <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1</v>
      </c>
      <c r="MX20" s="322">
        <f ca="1">IF(OFFSET('Player Game Board'!Q27,0,MW1)&lt;&gt;"",OFFSET('Player Game Board'!Q27,0,MW1),0)</f>
        <v>1</v>
      </c>
      <c r="MY20" s="319" t="str">
        <f t="shared" si="171"/>
        <v>Serbia</v>
      </c>
      <c r="MZ20" s="319" t="str">
        <f ca="1">IF(AND(OFFSET('Player Game Board'!P27,0,MW1)&lt;&gt;"",OFFSET('Player Game Board'!Q27,0,MW1)&lt;&gt;""),IF(MW20&gt;MX20,"W",IF(MW20=MX20,"D","L")),"")</f>
        <v>D</v>
      </c>
      <c r="NA20" s="319" t="str">
        <f t="shared" ca="1" si="172"/>
        <v>D</v>
      </c>
      <c r="NB20" s="319"/>
      <c r="NC20" s="319"/>
      <c r="ND20" s="324" t="s">
        <v>101</v>
      </c>
      <c r="NE20" s="325" t="s">
        <v>103</v>
      </c>
      <c r="NF20" s="325" t="s">
        <v>104</v>
      </c>
      <c r="NG20" s="325" t="s">
        <v>106</v>
      </c>
      <c r="NH20" s="324" t="s">
        <v>106</v>
      </c>
      <c r="NI20" s="324" t="s">
        <v>104</v>
      </c>
      <c r="NJ20" s="324" t="s">
        <v>103</v>
      </c>
      <c r="NK20" s="324" t="s">
        <v>101</v>
      </c>
      <c r="NL20" s="325"/>
      <c r="NM20" s="326">
        <f ca="1">IFERROR(MATCH(NM12,ND20:NG20,0),0)</f>
        <v>0</v>
      </c>
      <c r="NN20" s="326">
        <f ca="1">IFERROR(MATCH(NN12,ND20:NG20,0),0)</f>
        <v>1</v>
      </c>
      <c r="NO20" s="326">
        <f ca="1">IFERROR(MATCH(NO12,ND20:NG20,0),0)</f>
        <v>4</v>
      </c>
      <c r="NP20" s="326">
        <f ca="1">IFERROR(MATCH(NP12,ND20:NG20,0),0)</f>
        <v>0</v>
      </c>
      <c r="NQ20" s="326">
        <f t="shared" ca="1" si="3547"/>
        <v>5</v>
      </c>
      <c r="NR20" s="325" t="s">
        <v>354</v>
      </c>
      <c r="NS20" s="325" t="str">
        <f ca="1">INDEX(ND3:ND8,MATCH(INDEX(NJ13:NJ27,MATCH(10,NQ13:NQ27,0),0),NR3:NR8,0),0)</f>
        <v>Croatia</v>
      </c>
      <c r="NT20" s="325">
        <f t="shared" ca="1" si="5052"/>
        <v>0</v>
      </c>
      <c r="NU20" s="319">
        <f t="shared" ref="NU20" ca="1" si="5952">VLOOKUP(NV20,RQ18:RR22,2,FALSE)</f>
        <v>4</v>
      </c>
      <c r="NV20" s="319" t="str">
        <f t="shared" si="5054"/>
        <v>Slovenia</v>
      </c>
      <c r="NW20" s="319">
        <f t="shared" ref="NW20" ca="1" si="5953">SUMPRODUCT((RT3:RT42=NV20)*(RX3:RX42="W"))+SUMPRODUCT((RW3:RW42=NV20)*(RY3:RY42="W"))</f>
        <v>0</v>
      </c>
      <c r="NX20" s="319">
        <f t="shared" ref="NX20" ca="1" si="5954">SUMPRODUCT((RT3:RT42=NV20)*(RX3:RX42="D"))+SUMPRODUCT((RW3:RW42=NV20)*(RY3:RY42="D"))</f>
        <v>0</v>
      </c>
      <c r="NY20" s="319">
        <f t="shared" ref="NY20" ca="1" si="5955">SUMPRODUCT((RT3:RT42=NV20)*(RX3:RX42="L"))+SUMPRODUCT((RW3:RW42=NV20)*(RY3:RY42="L"))</f>
        <v>3</v>
      </c>
      <c r="NZ20" s="319">
        <f t="shared" ref="NZ20" ca="1" si="5956">SUMIF(RT3:RT60,NV20,RU3:RU60)+SUMIF(RW3:RW60,NV20,RV3:RV60)</f>
        <v>2</v>
      </c>
      <c r="OA20" s="319">
        <f t="shared" ref="OA20" ca="1" si="5957">SUMIF(RW3:RW60,NV20,RU3:RU60)+SUMIF(RT3:RT60,NV20,RV3:RV60)</f>
        <v>6</v>
      </c>
      <c r="OB20" s="319">
        <f t="shared" ca="1" si="5060"/>
        <v>996</v>
      </c>
      <c r="OC20" s="319">
        <f t="shared" ca="1" si="5061"/>
        <v>0</v>
      </c>
      <c r="OD20" s="319">
        <f t="shared" si="630"/>
        <v>39</v>
      </c>
      <c r="OE20" s="319">
        <f t="shared" ref="OE20" ca="1" si="5958">IF(COUNTIF(OC18:OC22,4)&lt;&gt;4,RANK(OC20,OC18:OC22),OC60)</f>
        <v>4</v>
      </c>
      <c r="OF20" s="319"/>
      <c r="OG20" s="319">
        <f t="shared" ref="OG20" ca="1" si="5959">SUMPRODUCT((OE18:OE21=OE20)*(OD18:OD21&lt;OD20))+OE20</f>
        <v>4</v>
      </c>
      <c r="OH20" s="319" t="str">
        <f t="shared" ref="OH20" ca="1" si="5960">INDEX(NV18:NV22,MATCH(3,OG18:OG22,0),0)</f>
        <v>Denmark</v>
      </c>
      <c r="OI20" s="319">
        <f t="shared" ref="OI20" ca="1" si="5961">INDEX(OE18:OE22,MATCH(OH20,NV18:NV22,0),0)</f>
        <v>2</v>
      </c>
      <c r="OJ20" s="319" t="str">
        <f t="shared" ref="OJ20:OJ21" ca="1" si="5962">IF(AND(OJ19&lt;&gt;"",OI20=1),OH20,"")</f>
        <v/>
      </c>
      <c r="OK20" s="319" t="str">
        <f t="shared" ref="OK20:OK21" ca="1" si="5963">IF(AND(OK19&lt;&gt;"",OI21=2),OH21,"")</f>
        <v/>
      </c>
      <c r="OL20" s="319" t="str">
        <f t="shared" ref="OL20" ca="1" si="5964">IF(AND(OL19&lt;&gt;"",OI22=3),OH22,"")</f>
        <v/>
      </c>
      <c r="OM20" s="319"/>
      <c r="ON20" s="319"/>
      <c r="OO20" s="319" t="str">
        <f t="shared" ca="1" si="5070"/>
        <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t="str">
        <f t="shared" ca="1" si="5077"/>
        <v/>
      </c>
      <c r="OW20" s="319" t="str">
        <f t="shared" ref="OW20" ca="1" si="5970">IF(OO20&lt;&gt;"",VLOOKUP(OO20,NV4:OB40,7,FALSE),"")</f>
        <v/>
      </c>
      <c r="OX20" s="319" t="str">
        <f t="shared" ref="OX20" ca="1" si="5971">IF(OO20&lt;&gt;"",VLOOKUP(OO20,NV4:OB40,5,FALSE),"")</f>
        <v/>
      </c>
      <c r="OY20" s="319" t="str">
        <f t="shared" ref="OY20" ca="1" si="5972">IF(OO20&lt;&gt;"",VLOOKUP(OO20,NV4:OD40,9,FALSE),"")</f>
        <v/>
      </c>
      <c r="OZ20" s="319" t="str">
        <f t="shared" ca="1" si="5081"/>
        <v/>
      </c>
      <c r="PA20" s="319" t="str">
        <f t="shared" ref="PA20" ca="1" si="5973">IF(OO20&lt;&gt;"",RANK(OZ20,OZ18:OZ22),"")</f>
        <v/>
      </c>
      <c r="PB20" s="319" t="str">
        <f t="shared" ref="PB20" ca="1" si="5974">IF(OO20&lt;&gt;"",SUMPRODUCT((OZ18:OZ22=OZ20)*(OU18:OU22&gt;OU20)),"")</f>
        <v/>
      </c>
      <c r="PC20" s="319" t="str">
        <f t="shared" ref="PC20" ca="1" si="5975">IF(OO20&lt;&gt;"",SUMPRODUCT((OZ18:OZ22=OZ20)*(OU18:OU22=OU20)*(OS18:OS22&gt;OS20)),"")</f>
        <v/>
      </c>
      <c r="PD20" s="319" t="str">
        <f t="shared" ref="PD20" ca="1" si="5976">IF(OO20&lt;&gt;"",SUMPRODUCT((OZ18:OZ22=OZ20)*(OU18:OU22=OU20)*(OS18:OS22=OS20)*(OW18:OW22&gt;OW20)),"")</f>
        <v/>
      </c>
      <c r="PE20" s="319" t="str">
        <f t="shared" ref="PE20" ca="1" si="5977">IF(OO20&lt;&gt;"",SUMPRODUCT((OZ18:OZ22=OZ20)*(OU18:OU22=OU20)*(OS18:OS22=OS20)*(OW18:OW22=OW20)*(OX18:OX22&gt;OX20)),"")</f>
        <v/>
      </c>
      <c r="PF20" s="319" t="str">
        <f t="shared" ref="PF20" ca="1" si="5978">IF(OO20&lt;&gt;"",SUMPRODUCT((OZ18:OZ22=OZ20)*(OU18:OU22=OU20)*(OS18:OS22=OS20)*(OW18:OW22=OW20)*(OX18:OX22=OX20)*(OY18:OY22&gt;OY20)),"")</f>
        <v/>
      </c>
      <c r="PG20" s="319" t="str">
        <f ca="1">IF(OO20&lt;&gt;"",IF(PG60&lt;&gt;"",IF(ON57=3,PG60,PG60+ON57),SUM(PA20:PF20)),"")</f>
        <v/>
      </c>
      <c r="PH20" s="319" t="str">
        <f t="shared" ref="PH20" ca="1" si="5979">IF(OO20&lt;&gt;"",INDEX(OO18:OO22,MATCH(3,PG18:PG22,0),0),"")</f>
        <v/>
      </c>
      <c r="PI20" s="319" t="str">
        <f t="shared" ca="1" si="5480"/>
        <v>Denmark</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1</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f t="shared" ca="1" si="5487"/>
        <v>1</v>
      </c>
      <c r="PQ20" s="319">
        <f t="shared" ref="PQ20" ca="1" si="5985">IF(PI20&lt;&gt;"",VLOOKUP(PI20,NV4:OB40,7,FALSE),"")</f>
        <v>1000</v>
      </c>
      <c r="PR20" s="319">
        <f t="shared" ref="PR20" ca="1" si="5986">IF(PI20&lt;&gt;"",VLOOKUP(PI20,NV4:OB40,5,FALSE),"")</f>
        <v>3</v>
      </c>
      <c r="PS20" s="319">
        <f t="shared" ref="PS20" ca="1" si="5987">IF(PI20&lt;&gt;"",VLOOKUP(PI20,NV4:OD40,9,FALSE),"")</f>
        <v>45</v>
      </c>
      <c r="PT20" s="319">
        <f t="shared" ca="1" si="5491"/>
        <v>1</v>
      </c>
      <c r="PU20" s="319">
        <f t="shared" ref="PU20" ca="1" si="5988">IF(PI20&lt;&gt;"",RANK(PT20,PT18:PT22),"")</f>
        <v>1</v>
      </c>
      <c r="PV20" s="319">
        <f t="shared" ref="PV20" ca="1" si="5989">IF(PI20&lt;&gt;"",SUMPRODUCT((PT18:PT22=PT20)*(PO18:PO22&gt;PO20)),"")</f>
        <v>0</v>
      </c>
      <c r="PW20" s="319">
        <f t="shared" ref="PW20" ca="1" si="5990">IF(PI20&lt;&gt;"",SUMPRODUCT((PT18:PT22=PT20)*(PO18:PO22=PO20)*(PM18:PM22&gt;PM20)),"")</f>
        <v>0</v>
      </c>
      <c r="PX20" s="319">
        <f t="shared" ref="PX20" ca="1" si="5991">IF(PI20&lt;&gt;"",SUMPRODUCT((PT18:PT22=PT20)*(PO18:PO22=PO20)*(PM18:PM22=PM20)*(PQ18:PQ22&gt;PQ20)),"")</f>
        <v>1</v>
      </c>
      <c r="PY20" s="319">
        <f t="shared" ref="PY20" ca="1" si="5992">IF(PI20&lt;&gt;"",SUMPRODUCT((PT18:PT22=PT20)*(PO18:PO22=PO20)*(PM18:PM22=PM20)*(PQ18:PQ22=PQ20)*(PR18:PR22&gt;PR20)),"")</f>
        <v>0</v>
      </c>
      <c r="PZ20" s="319">
        <f t="shared" ref="PZ20" ca="1" si="5993">IF(PI20&lt;&gt;"",SUMPRODUCT((PT18:PT22=PT20)*(PO18:PO22=PO20)*(PM18:PM22=PM20)*(PQ18:PQ22=PQ20)*(PR18:PR22=PR20)*(PS18:PS22&gt;PS20)),"")</f>
        <v>0</v>
      </c>
      <c r="QA20" s="319">
        <f ca="1">IF(PI20&lt;&gt;"",IF(QA60&lt;&gt;"",IF(PH57=3,QA60,QA60+PH57),SUM(PU20:PZ20)+1),"")</f>
        <v>3</v>
      </c>
      <c r="QB20" s="319" t="str">
        <f t="shared" ref="QB20" ca="1" si="5994">IF(PI20&lt;&gt;"",INDEX(PI19:PI22,MATCH(3,QA19:QA22,0),0),"")</f>
        <v>Denmark</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Denmark</v>
      </c>
      <c r="RR20" s="319">
        <v>3</v>
      </c>
      <c r="RS20" s="319">
        <v>18</v>
      </c>
      <c r="RT20" s="319" t="str">
        <f t="shared" si="18"/>
        <v>Slovenia</v>
      </c>
      <c r="RU20" s="322">
        <f ca="1">IF(OFFSET('Player Game Board'!P27,0,RU1)&lt;&gt;"",OFFSET('Player Game Board'!P27,0,RU1),0)</f>
        <v>0</v>
      </c>
      <c r="RV20" s="322">
        <f ca="1">IF(OFFSET('Player Game Board'!Q27,0,RU1)&lt;&gt;"",OFFSET('Player Game Board'!Q27,0,RU1),0)</f>
        <v>2</v>
      </c>
      <c r="RW20" s="319" t="str">
        <f t="shared" si="19"/>
        <v>Serbia</v>
      </c>
      <c r="RX20" s="319" t="str">
        <f ca="1">IF(AND(OFFSET('Player Game Board'!P27,0,RU1)&lt;&gt;"",OFFSET('Player Game Board'!Q27,0,RU1)&lt;&gt;""),IF(RU20&gt;RV20,"W",IF(RU20=RV20,"D","L")),"")</f>
        <v>L</v>
      </c>
      <c r="RY20" s="319" t="str">
        <f t="shared" ca="1" si="5500"/>
        <v>W</v>
      </c>
      <c r="RZ20" s="319"/>
      <c r="SA20" s="319"/>
      <c r="SB20" s="324" t="s">
        <v>101</v>
      </c>
      <c r="SC20" s="325" t="s">
        <v>103</v>
      </c>
      <c r="SD20" s="325" t="s">
        <v>104</v>
      </c>
      <c r="SE20" s="325" t="s">
        <v>106</v>
      </c>
      <c r="SF20" s="324" t="s">
        <v>106</v>
      </c>
      <c r="SG20" s="324" t="s">
        <v>104</v>
      </c>
      <c r="SH20" s="324" t="s">
        <v>103</v>
      </c>
      <c r="SI20" s="324" t="s">
        <v>101</v>
      </c>
      <c r="SJ20" s="325"/>
      <c r="SK20" s="326">
        <f t="shared" ref="SK20" ca="1" si="6016">IFERROR(MATCH(SK12,SB20:SE20,0),0)</f>
        <v>2</v>
      </c>
      <c r="SL20" s="326">
        <f t="shared" ref="SL20" ca="1" si="6017">IFERROR(MATCH(SL12,SB20:SE20,0),0)</f>
        <v>0</v>
      </c>
      <c r="SM20" s="326">
        <f t="shared" ref="SM20" ca="1" si="6018">IFERROR(MATCH(SM12,SB20:SE20,0),0)</f>
        <v>4</v>
      </c>
      <c r="SN20" s="326">
        <f t="shared" ref="SN20" ca="1" si="6019">IFERROR(MATCH(SN12,SB20:SE20,0),0)</f>
        <v>0</v>
      </c>
      <c r="SO20" s="326">
        <f t="shared" ca="1" si="3616"/>
        <v>6</v>
      </c>
      <c r="SP20" s="325" t="s">
        <v>354</v>
      </c>
      <c r="SQ20" s="325" t="str">
        <f t="shared" ref="SQ20" ca="1" si="6020">INDEX(SB3:SB8,MATCH(INDEX(SH13:SH27,MATCH(10,SO13:SO27,0),0),SP3:SP8,0),0)</f>
        <v>Denmark</v>
      </c>
      <c r="SR20" s="325">
        <f t="shared" ca="1" si="5095"/>
        <v>1</v>
      </c>
      <c r="SS20" s="319">
        <f t="shared" ref="SS20" ca="1" si="6021">VLOOKUP(ST20,WO18:WP22,2,FALSE)</f>
        <v>3</v>
      </c>
      <c r="ST20" s="319" t="str">
        <f t="shared" si="5097"/>
        <v>Slovenia</v>
      </c>
      <c r="SU20" s="319">
        <f t="shared" ref="SU20" ca="1" si="6022">SUMPRODUCT((WR3:WR42=ST20)*(WV3:WV42="W"))+SUMPRODUCT((WU3:WU42=ST20)*(WW3:WW42="W"))</f>
        <v>0</v>
      </c>
      <c r="SV20" s="319">
        <f t="shared" ref="SV20" ca="1" si="6023">SUMPRODUCT((WR3:WR42=ST20)*(WV3:WV42="D"))+SUMPRODUCT((WU3:WU42=ST20)*(WW3:WW42="D"))</f>
        <v>1</v>
      </c>
      <c r="SW20" s="319">
        <f t="shared" ref="SW20" ca="1" si="6024">SUMPRODUCT((WR3:WR42=ST20)*(WV3:WV42="L"))+SUMPRODUCT((WU3:WU42=ST20)*(WW3:WW42="L"))</f>
        <v>2</v>
      </c>
      <c r="SX20" s="319">
        <f t="shared" ref="SX20" ca="1" si="6025">SUMIF(WR3:WR60,ST20,WS3:WS60)+SUMIF(WU3:WU60,ST20,WT3:WT60)</f>
        <v>2</v>
      </c>
      <c r="SY20" s="319">
        <f t="shared" ref="SY20" ca="1" si="6026">SUMIF(WU3:WU60,ST20,WS3:WS60)+SUMIF(WR3:WR60,ST20,WT3:WT60)</f>
        <v>5</v>
      </c>
      <c r="SZ20" s="319">
        <f t="shared" ca="1" si="5103"/>
        <v>997</v>
      </c>
      <c r="TA20" s="319">
        <f t="shared" ca="1" si="5104"/>
        <v>1</v>
      </c>
      <c r="TB20" s="319">
        <f t="shared" si="690"/>
        <v>39</v>
      </c>
      <c r="TC20" s="319">
        <f t="shared" ref="TC20" ca="1" si="6027">IF(COUNTIF(TA18:TA22,4)&lt;&gt;4,RANK(TA20,TA18:TA22),TA60)</f>
        <v>3</v>
      </c>
      <c r="TD20" s="319"/>
      <c r="TE20" s="319">
        <f t="shared" ref="TE20" ca="1" si="6028">SUMPRODUCT((TC18:TC21=TC20)*(TB18:TB21&lt;TB20))+TC20</f>
        <v>4</v>
      </c>
      <c r="TF20" s="319" t="str">
        <f t="shared" ref="TF20" ca="1" si="6029">INDEX(ST18:ST22,MATCH(3,TE18:TE22,0),0)</f>
        <v>Serbia</v>
      </c>
      <c r="TG20" s="319">
        <f t="shared" ref="TG20" ca="1" si="6030">INDEX(TC18:TC22,MATCH(TF20,ST18:ST22,0),0)</f>
        <v>3</v>
      </c>
      <c r="TH20" s="319" t="str">
        <f t="shared" ref="TH20:TH21" ca="1" si="6031">IF(AND(TH19&lt;&gt;"",TG20=1),TF20,"")</f>
        <v/>
      </c>
      <c r="TI20" s="319" t="str">
        <f t="shared" ref="TI20:TI21" ca="1" si="6032">IF(AND(TI19&lt;&gt;"",TG21=2),TF21,"")</f>
        <v/>
      </c>
      <c r="TJ20" s="319" t="str">
        <f t="shared" ref="TJ20" ca="1" si="6033">IF(AND(TJ19&lt;&gt;"",TG22=3),TF22,"")</f>
        <v/>
      </c>
      <c r="TK20" s="319"/>
      <c r="TL20" s="319"/>
      <c r="TM20" s="319" t="str">
        <f t="shared" ca="1" si="5113"/>
        <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t="str">
        <f t="shared" ca="1" si="5120"/>
        <v/>
      </c>
      <c r="TU20" s="319" t="str">
        <f t="shared" ref="TU20" ca="1" si="6039">IF(TM20&lt;&gt;"",VLOOKUP(TM20,ST4:SZ40,7,FALSE),"")</f>
        <v/>
      </c>
      <c r="TV20" s="319" t="str">
        <f t="shared" ref="TV20" ca="1" si="6040">IF(TM20&lt;&gt;"",VLOOKUP(TM20,ST4:SZ40,5,FALSE),"")</f>
        <v/>
      </c>
      <c r="TW20" s="319" t="str">
        <f t="shared" ref="TW20" ca="1" si="6041">IF(TM20&lt;&gt;"",VLOOKUP(TM20,ST4:TB40,9,FALSE),"")</f>
        <v/>
      </c>
      <c r="TX20" s="319" t="str">
        <f t="shared" ca="1" si="5124"/>
        <v/>
      </c>
      <c r="TY20" s="319" t="str">
        <f t="shared" ref="TY20" ca="1" si="6042">IF(TM20&lt;&gt;"",RANK(TX20,TX18:TX22),"")</f>
        <v/>
      </c>
      <c r="TZ20" s="319" t="str">
        <f t="shared" ref="TZ20" ca="1" si="6043">IF(TM20&lt;&gt;"",SUMPRODUCT((TX18:TX22=TX20)*(TS18:TS22&gt;TS20)),"")</f>
        <v/>
      </c>
      <c r="UA20" s="319" t="str">
        <f t="shared" ref="UA20" ca="1" si="6044">IF(TM20&lt;&gt;"",SUMPRODUCT((TX18:TX22=TX20)*(TS18:TS22=TS20)*(TQ18:TQ22&gt;TQ20)),"")</f>
        <v/>
      </c>
      <c r="UB20" s="319" t="str">
        <f t="shared" ref="UB20" ca="1" si="6045">IF(TM20&lt;&gt;"",SUMPRODUCT((TX18:TX22=TX20)*(TS18:TS22=TS20)*(TQ18:TQ22=TQ20)*(TU18:TU22&gt;TU20)),"")</f>
        <v/>
      </c>
      <c r="UC20" s="319" t="str">
        <f t="shared" ref="UC20" ca="1" si="6046">IF(TM20&lt;&gt;"",SUMPRODUCT((TX18:TX22=TX20)*(TS18:TS22=TS20)*(TQ18:TQ22=TQ20)*(TU18:TU22=TU20)*(TV18:TV22&gt;TV20)),"")</f>
        <v/>
      </c>
      <c r="UD20" s="319" t="str">
        <f t="shared" ref="UD20" ca="1" si="6047">IF(TM20&lt;&gt;"",SUMPRODUCT((TX18:TX22=TX20)*(TS18:TS22=TS20)*(TQ18:TQ22=TQ20)*(TU18:TU22=TU20)*(TV18:TV22=TV20)*(TW18:TW22&gt;TW20)),"")</f>
        <v/>
      </c>
      <c r="UE20" s="319" t="str">
        <f ca="1">IF(TM20&lt;&gt;"",IF(UE60&lt;&gt;"",IF(TL57=3,UE60,UE60+TL57),SUM(TY20:UD20)),"")</f>
        <v/>
      </c>
      <c r="UF20" s="319" t="str">
        <f t="shared" ref="UF20" ca="1" si="6048">IF(TM20&lt;&gt;"",INDEX(TM18:TM22,MATCH(3,UE18:UE22,0),0),"")</f>
        <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Serbia</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1</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f t="shared" ref="VH20:VH21" ca="1" si="6071">IF(VA20&lt;&gt;"",VB20*3+VC20*1,"")</f>
        <v>1</v>
      </c>
      <c r="VI20" s="319">
        <f t="shared" ref="VI20" ca="1" si="6072">IF(VA20&lt;&gt;"",VLOOKUP(VA20,ST4:SZ40,7,FALSE),"")</f>
        <v>997</v>
      </c>
      <c r="VJ20" s="319">
        <f t="shared" ref="VJ20" ca="1" si="6073">IF(VA20&lt;&gt;"",VLOOKUP(VA20,ST4:SZ40,5,FALSE),"")</f>
        <v>0</v>
      </c>
      <c r="VK20" s="319">
        <f t="shared" ref="VK20" ca="1" si="6074">IF(VA20&lt;&gt;"",VLOOKUP(VA20,ST4:TB40,9,FALSE),"")</f>
        <v>35</v>
      </c>
      <c r="VL20" s="319">
        <f t="shared" ref="VL20:VL21" ca="1" si="6075">VH20</f>
        <v>1</v>
      </c>
      <c r="VM20" s="319">
        <f t="shared" ref="VM20" ca="1" si="6076">IF(VA20&lt;&gt;"",RANK(VL20,VL18:VL22),"")</f>
        <v>1</v>
      </c>
      <c r="VN20" s="319">
        <f t="shared" ref="VN20" ca="1" si="6077">IF(VA20&lt;&gt;"",SUMPRODUCT((VL18:VL22=VL20)*(VG18:VG22&gt;VG20)),"")</f>
        <v>0</v>
      </c>
      <c r="VO20" s="319">
        <f t="shared" ref="VO20" ca="1" si="6078">IF(VA20&lt;&gt;"",SUMPRODUCT((VL18:VL22=VL20)*(VG18:VG22=VG20)*(VE18:VE22&gt;VE20)),"")</f>
        <v>0</v>
      </c>
      <c r="VP20" s="319">
        <f t="shared" ref="VP20" ca="1" si="6079">IF(VA20&lt;&gt;"",SUMPRODUCT((VL18:VL22=VL20)*(VG18:VG22=VG20)*(VE18:VE22=VE20)*(VI18:VI22&gt;VI20)),"")</f>
        <v>0</v>
      </c>
      <c r="VQ20" s="319">
        <f t="shared" ref="VQ20" ca="1" si="6080">IF(VA20&lt;&gt;"",SUMPRODUCT((VL18:VL22=VL20)*(VG18:VG22=VG20)*(VE18:VE22=VE20)*(VI18:VI22=VI20)*(VJ18:VJ22&gt;VJ20)),"")</f>
        <v>1</v>
      </c>
      <c r="VR20" s="319">
        <f t="shared" ref="VR20" ca="1" si="6081">IF(VA20&lt;&gt;"",SUMPRODUCT((VL18:VL22=VL20)*(VG18:VG22=VG20)*(VE18:VE22=VE20)*(VI18:VI22=VI20)*(VJ18:VJ22=VJ20)*(VK18:VK22&gt;VK20)),"")</f>
        <v>0</v>
      </c>
      <c r="VS20" s="319">
        <f t="shared" ref="VS20:VS21" ca="1" si="6082">IF(VA20&lt;&gt;"",SUM(VM20:VR20)+2,"")</f>
        <v>4</v>
      </c>
      <c r="VT20" s="319" t="str">
        <f t="shared" ref="VT20" ca="1" si="6083">IF(VA20&lt;&gt;"",INDEX(VA20:VA22,MATCH(3,VS20:VS22,0),0),"")</f>
        <v>Slovenia</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Slovenia</v>
      </c>
      <c r="WP20" s="319">
        <v>3</v>
      </c>
      <c r="WQ20" s="319">
        <v>18</v>
      </c>
      <c r="WR20" s="319" t="str">
        <f t="shared" si="34"/>
        <v>Slovenia</v>
      </c>
      <c r="WS20" s="322">
        <f ca="1">IF(OFFSET('Player Game Board'!P27,0,WS1)&lt;&gt;"",OFFSET('Player Game Board'!P27,0,WS1),0)</f>
        <v>0</v>
      </c>
      <c r="WT20" s="322">
        <f ca="1">IF(OFFSET('Player Game Board'!Q27,0,WS1)&lt;&gt;"",OFFSET('Player Game Board'!Q27,0,WS1),0)</f>
        <v>0</v>
      </c>
      <c r="WU20" s="319" t="str">
        <f t="shared" si="35"/>
        <v>Serbia</v>
      </c>
      <c r="WV20" s="319" t="str">
        <f ca="1">IF(AND(OFFSET('Player Game Board'!P27,0,WS1)&lt;&gt;"",OFFSET('Player Game Board'!Q27,0,WS1)&lt;&gt;""),IF(WS20&gt;WT20,"W",IF(WS20=WT20,"D","L")),"")</f>
        <v>D</v>
      </c>
      <c r="WW20" s="319" t="str">
        <f t="shared" ca="1" si="5555"/>
        <v>D</v>
      </c>
      <c r="WX20" s="319"/>
      <c r="WY20" s="319"/>
      <c r="WZ20" s="324" t="s">
        <v>101</v>
      </c>
      <c r="XA20" s="325" t="s">
        <v>103</v>
      </c>
      <c r="XB20" s="325" t="s">
        <v>104</v>
      </c>
      <c r="XC20" s="325" t="s">
        <v>106</v>
      </c>
      <c r="XD20" s="324" t="s">
        <v>106</v>
      </c>
      <c r="XE20" s="324" t="s">
        <v>104</v>
      </c>
      <c r="XF20" s="324" t="s">
        <v>103</v>
      </c>
      <c r="XG20" s="324" t="s">
        <v>101</v>
      </c>
      <c r="XH20" s="325"/>
      <c r="XI20" s="326">
        <f t="shared" ref="XI20" ca="1" si="6085">IFERROR(MATCH(XI12,WZ20:XC20,0),0)</f>
        <v>4</v>
      </c>
      <c r="XJ20" s="326">
        <f t="shared" ref="XJ20" ca="1" si="6086">IFERROR(MATCH(XJ12,WZ20:XC20,0),0)</f>
        <v>0</v>
      </c>
      <c r="XK20" s="326">
        <f t="shared" ref="XK20" ca="1" si="6087">IFERROR(MATCH(XK12,WZ20:XC20,0),0)</f>
        <v>0</v>
      </c>
      <c r="XL20" s="326">
        <f t="shared" ref="XL20" ca="1" si="6088">IFERROR(MATCH(XL12,WZ20:XC20,0),0)</f>
        <v>1</v>
      </c>
      <c r="XM20" s="326">
        <f t="shared" ca="1" si="3686"/>
        <v>5</v>
      </c>
      <c r="XN20" s="325" t="s">
        <v>354</v>
      </c>
      <c r="XO20" s="325" t="str">
        <f t="shared" ref="XO20" ca="1" si="6089">INDEX(WZ3:WZ8,MATCH(INDEX(XF13:XF27,MATCH(10,XM13:XM27,0),0),XN3:XN8,0),0)</f>
        <v>Croatia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0</v>
      </c>
      <c r="XU20" s="319">
        <f t="shared" ref="XU20" ca="1" si="6093">SUMPRODUCT((ABP3:ABP42=XR20)*(ABT3:ABT42="L"))+SUMPRODUCT((ABS3:ABS42=XR20)*(ABU3:ABU42="L"))</f>
        <v>3</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0</v>
      </c>
      <c r="XZ20" s="319">
        <f t="shared" si="750"/>
        <v>39</v>
      </c>
      <c r="YA20" s="319">
        <f t="shared" ref="YA20" ca="1" si="6096">IF(COUNTIF(XY18:XY22,4)&lt;&gt;4,RANK(XY20,XY18:XY22),XY60)</f>
        <v>4</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0</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t="str">
        <f t="shared" ref="AAF20:AAF21" ca="1" si="6140">IF(ZY20&lt;&gt;"",ZZ20*3+AAA20*1,"")</f>
        <v/>
      </c>
      <c r="AAG20" s="319" t="str">
        <f t="shared" ref="AAG20" ca="1" si="6141">IF(ZY20&lt;&gt;"",VLOOKUP(ZY20,XR4:XX40,7,FALSE),"")</f>
        <v/>
      </c>
      <c r="AAH20" s="319" t="str">
        <f t="shared" ref="AAH20" ca="1" si="6142">IF(ZY20&lt;&gt;"",VLOOKUP(ZY20,XR4:XX40,5,FALSE),"")</f>
        <v/>
      </c>
      <c r="AAI20" s="319" t="str">
        <f t="shared" ref="AAI20" ca="1" si="6143">IF(ZY20&lt;&gt;"",VLOOKUP(ZY20,XR4:XZ40,9,FALSE),"")</f>
        <v/>
      </c>
      <c r="AAJ20" s="319" t="str">
        <f t="shared" ref="AAJ20:AAJ21" ca="1" si="6144">AAF20</f>
        <v/>
      </c>
      <c r="AAK20" s="319" t="str">
        <f t="shared" ref="AAK20" ca="1" si="6145">IF(ZY20&lt;&gt;"",RANK(AAJ20,AAJ18:AAJ22),"")</f>
        <v/>
      </c>
      <c r="AAL20" s="319" t="str">
        <f t="shared" ref="AAL20" ca="1" si="6146">IF(ZY20&lt;&gt;"",SUMPRODUCT((AAJ18:AAJ22=AAJ20)*(AAE18:AAE22&gt;AAE20)),"")</f>
        <v/>
      </c>
      <c r="AAM20" s="319" t="str">
        <f t="shared" ref="AAM20" ca="1" si="6147">IF(ZY20&lt;&gt;"",SUMPRODUCT((AAJ18:AAJ22=AAJ20)*(AAE18:AAE22=AAE20)*(AAC18:AAC22&gt;AAC20)),"")</f>
        <v/>
      </c>
      <c r="AAN20" s="319" t="str">
        <f t="shared" ref="AAN20" ca="1" si="6148">IF(ZY20&lt;&gt;"",SUMPRODUCT((AAJ18:AAJ22=AAJ20)*(AAE18:AAE22=AAE20)*(AAC18:AAC22=AAC20)*(AAG18:AAG22&gt;AAG20)),"")</f>
        <v/>
      </c>
      <c r="AAO20" s="319" t="str">
        <f t="shared" ref="AAO20" ca="1" si="6149">IF(ZY20&lt;&gt;"",SUMPRODUCT((AAJ18:AAJ22=AAJ20)*(AAE18:AAE22=AAE20)*(AAC18:AAC22=AAC20)*(AAG18:AAG22=AAG20)*(AAH18:AAH22&gt;AAH20)),"")</f>
        <v/>
      </c>
      <c r="AAP20" s="319" t="str">
        <f t="shared" ref="AAP20" ca="1" si="6150">IF(ZY20&lt;&gt;"",SUMPRODUCT((AAJ18:AAJ22=AAJ20)*(AAE18:AAE22=AAE20)*(AAC18:AAC22=AAC20)*(AAG18:AAG22=AAG20)*(AAH18:AAH22=AAH20)*(AAI18:AAI22&gt;AAI20)),"")</f>
        <v/>
      </c>
      <c r="AAQ20" s="319" t="str">
        <f t="shared" ref="AAQ20:AAQ21" ca="1" si="6151">IF(ZY20&lt;&gt;"",SUM(AAK20:AAP20)+2,"")</f>
        <v/>
      </c>
      <c r="AAR20" s="319" t="str">
        <f t="shared" ref="AAR20" ca="1" si="6152">IF(ZY20&lt;&gt;"",INDEX(ZY20:ZY22,MATCH(3,AAQ20:AAQ22,0),0),"")</f>
        <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2</v>
      </c>
      <c r="ABS20" s="319" t="str">
        <f t="shared" si="51"/>
        <v>Serbia</v>
      </c>
      <c r="ABT20" s="319" t="str">
        <f ca="1">IF(AND(OFFSET('Player Game Board'!P27,0,ABQ1)&lt;&gt;"",OFFSET('Player Game Board'!Q27,0,ABQ1)&lt;&gt;""),IF(ABQ20&gt;ABR20,"W",IF(ABQ20=ABR20,"D","L")),"")</f>
        <v>L</v>
      </c>
      <c r="ABU20" s="319" t="str">
        <f t="shared" ca="1" si="5610"/>
        <v>W</v>
      </c>
      <c r="ABV20" s="319"/>
      <c r="ABW20" s="319"/>
      <c r="ABX20" s="324" t="s">
        <v>101</v>
      </c>
      <c r="ABY20" s="325" t="s">
        <v>103</v>
      </c>
      <c r="ABZ20" s="325" t="s">
        <v>104</v>
      </c>
      <c r="ACA20" s="325" t="s">
        <v>106</v>
      </c>
      <c r="ACB20" s="324" t="s">
        <v>106</v>
      </c>
      <c r="ACC20" s="324" t="s">
        <v>104</v>
      </c>
      <c r="ACD20" s="324" t="s">
        <v>103</v>
      </c>
      <c r="ACE20" s="324" t="s">
        <v>101</v>
      </c>
      <c r="ACF20" s="325"/>
      <c r="ACG20" s="326">
        <f t="shared" ref="ACG20" ca="1" si="6154">IFERROR(MATCH(ACG12,ABX20:ACA20,0),0)</f>
        <v>2</v>
      </c>
      <c r="ACH20" s="326">
        <f t="shared" ref="ACH20" ca="1" si="6155">IFERROR(MATCH(ACH12,ABX20:ACA20,0),0)</f>
        <v>0</v>
      </c>
      <c r="ACI20" s="326">
        <f t="shared" ref="ACI20" ca="1" si="6156">IFERROR(MATCH(ACI12,ABX20:ACA20,0),0)</f>
        <v>3</v>
      </c>
      <c r="ACJ20" s="326">
        <f t="shared" ref="ACJ20" ca="1" si="6157">IFERROR(MATCH(ACJ12,ABX20:ACA20,0),0)</f>
        <v>1</v>
      </c>
      <c r="ACK20" s="326">
        <f t="shared" ca="1" si="3756"/>
        <v>6</v>
      </c>
      <c r="ACL20" s="325" t="s">
        <v>354</v>
      </c>
      <c r="ACM20" s="325" t="str">
        <f t="shared" ref="ACM20" ca="1" si="6158">INDEX(ABX3:ABX8,MATCH(INDEX(ACD13:ACD27,MATCH(10,ACK13:ACK27,0),0),ACL3:ACL8,0),0)</f>
        <v>Spain</v>
      </c>
      <c r="ACN20" s="325">
        <f t="shared" ca="1" si="5181"/>
        <v>1</v>
      </c>
      <c r="ACO20" s="319">
        <f t="shared" ref="ACO20" ca="1" si="6159">VLOOKUP(ACP20,AGK18:AGL22,2,FALSE)</f>
        <v>4</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0</v>
      </c>
      <c r="ACS20" s="319">
        <f t="shared" ref="ACS20" ca="1" si="6162">SUMPRODUCT((AGN3:AGN42=ACP20)*(AGR3:AGR42="L"))+SUMPRODUCT((AGQ3:AGQ42=ACP20)*(AGS3:AGS42="L"))</f>
        <v>3</v>
      </c>
      <c r="ACT20" s="319">
        <f t="shared" ref="ACT20" ca="1" si="6163">SUMIF(AGN3:AGN60,ACP20,AGO3:AGO60)+SUMIF(AGQ3:AGQ60,ACP20,AGP3:AGP60)</f>
        <v>1</v>
      </c>
      <c r="ACU20" s="319">
        <f t="shared" ref="ACU20" ca="1" si="6164">SUMIF(AGQ3:AGQ60,ACP20,AGO3:AGO60)+SUMIF(AGN3:AGN60,ACP20,AGP3:AGP60)</f>
        <v>7</v>
      </c>
      <c r="ACV20" s="319">
        <f t="shared" ca="1" si="5189"/>
        <v>994</v>
      </c>
      <c r="ACW20" s="319">
        <f t="shared" ca="1" si="5190"/>
        <v>0</v>
      </c>
      <c r="ACX20" s="319">
        <f t="shared" si="810"/>
        <v>39</v>
      </c>
      <c r="ACY20" s="319">
        <f t="shared" ref="ACY20" ca="1" si="6165">IF(COUNTIF(ACW18:ACW22,4)&lt;&gt;4,RANK(ACW20,ACW18:ACW22),ACW60)</f>
        <v>4</v>
      </c>
      <c r="ACZ20" s="319"/>
      <c r="ADA20" s="319">
        <f t="shared" ref="ADA20" ca="1" si="6166">SUMPRODUCT((ACY18:ACY21=ACY20)*(ACX18:ACX21&lt;ACX20))+ACY20</f>
        <v>4</v>
      </c>
      <c r="ADB20" s="319" t="str">
        <f t="shared" ref="ADB20" ca="1" si="6167">INDEX(ACP18:ACP22,MATCH(3,ADA18:ADA22,0),0)</f>
        <v>Serbia</v>
      </c>
      <c r="ADC20" s="319">
        <f t="shared" ref="ADC20" ca="1" si="6168">INDEX(ACY18:ACY22,MATCH(ADB20,ACP18:ACP22,0),0)</f>
        <v>3</v>
      </c>
      <c r="ADD20" s="319" t="str">
        <f t="shared" ref="ADD20:ADD21" ca="1" si="6169">IF(AND(ADD19&lt;&gt;"",ADC20=1),ADB20,"")</f>
        <v/>
      </c>
      <c r="ADE20" s="319" t="str">
        <f t="shared" ref="ADE20:ADE21" ca="1" si="6170">IF(AND(ADE19&lt;&gt;"",ADC21=2),ADB21,"")</f>
        <v/>
      </c>
      <c r="ADF20" s="319" t="str">
        <f t="shared" ref="ADF20" ca="1" si="6171">IF(AND(ADF19&lt;&gt;"",ADC22=3),ADB22,"")</f>
        <v/>
      </c>
      <c r="ADG20" s="319"/>
      <c r="ADH20" s="319"/>
      <c r="ADI20" s="319" t="str">
        <f t="shared" ca="1" si="5199"/>
        <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t="str">
        <f t="shared" ca="1" si="5206"/>
        <v/>
      </c>
      <c r="ADQ20" s="319" t="str">
        <f t="shared" ref="ADQ20" ca="1" si="6177">IF(ADI20&lt;&gt;"",VLOOKUP(ADI20,ACP4:ACV40,7,FALSE),"")</f>
        <v/>
      </c>
      <c r="ADR20" s="319" t="str">
        <f t="shared" ref="ADR20" ca="1" si="6178">IF(ADI20&lt;&gt;"",VLOOKUP(ADI20,ACP4:ACV40,5,FALSE),"")</f>
        <v/>
      </c>
      <c r="ADS20" s="319" t="str">
        <f t="shared" ref="ADS20" ca="1" si="6179">IF(ADI20&lt;&gt;"",VLOOKUP(ADI20,ACP4:ACX40,9,FALSE),"")</f>
        <v/>
      </c>
      <c r="ADT20" s="319" t="str">
        <f t="shared" ca="1" si="5210"/>
        <v/>
      </c>
      <c r="ADU20" s="319" t="str">
        <f t="shared" ref="ADU20" ca="1" si="6180">IF(ADI20&lt;&gt;"",RANK(ADT20,ADT18:ADT22),"")</f>
        <v/>
      </c>
      <c r="ADV20" s="319" t="str">
        <f t="shared" ref="ADV20" ca="1" si="6181">IF(ADI20&lt;&gt;"",SUMPRODUCT((ADT18:ADT22=ADT20)*(ADO18:ADO22&gt;ADO20)),"")</f>
        <v/>
      </c>
      <c r="ADW20" s="319" t="str">
        <f t="shared" ref="ADW20" ca="1" si="6182">IF(ADI20&lt;&gt;"",SUMPRODUCT((ADT18:ADT22=ADT20)*(ADO18:ADO22=ADO20)*(ADM18:ADM22&gt;ADM20)),"")</f>
        <v/>
      </c>
      <c r="ADX20" s="319" t="str">
        <f t="shared" ref="ADX20" ca="1" si="6183">IF(ADI20&lt;&gt;"",SUMPRODUCT((ADT18:ADT22=ADT20)*(ADO18:ADO22=ADO20)*(ADM18:ADM22=ADM20)*(ADQ18:ADQ22&gt;ADQ20)),"")</f>
        <v/>
      </c>
      <c r="ADY20" s="319" t="str">
        <f t="shared" ref="ADY20" ca="1" si="6184">IF(ADI20&lt;&gt;"",SUMPRODUCT((ADT18:ADT22=ADT20)*(ADO18:ADO22=ADO20)*(ADM18:ADM22=ADM20)*(ADQ18:ADQ22=ADQ20)*(ADR18:ADR22&gt;ADR20)),"")</f>
        <v/>
      </c>
      <c r="ADZ20" s="319" t="str">
        <f t="shared" ref="ADZ20" ca="1" si="6185">IF(ADI20&lt;&gt;"",SUMPRODUCT((ADT18:ADT22=ADT20)*(ADO18:ADO22=ADO20)*(ADM18:ADM22=ADM20)*(ADQ18:ADQ22=ADQ20)*(ADR18:ADR22=ADR20)*(ADS18:ADS22&gt;ADS20)),"")</f>
        <v/>
      </c>
      <c r="AEA20" s="319" t="str">
        <f ca="1">IF(ADI20&lt;&gt;"",IF(AEA60&lt;&gt;"",IF(ADH57=3,AEA60,AEA60+ADH57),SUM(ADU20:ADZ20)),"")</f>
        <v/>
      </c>
      <c r="AEB20" s="319" t="str">
        <f t="shared" ref="AEB20" ca="1" si="6186">IF(ADI20&lt;&gt;"",INDEX(ADI18:ADI22,MATCH(3,AEA18:AEA22,0),0),"")</f>
        <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Serbia</v>
      </c>
      <c r="AGL20" s="319">
        <v>3</v>
      </c>
      <c r="AGM20" s="319">
        <v>18</v>
      </c>
      <c r="AGN20" s="319" t="str">
        <f t="shared" si="66"/>
        <v>Slovenia</v>
      </c>
      <c r="AGO20" s="322">
        <f ca="1">IF(OFFSET('Player Game Board'!P27,0,AGO1)&lt;&gt;"",OFFSET('Player Game Board'!P27,0,AGO1),0)</f>
        <v>1</v>
      </c>
      <c r="AGP20" s="322">
        <f ca="1">IF(OFFSET('Player Game Board'!Q27,0,AGO1)&lt;&gt;"",OFFSET('Player Game Board'!Q27,0,AGO1),0)</f>
        <v>2</v>
      </c>
      <c r="AGQ20" s="319" t="str">
        <f t="shared" si="67"/>
        <v>Serbia</v>
      </c>
      <c r="AGR20" s="319" t="str">
        <f ca="1">IF(AND(OFFSET('Player Game Board'!P27,0,AGO1)&lt;&gt;"",OFFSET('Player Game Board'!Q27,0,AGO1)&lt;&gt;""),IF(AGO20&gt;AGP20,"W",IF(AGO20=AGP20,"D","L")),"")</f>
        <v>L</v>
      </c>
      <c r="AGS20" s="319" t="str">
        <f t="shared" ca="1" si="5665"/>
        <v>W</v>
      </c>
      <c r="AGT20" s="319"/>
      <c r="AGU20" s="319"/>
      <c r="AGV20" s="324" t="s">
        <v>101</v>
      </c>
      <c r="AGW20" s="325" t="s">
        <v>103</v>
      </c>
      <c r="AGX20" s="325" t="s">
        <v>104</v>
      </c>
      <c r="AGY20" s="325" t="s">
        <v>106</v>
      </c>
      <c r="AGZ20" s="324" t="s">
        <v>106</v>
      </c>
      <c r="AHA20" s="324" t="s">
        <v>104</v>
      </c>
      <c r="AHB20" s="324" t="s">
        <v>103</v>
      </c>
      <c r="AHC20" s="324" t="s">
        <v>101</v>
      </c>
      <c r="AHD20" s="325"/>
      <c r="AHE20" s="326">
        <f t="shared" ref="AHE20" ca="1" si="6223">IFERROR(MATCH(AHE12,AGV20:AGY20,0),0)</f>
        <v>4</v>
      </c>
      <c r="AHF20" s="326">
        <f t="shared" ref="AHF20" ca="1" si="6224">IFERROR(MATCH(AHF12,AGV20:AGY20,0),0)</f>
        <v>1</v>
      </c>
      <c r="AHG20" s="326">
        <f t="shared" ref="AHG20" ca="1" si="6225">IFERROR(MATCH(AHG12,AGV20:AGY20,0),0)</f>
        <v>0</v>
      </c>
      <c r="AHH20" s="326">
        <f t="shared" ref="AHH20" ca="1" si="6226">IFERROR(MATCH(AHH12,AGV20:AGY20,0),0)</f>
        <v>2</v>
      </c>
      <c r="AHI20" s="326">
        <f t="shared" ca="1" si="3826"/>
        <v>7</v>
      </c>
      <c r="AHJ20" s="325" t="s">
        <v>354</v>
      </c>
      <c r="AHK20" s="325" t="str">
        <f t="shared" ref="AHK20" ca="1" si="6227">INDEX(AGV3:AGV8,MATCH(INDEX(AHB13:AHB27,MATCH(10,AHI13:AHI27,0),0),AHJ3:AHJ8,0),0)</f>
        <v>Croatia</v>
      </c>
      <c r="AHL20" s="325">
        <f t="shared" ca="1" si="5224"/>
        <v>0</v>
      </c>
      <c r="AHM20" s="319">
        <f t="shared" ref="AHM20" ca="1" si="6228">VLOOKUP(AHN20,ALI18:ALJ22,2,FALSE)</f>
        <v>3</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0</v>
      </c>
      <c r="AHQ20" s="319">
        <f t="shared" ref="AHQ20" ca="1" si="6231">SUMPRODUCT((ALL3:ALL42=AHN20)*(ALP3:ALP42="L"))+SUMPRODUCT((ALO3:ALO42=AHN20)*(ALQ3:ALQ42="L"))</f>
        <v>0</v>
      </c>
      <c r="AHR20" s="319">
        <f t="shared" ref="AHR20" ca="1" si="6232">SUMIF(ALL3:ALL60,AHN20,ALM3:ALM60)+SUMIF(ALO3:ALO60,AHN20,ALN3:ALN60)</f>
        <v>0</v>
      </c>
      <c r="AHS20" s="319">
        <f t="shared" ref="AHS20" ca="1" si="6233">SUMIF(ALO3:ALO60,AHN20,ALM3:ALM60)+SUMIF(ALL3:ALL60,AHN20,ALN3:ALN60)</f>
        <v>0</v>
      </c>
      <c r="AHT20" s="319">
        <f t="shared" ca="1" si="5232"/>
        <v>1000</v>
      </c>
      <c r="AHU20" s="319">
        <f t="shared" ca="1" si="5233"/>
        <v>0</v>
      </c>
      <c r="AHV20" s="319">
        <f t="shared" si="870"/>
        <v>39</v>
      </c>
      <c r="AHW20" s="319">
        <f t="shared" ref="AHW20" ca="1" si="6234">IF(COUNTIF(AHU18:AHU22,4)&lt;&gt;4,RANK(AHU20,AHU18:AHU22),AHU60)</f>
        <v>1</v>
      </c>
      <c r="AHX20" s="319"/>
      <c r="AHY20" s="319">
        <f t="shared" ref="AHY20" ca="1" si="6235">SUMPRODUCT((AHW18:AHW21=AHW20)*(AHV18:AHV21&lt;AHV20))+AHW20</f>
        <v>2</v>
      </c>
      <c r="AHZ20" s="319" t="str">
        <f t="shared" ref="AHZ20" ca="1" si="6236">INDEX(AHN18:AHN22,MATCH(3,AHY18:AHY22,0),0)</f>
        <v>Denmark</v>
      </c>
      <c r="AIA20" s="319">
        <f t="shared" ref="AIA20" ca="1" si="6237">INDEX(AHW18:AHW22,MATCH(AHZ20,AHN18:AHN22,0),0)</f>
        <v>1</v>
      </c>
      <c r="AIB20" s="319" t="str">
        <f t="shared" ref="AIB20:AIB21" ca="1" si="6238">IF(AND(AIB19&lt;&gt;"",AIA20=1),AHZ20,"")</f>
        <v>Denmark</v>
      </c>
      <c r="AIC20" s="319" t="str">
        <f t="shared" ref="AIC20:AIC21" ca="1" si="6239">IF(AND(AIC19&lt;&gt;"",AIA21=2),AHZ21,"")</f>
        <v/>
      </c>
      <c r="AID20" s="319" t="str">
        <f t="shared" ref="AID20" ca="1" si="6240">IF(AND(AID19&lt;&gt;"",AIA22=3),AHZ22,"")</f>
        <v/>
      </c>
      <c r="AIE20" s="319"/>
      <c r="AIF20" s="319"/>
      <c r="AIG20" s="319" t="str">
        <f t="shared" ca="1" si="5242"/>
        <v>Denmark</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f t="shared" ca="1" si="5249"/>
        <v>0</v>
      </c>
      <c r="AIO20" s="319">
        <f t="shared" ref="AIO20" ca="1" si="6246">IF(AIG20&lt;&gt;"",VLOOKUP(AIG20,AHN4:AHT40,7,FALSE),"")</f>
        <v>1000</v>
      </c>
      <c r="AIP20" s="319">
        <f t="shared" ref="AIP20" ca="1" si="6247">IF(AIG20&lt;&gt;"",VLOOKUP(AIG20,AHN4:AHT40,5,FALSE),"")</f>
        <v>0</v>
      </c>
      <c r="AIQ20" s="319">
        <f t="shared" ref="AIQ20" ca="1" si="6248">IF(AIG20&lt;&gt;"",VLOOKUP(AIG20,AHN4:AHV40,9,FALSE),"")</f>
        <v>45</v>
      </c>
      <c r="AIR20" s="319">
        <f t="shared" ca="1" si="5253"/>
        <v>0</v>
      </c>
      <c r="AIS20" s="319">
        <f t="shared" ref="AIS20" ca="1" si="6249">IF(AIG20&lt;&gt;"",RANK(AIR20,AIR18:AIR22),"")</f>
        <v>1</v>
      </c>
      <c r="AIT20" s="319">
        <f t="shared" ref="AIT20" ca="1" si="6250">IF(AIG20&lt;&gt;"",SUMPRODUCT((AIR18:AIR22=AIR20)*(AIM18:AIM22&gt;AIM20)),"")</f>
        <v>0</v>
      </c>
      <c r="AIU20" s="319">
        <f t="shared" ref="AIU20" ca="1" si="6251">IF(AIG20&lt;&gt;"",SUMPRODUCT((AIR18:AIR22=AIR20)*(AIM18:AIM22=AIM20)*(AIK18:AIK22&gt;AIK20)),"")</f>
        <v>0</v>
      </c>
      <c r="AIV20" s="319">
        <f t="shared" ref="AIV20" ca="1" si="6252">IF(AIG20&lt;&gt;"",SUMPRODUCT((AIR18:AIR22=AIR20)*(AIM18:AIM22=AIM20)*(AIK18:AIK22=AIK20)*(AIO18:AIO22&gt;AIO20)),"")</f>
        <v>0</v>
      </c>
      <c r="AIW20" s="319">
        <f t="shared" ref="AIW20" ca="1" si="6253">IF(AIG20&lt;&gt;"",SUMPRODUCT((AIR18:AIR22=AIR20)*(AIM18:AIM22=AIM20)*(AIK18:AIK22=AIK20)*(AIO18:AIO22=AIO20)*(AIP18:AIP22&gt;AIP20)),"")</f>
        <v>0</v>
      </c>
      <c r="AIX20" s="319">
        <f t="shared" ref="AIX20" ca="1" si="6254">IF(AIG20&lt;&gt;"",SUMPRODUCT((AIR18:AIR22=AIR20)*(AIM18:AIM22=AIM20)*(AIK18:AIK22=AIK20)*(AIO18:AIO22=AIO20)*(AIP18:AIP22=AIP20)*(AIQ18:AIQ22&gt;AIQ20)),"")</f>
        <v>1</v>
      </c>
      <c r="AIY20" s="319">
        <f ca="1">IF(AIG20&lt;&gt;"",IF(AIY60&lt;&gt;"",IF(AIF57=3,AIY60,AIY60+AIF57),SUM(AIS20:AIX20)),"")</f>
        <v>2</v>
      </c>
      <c r="AIZ20" s="319" t="str">
        <f t="shared" ref="AIZ20" ca="1" si="6255">IF(AIG20&lt;&gt;"",INDEX(AIG18:AIG22,MATCH(3,AIY18:AIY22,0),0),"")</f>
        <v>Slovenia</v>
      </c>
      <c r="AJA20" s="319" t="str">
        <f t="shared" ca="1" si="5700"/>
        <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19">
        <f t="shared" ca="1" si="5706"/>
        <v>1000</v>
      </c>
      <c r="AJH20" s="319" t="str">
        <f t="shared" ca="1" si="5707"/>
        <v/>
      </c>
      <c r="AJI20" s="319" t="str">
        <f t="shared" ref="AJI20" ca="1" si="6261">IF(AJA20&lt;&gt;"",VLOOKUP(AJA20,AHN4:AHT40,7,FALSE),"")</f>
        <v/>
      </c>
      <c r="AJJ20" s="319" t="str">
        <f t="shared" ref="AJJ20" ca="1" si="6262">IF(AJA20&lt;&gt;"",VLOOKUP(AJA20,AHN4:AHT40,5,FALSE),"")</f>
        <v/>
      </c>
      <c r="AJK20" s="319" t="str">
        <f t="shared" ref="AJK20" ca="1" si="6263">IF(AJA20&lt;&gt;"",VLOOKUP(AJA20,AHN4:AHV40,9,FALSE),"")</f>
        <v/>
      </c>
      <c r="AJL20" s="319" t="str">
        <f t="shared" ca="1" si="5711"/>
        <v/>
      </c>
      <c r="AJM20" s="319" t="str">
        <f t="shared" ref="AJM20" ca="1" si="6264">IF(AJA20&lt;&gt;"",RANK(AJL20,AJL18:AJL22),"")</f>
        <v/>
      </c>
      <c r="AJN20" s="319" t="str">
        <f t="shared" ref="AJN20" ca="1" si="6265">IF(AJA20&lt;&gt;"",SUMPRODUCT((AJL18:AJL22=AJL20)*(AJG18:AJG22&gt;AJG20)),"")</f>
        <v/>
      </c>
      <c r="AJO20" s="319" t="str">
        <f t="shared" ref="AJO20" ca="1" si="6266">IF(AJA20&lt;&gt;"",SUMPRODUCT((AJL18:AJL22=AJL20)*(AJG18:AJG22=AJG20)*(AJE18:AJE22&gt;AJE20)),"")</f>
        <v/>
      </c>
      <c r="AJP20" s="319" t="str">
        <f t="shared" ref="AJP20" ca="1" si="6267">IF(AJA20&lt;&gt;"",SUMPRODUCT((AJL18:AJL22=AJL20)*(AJG18:AJG22=AJG20)*(AJE18:AJE22=AJE20)*(AJI18:AJI22&gt;AJI20)),"")</f>
        <v/>
      </c>
      <c r="AJQ20" s="319" t="str">
        <f t="shared" ref="AJQ20" ca="1" si="6268">IF(AJA20&lt;&gt;"",SUMPRODUCT((AJL18:AJL22=AJL20)*(AJG18:AJG22=AJG20)*(AJE18:AJE22=AJE20)*(AJI18:AJI22=AJI20)*(AJJ18:AJJ22&gt;AJJ20)),"")</f>
        <v/>
      </c>
      <c r="AJR20" s="319" t="str">
        <f t="shared" ref="AJR20" ca="1" si="6269">IF(AJA20&lt;&gt;"",SUMPRODUCT((AJL18:AJL22=AJL20)*(AJG18:AJG22=AJG20)*(AJE18:AJE22=AJE20)*(AJI18:AJI22=AJI20)*(AJJ18:AJJ22=AJJ20)*(AJK18:AJK22&gt;AJK20)),"")</f>
        <v/>
      </c>
      <c r="AJS20" s="319" t="str">
        <f ca="1">IF(AJA20&lt;&gt;"",IF(AJS60&lt;&gt;"",IF(AIZ57=3,AJS60,AJS60+AIZ57),SUM(AJM20:AJR20)+1),"")</f>
        <v/>
      </c>
      <c r="AJT20" s="319" t="str">
        <f t="shared" ref="AJT20" ca="1" si="6270">IF(AJA20&lt;&gt;"",INDEX(AJA19:AJA22,MATCH(3,AJS19:AJS22,0),0),"")</f>
        <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Slovenia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0</v>
      </c>
      <c r="ALO20" s="319" t="str">
        <f t="shared" si="83"/>
        <v>Serbia</v>
      </c>
      <c r="ALP20" s="319" t="str">
        <f ca="1">IF(AND(OFFSET('Player Game Board'!P27,0,ALM1)&lt;&gt;"",OFFSET('Player Game Board'!Q27,0,ALM1)&lt;&gt;""),IF(ALM20&gt;ALN20,"W",IF(ALM20=ALN20,"D","L")),"")</f>
        <v/>
      </c>
      <c r="ALQ20" s="319" t="str">
        <f t="shared" ca="1" si="5720"/>
        <v/>
      </c>
      <c r="ALR20" s="319"/>
      <c r="ALS20" s="319"/>
      <c r="ALT20" s="324" t="s">
        <v>101</v>
      </c>
      <c r="ALU20" s="325" t="s">
        <v>103</v>
      </c>
      <c r="ALV20" s="325" t="s">
        <v>104</v>
      </c>
      <c r="ALW20" s="325" t="s">
        <v>106</v>
      </c>
      <c r="ALX20" s="324" t="s">
        <v>106</v>
      </c>
      <c r="ALY20" s="324" t="s">
        <v>104</v>
      </c>
      <c r="ALZ20" s="324" t="s">
        <v>103</v>
      </c>
      <c r="AMA20" s="324" t="s">
        <v>101</v>
      </c>
      <c r="AMB20" s="325"/>
      <c r="AMC20" s="326">
        <f t="shared" ref="AMC20" ca="1" si="6292">IFERROR(MATCH(AMC12,ALT20:ALW20,0),0)</f>
        <v>1</v>
      </c>
      <c r="AMD20" s="326">
        <f t="shared" ref="AMD20" ca="1" si="6293">IFERROR(MATCH(AMD12,ALT20:ALW20,0),0)</f>
        <v>3</v>
      </c>
      <c r="AME20" s="326">
        <f t="shared" ref="AME20" ca="1" si="6294">IFERROR(MATCH(AME12,ALT20:ALW20,0),0)</f>
        <v>0</v>
      </c>
      <c r="AMF20" s="326">
        <f t="shared" ref="AMF20" ca="1" si="6295">IFERROR(MATCH(AMF12,ALT20:ALW20,0),0)</f>
        <v>2</v>
      </c>
      <c r="AMG20" s="326">
        <f t="shared" ca="1" si="3896"/>
        <v>6</v>
      </c>
      <c r="AMH20" s="325" t="s">
        <v>354</v>
      </c>
      <c r="AMI20" s="325" t="str">
        <f t="shared" ref="AMI20" ca="1" si="6296">INDEX(ALT3:ALT8,MATCH(INDEX(ALZ13:ALZ27,MATCH(10,AMG13:AMG27,0),0),AMH3:AMH8,0),0)</f>
        <v>Croatia</v>
      </c>
      <c r="AMJ20" s="325">
        <f t="shared" ca="1" si="5267"/>
        <v>0</v>
      </c>
      <c r="AMK20" s="319">
        <f t="shared" ref="AMK20" ca="1" si="6297">VLOOKUP(AML20,AQG18:AQH22,2,FALSE)</f>
        <v>3</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0</v>
      </c>
      <c r="AMO20" s="319">
        <f t="shared" ref="AMO20" ca="1" si="6300">SUMPRODUCT((AQJ3:AQJ42=AML20)*(AQN3:AQN42="L"))+SUMPRODUCT((AQM3:AQM42=AML20)*(AQO3:AQO42="L"))</f>
        <v>0</v>
      </c>
      <c r="AMP20" s="319">
        <f t="shared" ref="AMP20" ca="1" si="6301">SUMIF(AQJ3:AQJ60,AML20,AQK3:AQK60)+SUMIF(AQM3:AQM60,AML20,AQL3:AQL60)</f>
        <v>0</v>
      </c>
      <c r="AMQ20" s="319">
        <f t="shared" ref="AMQ20" ca="1" si="6302">SUMIF(AQM3:AQM60,AML20,AQK3:AQK60)+SUMIF(AQJ3:AQJ60,AML20,AQL3:AQL60)</f>
        <v>0</v>
      </c>
      <c r="AMR20" s="319">
        <f t="shared" ca="1" si="5275"/>
        <v>1000</v>
      </c>
      <c r="AMS20" s="319">
        <f t="shared" ca="1" si="5276"/>
        <v>0</v>
      </c>
      <c r="AMT20" s="319">
        <f t="shared" si="930"/>
        <v>39</v>
      </c>
      <c r="AMU20" s="319">
        <f t="shared" ref="AMU20" ca="1" si="6303">IF(COUNTIF(AMS18:AMS22,4)&lt;&gt;4,RANK(AMS20,AMS18:AMS22),AMS60)</f>
        <v>1</v>
      </c>
      <c r="AMV20" s="319"/>
      <c r="AMW20" s="319">
        <f t="shared" ref="AMW20" ca="1" si="6304">SUMPRODUCT((AMU18:AMU21=AMU20)*(AMT18:AMT21&lt;AMT20))+AMU20</f>
        <v>2</v>
      </c>
      <c r="AMX20" s="319" t="str">
        <f t="shared" ref="AMX20" ca="1" si="6305">INDEX(AML18:AML22,MATCH(3,AMW18:AMW22,0),0)</f>
        <v>Denmark</v>
      </c>
      <c r="AMY20" s="319">
        <f t="shared" ref="AMY20" ca="1" si="6306">INDEX(AMU18:AMU22,MATCH(AMX20,AML18:AML22,0),0)</f>
        <v>1</v>
      </c>
      <c r="AMZ20" s="319" t="str">
        <f t="shared" ref="AMZ20:AMZ21" ca="1" si="6307">IF(AND(AMZ19&lt;&gt;"",AMY20=1),AMX20,"")</f>
        <v>Denmark</v>
      </c>
      <c r="ANA20" s="319" t="str">
        <f t="shared" ref="ANA20:ANA21" ca="1" si="6308">IF(AND(ANA19&lt;&gt;"",AMY21=2),AMX21,"")</f>
        <v/>
      </c>
      <c r="ANB20" s="319" t="str">
        <f t="shared" ref="ANB20" ca="1" si="6309">IF(AND(ANB19&lt;&gt;"",AMY22=3),AMX22,"")</f>
        <v/>
      </c>
      <c r="ANC20" s="319"/>
      <c r="AND20" s="319"/>
      <c r="ANE20" s="319" t="str">
        <f t="shared" ca="1" si="5285"/>
        <v>Denmark</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f t="shared" ca="1" si="5292"/>
        <v>0</v>
      </c>
      <c r="ANM20" s="319">
        <f t="shared" ref="ANM20" ca="1" si="6315">IF(ANE20&lt;&gt;"",VLOOKUP(ANE20,AML4:AMR40,7,FALSE),"")</f>
        <v>1000</v>
      </c>
      <c r="ANN20" s="319">
        <f t="shared" ref="ANN20" ca="1" si="6316">IF(ANE20&lt;&gt;"",VLOOKUP(ANE20,AML4:AMR40,5,FALSE),"")</f>
        <v>0</v>
      </c>
      <c r="ANO20" s="319">
        <f t="shared" ref="ANO20" ca="1" si="6317">IF(ANE20&lt;&gt;"",VLOOKUP(ANE20,AML4:AMT40,9,FALSE),"")</f>
        <v>45</v>
      </c>
      <c r="ANP20" s="319">
        <f t="shared" ca="1" si="5296"/>
        <v>0</v>
      </c>
      <c r="ANQ20" s="319">
        <f t="shared" ref="ANQ20" ca="1" si="6318">IF(ANE20&lt;&gt;"",RANK(ANP20,ANP18:ANP22),"")</f>
        <v>1</v>
      </c>
      <c r="ANR20" s="319">
        <f t="shared" ref="ANR20" ca="1" si="6319">IF(ANE20&lt;&gt;"",SUMPRODUCT((ANP18:ANP22=ANP20)*(ANK18:ANK22&gt;ANK20)),"")</f>
        <v>0</v>
      </c>
      <c r="ANS20" s="319">
        <f t="shared" ref="ANS20" ca="1" si="6320">IF(ANE20&lt;&gt;"",SUMPRODUCT((ANP18:ANP22=ANP20)*(ANK18:ANK22=ANK20)*(ANI18:ANI22&gt;ANI20)),"")</f>
        <v>0</v>
      </c>
      <c r="ANT20" s="319">
        <f t="shared" ref="ANT20" ca="1" si="6321">IF(ANE20&lt;&gt;"",SUMPRODUCT((ANP18:ANP22=ANP20)*(ANK18:ANK22=ANK20)*(ANI18:ANI22=ANI20)*(ANM18:ANM22&gt;ANM20)),"")</f>
        <v>0</v>
      </c>
      <c r="ANU20" s="319">
        <f t="shared" ref="ANU20" ca="1" si="6322">IF(ANE20&lt;&gt;"",SUMPRODUCT((ANP18:ANP22=ANP20)*(ANK18:ANK22=ANK20)*(ANI18:ANI22=ANI20)*(ANM18:ANM22=ANM20)*(ANN18:ANN22&gt;ANN20)),"")</f>
        <v>0</v>
      </c>
      <c r="ANV20" s="319">
        <f t="shared" ref="ANV20" ca="1" si="6323">IF(ANE20&lt;&gt;"",SUMPRODUCT((ANP18:ANP22=ANP20)*(ANK18:ANK22=ANK20)*(ANI18:ANI22=ANI20)*(ANM18:ANM22=ANM20)*(ANN18:ANN22=ANN20)*(ANO18:ANO22&gt;ANO20)),"")</f>
        <v>1</v>
      </c>
      <c r="ANW20" s="319">
        <f ca="1">IF(ANE20&lt;&gt;"",IF(ANW60&lt;&gt;"",IF(AND57=3,ANW60,ANW60+AND57),SUM(ANQ20:ANV20)),"")</f>
        <v>2</v>
      </c>
      <c r="ANX20" s="319" t="str">
        <f t="shared" ref="ANX20" ca="1" si="6324">IF(ANE20&lt;&gt;"",INDEX(ANE18:ANE22,MATCH(3,ANW18:ANW22,0),0),"")</f>
        <v>Slovenia</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0</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t="str">
        <f t="shared" ref="AOZ20:AOZ21" ca="1" si="6347">IF(AOS20&lt;&gt;"",AOT20*3+AOU20*1,"")</f>
        <v/>
      </c>
      <c r="APA20" s="319" t="str">
        <f t="shared" ref="APA20" ca="1" si="6348">IF(AOS20&lt;&gt;"",VLOOKUP(AOS20,AML4:AMR40,7,FALSE),"")</f>
        <v/>
      </c>
      <c r="APB20" s="319" t="str">
        <f t="shared" ref="APB20" ca="1" si="6349">IF(AOS20&lt;&gt;"",VLOOKUP(AOS20,AML4:AMR40,5,FALSE),"")</f>
        <v/>
      </c>
      <c r="APC20" s="319" t="str">
        <f t="shared" ref="APC20" ca="1" si="6350">IF(AOS20&lt;&gt;"",VLOOKUP(AOS20,AML4:AMT40,9,FALSE),"")</f>
        <v/>
      </c>
      <c r="APD20" s="319" t="str">
        <f t="shared" ref="APD20:APD21" ca="1" si="6351">AOZ20</f>
        <v/>
      </c>
      <c r="APE20" s="319" t="str">
        <f t="shared" ref="APE20" ca="1" si="6352">IF(AOS20&lt;&gt;"",RANK(APD20,APD18:APD22),"")</f>
        <v/>
      </c>
      <c r="APF20" s="319" t="str">
        <f t="shared" ref="APF20" ca="1" si="6353">IF(AOS20&lt;&gt;"",SUMPRODUCT((APD18:APD22=APD20)*(AOY18:AOY22&gt;AOY20)),"")</f>
        <v/>
      </c>
      <c r="APG20" s="319" t="str">
        <f t="shared" ref="APG20" ca="1" si="6354">IF(AOS20&lt;&gt;"",SUMPRODUCT((APD18:APD22=APD20)*(AOY18:AOY22=AOY20)*(AOW18:AOW22&gt;AOW20)),"")</f>
        <v/>
      </c>
      <c r="APH20" s="319" t="str">
        <f t="shared" ref="APH20" ca="1" si="6355">IF(AOS20&lt;&gt;"",SUMPRODUCT((APD18:APD22=APD20)*(AOY18:AOY22=AOY20)*(AOW18:AOW22=AOW20)*(APA18:APA22&gt;APA20)),"")</f>
        <v/>
      </c>
      <c r="API20" s="319" t="str">
        <f t="shared" ref="API20" ca="1" si="6356">IF(AOS20&lt;&gt;"",SUMPRODUCT((APD18:APD22=APD20)*(AOY18:AOY22=AOY20)*(AOW18:AOW22=AOW20)*(APA18:APA22=APA20)*(APB18:APB22&gt;APB20)),"")</f>
        <v/>
      </c>
      <c r="APJ20" s="319" t="str">
        <f t="shared" ref="APJ20" ca="1" si="6357">IF(AOS20&lt;&gt;"",SUMPRODUCT((APD18:APD22=APD20)*(AOY18:AOY22=AOY20)*(AOW18:AOW22=AOW20)*(APA18:APA22=APA20)*(APB18:APB22=APB20)*(APC18:APC22&gt;APC20)),"")</f>
        <v/>
      </c>
      <c r="APK20" s="319" t="str">
        <f t="shared" ref="APK20:APK21" ca="1" si="6358">IF(AOS20&lt;&gt;"",SUM(APE20:APJ20)+2,"")</f>
        <v/>
      </c>
      <c r="APL20" s="319" t="str">
        <f t="shared" ref="APL20" ca="1" si="6359">IF(AOS20&lt;&gt;"",INDEX(AOS20:AOS22,MATCH(3,APK20:APK22,0),0),"")</f>
        <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Slovenia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
      </c>
      <c r="AQO20" s="319" t="str">
        <f t="shared" ca="1" si="5775"/>
        <v/>
      </c>
      <c r="AQP20" s="319"/>
      <c r="AQQ20" s="319"/>
      <c r="AQR20" s="324" t="s">
        <v>101</v>
      </c>
      <c r="AQS20" s="325" t="s">
        <v>103</v>
      </c>
      <c r="AQT20" s="325" t="s">
        <v>104</v>
      </c>
      <c r="AQU20" s="325" t="s">
        <v>106</v>
      </c>
      <c r="AQV20" s="324" t="s">
        <v>106</v>
      </c>
      <c r="AQW20" s="324" t="s">
        <v>104</v>
      </c>
      <c r="AQX20" s="324" t="s">
        <v>103</v>
      </c>
      <c r="AQY20" s="324" t="s">
        <v>101</v>
      </c>
      <c r="AQZ20" s="325"/>
      <c r="ARA20" s="326">
        <f t="shared" ref="ARA20" ca="1" si="6361">IFERROR(MATCH(ARA12,AQR20:AQU20,0),0)</f>
        <v>1</v>
      </c>
      <c r="ARB20" s="326">
        <f t="shared" ref="ARB20" ca="1" si="6362">IFERROR(MATCH(ARB12,AQR20:AQU20,0),0)</f>
        <v>3</v>
      </c>
      <c r="ARC20" s="326">
        <f t="shared" ref="ARC20" ca="1" si="6363">IFERROR(MATCH(ARC12,AQR20:AQU20,0),0)</f>
        <v>0</v>
      </c>
      <c r="ARD20" s="326">
        <f t="shared" ref="ARD20" ca="1" si="6364">IFERROR(MATCH(ARD12,AQR20:AQU20,0),0)</f>
        <v>2</v>
      </c>
      <c r="ARE20" s="326">
        <f t="shared" ca="1" si="3966"/>
        <v>6</v>
      </c>
      <c r="ARF20" s="325" t="s">
        <v>354</v>
      </c>
      <c r="ARG20" s="325" t="str">
        <f t="shared" ref="ARG20" ca="1" si="6365">INDEX(AQR3:AQR8,MATCH(INDEX(AQX13:AQX27,MATCH(10,ARE13:ARE27,0),0),ARF3:ARF8,0),0)</f>
        <v>Croatia</v>
      </c>
      <c r="ARH20" s="325">
        <f t="shared" ca="1" si="5310"/>
        <v>0</v>
      </c>
      <c r="ARI20" s="319">
        <f t="shared" ref="ARI20" ca="1" si="6366">VLOOKUP(ARJ20,AVE18:AVF22,2,FALSE)</f>
        <v>3</v>
      </c>
      <c r="ARJ20" s="319" t="str">
        <f t="shared" si="5312"/>
        <v>Slovenia</v>
      </c>
      <c r="ARK20" s="319">
        <f t="shared" ref="ARK20" ca="1" si="6367">SUMPRODUCT((AVH3:AVH42=ARJ20)*(AVL3:AVL42="W"))+SUMPRODUCT((AVK3:AVK42=ARJ20)*(AVM3:AVM42="W"))</f>
        <v>0</v>
      </c>
      <c r="ARL20" s="319">
        <f t="shared" ref="ARL20" ca="1" si="6368">SUMPRODUCT((AVH3:AVH42=ARJ20)*(AVL3:AVL42="D"))+SUMPRODUCT((AVK3:AVK42=ARJ20)*(AVM3:AVM42="D"))</f>
        <v>0</v>
      </c>
      <c r="ARM20" s="319">
        <f t="shared" ref="ARM20" ca="1" si="6369">SUMPRODUCT((AVH3:AVH42=ARJ20)*(AVL3:AVL42="L"))+SUMPRODUCT((AVK3:AVK42=ARJ20)*(AVM3:AVM42="L"))</f>
        <v>0</v>
      </c>
      <c r="ARN20" s="319">
        <f t="shared" ref="ARN20" ca="1" si="6370">SUMIF(AVH3:AVH60,ARJ20,AVI3:AVI60)+SUMIF(AVK3:AVK60,ARJ20,AVJ3:AVJ60)</f>
        <v>0</v>
      </c>
      <c r="ARO20" s="319">
        <f t="shared" ref="ARO20" ca="1" si="6371">SUMIF(AVK3:AVK60,ARJ20,AVI3:AVI60)+SUMIF(AVH3:AVH60,ARJ20,AVJ3:AVJ60)</f>
        <v>0</v>
      </c>
      <c r="ARP20" s="319">
        <f t="shared" ca="1" si="5318"/>
        <v>1000</v>
      </c>
      <c r="ARQ20" s="319">
        <f t="shared" ca="1" si="5319"/>
        <v>0</v>
      </c>
      <c r="ARR20" s="319">
        <f t="shared" si="990"/>
        <v>39</v>
      </c>
      <c r="ARS20" s="319">
        <f t="shared" ref="ARS20" ca="1" si="6372">IF(COUNTIF(ARQ18:ARQ22,4)&lt;&gt;4,RANK(ARQ20,ARQ18:ARQ22),ARQ60)</f>
        <v>1</v>
      </c>
      <c r="ART20" s="319"/>
      <c r="ARU20" s="319">
        <f t="shared" ref="ARU20" ca="1" si="6373">SUMPRODUCT((ARS18:ARS21=ARS20)*(ARR18:ARR21&lt;ARR20))+ARS20</f>
        <v>2</v>
      </c>
      <c r="ARV20" s="319" t="str">
        <f t="shared" ref="ARV20" ca="1" si="6374">INDEX(ARJ18:ARJ22,MATCH(3,ARU18:ARU22,0),0)</f>
        <v>Denmark</v>
      </c>
      <c r="ARW20" s="319">
        <f t="shared" ref="ARW20" ca="1" si="6375">INDEX(ARS18:ARS22,MATCH(ARV20,ARJ18:ARJ22,0),0)</f>
        <v>1</v>
      </c>
      <c r="ARX20" s="319" t="str">
        <f t="shared" ref="ARX20:ARX21" ca="1" si="6376">IF(AND(ARX19&lt;&gt;"",ARW20=1),ARV20,"")</f>
        <v>Denmark</v>
      </c>
      <c r="ARY20" s="319" t="str">
        <f t="shared" ref="ARY20:ARY21" ca="1" si="6377">IF(AND(ARY19&lt;&gt;"",ARW21=2),ARV21,"")</f>
        <v/>
      </c>
      <c r="ARZ20" s="319" t="str">
        <f t="shared" ref="ARZ20" ca="1" si="6378">IF(AND(ARZ19&lt;&gt;"",ARW22=3),ARV22,"")</f>
        <v/>
      </c>
      <c r="ASA20" s="319"/>
      <c r="ASB20" s="319"/>
      <c r="ASC20" s="319" t="str">
        <f t="shared" ca="1" si="5328"/>
        <v>Denmark</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f t="shared" ca="1" si="5335"/>
        <v>0</v>
      </c>
      <c r="ASK20" s="319">
        <f t="shared" ref="ASK20" ca="1" si="6384">IF(ASC20&lt;&gt;"",VLOOKUP(ASC20,ARJ4:ARP40,7,FALSE),"")</f>
        <v>1000</v>
      </c>
      <c r="ASL20" s="319">
        <f t="shared" ref="ASL20" ca="1" si="6385">IF(ASC20&lt;&gt;"",VLOOKUP(ASC20,ARJ4:ARP40,5,FALSE),"")</f>
        <v>0</v>
      </c>
      <c r="ASM20" s="319">
        <f t="shared" ref="ASM20" ca="1" si="6386">IF(ASC20&lt;&gt;"",VLOOKUP(ASC20,ARJ4:ARR40,9,FALSE),"")</f>
        <v>45</v>
      </c>
      <c r="ASN20" s="319">
        <f t="shared" ca="1" si="5339"/>
        <v>0</v>
      </c>
      <c r="ASO20" s="319">
        <f t="shared" ref="ASO20" ca="1" si="6387">IF(ASC20&lt;&gt;"",RANK(ASN20,ASN18:ASN22),"")</f>
        <v>1</v>
      </c>
      <c r="ASP20" s="319">
        <f t="shared" ref="ASP20" ca="1" si="6388">IF(ASC20&lt;&gt;"",SUMPRODUCT((ASN18:ASN22=ASN20)*(ASI18:ASI22&gt;ASI20)),"")</f>
        <v>0</v>
      </c>
      <c r="ASQ20" s="319">
        <f t="shared" ref="ASQ20" ca="1" si="6389">IF(ASC20&lt;&gt;"",SUMPRODUCT((ASN18:ASN22=ASN20)*(ASI18:ASI22=ASI20)*(ASG18:ASG22&gt;ASG20)),"")</f>
        <v>0</v>
      </c>
      <c r="ASR20" s="319">
        <f t="shared" ref="ASR20" ca="1" si="6390">IF(ASC20&lt;&gt;"",SUMPRODUCT((ASN18:ASN22=ASN20)*(ASI18:ASI22=ASI20)*(ASG18:ASG22=ASG20)*(ASK18:ASK22&gt;ASK20)),"")</f>
        <v>0</v>
      </c>
      <c r="ASS20" s="319">
        <f t="shared" ref="ASS20" ca="1" si="6391">IF(ASC20&lt;&gt;"",SUMPRODUCT((ASN18:ASN22=ASN20)*(ASI18:ASI22=ASI20)*(ASG18:ASG22=ASG20)*(ASK18:ASK22=ASK20)*(ASL18:ASL22&gt;ASL20)),"")</f>
        <v>0</v>
      </c>
      <c r="AST20" s="319">
        <f t="shared" ref="AST20" ca="1" si="6392">IF(ASC20&lt;&gt;"",SUMPRODUCT((ASN18:ASN22=ASN20)*(ASI18:ASI22=ASI20)*(ASG18:ASG22=ASG20)*(ASK18:ASK22=ASK20)*(ASL18:ASL22=ASL20)*(ASM18:ASM22&gt;ASM20)),"")</f>
        <v>1</v>
      </c>
      <c r="ASU20" s="319">
        <f ca="1">IF(ASC20&lt;&gt;"",IF(ASU60&lt;&gt;"",IF(ASB57=3,ASU60,ASU60+ASB57),SUM(ASO20:AST20)),"")</f>
        <v>2</v>
      </c>
      <c r="ASV20" s="319" t="str">
        <f t="shared" ref="ASV20" ca="1" si="6393">IF(ASC20&lt;&gt;"",INDEX(ASC18:ASC22,MATCH(3,ASU18:ASU22,0),0),"")</f>
        <v>Slovenia</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0</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0</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0</v>
      </c>
      <c r="ATW20" s="319">
        <f t="shared" ref="ATW20:ATW21" ca="1" si="6415">ATU20-ATV20+1000</f>
        <v>1000</v>
      </c>
      <c r="ATX20" s="319" t="str">
        <f t="shared" ref="ATX20:ATX21" ca="1" si="6416">IF(ATQ20&lt;&gt;"",ATR20*3+ATS20*1,"")</f>
        <v/>
      </c>
      <c r="ATY20" s="319" t="str">
        <f t="shared" ref="ATY20" ca="1" si="6417">IF(ATQ20&lt;&gt;"",VLOOKUP(ATQ20,ARJ4:ARP40,7,FALSE),"")</f>
        <v/>
      </c>
      <c r="ATZ20" s="319" t="str">
        <f t="shared" ref="ATZ20" ca="1" si="6418">IF(ATQ20&lt;&gt;"",VLOOKUP(ATQ20,ARJ4:ARP40,5,FALSE),"")</f>
        <v/>
      </c>
      <c r="AUA20" s="319" t="str">
        <f t="shared" ref="AUA20" ca="1" si="6419">IF(ATQ20&lt;&gt;"",VLOOKUP(ATQ20,ARJ4:ARR40,9,FALSE),"")</f>
        <v/>
      </c>
      <c r="AUB20" s="319" t="str">
        <f t="shared" ref="AUB20:AUB21" ca="1" si="6420">ATX20</f>
        <v/>
      </c>
      <c r="AUC20" s="319" t="str">
        <f t="shared" ref="AUC20" ca="1" si="6421">IF(ATQ20&lt;&gt;"",RANK(AUB20,AUB18:AUB22),"")</f>
        <v/>
      </c>
      <c r="AUD20" s="319" t="str">
        <f t="shared" ref="AUD20" ca="1" si="6422">IF(ATQ20&lt;&gt;"",SUMPRODUCT((AUB18:AUB22=AUB20)*(ATW18:ATW22&gt;ATW20)),"")</f>
        <v/>
      </c>
      <c r="AUE20" s="319" t="str">
        <f t="shared" ref="AUE20" ca="1" si="6423">IF(ATQ20&lt;&gt;"",SUMPRODUCT((AUB18:AUB22=AUB20)*(ATW18:ATW22=ATW20)*(ATU18:ATU22&gt;ATU20)),"")</f>
        <v/>
      </c>
      <c r="AUF20" s="319" t="str">
        <f t="shared" ref="AUF20" ca="1" si="6424">IF(ATQ20&lt;&gt;"",SUMPRODUCT((AUB18:AUB22=AUB20)*(ATW18:ATW22=ATW20)*(ATU18:ATU22=ATU20)*(ATY18:ATY22&gt;ATY20)),"")</f>
        <v/>
      </c>
      <c r="AUG20" s="319" t="str">
        <f t="shared" ref="AUG20" ca="1" si="6425">IF(ATQ20&lt;&gt;"",SUMPRODUCT((AUB18:AUB22=AUB20)*(ATW18:ATW22=ATW20)*(ATU18:ATU22=ATU20)*(ATY18:ATY22=ATY20)*(ATZ18:ATZ22&gt;ATZ20)),"")</f>
        <v/>
      </c>
      <c r="AUH20" s="319" t="str">
        <f t="shared" ref="AUH20" ca="1" si="6426">IF(ATQ20&lt;&gt;"",SUMPRODUCT((AUB18:AUB22=AUB20)*(ATW18:ATW22=ATW20)*(ATU18:ATU22=ATU20)*(ATY18:ATY22=ATY20)*(ATZ18:ATZ22=ATZ20)*(AUA18:AUA22&gt;AUA20)),"")</f>
        <v/>
      </c>
      <c r="AUI20" s="319" t="str">
        <f t="shared" ref="AUI20:AUI21" ca="1" si="6427">IF(ATQ20&lt;&gt;"",SUM(AUC20:AUH20)+2,"")</f>
        <v/>
      </c>
      <c r="AUJ20" s="319" t="str">
        <f t="shared" ref="AUJ20" ca="1" si="6428">IF(ATQ20&lt;&gt;"",INDEX(ATQ20:ATQ22,MATCH(3,AUI20:AUI22,0),0),"")</f>
        <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Slovenia</v>
      </c>
      <c r="AVF20" s="319">
        <v>3</v>
      </c>
      <c r="AVG20" s="319">
        <v>18</v>
      </c>
      <c r="AVH20" s="319" t="str">
        <f t="shared" si="114"/>
        <v>Slovenia</v>
      </c>
      <c r="AVI20" s="322">
        <f ca="1">IF(OFFSET('Player Game Board'!P27,0,AVI1)&lt;&gt;"",OFFSET('Player Game Board'!P27,0,AVI1),0)</f>
        <v>0</v>
      </c>
      <c r="AVJ20" s="322">
        <f ca="1">IF(OFFSET('Player Game Board'!Q27,0,AVI1)&lt;&gt;"",OFFSET('Player Game Board'!Q27,0,AVI1),0)</f>
        <v>0</v>
      </c>
      <c r="AVK20" s="319" t="str">
        <f t="shared" si="115"/>
        <v>Serbia</v>
      </c>
      <c r="AVL20" s="319" t="str">
        <f ca="1">IF(AND(OFFSET('Player Game Board'!P27,0,AVI1)&lt;&gt;"",OFFSET('Player Game Board'!Q27,0,AVI1)&lt;&gt;""),IF(AVI20&gt;AVJ20,"W",IF(AVI20=AVJ20,"D","L")),"")</f>
        <v/>
      </c>
      <c r="AVM20" s="319" t="str">
        <f t="shared" ca="1" si="5830"/>
        <v/>
      </c>
      <c r="AVN20" s="319"/>
      <c r="AVO20" s="319"/>
      <c r="AVP20" s="324" t="s">
        <v>101</v>
      </c>
      <c r="AVQ20" s="325" t="s">
        <v>103</v>
      </c>
      <c r="AVR20" s="325" t="s">
        <v>104</v>
      </c>
      <c r="AVS20" s="325" t="s">
        <v>106</v>
      </c>
      <c r="AVT20" s="324" t="s">
        <v>106</v>
      </c>
      <c r="AVU20" s="324" t="s">
        <v>104</v>
      </c>
      <c r="AVV20" s="324" t="s">
        <v>103</v>
      </c>
      <c r="AVW20" s="324" t="s">
        <v>101</v>
      </c>
      <c r="AVX20" s="325"/>
      <c r="AVY20" s="326">
        <f t="shared" ref="AVY20" ca="1" si="6430">IFERROR(MATCH(AVY12,AVP20:AVS20,0),0)</f>
        <v>1</v>
      </c>
      <c r="AVZ20" s="326">
        <f t="shared" ref="AVZ20" ca="1" si="6431">IFERROR(MATCH(AVZ12,AVP20:AVS20,0),0)</f>
        <v>3</v>
      </c>
      <c r="AWA20" s="326">
        <f t="shared" ref="AWA20" ca="1" si="6432">IFERROR(MATCH(AWA12,AVP20:AVS20,0),0)</f>
        <v>0</v>
      </c>
      <c r="AWB20" s="326">
        <f t="shared" ref="AWB20" ca="1" si="6433">IFERROR(MATCH(AWB12,AVP20:AVS20,0),0)</f>
        <v>2</v>
      </c>
      <c r="AWC20" s="326">
        <f t="shared" ca="1" si="4036"/>
        <v>6</v>
      </c>
      <c r="AWD20" s="325" t="s">
        <v>354</v>
      </c>
      <c r="AWE20" s="325" t="str">
        <f t="shared" ref="AWE20" ca="1" si="6434">INDEX(AVP3:AVP8,MATCH(INDEX(AVV13:AVV27,MATCH(10,AWC13:AWC27,0),0),AWD3:AWD8,0),0)</f>
        <v>Croatia</v>
      </c>
      <c r="AWF20" s="325">
        <f t="shared" ca="1" si="5353"/>
        <v>0</v>
      </c>
      <c r="AWG20" s="319">
        <f t="shared" ref="AWG20" ca="1" si="6435">VLOOKUP(AWH20,BAC18:BAD22,2,FALSE)</f>
        <v>3</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0</v>
      </c>
      <c r="AWL20" s="319">
        <f t="shared" ref="AWL20" ca="1" si="6439">SUMIF(BAF3:BAF60,AWH20,BAG3:BAG60)+SUMIF(BAI3:BAI60,AWH20,BAH3:BAH60)</f>
        <v>0</v>
      </c>
      <c r="AWM20" s="319">
        <f t="shared" ref="AWM20" ca="1" si="6440">SUMIF(BAI3:BAI60,AWH20,BAG3:BAG60)+SUMIF(BAF3:BAF60,AWH20,BAH3:BAH60)</f>
        <v>0</v>
      </c>
      <c r="AWN20" s="319">
        <f t="shared" ca="1" si="5361"/>
        <v>1000</v>
      </c>
      <c r="AWO20" s="319">
        <f t="shared" ca="1" si="5362"/>
        <v>0</v>
      </c>
      <c r="AWP20" s="319">
        <f t="shared" si="1050"/>
        <v>39</v>
      </c>
      <c r="AWQ20" s="319">
        <f t="shared" ref="AWQ20" ca="1" si="6441">IF(COUNTIF(AWO18:AWO22,4)&lt;&gt;4,RANK(AWO20,AWO18:AWO22),AWO60)</f>
        <v>1</v>
      </c>
      <c r="AWR20" s="319"/>
      <c r="AWS20" s="319">
        <f t="shared" ref="AWS20" ca="1" si="6442">SUMPRODUCT((AWQ18:AWQ21=AWQ20)*(AWP18:AWP21&lt;AWP20))+AWQ20</f>
        <v>2</v>
      </c>
      <c r="AWT20" s="319" t="str">
        <f t="shared" ref="AWT20" ca="1" si="6443">INDEX(AWH18:AWH22,MATCH(3,AWS18:AWS22,0),0)</f>
        <v>Denmark</v>
      </c>
      <c r="AWU20" s="319">
        <f t="shared" ref="AWU20" ca="1" si="6444">INDEX(AWQ18:AWQ22,MATCH(AWT20,AWH18:AWH22,0),0)</f>
        <v>1</v>
      </c>
      <c r="AWV20" s="319" t="str">
        <f t="shared" ref="AWV20:AWV21" ca="1" si="6445">IF(AND(AWV19&lt;&gt;"",AWU20=1),AWT20,"")</f>
        <v>Denmark</v>
      </c>
      <c r="AWW20" s="319" t="str">
        <f t="shared" ref="AWW20:AWW21" ca="1" si="6446">IF(AND(AWW19&lt;&gt;"",AWU21=2),AWT21,"")</f>
        <v/>
      </c>
      <c r="AWX20" s="319" t="str">
        <f t="shared" ref="AWX20" ca="1" si="6447">IF(AND(AWX19&lt;&gt;"",AWU22=3),AWT22,"")</f>
        <v/>
      </c>
      <c r="AWY20" s="319"/>
      <c r="AWZ20" s="319"/>
      <c r="AXA20" s="319" t="str">
        <f t="shared" ca="1" si="5371"/>
        <v>Denmark</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f t="shared" ca="1" si="5378"/>
        <v>0</v>
      </c>
      <c r="AXI20" s="319">
        <f t="shared" ref="AXI20" ca="1" si="6453">IF(AXA20&lt;&gt;"",VLOOKUP(AXA20,AWH4:AWN40,7,FALSE),"")</f>
        <v>1000</v>
      </c>
      <c r="AXJ20" s="319">
        <f t="shared" ref="AXJ20" ca="1" si="6454">IF(AXA20&lt;&gt;"",VLOOKUP(AXA20,AWH4:AWN40,5,FALSE),"")</f>
        <v>0</v>
      </c>
      <c r="AXK20" s="319">
        <f t="shared" ref="AXK20" ca="1" si="6455">IF(AXA20&lt;&gt;"",VLOOKUP(AXA20,AWH4:AWP40,9,FALSE),"")</f>
        <v>45</v>
      </c>
      <c r="AXL20" s="319">
        <f t="shared" ca="1" si="5382"/>
        <v>0</v>
      </c>
      <c r="AXM20" s="319">
        <f t="shared" ref="AXM20" ca="1" si="6456">IF(AXA20&lt;&gt;"",RANK(AXL20,AXL18:AXL22),"")</f>
        <v>1</v>
      </c>
      <c r="AXN20" s="319">
        <f t="shared" ref="AXN20" ca="1" si="6457">IF(AXA20&lt;&gt;"",SUMPRODUCT((AXL18:AXL22=AXL20)*(AXG18:AXG22&gt;AXG20)),"")</f>
        <v>0</v>
      </c>
      <c r="AXO20" s="319">
        <f t="shared" ref="AXO20" ca="1" si="6458">IF(AXA20&lt;&gt;"",SUMPRODUCT((AXL18:AXL22=AXL20)*(AXG18:AXG22=AXG20)*(AXE18:AXE22&gt;AXE20)),"")</f>
        <v>0</v>
      </c>
      <c r="AXP20" s="319">
        <f t="shared" ref="AXP20" ca="1" si="6459">IF(AXA20&lt;&gt;"",SUMPRODUCT((AXL18:AXL22=AXL20)*(AXG18:AXG22=AXG20)*(AXE18:AXE22=AXE20)*(AXI18:AXI22&gt;AXI20)),"")</f>
        <v>0</v>
      </c>
      <c r="AXQ20" s="319">
        <f t="shared" ref="AXQ20" ca="1" si="6460">IF(AXA20&lt;&gt;"",SUMPRODUCT((AXL18:AXL22=AXL20)*(AXG18:AXG22=AXG20)*(AXE18:AXE22=AXE20)*(AXI18:AXI22=AXI20)*(AXJ18:AXJ22&gt;AXJ20)),"")</f>
        <v>0</v>
      </c>
      <c r="AXR20" s="319">
        <f t="shared" ref="AXR20" ca="1" si="6461">IF(AXA20&lt;&gt;"",SUMPRODUCT((AXL18:AXL22=AXL20)*(AXG18:AXG22=AXG20)*(AXE18:AXE22=AXE20)*(AXI18:AXI22=AXI20)*(AXJ18:AXJ22=AXJ20)*(AXK18:AXK22&gt;AXK20)),"")</f>
        <v>1</v>
      </c>
      <c r="AXS20" s="319">
        <f ca="1">IF(AXA20&lt;&gt;"",IF(AXS60&lt;&gt;"",IF(AWZ57=3,AXS60,AXS60+AWZ57),SUM(AXM20:AXR20)),"")</f>
        <v>2</v>
      </c>
      <c r="AXT20" s="319" t="str">
        <f t="shared" ref="AXT20" ca="1" si="6462">IF(AXA20&lt;&gt;"",INDEX(AXA18:AXA22,MATCH(3,AXS18:AXS22,0),0),"")</f>
        <v>Slovenia</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Slovenia</v>
      </c>
      <c r="BAD20" s="319">
        <v>3</v>
      </c>
      <c r="BAE20" s="319">
        <v>18</v>
      </c>
      <c r="BAF20" s="319" t="str">
        <f t="shared" si="130"/>
        <v>Slovenia</v>
      </c>
      <c r="BAG20" s="322">
        <f ca="1">IF(OFFSET('Player Game Board'!P27,0,BAG1)&lt;&gt;"",OFFSET('Player Game Board'!P27,0,BAG1),0)</f>
        <v>0</v>
      </c>
      <c r="BAH20" s="322">
        <f ca="1">IF(OFFSET('Player Game Board'!Q27,0,BAG1)&lt;&gt;"",OFFSET('Player Game Board'!Q27,0,BAG1),0)</f>
        <v>0</v>
      </c>
      <c r="BAI20" s="319" t="str">
        <f t="shared" si="131"/>
        <v>Serbia</v>
      </c>
      <c r="BAJ20" s="319" t="str">
        <f ca="1">IF(AND(OFFSET('Player Game Board'!P27,0,BAG1)&lt;&gt;"",OFFSET('Player Game Board'!Q27,0,BAG1)&lt;&gt;""),IF(BAG20&gt;BAH20,"W",IF(BAG20=BAH20,"D","L")),"")</f>
        <v/>
      </c>
      <c r="BAK20" s="319" t="str">
        <f t="shared" ca="1" si="5885"/>
        <v/>
      </c>
      <c r="BAL20" s="319"/>
      <c r="BAM20" s="319"/>
      <c r="BAN20" s="324" t="s">
        <v>101</v>
      </c>
      <c r="BAO20" s="325" t="s">
        <v>103</v>
      </c>
      <c r="BAP20" s="325" t="s">
        <v>104</v>
      </c>
      <c r="BAQ20" s="325" t="s">
        <v>106</v>
      </c>
      <c r="BAR20" s="324" t="s">
        <v>106</v>
      </c>
      <c r="BAS20" s="324" t="s">
        <v>104</v>
      </c>
      <c r="BAT20" s="324" t="s">
        <v>103</v>
      </c>
      <c r="BAU20" s="324" t="s">
        <v>101</v>
      </c>
      <c r="BAV20" s="325"/>
      <c r="BAW20" s="326">
        <f t="shared" ref="BAW20" ca="1" si="6499">IFERROR(MATCH(BAW12,BAN20:BAQ20,0),0)</f>
        <v>1</v>
      </c>
      <c r="BAX20" s="326">
        <f t="shared" ref="BAX20" ca="1" si="6500">IFERROR(MATCH(BAX12,BAN20:BAQ20,0),0)</f>
        <v>3</v>
      </c>
      <c r="BAY20" s="326">
        <f t="shared" ref="BAY20" ca="1" si="6501">IFERROR(MATCH(BAY12,BAN20:BAQ20,0),0)</f>
        <v>0</v>
      </c>
      <c r="BAZ20" s="326">
        <f t="shared" ref="BAZ20" ca="1" si="6502">IFERROR(MATCH(BAZ12,BAN20:BAQ20,0),0)</f>
        <v>2</v>
      </c>
      <c r="BBA20" s="326">
        <f t="shared" ca="1" si="4106"/>
        <v>6</v>
      </c>
      <c r="BBB20" s="325" t="s">
        <v>354</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101</v>
      </c>
      <c r="BFM20" s="325" t="s">
        <v>103</v>
      </c>
      <c r="BFN20" s="325" t="s">
        <v>104</v>
      </c>
      <c r="BFO20" s="325" t="s">
        <v>106</v>
      </c>
      <c r="BFP20" s="324" t="s">
        <v>106</v>
      </c>
      <c r="BFQ20" s="324" t="s">
        <v>104</v>
      </c>
      <c r="BFR20" s="324" t="s">
        <v>103</v>
      </c>
      <c r="BFS20" s="324" t="s">
        <v>101</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354</v>
      </c>
      <c r="BGA20" s="325" t="str">
        <f t="shared" ref="BGA20" ca="1" si="6572">INDEX(BFL3:BFL8,MATCH(INDEX(BFR13:BFR27,MATCH(10,BFY13:BFY27,0),0),BFZ3:BFZ8,0),0)</f>
        <v>Croatia</v>
      </c>
      <c r="BGB20" s="325">
        <f t="shared" ca="1" si="5439"/>
        <v>0</v>
      </c>
    </row>
    <row r="21" spans="1:1536" ht="13.8" x14ac:dyDescent="0.3">
      <c r="A21" s="319">
        <f>VLOOKUP(B21,CW18:CX22,2,FALSE)</f>
        <v>2</v>
      </c>
      <c r="B21" s="319" t="str">
        <f>'Language Table'!C11</f>
        <v>Denmark</v>
      </c>
      <c r="C21" s="319">
        <f>SUMPRODUCT((CZ3:CZ42=B21)*(DD3:DD42="W"))+SUMPRODUCT((DC3:DC42=B21)*(DE3:DE42="W"))</f>
        <v>0</v>
      </c>
      <c r="D21" s="319">
        <f>SUMPRODUCT((CZ3:CZ42=B21)*(DD3:DD42="D"))+SUMPRODUCT((DC3:DC42=B21)*(DE3:DE42="D"))</f>
        <v>1</v>
      </c>
      <c r="E21" s="319">
        <f>SUMPRODUCT((CZ3:CZ42=B21)*(DD3:DD42="L"))+SUMPRODUCT((DC3:DC42=B21)*(DE3:DE42="L"))</f>
        <v>0</v>
      </c>
      <c r="F21" s="319">
        <f>SUMIF(CZ3:CZ60,B21,DA3:DA60)+SUMIF(DC3:DC60,B21,DB3:DB60)</f>
        <v>1</v>
      </c>
      <c r="G21" s="319">
        <f>SUMIF(DC3:DC60,B21,DA3:DA60)+SUMIF(CZ3:CZ60,B21,DB3:DB60)</f>
        <v>1</v>
      </c>
      <c r="H21" s="319">
        <f t="shared" si="5039"/>
        <v>1000</v>
      </c>
      <c r="I21" s="319">
        <f t="shared" si="5040"/>
        <v>1</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0</v>
      </c>
      <c r="DB21" s="319">
        <f>IF(AND(Matches!I26&lt;&gt;"",Matches!H26&lt;&gt;""),Matches!I26,0)</f>
        <v>0</v>
      </c>
      <c r="DC21" s="319" t="str">
        <f>Matches!J26</f>
        <v>Austria</v>
      </c>
      <c r="DD21" s="319" t="str">
        <f>IF(AND(Matches!H26&lt;&gt;"",Matches!I26&lt;&gt;""),IF(DA21&gt;DB21,"W",IF(DA21=DB21,"D","L")),"")</f>
        <v/>
      </c>
      <c r="DE21" s="319" t="str">
        <f t="shared" si="162"/>
        <v/>
      </c>
      <c r="DF21" s="319"/>
      <c r="DG21" s="319"/>
      <c r="DH21" s="324" t="s">
        <v>101</v>
      </c>
      <c r="DI21" s="325" t="s">
        <v>103</v>
      </c>
      <c r="DJ21" s="325" t="s">
        <v>105</v>
      </c>
      <c r="DK21" s="325" t="s">
        <v>106</v>
      </c>
      <c r="DL21" s="324" t="s">
        <v>105</v>
      </c>
      <c r="DM21" s="324" t="s">
        <v>106</v>
      </c>
      <c r="DN21" s="324" t="s">
        <v>103</v>
      </c>
      <c r="DO21" s="324" t="s">
        <v>101</v>
      </c>
      <c r="DP21" s="325"/>
      <c r="DQ21" s="326">
        <f>IFERROR(MATCH(DQ12,DH21:DK21,0),0)</f>
        <v>2</v>
      </c>
      <c r="DR21" s="326">
        <f>IFERROR(MATCH(DR12,DH21:DK21,0),0)</f>
        <v>0</v>
      </c>
      <c r="DS21" s="326">
        <f>IFERROR(MATCH(DS12,DH21:DK21,0),0)</f>
        <v>4</v>
      </c>
      <c r="DT21" s="326">
        <f>IFERROR(MATCH(DT12,DH21:DK21,0),0)</f>
        <v>0</v>
      </c>
      <c r="DU21" s="326">
        <f t="shared" si="3541"/>
        <v>6</v>
      </c>
      <c r="DV21" s="325" t="s">
        <v>359</v>
      </c>
      <c r="DW21" s="325" t="str">
        <f>INDEX(DH3:DH8,MATCH(INDEX(DO13:DO27,MATCH(10,DU13:DU27,0),0),DV3:DV8,0),0)</f>
        <v>Albania</v>
      </c>
      <c r="DX21" s="325"/>
      <c r="DY21" s="319">
        <f ca="1">VLOOKUP(DZ21,HU18:HV22,2,FALSE)</f>
        <v>1</v>
      </c>
      <c r="DZ21" s="319" t="str">
        <f t="shared" si="5443"/>
        <v>Denmark</v>
      </c>
      <c r="EA21" s="319">
        <f ca="1">SUMPRODUCT((HX3:HX42=DZ21)*(IB3:IB42="W"))+SUMPRODUCT((IA3:IA42=DZ21)*(IC3:IC42="W"))</f>
        <v>2</v>
      </c>
      <c r="EB21" s="319">
        <f ca="1">SUMPRODUCT((HX3:HX42=DZ21)*(IB3:IB42="D"))+SUMPRODUCT((IA3:IA42=DZ21)*(IC3:IC42="D"))</f>
        <v>1</v>
      </c>
      <c r="EC21" s="319">
        <f ca="1">SUMPRODUCT((HX3:HX42=DZ21)*(IB3:IB42="L"))+SUMPRODUCT((IA3:IA42=DZ21)*(IC3:IC42="L"))</f>
        <v>0</v>
      </c>
      <c r="ED21" s="319">
        <f ca="1">SUMIF(HX3:HX60,DZ21,HY3:HY60)+SUMIF(IA3:IA60,DZ21,HZ3:HZ60)</f>
        <v>7</v>
      </c>
      <c r="EE21" s="319">
        <f ca="1">SUMIF(IA3:IA60,DZ21,HY3:HY60)+SUMIF(HX3:HX60,DZ21,HZ3:HZ60)</f>
        <v>3</v>
      </c>
      <c r="EF21" s="319">
        <f t="shared" ca="1" si="5043"/>
        <v>1004</v>
      </c>
      <c r="EG21" s="319">
        <f t="shared" ca="1" si="5044"/>
        <v>7</v>
      </c>
      <c r="EH21" s="319">
        <f t="shared" si="609"/>
        <v>45</v>
      </c>
      <c r="EI21" s="319">
        <f ca="1">IF(COUNTIF(EG18:EG22,4)&lt;&gt;4,RANK(EG21,EG18:EG22),EG61)</f>
        <v>1</v>
      </c>
      <c r="EJ21" s="319"/>
      <c r="EK21" s="319">
        <f ca="1">SUMPRODUCT((EI18:EI21=EI21)*(EH18:EH21&lt;EH21))+EI21</f>
        <v>1</v>
      </c>
      <c r="EL21" s="319" t="str">
        <f ca="1">INDEX(DZ18:DZ22,MATCH(4,EK18:EK22,0),0)</f>
        <v>Serbia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Serbia</v>
      </c>
      <c r="HV21" s="319">
        <v>4</v>
      </c>
      <c r="HW21" s="319">
        <v>19</v>
      </c>
      <c r="HX21" s="319" t="str">
        <f t="shared" si="164"/>
        <v>Poland</v>
      </c>
      <c r="HY21" s="322">
        <f ca="1">IF(OFFSET('Player Game Board'!P28,0,HY1)&lt;&gt;"",OFFSET('Player Game Board'!P28,0,HY1),0)</f>
        <v>1</v>
      </c>
      <c r="HZ21" s="322">
        <f ca="1">IF(OFFSET('Player Game Board'!Q28,0,HY1)&lt;&gt;"",OFFSET('Player Game Board'!Q28,0,HY1),0)</f>
        <v>2</v>
      </c>
      <c r="IA21" s="319" t="str">
        <f t="shared" si="165"/>
        <v>Austria</v>
      </c>
      <c r="IB21" s="319" t="str">
        <f ca="1">IF(AND(OFFSET('Player Game Board'!P28,0,HY1)&lt;&gt;"",OFFSET('Player Game Board'!Q28,0,HY1)&lt;&gt;""),IF(HY21&gt;HZ21,"W",IF(HY21=HZ21,"D","L")),"")</f>
        <v>L</v>
      </c>
      <c r="IC21" s="319" t="str">
        <f t="shared" ca="1" si="166"/>
        <v>W</v>
      </c>
      <c r="ID21" s="319"/>
      <c r="IE21" s="319"/>
      <c r="IF21" s="324" t="s">
        <v>101</v>
      </c>
      <c r="IG21" s="325" t="s">
        <v>103</v>
      </c>
      <c r="IH21" s="325" t="s">
        <v>105</v>
      </c>
      <c r="II21" s="325" t="s">
        <v>106</v>
      </c>
      <c r="IJ21" s="324" t="s">
        <v>105</v>
      </c>
      <c r="IK21" s="324" t="s">
        <v>106</v>
      </c>
      <c r="IL21" s="324" t="s">
        <v>103</v>
      </c>
      <c r="IM21" s="324" t="s">
        <v>101</v>
      </c>
      <c r="IN21" s="325"/>
      <c r="IO21" s="326">
        <f ca="1">IFERROR(MATCH(IO12,IF21:II21,0),0)</f>
        <v>1</v>
      </c>
      <c r="IP21" s="326">
        <f ca="1">IFERROR(MATCH(IP12,IF21:II21,0),0)</f>
        <v>0</v>
      </c>
      <c r="IQ21" s="326">
        <f ca="1">IFERROR(MATCH(IQ12,IF21:II21,0),0)</f>
        <v>4</v>
      </c>
      <c r="IR21" s="326">
        <f ca="1">IFERROR(MATCH(IR12,IF21:II21,0),0)</f>
        <v>0</v>
      </c>
      <c r="IS21" s="326">
        <f t="shared" ca="1" si="3544"/>
        <v>5</v>
      </c>
      <c r="IT21" s="325" t="s">
        <v>359</v>
      </c>
      <c r="IU21" s="325" t="str">
        <f ca="1">INDEX(IF3:IF8,MATCH(INDEX(IM13:IM27,MATCH(10,IS13:IS27,0),0),IT3:IT8,0),0)</f>
        <v>Croatia</v>
      </c>
      <c r="IV21" s="325">
        <f t="shared" ca="1" si="5047"/>
        <v>0</v>
      </c>
      <c r="IW21" s="319">
        <f ca="1">VLOOKUP(IX21,MS18:MT22,2,FALSE)</f>
        <v>2</v>
      </c>
      <c r="IX21" s="319" t="str">
        <f t="shared" si="5447"/>
        <v>Denmark</v>
      </c>
      <c r="IY21" s="319">
        <f ca="1">SUMPRODUCT((MV3:MV42=IX21)*(MZ3:MZ42="W"))+SUMPRODUCT((MY3:MY42=IX21)*(NA3:NA42="W"))</f>
        <v>0</v>
      </c>
      <c r="IZ21" s="319">
        <f ca="1">SUMPRODUCT((MV3:MV42=IX21)*(MZ3:MZ42="D"))+SUMPRODUCT((MY3:MY42=IX21)*(NA3:NA42="D"))</f>
        <v>2</v>
      </c>
      <c r="JA21" s="319">
        <f ca="1">SUMPRODUCT((MV3:MV42=IX21)*(MZ3:MZ42="L"))+SUMPRODUCT((MY3:MY42=IX21)*(NA3:NA42="L"))</f>
        <v>1</v>
      </c>
      <c r="JB21" s="319">
        <f ca="1">SUMIF(MV3:MV60,IX21,MW3:MW60)+SUMIF(MY3:MY60,IX21,MX3:MX60)</f>
        <v>3</v>
      </c>
      <c r="JC21" s="319">
        <f ca="1">SUMIF(MY3:MY60,IX21,MW3:MW60)+SUMIF(MV3:MV60,IX21,MX3:MX60)</f>
        <v>4</v>
      </c>
      <c r="JD21" s="319">
        <f t="shared" ca="1" si="5048"/>
        <v>999</v>
      </c>
      <c r="JE21" s="319">
        <f t="shared" ca="1" si="5049"/>
        <v>2</v>
      </c>
      <c r="JF21" s="319">
        <f t="shared" si="618"/>
        <v>45</v>
      </c>
      <c r="JG21" s="319">
        <f ca="1">IF(COUNTIF(JE18:JE22,4)&lt;&gt;4,RANK(JE21,JE18:JE22),JE61)</f>
        <v>2</v>
      </c>
      <c r="JH21" s="319"/>
      <c r="JI21" s="319">
        <f ca="1">SUMPRODUCT((JG18:JG21=JG21)*(JF18:JF21&lt;JF21))+JG21</f>
        <v>4</v>
      </c>
      <c r="JJ21" s="319" t="str">
        <f ca="1">INDEX(IX18:IX22,MATCH(4,JI18:JI22,0),0)</f>
        <v>Denmark</v>
      </c>
      <c r="JK21" s="319">
        <f ca="1">INDEX(JG18:JG22,MATCH(JJ21,IX18:IX22,0),0)</f>
        <v>2</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Denmark</v>
      </c>
      <c r="KL21" s="319">
        <f ca="1">IF(KK21&lt;&gt;"",SUMPRODUCT((MV3:MV42=KK21)*(MY3:MY42=KK22)*(MZ3:MZ42="W"))+SUMPRODUCT((MV3:MV42=KK21)*(MY3:MY42=KK19)*(MZ3:MZ42="W"))+SUMPRODUCT((MV3:MV42=KK21)*(MY3:MY42=KK20)*(MZ3:MZ42="W"))+SUMPRODUCT((MV3:MV42=KK22)*(MY3:MY42=KK21)*(NA3:NA42="W"))+SUMPRODUCT((MV3:MV42=KK19)*(MY3:MY42=KK21)*(NA3:NA42="W"))+SUMPRODUCT((MV3:MV42=KK20)*(MY3:MY42=KK21)*(NA3:NA42="W")),"")</f>
        <v>0</v>
      </c>
      <c r="KM21" s="319">
        <f ca="1">IF(KK21&lt;&gt;"",SUMPRODUCT((MV3:MV42=KK21)*(MY3:MY42=KK22)*(MZ3:MZ42="D"))+SUMPRODUCT((MV3:MV42=KK21)*(MY3:MY42=KK19)*(MZ3:MZ42="D"))+SUMPRODUCT((MV3:MV42=KK21)*(MY3:MY42=KK20)*(MZ3:MZ42="D"))+SUMPRODUCT((MV3:MV42=KK22)*(MY3:MY42=KK21)*(MZ3:MZ42="D"))+SUMPRODUCT((MV3:MV42=KK19)*(MY3:MY42=KK21)*(MZ3:MZ42="D"))+SUMPRODUCT((MV3:MV42=KK20)*(MY3:MY42=KK21)*(MZ3:MZ42="D")),"")</f>
        <v>2</v>
      </c>
      <c r="KN21" s="319">
        <f ca="1">IF(KK21&lt;&gt;"",SUMPRODUCT((MV3:MV42=KK21)*(MY3:MY42=KK22)*(MZ3:MZ42="L"))+SUMPRODUCT((MV3:MV42=KK21)*(MY3:MY42=KK19)*(MZ3:MZ42="L"))+SUMPRODUCT((MV3:MV42=KK21)*(MY3:MY42=KK20)*(MZ3:MZ42="L"))+SUMPRODUCT((MV3:MV42=KK22)*(MY3:MY42=KK21)*(NA3:NA42="L"))+SUMPRODUCT((MV3:MV42=KK19)*(MY3:MY42=KK21)*(NA3:NA42="L"))+SUMPRODUCT((MV3:MV42=KK20)*(MY3:MY42=KK21)*(NA3:NA42="L")),"")</f>
        <v>0</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2</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2</v>
      </c>
      <c r="KQ21" s="319">
        <f ca="1">KO21-KP21+1000</f>
        <v>1000</v>
      </c>
      <c r="KR21" s="319">
        <f t="shared" ca="1" si="5449"/>
        <v>2</v>
      </c>
      <c r="KS21" s="319">
        <f ca="1">IF(KK21&lt;&gt;"",VLOOKUP(KK21,IX4:JD40,7,FALSE),"")</f>
        <v>999</v>
      </c>
      <c r="KT21" s="319">
        <f ca="1">IF(KK21&lt;&gt;"",VLOOKUP(KK21,IX4:JD40,5,FALSE),"")</f>
        <v>3</v>
      </c>
      <c r="KU21" s="319">
        <f ca="1">IF(KK21&lt;&gt;"",VLOOKUP(KK21,IX4:JF40,9,FALSE),"")</f>
        <v>45</v>
      </c>
      <c r="KV21" s="319">
        <f t="shared" ca="1" si="5450"/>
        <v>2</v>
      </c>
      <c r="KW21" s="319">
        <f ca="1">IF(KK21&lt;&gt;"",RANK(KV21,KV18:KV22),"")</f>
        <v>1</v>
      </c>
      <c r="KX21" s="319">
        <f ca="1">IF(KK21&lt;&gt;"",SUMPRODUCT((KV18:KV22=KV21)*(KQ18:KQ22&gt;KQ21)),"")</f>
        <v>0</v>
      </c>
      <c r="KY21" s="319">
        <f ca="1">IF(KK21&lt;&gt;"",SUMPRODUCT((KV18:KV22=KV21)*(KQ18:KQ22=KQ21)*(KO18:KO22&gt;KO21)),"")</f>
        <v>0</v>
      </c>
      <c r="KZ21" s="319">
        <f ca="1">IF(KK21&lt;&gt;"",SUMPRODUCT((KV18:KV22=KV21)*(KQ18:KQ22=KQ21)*(KO18:KO22=KO21)*(KS18:KS22&gt;KS21)),"")</f>
        <v>0</v>
      </c>
      <c r="LA21" s="319">
        <f ca="1">IF(KK21&lt;&gt;"",SUMPRODUCT((KV18:KV22=KV21)*(KQ18:KQ22=KQ21)*(KO18:KO22=KO21)*(KS18:KS22=KS21)*(KT18:KT22&gt;KT21)),"")</f>
        <v>0</v>
      </c>
      <c r="LB21" s="319">
        <f ca="1">IF(KK21&lt;&gt;"",SUMPRODUCT((KV18:KV22=KV21)*(KQ18:KQ22=KQ21)*(KO18:KO22=KO21)*(KS18:KS22=KS21)*(KT18:KT22=KT21)*(KU18:KU22&gt;KU21)),"")</f>
        <v>0</v>
      </c>
      <c r="LC21" s="319">
        <f ca="1">IF(KK21&lt;&gt;"",IF(LC61&lt;&gt;"",IF(KJ57=3,LC61,LC61+KJ57),SUM(KW21:LB21)+1),"")</f>
        <v>2</v>
      </c>
      <c r="LD21" s="319" t="str">
        <f ca="1">IF(KK21&lt;&gt;"",INDEX(KK19:KK22,MATCH(4,LC19:LC22,0),0),"")</f>
        <v>Serbia</v>
      </c>
      <c r="LE21" s="319" t="str">
        <f ca="1">IF(JN19&lt;&gt;"",JN19,"")</f>
        <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0</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t="str">
        <f t="shared" ca="1" si="5950"/>
        <v/>
      </c>
      <c r="LM21" s="319" t="str">
        <f ca="1">IF(LE21&lt;&gt;"",VLOOKUP(LE21,IX4:JD40,7,FALSE),"")</f>
        <v/>
      </c>
      <c r="LN21" s="319" t="str">
        <f ca="1">IF(LE21&lt;&gt;"",VLOOKUP(LE21,IX4:JD40,5,FALSE),"")</f>
        <v/>
      </c>
      <c r="LO21" s="319" t="str">
        <f ca="1">IF(LE21&lt;&gt;"",VLOOKUP(LE21,IX4:JF40,9,FALSE),"")</f>
        <v/>
      </c>
      <c r="LP21" s="319" t="str">
        <f t="shared" ca="1" si="5951"/>
        <v/>
      </c>
      <c r="LQ21" s="319" t="str">
        <f ca="1">IF(LE21&lt;&gt;"",RANK(LP21,LP18:LP22),"")</f>
        <v/>
      </c>
      <c r="LR21" s="319" t="str">
        <f ca="1">IF(LE21&lt;&gt;"",SUMPRODUCT((LP18:LP22=LP21)*(LK18:LK22&gt;LK21)),"")</f>
        <v/>
      </c>
      <c r="LS21" s="319" t="str">
        <f ca="1">IF(LE21&lt;&gt;"",SUMPRODUCT((LP18:LP22=LP21)*(LK18:LK22=LK21)*(LI18:LI22&gt;LI21)),"")</f>
        <v/>
      </c>
      <c r="LT21" s="319" t="str">
        <f ca="1">IF(LE21&lt;&gt;"",SUMPRODUCT((LP18:LP22=LP21)*(LK18:LK22=LK21)*(LI18:LI22=LI21)*(LM18:LM22&gt;LM21)),"")</f>
        <v/>
      </c>
      <c r="LU21" s="319" t="str">
        <f ca="1">IF(LE21&lt;&gt;"",SUMPRODUCT((LP18:LP22=LP21)*(LK18:LK22=LK21)*(LI18:LI22=LI21)*(LM18:LM22=LM21)*(LN18:LN22&gt;LN21)),"")</f>
        <v/>
      </c>
      <c r="LV21" s="319" t="str">
        <f ca="1">IF(LE21&lt;&gt;"",SUMPRODUCT((LP18:LP22=LP21)*(LK18:LK22=LK21)*(LI18:LI22=LI21)*(LM18:LM22=LM21)*(LN18:LN22=LN21)*(LO18:LO22&gt;LO21)),"")</f>
        <v/>
      </c>
      <c r="LW21" s="319" t="str">
        <f ca="1">IF(LE21&lt;&gt;"",SUM(LQ21:LV21)+2,"")</f>
        <v/>
      </c>
      <c r="LX21" s="319" t="str">
        <f ca="1">IF(LE21&lt;&gt;"",INDEX(LE20:LE22,MATCH(4,LW20:LW22,0),0),"")</f>
        <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1</v>
      </c>
      <c r="MX21" s="322">
        <f ca="1">IF(OFFSET('Player Game Board'!Q28,0,MW1)&lt;&gt;"",OFFSET('Player Game Board'!Q28,0,MW1),0)</f>
        <v>0</v>
      </c>
      <c r="MY21" s="319" t="str">
        <f t="shared" si="171"/>
        <v>Austria</v>
      </c>
      <c r="MZ21" s="319" t="str">
        <f ca="1">IF(AND(OFFSET('Player Game Board'!P28,0,MW1)&lt;&gt;"",OFFSET('Player Game Board'!Q28,0,MW1)&lt;&gt;""),IF(MW21&gt;MX21,"W",IF(MW21=MX21,"D","L")),"")</f>
        <v>W</v>
      </c>
      <c r="NA21" s="319" t="str">
        <f t="shared" ca="1" si="172"/>
        <v>L</v>
      </c>
      <c r="NB21" s="319"/>
      <c r="NC21" s="319"/>
      <c r="ND21" s="324" t="s">
        <v>101</v>
      </c>
      <c r="NE21" s="325" t="s">
        <v>103</v>
      </c>
      <c r="NF21" s="325" t="s">
        <v>105</v>
      </c>
      <c r="NG21" s="325" t="s">
        <v>106</v>
      </c>
      <c r="NH21" s="324" t="s">
        <v>105</v>
      </c>
      <c r="NI21" s="324" t="s">
        <v>106</v>
      </c>
      <c r="NJ21" s="324" t="s">
        <v>103</v>
      </c>
      <c r="NK21" s="324" t="s">
        <v>101</v>
      </c>
      <c r="NL21" s="325"/>
      <c r="NM21" s="326">
        <f ca="1">IFERROR(MATCH(NM12,ND21:NG21,0),0)</f>
        <v>0</v>
      </c>
      <c r="NN21" s="326">
        <f ca="1">IFERROR(MATCH(NN12,ND21:NG21,0),0)</f>
        <v>1</v>
      </c>
      <c r="NO21" s="326">
        <f ca="1">IFERROR(MATCH(NO12,ND21:NG21,0),0)</f>
        <v>4</v>
      </c>
      <c r="NP21" s="326">
        <f ca="1">IFERROR(MATCH(NP12,ND21:NG21,0),0)</f>
        <v>3</v>
      </c>
      <c r="NQ21" s="326">
        <f t="shared" ca="1" si="3547"/>
        <v>8</v>
      </c>
      <c r="NR21" s="325" t="s">
        <v>359</v>
      </c>
      <c r="NS21" s="325" t="str">
        <f ca="1">INDEX(ND3:ND8,MATCH(INDEX(NK13:NK27,MATCH(10,NQ13:NQ27,0),0),NR3:NR8,0),0)</f>
        <v>Hungary</v>
      </c>
      <c r="NT21" s="325">
        <f t="shared" ca="1" si="5052"/>
        <v>0</v>
      </c>
      <c r="NU21" s="319">
        <f t="shared" ref="NU21" ca="1" si="6579">VLOOKUP(NV21,RQ18:RR22,2,FALSE)</f>
        <v>3</v>
      </c>
      <c r="NV21" s="319" t="str">
        <f t="shared" si="5054"/>
        <v>Denmark</v>
      </c>
      <c r="NW21" s="319">
        <f t="shared" ref="NW21" ca="1" si="6580">SUMPRODUCT((RT3:RT42=NV21)*(RX3:RX42="W"))+SUMPRODUCT((RW3:RW42=NV21)*(RY3:RY42="W"))</f>
        <v>1</v>
      </c>
      <c r="NX21" s="319">
        <f t="shared" ref="NX21" ca="1" si="6581">SUMPRODUCT((RT3:RT42=NV21)*(RX3:RX42="D"))+SUMPRODUCT((RW3:RW42=NV21)*(RY3:RY42="D"))</f>
        <v>1</v>
      </c>
      <c r="NY21" s="319">
        <f t="shared" ref="NY21" ca="1" si="6582">SUMPRODUCT((RT3:RT42=NV21)*(RX3:RX42="L"))+SUMPRODUCT((RW3:RW42=NV21)*(RY3:RY42="L"))</f>
        <v>1</v>
      </c>
      <c r="NZ21" s="319">
        <f t="shared" ref="NZ21" ca="1" si="6583">SUMIF(RT3:RT60,NV21,RU3:RU60)+SUMIF(RW3:RW60,NV21,RV3:RV60)</f>
        <v>3</v>
      </c>
      <c r="OA21" s="319">
        <f t="shared" ref="OA21" ca="1" si="6584">SUMIF(RW3:RW60,NV21,RU3:RU60)+SUMIF(RT3:RT60,NV21,RV3:RV60)</f>
        <v>3</v>
      </c>
      <c r="OB21" s="319">
        <f t="shared" ca="1" si="5060"/>
        <v>1000</v>
      </c>
      <c r="OC21" s="319">
        <f t="shared" ca="1" si="5061"/>
        <v>4</v>
      </c>
      <c r="OD21" s="319">
        <f t="shared" si="630"/>
        <v>45</v>
      </c>
      <c r="OE21" s="319">
        <f t="shared" ref="OE21" ca="1" si="6585">IF(COUNTIF(OC18:OC22,4)&lt;&gt;4,RANK(OC21,OC18:OC22),OC61)</f>
        <v>2</v>
      </c>
      <c r="OF21" s="319"/>
      <c r="OG21" s="319">
        <f t="shared" ref="OG21" ca="1" si="6586">SUMPRODUCT((OE18:OE21=OE21)*(OD18:OD21&lt;OD21))+OE21</f>
        <v>3</v>
      </c>
      <c r="OH21" s="319" t="str">
        <f t="shared" ref="OH21" ca="1" si="6587">INDEX(NV18:NV22,MATCH(4,OG18:OG22,0),0)</f>
        <v>Slovenia</v>
      </c>
      <c r="OI21" s="319">
        <f t="shared" ref="OI21" ca="1" si="6588">INDEX(OE18:OE22,MATCH(OH21,NV18:NV22,0),0)</f>
        <v>4</v>
      </c>
      <c r="OJ21" s="319" t="str">
        <f t="shared" ca="1" si="5962"/>
        <v/>
      </c>
      <c r="OK21" s="319" t="str">
        <f t="shared" ca="1" si="5963"/>
        <v/>
      </c>
      <c r="OL21" s="319"/>
      <c r="OM21" s="319"/>
      <c r="ON21" s="319"/>
      <c r="OO21" s="319" t="str">
        <f t="shared" ca="1" si="5070"/>
        <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t="str">
        <f t="shared" ca="1" si="5077"/>
        <v/>
      </c>
      <c r="OW21" s="319" t="str">
        <f t="shared" ref="OW21" ca="1" si="6594">IF(OO21&lt;&gt;"",VLOOKUP(OO21,NV4:OB40,7,FALSE),"")</f>
        <v/>
      </c>
      <c r="OX21" s="319" t="str">
        <f t="shared" ref="OX21" ca="1" si="6595">IF(OO21&lt;&gt;"",VLOOKUP(OO21,NV4:OB40,5,FALSE),"")</f>
        <v/>
      </c>
      <c r="OY21" s="319" t="str">
        <f t="shared" ref="OY21" ca="1" si="6596">IF(OO21&lt;&gt;"",VLOOKUP(OO21,NV4:OD40,9,FALSE),"")</f>
        <v/>
      </c>
      <c r="OZ21" s="319" t="str">
        <f t="shared" ca="1" si="5081"/>
        <v/>
      </c>
      <c r="PA21" s="319" t="str">
        <f t="shared" ref="PA21" ca="1" si="6597">IF(OO21&lt;&gt;"",RANK(OZ21,OZ18:OZ22),"")</f>
        <v/>
      </c>
      <c r="PB21" s="319" t="str">
        <f t="shared" ref="PB21" ca="1" si="6598">IF(OO21&lt;&gt;"",SUMPRODUCT((OZ18:OZ22=OZ21)*(OU18:OU22&gt;OU21)),"")</f>
        <v/>
      </c>
      <c r="PC21" s="319" t="str">
        <f t="shared" ref="PC21" ca="1" si="6599">IF(OO21&lt;&gt;"",SUMPRODUCT((OZ18:OZ22=OZ21)*(OU18:OU22=OU21)*(OS18:OS22&gt;OS21)),"")</f>
        <v/>
      </c>
      <c r="PD21" s="319" t="str">
        <f t="shared" ref="PD21" ca="1" si="6600">IF(OO21&lt;&gt;"",SUMPRODUCT((OZ18:OZ22=OZ21)*(OU18:OU22=OU21)*(OS18:OS22=OS21)*(OW18:OW22&gt;OW21)),"")</f>
        <v/>
      </c>
      <c r="PE21" s="319" t="str">
        <f t="shared" ref="PE21" ca="1" si="6601">IF(OO21&lt;&gt;"",SUMPRODUCT((OZ18:OZ22=OZ21)*(OU18:OU22=OU21)*(OS18:OS22=OS21)*(OW18:OW22=OW21)*(OX18:OX22&gt;OX21)),"")</f>
        <v/>
      </c>
      <c r="PF21" s="319" t="str">
        <f t="shared" ref="PF21" ca="1" si="6602">IF(OO21&lt;&gt;"",SUMPRODUCT((OZ18:OZ22=OZ21)*(OU18:OU22=OU21)*(OS18:OS22=OS21)*(OW18:OW22=OW21)*(OX18:OX22=OX21)*(OY18:OY22&gt;OY21)),"")</f>
        <v/>
      </c>
      <c r="PG21" s="319" t="str">
        <f ca="1">IF(OO21&lt;&gt;"",IF(PG61&lt;&gt;"",IF(ON57=3,PG61,PG61+ON57),SUM(PA21:PF21)),"")</f>
        <v/>
      </c>
      <c r="PH21" s="319" t="str">
        <f t="shared" ref="PH21" ca="1" si="6603">IF(OO21&lt;&gt;"",INDEX(OO18:OO22,MATCH(4,PG18:PG22,0),0),"")</f>
        <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Slovenia</v>
      </c>
      <c r="RR21" s="319">
        <v>4</v>
      </c>
      <c r="RS21" s="319">
        <v>19</v>
      </c>
      <c r="RT21" s="319" t="str">
        <f t="shared" si="18"/>
        <v>Poland</v>
      </c>
      <c r="RU21" s="322">
        <f ca="1">IF(OFFSET('Player Game Board'!P28,0,RU1)&lt;&gt;"",OFFSET('Player Game Board'!P28,0,RU1),0)</f>
        <v>1</v>
      </c>
      <c r="RV21" s="322">
        <f ca="1">IF(OFFSET('Player Game Board'!Q28,0,RU1)&lt;&gt;"",OFFSET('Player Game Board'!Q28,0,RU1),0)</f>
        <v>1</v>
      </c>
      <c r="RW21" s="319" t="str">
        <f t="shared" si="19"/>
        <v>Austria</v>
      </c>
      <c r="RX21" s="319" t="str">
        <f ca="1">IF(AND(OFFSET('Player Game Board'!P28,0,RU1)&lt;&gt;"",OFFSET('Player Game Board'!Q28,0,RU1)&lt;&gt;""),IF(RU21&gt;RV21,"W",IF(RU21=RV21,"D","L")),"")</f>
        <v>D</v>
      </c>
      <c r="RY21" s="319" t="str">
        <f t="shared" ca="1" si="5500"/>
        <v>D</v>
      </c>
      <c r="RZ21" s="319"/>
      <c r="SA21" s="319"/>
      <c r="SB21" s="324" t="s">
        <v>101</v>
      </c>
      <c r="SC21" s="325" t="s">
        <v>103</v>
      </c>
      <c r="SD21" s="325" t="s">
        <v>105</v>
      </c>
      <c r="SE21" s="325" t="s">
        <v>106</v>
      </c>
      <c r="SF21" s="324" t="s">
        <v>105</v>
      </c>
      <c r="SG21" s="324" t="s">
        <v>106</v>
      </c>
      <c r="SH21" s="324" t="s">
        <v>103</v>
      </c>
      <c r="SI21" s="324" t="s">
        <v>101</v>
      </c>
      <c r="SJ21" s="325"/>
      <c r="SK21" s="326">
        <f t="shared" ref="SK21" ca="1" si="6655">IFERROR(MATCH(SK12,SB21:SE21,0),0)</f>
        <v>2</v>
      </c>
      <c r="SL21" s="326">
        <f t="shared" ref="SL21" ca="1" si="6656">IFERROR(MATCH(SL12,SB21:SE21,0),0)</f>
        <v>0</v>
      </c>
      <c r="SM21" s="326">
        <f t="shared" ref="SM21" ca="1" si="6657">IFERROR(MATCH(SM12,SB21:SE21,0),0)</f>
        <v>4</v>
      </c>
      <c r="SN21" s="326">
        <f t="shared" ref="SN21" ca="1" si="6658">IFERROR(MATCH(SN12,SB21:SE21,0),0)</f>
        <v>3</v>
      </c>
      <c r="SO21" s="326">
        <f t="shared" ca="1" si="3616"/>
        <v>9</v>
      </c>
      <c r="SP21" s="325" t="s">
        <v>359</v>
      </c>
      <c r="SQ21" s="325" t="str">
        <f t="shared" ref="SQ21" ca="1" si="6659">INDEX(SB3:SB8,MATCH(INDEX(SI13:SI27,MATCH(10,SO13:SO27,0),0),SP3:SP8,0),0)</f>
        <v>Croatia</v>
      </c>
      <c r="SR21" s="325">
        <f t="shared" ca="1" si="5095"/>
        <v>0</v>
      </c>
      <c r="SS21" s="319">
        <f t="shared" ref="SS21" ca="1" si="6660">VLOOKUP(ST21,WO18:WP22,2,FALSE)</f>
        <v>2</v>
      </c>
      <c r="ST21" s="319" t="str">
        <f t="shared" si="5097"/>
        <v>Denmark</v>
      </c>
      <c r="SU21" s="319">
        <f t="shared" ref="SU21" ca="1" si="6661">SUMPRODUCT((WR3:WR42=ST21)*(WV3:WV42="W"))+SUMPRODUCT((WU3:WU42=ST21)*(WW3:WW42="W"))</f>
        <v>2</v>
      </c>
      <c r="SV21" s="319">
        <f t="shared" ref="SV21" ca="1" si="6662">SUMPRODUCT((WR3:WR42=ST21)*(WV3:WV42="D"))+SUMPRODUCT((WU3:WU42=ST21)*(WW3:WW42="D"))</f>
        <v>0</v>
      </c>
      <c r="SW21" s="319">
        <f t="shared" ref="SW21" ca="1" si="6663">SUMPRODUCT((WR3:WR42=ST21)*(WV3:WV42="L"))+SUMPRODUCT((WU3:WU42=ST21)*(WW3:WW42="L"))</f>
        <v>1</v>
      </c>
      <c r="SX21" s="319">
        <f t="shared" ref="SX21" ca="1" si="6664">SUMIF(WR3:WR60,ST21,WS3:WS60)+SUMIF(WU3:WU60,ST21,WT3:WT60)</f>
        <v>4</v>
      </c>
      <c r="SY21" s="319">
        <f t="shared" ref="SY21" ca="1" si="6665">SUMIF(WU3:WU60,ST21,WS3:WS60)+SUMIF(WR3:WR60,ST21,WT3:WT60)</f>
        <v>3</v>
      </c>
      <c r="SZ21" s="319">
        <f t="shared" ca="1" si="5103"/>
        <v>1001</v>
      </c>
      <c r="TA21" s="319">
        <f t="shared" ca="1" si="5104"/>
        <v>6</v>
      </c>
      <c r="TB21" s="319">
        <f t="shared" si="690"/>
        <v>45</v>
      </c>
      <c r="TC21" s="319">
        <f t="shared" ref="TC21" ca="1" si="6666">IF(COUNTIF(TA18:TA22,4)&lt;&gt;4,RANK(TA21,TA18:TA22),TA61)</f>
        <v>2</v>
      </c>
      <c r="TD21" s="319"/>
      <c r="TE21" s="319">
        <f t="shared" ref="TE21" ca="1" si="6667">SUMPRODUCT((TC18:TC21=TC21)*(TB18:TB21&lt;TB21))+TC21</f>
        <v>2</v>
      </c>
      <c r="TF21" s="319" t="str">
        <f t="shared" ref="TF21" ca="1" si="6668">INDEX(ST18:ST22,MATCH(4,TE18:TE22,0),0)</f>
        <v>Slovenia</v>
      </c>
      <c r="TG21" s="319">
        <f t="shared" ref="TG21" ca="1" si="6669">INDEX(TC18:TC22,MATCH(TF21,ST18:ST22,0),0)</f>
        <v>3</v>
      </c>
      <c r="TH21" s="319" t="str">
        <f t="shared" ca="1" si="6031"/>
        <v/>
      </c>
      <c r="TI21" s="319" t="str">
        <f t="shared" ca="1" si="6032"/>
        <v/>
      </c>
      <c r="TJ21" s="319"/>
      <c r="TK21" s="319"/>
      <c r="TL21" s="319"/>
      <c r="TM21" s="319" t="str">
        <f t="shared" ca="1" si="5113"/>
        <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t="str">
        <f t="shared" ca="1" si="5120"/>
        <v/>
      </c>
      <c r="TU21" s="319" t="str">
        <f t="shared" ref="TU21" ca="1" si="6675">IF(TM21&lt;&gt;"",VLOOKUP(TM21,ST4:SZ40,7,FALSE),"")</f>
        <v/>
      </c>
      <c r="TV21" s="319" t="str">
        <f t="shared" ref="TV21" ca="1" si="6676">IF(TM21&lt;&gt;"",VLOOKUP(TM21,ST4:SZ40,5,FALSE),"")</f>
        <v/>
      </c>
      <c r="TW21" s="319" t="str">
        <f t="shared" ref="TW21" ca="1" si="6677">IF(TM21&lt;&gt;"",VLOOKUP(TM21,ST4:TB40,9,FALSE),"")</f>
        <v/>
      </c>
      <c r="TX21" s="319" t="str">
        <f t="shared" ca="1" si="5124"/>
        <v/>
      </c>
      <c r="TY21" s="319" t="str">
        <f t="shared" ref="TY21" ca="1" si="6678">IF(TM21&lt;&gt;"",RANK(TX21,TX18:TX22),"")</f>
        <v/>
      </c>
      <c r="TZ21" s="319" t="str">
        <f t="shared" ref="TZ21" ca="1" si="6679">IF(TM21&lt;&gt;"",SUMPRODUCT((TX18:TX22=TX21)*(TS18:TS22&gt;TS21)),"")</f>
        <v/>
      </c>
      <c r="UA21" s="319" t="str">
        <f t="shared" ref="UA21" ca="1" si="6680">IF(TM21&lt;&gt;"",SUMPRODUCT((TX18:TX22=TX21)*(TS18:TS22=TS21)*(TQ18:TQ22&gt;TQ21)),"")</f>
        <v/>
      </c>
      <c r="UB21" s="319" t="str">
        <f t="shared" ref="UB21" ca="1" si="6681">IF(TM21&lt;&gt;"",SUMPRODUCT((TX18:TX22=TX21)*(TS18:TS22=TS21)*(TQ18:TQ22=TQ21)*(TU18:TU22&gt;TU21)),"")</f>
        <v/>
      </c>
      <c r="UC21" s="319" t="str">
        <f t="shared" ref="UC21" ca="1" si="6682">IF(TM21&lt;&gt;"",SUMPRODUCT((TX18:TX22=TX21)*(TS18:TS22=TS21)*(TQ18:TQ22=TQ21)*(TU18:TU22=TU21)*(TV18:TV22&gt;TV21)),"")</f>
        <v/>
      </c>
      <c r="UD21" s="319" t="str">
        <f t="shared" ref="UD21" ca="1" si="6683">IF(TM21&lt;&gt;"",SUMPRODUCT((TX18:TX22=TX21)*(TS18:TS22=TS21)*(TQ18:TQ22=TQ21)*(TU18:TU22=TU21)*(TV18:TV22=TV21)*(TW18:TW22&gt;TW21)),"")</f>
        <v/>
      </c>
      <c r="UE21" s="319" t="str">
        <f ca="1">IF(TM21&lt;&gt;"",IF(UE61&lt;&gt;"",IF(TL57=3,UE61,UE61+TL57),SUM(TY21:UD21)),"")</f>
        <v/>
      </c>
      <c r="UF21" s="319" t="str">
        <f t="shared" ref="UF21" ca="1" si="6684">IF(TM21&lt;&gt;"",INDEX(TM18:TM22,MATCH(4,UE18:UE22,0),0),"")</f>
        <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Slovenia</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1</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f t="shared" ca="1" si="6071"/>
        <v>1</v>
      </c>
      <c r="VI21" s="319">
        <f t="shared" ref="VI21" ca="1" si="6705">IF(VA21&lt;&gt;"",VLOOKUP(VA21,ST4:SZ40,7,FALSE),"")</f>
        <v>997</v>
      </c>
      <c r="VJ21" s="319">
        <f t="shared" ref="VJ21" ca="1" si="6706">IF(VA21&lt;&gt;"",VLOOKUP(VA21,ST4:SZ40,5,FALSE),"")</f>
        <v>2</v>
      </c>
      <c r="VK21" s="319">
        <f t="shared" ref="VK21" ca="1" si="6707">IF(VA21&lt;&gt;"",VLOOKUP(VA21,ST4:TB40,9,FALSE),"")</f>
        <v>39</v>
      </c>
      <c r="VL21" s="319">
        <f t="shared" ca="1" si="6075"/>
        <v>1</v>
      </c>
      <c r="VM21" s="319">
        <f t="shared" ref="VM21" ca="1" si="6708">IF(VA21&lt;&gt;"",RANK(VL21,VL18:VL22),"")</f>
        <v>1</v>
      </c>
      <c r="VN21" s="319">
        <f t="shared" ref="VN21" ca="1" si="6709">IF(VA21&lt;&gt;"",SUMPRODUCT((VL18:VL22=VL21)*(VG18:VG22&gt;VG21)),"")</f>
        <v>0</v>
      </c>
      <c r="VO21" s="319">
        <f t="shared" ref="VO21" ca="1" si="6710">IF(VA21&lt;&gt;"",SUMPRODUCT((VL18:VL22=VL21)*(VG18:VG22=VG21)*(VE18:VE22&gt;VE21)),"")</f>
        <v>0</v>
      </c>
      <c r="VP21" s="319">
        <f t="shared" ref="VP21" ca="1" si="6711">IF(VA21&lt;&gt;"",SUMPRODUCT((VL18:VL22=VL21)*(VG18:VG22=VG21)*(VE18:VE22=VE21)*(VI18:VI22&gt;VI21)),"")</f>
        <v>0</v>
      </c>
      <c r="VQ21" s="319">
        <f t="shared" ref="VQ21" ca="1" si="6712">IF(VA21&lt;&gt;"",SUMPRODUCT((VL18:VL22=VL21)*(VG18:VG22=VG21)*(VE18:VE22=VE21)*(VI18:VI22=VI21)*(VJ18:VJ22&gt;VJ21)),"")</f>
        <v>0</v>
      </c>
      <c r="VR21" s="319">
        <f t="shared" ref="VR21" ca="1" si="6713">IF(VA21&lt;&gt;"",SUMPRODUCT((VL18:VL22=VL21)*(VG18:VG22=VG21)*(VE18:VE22=VE21)*(VI18:VI22=VI21)*(VJ18:VJ22=VJ21)*(VK18:VK22&gt;VK21)),"")</f>
        <v>0</v>
      </c>
      <c r="VS21" s="319">
        <f t="shared" ca="1" si="6082"/>
        <v>3</v>
      </c>
      <c r="VT21" s="319" t="str">
        <f t="shared" ref="VT21" ca="1" si="6714">IF(VA21&lt;&gt;"",INDEX(VA20:VA22,MATCH(4,VS20:VS22,0),0),"")</f>
        <v>Serbia</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Serbia</v>
      </c>
      <c r="WP21" s="319">
        <v>4</v>
      </c>
      <c r="WQ21" s="319">
        <v>19</v>
      </c>
      <c r="WR21" s="319" t="str">
        <f t="shared" si="34"/>
        <v>Poland</v>
      </c>
      <c r="WS21" s="322">
        <f ca="1">IF(OFFSET('Player Game Board'!P28,0,WS1)&lt;&gt;"",OFFSET('Player Game Board'!P28,0,WS1),0)</f>
        <v>2</v>
      </c>
      <c r="WT21" s="322">
        <f ca="1">IF(OFFSET('Player Game Board'!Q28,0,WS1)&lt;&gt;"",OFFSET('Player Game Board'!Q28,0,WS1),0)</f>
        <v>2</v>
      </c>
      <c r="WU21" s="319" t="str">
        <f t="shared" si="35"/>
        <v>Austria</v>
      </c>
      <c r="WV21" s="319" t="str">
        <f ca="1">IF(AND(OFFSET('Player Game Board'!P28,0,WS1)&lt;&gt;"",OFFSET('Player Game Board'!Q28,0,WS1)&lt;&gt;""),IF(WS21&gt;WT21,"W",IF(WS21=WT21,"D","L")),"")</f>
        <v>D</v>
      </c>
      <c r="WW21" s="319" t="str">
        <f t="shared" ca="1" si="5555"/>
        <v>D</v>
      </c>
      <c r="WX21" s="319"/>
      <c r="WY21" s="319"/>
      <c r="WZ21" s="324" t="s">
        <v>101</v>
      </c>
      <c r="XA21" s="325" t="s">
        <v>103</v>
      </c>
      <c r="XB21" s="325" t="s">
        <v>105</v>
      </c>
      <c r="XC21" s="325" t="s">
        <v>106</v>
      </c>
      <c r="XD21" s="324" t="s">
        <v>105</v>
      </c>
      <c r="XE21" s="324" t="s">
        <v>106</v>
      </c>
      <c r="XF21" s="324" t="s">
        <v>103</v>
      </c>
      <c r="XG21" s="324" t="s">
        <v>101</v>
      </c>
      <c r="XH21" s="325"/>
      <c r="XI21" s="326">
        <f t="shared" ref="XI21" ca="1" si="6736">IFERROR(MATCH(XI12,WZ21:XC21,0),0)</f>
        <v>4</v>
      </c>
      <c r="XJ21" s="326">
        <f t="shared" ref="XJ21" ca="1" si="6737">IFERROR(MATCH(XJ12,WZ21:XC21,0),0)</f>
        <v>3</v>
      </c>
      <c r="XK21" s="326">
        <f t="shared" ref="XK21" ca="1" si="6738">IFERROR(MATCH(XK12,WZ21:XC21,0),0)</f>
        <v>0</v>
      </c>
      <c r="XL21" s="326">
        <f t="shared" ref="XL21" ca="1" si="6739">IFERROR(MATCH(XL12,WZ21:XC21,0),0)</f>
        <v>1</v>
      </c>
      <c r="XM21" s="326">
        <f t="shared" ca="1" si="3686"/>
        <v>8</v>
      </c>
      <c r="XN21" s="325" t="s">
        <v>359</v>
      </c>
      <c r="XO21" s="325" t="str">
        <f t="shared" ref="XO21" ca="1" si="6740">INDEX(WZ3:WZ8,MATCH(INDEX(XG13:XG27,MATCH(10,XM13:XM27,0),0),XN3:XN8,0),0)</f>
        <v>Scotland</v>
      </c>
      <c r="XP21" s="325">
        <f t="shared" ca="1" si="5138"/>
        <v>0</v>
      </c>
      <c r="XQ21" s="319">
        <f t="shared" ref="XQ21" ca="1" si="6741">VLOOKUP(XR21,ABM18:ABN22,2,FALSE)</f>
        <v>1</v>
      </c>
      <c r="XR21" s="319" t="str">
        <f t="shared" si="5140"/>
        <v>Denmark</v>
      </c>
      <c r="XS21" s="319">
        <f t="shared" ref="XS21" ca="1" si="6742">SUMPRODUCT((ABP3:ABP42=XR21)*(ABT3:ABT42="W"))+SUMPRODUCT((ABS3:ABS42=XR21)*(ABU3:ABU42="W"))</f>
        <v>2</v>
      </c>
      <c r="XT21" s="319">
        <f t="shared" ref="XT21" ca="1" si="6743">SUMPRODUCT((ABP3:ABP42=XR21)*(ABT3:ABT42="D"))+SUMPRODUCT((ABS3:ABS42=XR21)*(ABU3:ABU42="D"))</f>
        <v>1</v>
      </c>
      <c r="XU21" s="319">
        <f t="shared" ref="XU21" ca="1" si="6744">SUMPRODUCT((ABP3:ABP42=XR21)*(ABT3:ABT42="L"))+SUMPRODUCT((ABS3:ABS42=XR21)*(ABU3:ABU42="L"))</f>
        <v>0</v>
      </c>
      <c r="XV21" s="319">
        <f t="shared" ref="XV21" ca="1" si="6745">SUMIF(ABP3:ABP60,XR21,ABQ3:ABQ60)+SUMIF(ABS3:ABS60,XR21,ABR3:ABR60)</f>
        <v>5</v>
      </c>
      <c r="XW21" s="319">
        <f t="shared" ref="XW21" ca="1" si="6746">SUMIF(ABS3:ABS60,XR21,ABQ3:ABQ60)+SUMIF(ABP3:ABP60,XR21,ABR3:ABR60)</f>
        <v>3</v>
      </c>
      <c r="XX21" s="319">
        <f t="shared" ca="1" si="5146"/>
        <v>1002</v>
      </c>
      <c r="XY21" s="319">
        <f t="shared" ca="1" si="5147"/>
        <v>7</v>
      </c>
      <c r="XZ21" s="319">
        <f t="shared" si="750"/>
        <v>45</v>
      </c>
      <c r="YA21" s="319">
        <f t="shared" ref="YA21" ca="1" si="6747">IF(COUNTIF(XY18:XY22,4)&lt;&gt;4,RANK(XY21,XY18:XY22),XY61)</f>
        <v>1</v>
      </c>
      <c r="YB21" s="319"/>
      <c r="YC21" s="319">
        <f t="shared" ref="YC21" ca="1" si="6748">SUMPRODUCT((YA18:YA21=YA21)*(XZ18:XZ21&lt;XZ21))+YA21</f>
        <v>1</v>
      </c>
      <c r="YD21" s="319" t="str">
        <f t="shared" ref="YD21" ca="1" si="6749">INDEX(XR18:XR22,MATCH(4,YC18:YC22,0),0)</f>
        <v>Slovenia</v>
      </c>
      <c r="YE21" s="319">
        <f t="shared" ref="YE21" ca="1" si="6750">INDEX(YA18:YA22,MATCH(YD21,XR18:XR22,0),0)</f>
        <v>4</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0</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t="str">
        <f t="shared" ca="1" si="6140"/>
        <v/>
      </c>
      <c r="AAG21" s="319" t="str">
        <f t="shared" ref="AAG21" ca="1" si="6786">IF(ZY21&lt;&gt;"",VLOOKUP(ZY21,XR4:XX40,7,FALSE),"")</f>
        <v/>
      </c>
      <c r="AAH21" s="319" t="str">
        <f t="shared" ref="AAH21" ca="1" si="6787">IF(ZY21&lt;&gt;"",VLOOKUP(ZY21,XR4:XX40,5,FALSE),"")</f>
        <v/>
      </c>
      <c r="AAI21" s="319" t="str">
        <f t="shared" ref="AAI21" ca="1" si="6788">IF(ZY21&lt;&gt;"",VLOOKUP(ZY21,XR4:XZ40,9,FALSE),"")</f>
        <v/>
      </c>
      <c r="AAJ21" s="319" t="str">
        <f t="shared" ca="1" si="6144"/>
        <v/>
      </c>
      <c r="AAK21" s="319" t="str">
        <f t="shared" ref="AAK21" ca="1" si="6789">IF(ZY21&lt;&gt;"",RANK(AAJ21,AAJ18:AAJ22),"")</f>
        <v/>
      </c>
      <c r="AAL21" s="319" t="str">
        <f t="shared" ref="AAL21" ca="1" si="6790">IF(ZY21&lt;&gt;"",SUMPRODUCT((AAJ18:AAJ22=AAJ21)*(AAE18:AAE22&gt;AAE21)),"")</f>
        <v/>
      </c>
      <c r="AAM21" s="319" t="str">
        <f t="shared" ref="AAM21" ca="1" si="6791">IF(ZY21&lt;&gt;"",SUMPRODUCT((AAJ18:AAJ22=AAJ21)*(AAE18:AAE22=AAE21)*(AAC18:AAC22&gt;AAC21)),"")</f>
        <v/>
      </c>
      <c r="AAN21" s="319" t="str">
        <f t="shared" ref="AAN21" ca="1" si="6792">IF(ZY21&lt;&gt;"",SUMPRODUCT((AAJ18:AAJ22=AAJ21)*(AAE18:AAE22=AAE21)*(AAC18:AAC22=AAC21)*(AAG18:AAG22&gt;AAG21)),"")</f>
        <v/>
      </c>
      <c r="AAO21" s="319" t="str">
        <f t="shared" ref="AAO21" ca="1" si="6793">IF(ZY21&lt;&gt;"",SUMPRODUCT((AAJ18:AAJ22=AAJ21)*(AAE18:AAE22=AAE21)*(AAC18:AAC22=AAC21)*(AAG18:AAG22=AAG21)*(AAH18:AAH22&gt;AAH21)),"")</f>
        <v/>
      </c>
      <c r="AAP21" s="319" t="str">
        <f t="shared" ref="AAP21" ca="1" si="6794">IF(ZY21&lt;&gt;"",SUMPRODUCT((AAJ18:AAJ22=AAJ21)*(AAE18:AAE22=AAE21)*(AAC18:AAC22=AAC21)*(AAG18:AAG22=AAG21)*(AAH18:AAH22=AAH21)*(AAI18:AAI22&gt;AAI21)),"")</f>
        <v/>
      </c>
      <c r="AAQ21" s="319" t="str">
        <f t="shared" ca="1" si="6151"/>
        <v/>
      </c>
      <c r="AAR21" s="319" t="str">
        <f t="shared" ref="AAR21" ca="1" si="6795">IF(ZY21&lt;&gt;"",INDEX(ZY20:ZY22,MATCH(4,AAQ20:AAQ22,0),0),"")</f>
        <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0</v>
      </c>
      <c r="ABR21" s="322">
        <f ca="1">IF(OFFSET('Player Game Board'!Q28,0,ABQ1)&lt;&gt;"",OFFSET('Player Game Board'!Q28,0,ABQ1),0)</f>
        <v>3</v>
      </c>
      <c r="ABS21" s="319" t="str">
        <f t="shared" si="51"/>
        <v>Austria</v>
      </c>
      <c r="ABT21" s="319" t="str">
        <f ca="1">IF(AND(OFFSET('Player Game Board'!P28,0,ABQ1)&lt;&gt;"",OFFSET('Player Game Board'!Q28,0,ABQ1)&lt;&gt;""),IF(ABQ21&gt;ABR21,"W",IF(ABQ21=ABR21,"D","L")),"")</f>
        <v>L</v>
      </c>
      <c r="ABU21" s="319" t="str">
        <f t="shared" ca="1" si="5610"/>
        <v>W</v>
      </c>
      <c r="ABV21" s="319"/>
      <c r="ABW21" s="319"/>
      <c r="ABX21" s="324" t="s">
        <v>101</v>
      </c>
      <c r="ABY21" s="325" t="s">
        <v>103</v>
      </c>
      <c r="ABZ21" s="325" t="s">
        <v>105</v>
      </c>
      <c r="ACA21" s="325" t="s">
        <v>106</v>
      </c>
      <c r="ACB21" s="324" t="s">
        <v>105</v>
      </c>
      <c r="ACC21" s="324" t="s">
        <v>106</v>
      </c>
      <c r="ACD21" s="324" t="s">
        <v>103</v>
      </c>
      <c r="ACE21" s="324" t="s">
        <v>101</v>
      </c>
      <c r="ACF21" s="325"/>
      <c r="ACG21" s="326">
        <f t="shared" ref="ACG21" ca="1" si="6817">IFERROR(MATCH(ACG12,ABX21:ACA21,0),0)</f>
        <v>2</v>
      </c>
      <c r="ACH21" s="326">
        <f t="shared" ref="ACH21" ca="1" si="6818">IFERROR(MATCH(ACH12,ABX21:ACA21,0),0)</f>
        <v>0</v>
      </c>
      <c r="ACI21" s="326">
        <f t="shared" ref="ACI21" ca="1" si="6819">IFERROR(MATCH(ACI12,ABX21:ACA21,0),0)</f>
        <v>0</v>
      </c>
      <c r="ACJ21" s="326">
        <f t="shared" ref="ACJ21" ca="1" si="6820">IFERROR(MATCH(ACJ12,ABX21:ACA21,0),0)</f>
        <v>1</v>
      </c>
      <c r="ACK21" s="326">
        <f t="shared" ca="1" si="3756"/>
        <v>3</v>
      </c>
      <c r="ACL21" s="325" t="s">
        <v>359</v>
      </c>
      <c r="ACM21" s="325" t="str">
        <f t="shared" ref="ACM21" ca="1" si="6821">INDEX(ABX3:ABX8,MATCH(INDEX(ACE13:ACE27,MATCH(10,ACK13:ACK27,0),0),ACL3:ACL8,0),0)</f>
        <v>Serbia</v>
      </c>
      <c r="ACN21" s="325">
        <f t="shared" ca="1" si="5181"/>
        <v>0</v>
      </c>
      <c r="ACO21" s="319">
        <f t="shared" ref="ACO21" ca="1" si="6822">VLOOKUP(ACP21,AGK18:AGL22,2,FALSE)</f>
        <v>2</v>
      </c>
      <c r="ACP21" s="319" t="str">
        <f t="shared" si="5183"/>
        <v>Denmark</v>
      </c>
      <c r="ACQ21" s="319">
        <f t="shared" ref="ACQ21" ca="1" si="6823">SUMPRODUCT((AGN3:AGN42=ACP21)*(AGR3:AGR42="W"))+SUMPRODUCT((AGQ3:AGQ42=ACP21)*(AGS3:AGS42="W"))</f>
        <v>2</v>
      </c>
      <c r="ACR21" s="319">
        <f t="shared" ref="ACR21" ca="1" si="6824">SUMPRODUCT((AGN3:AGN42=ACP21)*(AGR3:AGR42="D"))+SUMPRODUCT((AGQ3:AGQ42=ACP21)*(AGS3:AGS42="D"))</f>
        <v>0</v>
      </c>
      <c r="ACS21" s="319">
        <f t="shared" ref="ACS21" ca="1" si="6825">SUMPRODUCT((AGN3:AGN42=ACP21)*(AGR3:AGR42="L"))+SUMPRODUCT((AGQ3:AGQ42=ACP21)*(AGS3:AGS42="L"))</f>
        <v>1</v>
      </c>
      <c r="ACT21" s="319">
        <f t="shared" ref="ACT21" ca="1" si="6826">SUMIF(AGN3:AGN60,ACP21,AGO3:AGO60)+SUMIF(AGQ3:AGQ60,ACP21,AGP3:AGP60)</f>
        <v>5</v>
      </c>
      <c r="ACU21" s="319">
        <f t="shared" ref="ACU21" ca="1" si="6827">SUMIF(AGQ3:AGQ60,ACP21,AGO3:AGO60)+SUMIF(AGN3:AGN60,ACP21,AGP3:AGP60)</f>
        <v>3</v>
      </c>
      <c r="ACV21" s="319">
        <f t="shared" ca="1" si="5189"/>
        <v>1002</v>
      </c>
      <c r="ACW21" s="319">
        <f t="shared" ca="1" si="5190"/>
        <v>6</v>
      </c>
      <c r="ACX21" s="319">
        <f t="shared" si="810"/>
        <v>45</v>
      </c>
      <c r="ACY21" s="319">
        <f t="shared" ref="ACY21" ca="1" si="6828">IF(COUNTIF(ACW18:ACW22,4)&lt;&gt;4,RANK(ACW21,ACW18:ACW22),ACW61)</f>
        <v>2</v>
      </c>
      <c r="ACZ21" s="319"/>
      <c r="ADA21" s="319">
        <f t="shared" ref="ADA21" ca="1" si="6829">SUMPRODUCT((ACY18:ACY21=ACY21)*(ACX18:ACX21&lt;ACX21))+ACY21</f>
        <v>2</v>
      </c>
      <c r="ADB21" s="319" t="str">
        <f t="shared" ref="ADB21" ca="1" si="6830">INDEX(ACP18:ACP22,MATCH(4,ADA18:ADA22,0),0)</f>
        <v>Slovenia</v>
      </c>
      <c r="ADC21" s="319">
        <f t="shared" ref="ADC21" ca="1" si="6831">INDEX(ACY18:ACY22,MATCH(ADB21,ACP18:ACP22,0),0)</f>
        <v>4</v>
      </c>
      <c r="ADD21" s="319" t="str">
        <f t="shared" ca="1" si="6169"/>
        <v/>
      </c>
      <c r="ADE21" s="319" t="str">
        <f t="shared" ca="1" si="6170"/>
        <v/>
      </c>
      <c r="ADF21" s="319"/>
      <c r="ADG21" s="319"/>
      <c r="ADH21" s="319"/>
      <c r="ADI21" s="319" t="str">
        <f t="shared" ca="1" si="5199"/>
        <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t="str">
        <f t="shared" ca="1" si="5206"/>
        <v/>
      </c>
      <c r="ADQ21" s="319" t="str">
        <f t="shared" ref="ADQ21" ca="1" si="6837">IF(ADI21&lt;&gt;"",VLOOKUP(ADI21,ACP4:ACV40,7,FALSE),"")</f>
        <v/>
      </c>
      <c r="ADR21" s="319" t="str">
        <f t="shared" ref="ADR21" ca="1" si="6838">IF(ADI21&lt;&gt;"",VLOOKUP(ADI21,ACP4:ACV40,5,FALSE),"")</f>
        <v/>
      </c>
      <c r="ADS21" s="319" t="str">
        <f t="shared" ref="ADS21" ca="1" si="6839">IF(ADI21&lt;&gt;"",VLOOKUP(ADI21,ACP4:ACX40,9,FALSE),"")</f>
        <v/>
      </c>
      <c r="ADT21" s="319" t="str">
        <f t="shared" ca="1" si="5210"/>
        <v/>
      </c>
      <c r="ADU21" s="319" t="str">
        <f t="shared" ref="ADU21" ca="1" si="6840">IF(ADI21&lt;&gt;"",RANK(ADT21,ADT18:ADT22),"")</f>
        <v/>
      </c>
      <c r="ADV21" s="319" t="str">
        <f t="shared" ref="ADV21" ca="1" si="6841">IF(ADI21&lt;&gt;"",SUMPRODUCT((ADT18:ADT22=ADT21)*(ADO18:ADO22&gt;ADO21)),"")</f>
        <v/>
      </c>
      <c r="ADW21" s="319" t="str">
        <f t="shared" ref="ADW21" ca="1" si="6842">IF(ADI21&lt;&gt;"",SUMPRODUCT((ADT18:ADT22=ADT21)*(ADO18:ADO22=ADO21)*(ADM18:ADM22&gt;ADM21)),"")</f>
        <v/>
      </c>
      <c r="ADX21" s="319" t="str">
        <f t="shared" ref="ADX21" ca="1" si="6843">IF(ADI21&lt;&gt;"",SUMPRODUCT((ADT18:ADT22=ADT21)*(ADO18:ADO22=ADO21)*(ADM18:ADM22=ADM21)*(ADQ18:ADQ22&gt;ADQ21)),"")</f>
        <v/>
      </c>
      <c r="ADY21" s="319" t="str">
        <f t="shared" ref="ADY21" ca="1" si="6844">IF(ADI21&lt;&gt;"",SUMPRODUCT((ADT18:ADT22=ADT21)*(ADO18:ADO22=ADO21)*(ADM18:ADM22=ADM21)*(ADQ18:ADQ22=ADQ21)*(ADR18:ADR22&gt;ADR21)),"")</f>
        <v/>
      </c>
      <c r="ADZ21" s="319" t="str">
        <f t="shared" ref="ADZ21" ca="1" si="6845">IF(ADI21&lt;&gt;"",SUMPRODUCT((ADT18:ADT22=ADT21)*(ADO18:ADO22=ADO21)*(ADM18:ADM22=ADM21)*(ADQ18:ADQ22=ADQ21)*(ADR18:ADR22=ADR21)*(ADS18:ADS22&gt;ADS21)),"")</f>
        <v/>
      </c>
      <c r="AEA21" s="319" t="str">
        <f ca="1">IF(ADI21&lt;&gt;"",IF(AEA61&lt;&gt;"",IF(ADH57=3,AEA61,AEA61+ADH57),SUM(ADU21:ADZ21)),"")</f>
        <v/>
      </c>
      <c r="AEB21" s="319" t="str">
        <f t="shared" ref="AEB21" ca="1" si="6846">IF(ADI21&lt;&gt;"",INDEX(ADI18:ADI22,MATCH(4,AEA18:AEA22,0),0),"")</f>
        <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Slovenia</v>
      </c>
      <c r="AGL21" s="319">
        <v>4</v>
      </c>
      <c r="AGM21" s="319">
        <v>19</v>
      </c>
      <c r="AGN21" s="319" t="str">
        <f t="shared" si="66"/>
        <v>Poland</v>
      </c>
      <c r="AGO21" s="322">
        <f ca="1">IF(OFFSET('Player Game Board'!P28,0,AGO1)&lt;&gt;"",OFFSET('Player Game Board'!P28,0,AGO1),0)</f>
        <v>1</v>
      </c>
      <c r="AGP21" s="322">
        <f ca="1">IF(OFFSET('Player Game Board'!Q28,0,AGO1)&lt;&gt;"",OFFSET('Player Game Board'!Q28,0,AGO1),0)</f>
        <v>1</v>
      </c>
      <c r="AGQ21" s="319" t="str">
        <f t="shared" si="67"/>
        <v>Austria</v>
      </c>
      <c r="AGR21" s="319" t="str">
        <f ca="1">IF(AND(OFFSET('Player Game Board'!P28,0,AGO1)&lt;&gt;"",OFFSET('Player Game Board'!Q28,0,AGO1)&lt;&gt;""),IF(AGO21&gt;AGP21,"W",IF(AGO21=AGP21,"D","L")),"")</f>
        <v>D</v>
      </c>
      <c r="AGS21" s="319" t="str">
        <f t="shared" ca="1" si="5665"/>
        <v>D</v>
      </c>
      <c r="AGT21" s="319"/>
      <c r="AGU21" s="319"/>
      <c r="AGV21" s="324" t="s">
        <v>101</v>
      </c>
      <c r="AGW21" s="325" t="s">
        <v>103</v>
      </c>
      <c r="AGX21" s="325" t="s">
        <v>105</v>
      </c>
      <c r="AGY21" s="325" t="s">
        <v>106</v>
      </c>
      <c r="AGZ21" s="324" t="s">
        <v>105</v>
      </c>
      <c r="AHA21" s="324" t="s">
        <v>106</v>
      </c>
      <c r="AHB21" s="324" t="s">
        <v>103</v>
      </c>
      <c r="AHC21" s="324" t="s">
        <v>101</v>
      </c>
      <c r="AHD21" s="325"/>
      <c r="AHE21" s="326">
        <f t="shared" ref="AHE21" ca="1" si="6898">IFERROR(MATCH(AHE12,AGV21:AGY21,0),0)</f>
        <v>4</v>
      </c>
      <c r="AHF21" s="326">
        <f t="shared" ref="AHF21" ca="1" si="6899">IFERROR(MATCH(AHF12,AGV21:AGY21,0),0)</f>
        <v>1</v>
      </c>
      <c r="AHG21" s="326">
        <f t="shared" ref="AHG21" ca="1" si="6900">IFERROR(MATCH(AHG12,AGV21:AGY21,0),0)</f>
        <v>0</v>
      </c>
      <c r="AHH21" s="326">
        <f t="shared" ref="AHH21" ca="1" si="6901">IFERROR(MATCH(AHH12,AGV21:AGY21,0),0)</f>
        <v>2</v>
      </c>
      <c r="AHI21" s="326">
        <f t="shared" ca="1" si="3826"/>
        <v>7</v>
      </c>
      <c r="AHJ21" s="325" t="s">
        <v>359</v>
      </c>
      <c r="AHK21" s="325" t="str">
        <f t="shared" ref="AHK21" ca="1" si="6902">INDEX(AGV3:AGV8,MATCH(INDEX(AHC13:AHC27,MATCH(10,AHI13:AHI27,0),0),AHJ3:AHJ8,0),0)</f>
        <v>Serbia</v>
      </c>
      <c r="AHL21" s="325">
        <f t="shared" ca="1" si="5224"/>
        <v>0</v>
      </c>
      <c r="AHM21" s="319">
        <f t="shared" ref="AHM21" ca="1" si="6903">VLOOKUP(AHN21,ALI18:ALJ22,2,FALSE)</f>
        <v>2</v>
      </c>
      <c r="AHN21" s="319" t="str">
        <f t="shared" si="5226"/>
        <v>Denmark</v>
      </c>
      <c r="AHO21" s="319">
        <f t="shared" ref="AHO21" ca="1" si="6904">SUMPRODUCT((ALL3:ALL42=AHN21)*(ALP3:ALP42="W"))+SUMPRODUCT((ALO3:ALO42=AHN21)*(ALQ3:ALQ42="W"))</f>
        <v>0</v>
      </c>
      <c r="AHP21" s="319">
        <f t="shared" ref="AHP21" ca="1" si="6905">SUMPRODUCT((ALL3:ALL42=AHN21)*(ALP3:ALP42="D"))+SUMPRODUCT((ALO3:ALO42=AHN21)*(ALQ3:ALQ42="D"))</f>
        <v>0</v>
      </c>
      <c r="AHQ21" s="319">
        <f t="shared" ref="AHQ21" ca="1" si="6906">SUMPRODUCT((ALL3:ALL42=AHN21)*(ALP3:ALP42="L"))+SUMPRODUCT((ALO3:ALO42=AHN21)*(ALQ3:ALQ42="L"))</f>
        <v>0</v>
      </c>
      <c r="AHR21" s="319">
        <f t="shared" ref="AHR21" ca="1" si="6907">SUMIF(ALL3:ALL60,AHN21,ALM3:ALM60)+SUMIF(ALO3:ALO60,AHN21,ALN3:ALN60)</f>
        <v>0</v>
      </c>
      <c r="AHS21" s="319">
        <f t="shared" ref="AHS21" ca="1" si="6908">SUMIF(ALO3:ALO60,AHN21,ALM3:ALM60)+SUMIF(ALL3:ALL60,AHN21,ALN3:ALN60)</f>
        <v>0</v>
      </c>
      <c r="AHT21" s="319">
        <f t="shared" ca="1" si="5232"/>
        <v>1000</v>
      </c>
      <c r="AHU21" s="319">
        <f t="shared" ca="1" si="5233"/>
        <v>0</v>
      </c>
      <c r="AHV21" s="319">
        <f t="shared" si="870"/>
        <v>45</v>
      </c>
      <c r="AHW21" s="319">
        <f t="shared" ref="AHW21" ca="1" si="6909">IF(COUNTIF(AHU18:AHU22,4)&lt;&gt;4,RANK(AHU21,AHU18:AHU22),AHU61)</f>
        <v>1</v>
      </c>
      <c r="AHX21" s="319"/>
      <c r="AHY21" s="319">
        <f t="shared" ref="AHY21" ca="1" si="6910">SUMPRODUCT((AHW18:AHW21=AHW21)*(AHV18:AHV21&lt;AHV21))+AHW21</f>
        <v>3</v>
      </c>
      <c r="AHZ21" s="319" t="str">
        <f t="shared" ref="AHZ21" ca="1" si="6911">INDEX(AHN18:AHN22,MATCH(4,AHY18:AHY22,0),0)</f>
        <v>England</v>
      </c>
      <c r="AIA21" s="319">
        <f t="shared" ref="AIA21" ca="1" si="6912">INDEX(AHW18:AHW22,MATCH(AHZ21,AHN18:AHN22,0),0)</f>
        <v>1</v>
      </c>
      <c r="AIB21" s="319" t="str">
        <f t="shared" ca="1" si="6238"/>
        <v>England</v>
      </c>
      <c r="AIC21" s="319" t="str">
        <f t="shared" ca="1" si="6239"/>
        <v/>
      </c>
      <c r="AID21" s="319"/>
      <c r="AIE21" s="319"/>
      <c r="AIF21" s="319"/>
      <c r="AIG21" s="319" t="str">
        <f t="shared" ca="1" si="5242"/>
        <v>England</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f t="shared" ca="1" si="5249"/>
        <v>0</v>
      </c>
      <c r="AIO21" s="319">
        <f t="shared" ref="AIO21" ca="1" si="6918">IF(AIG21&lt;&gt;"",VLOOKUP(AIG21,AHN4:AHT40,7,FALSE),"")</f>
        <v>1000</v>
      </c>
      <c r="AIP21" s="319">
        <f t="shared" ref="AIP21" ca="1" si="6919">IF(AIG21&lt;&gt;"",VLOOKUP(AIG21,AHN4:AHT40,5,FALSE),"")</f>
        <v>0</v>
      </c>
      <c r="AIQ21" s="319">
        <f t="shared" ref="AIQ21" ca="1" si="6920">IF(AIG21&lt;&gt;"",VLOOKUP(AIG21,AHN4:AHV40,9,FALSE),"")</f>
        <v>49</v>
      </c>
      <c r="AIR21" s="319">
        <f t="shared" ca="1" si="5253"/>
        <v>0</v>
      </c>
      <c r="AIS21" s="319">
        <f t="shared" ref="AIS21" ca="1" si="6921">IF(AIG21&lt;&gt;"",RANK(AIR21,AIR18:AIR22),"")</f>
        <v>1</v>
      </c>
      <c r="AIT21" s="319">
        <f t="shared" ref="AIT21" ca="1" si="6922">IF(AIG21&lt;&gt;"",SUMPRODUCT((AIR18:AIR22=AIR21)*(AIM18:AIM22&gt;AIM21)),"")</f>
        <v>0</v>
      </c>
      <c r="AIU21" s="319">
        <f t="shared" ref="AIU21" ca="1" si="6923">IF(AIG21&lt;&gt;"",SUMPRODUCT((AIR18:AIR22=AIR21)*(AIM18:AIM22=AIM21)*(AIK18:AIK22&gt;AIK21)),"")</f>
        <v>0</v>
      </c>
      <c r="AIV21" s="319">
        <f t="shared" ref="AIV21" ca="1" si="6924">IF(AIG21&lt;&gt;"",SUMPRODUCT((AIR18:AIR22=AIR21)*(AIM18:AIM22=AIM21)*(AIK18:AIK22=AIK21)*(AIO18:AIO22&gt;AIO21)),"")</f>
        <v>0</v>
      </c>
      <c r="AIW21" s="319">
        <f t="shared" ref="AIW21" ca="1" si="6925">IF(AIG21&lt;&gt;"",SUMPRODUCT((AIR18:AIR22=AIR21)*(AIM18:AIM22=AIM21)*(AIK18:AIK22=AIK21)*(AIO18:AIO22=AIO21)*(AIP18:AIP22&gt;AIP21)),"")</f>
        <v>0</v>
      </c>
      <c r="AIX21" s="319">
        <f t="shared" ref="AIX21" ca="1" si="6926">IF(AIG21&lt;&gt;"",SUMPRODUCT((AIR18:AIR22=AIR21)*(AIM18:AIM22=AIM21)*(AIK18:AIK22=AIK21)*(AIO18:AIO22=AIO21)*(AIP18:AIP22=AIP21)*(AIQ18:AIQ22&gt;AIQ21)),"")</f>
        <v>0</v>
      </c>
      <c r="AIY21" s="319">
        <f ca="1">IF(AIG21&lt;&gt;"",IF(AIY61&lt;&gt;"",IF(AIF57=3,AIY61,AIY61+AIF57),SUM(AIS21:AIX21)),"")</f>
        <v>1</v>
      </c>
      <c r="AIZ21" s="319" t="str">
        <f t="shared" ref="AIZ21" ca="1" si="6927">IF(AIG21&lt;&gt;"",INDEX(AIG18:AIG22,MATCH(4,AIY18:AIY22,0),0),"")</f>
        <v>Serbia</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Serbia</v>
      </c>
      <c r="ALJ21" s="319">
        <v>4</v>
      </c>
      <c r="ALK21" s="319">
        <v>19</v>
      </c>
      <c r="ALL21" s="319" t="str">
        <f t="shared" si="82"/>
        <v>Poland</v>
      </c>
      <c r="ALM21" s="322">
        <f ca="1">IF(OFFSET('Player Game Board'!P28,0,ALM1)&lt;&gt;"",OFFSET('Player Game Board'!P28,0,ALM1),0)</f>
        <v>0</v>
      </c>
      <c r="ALN21" s="322">
        <f ca="1">IF(OFFSET('Player Game Board'!Q28,0,ALM1)&lt;&gt;"",OFFSET('Player Game Board'!Q28,0,ALM1),0)</f>
        <v>0</v>
      </c>
      <c r="ALO21" s="319" t="str">
        <f t="shared" si="83"/>
        <v>Austria</v>
      </c>
      <c r="ALP21" s="319" t="str">
        <f ca="1">IF(AND(OFFSET('Player Game Board'!P28,0,ALM1)&lt;&gt;"",OFFSET('Player Game Board'!Q28,0,ALM1)&lt;&gt;""),IF(ALM21&gt;ALN21,"W",IF(ALM21=ALN21,"D","L")),"")</f>
        <v/>
      </c>
      <c r="ALQ21" s="319" t="str">
        <f t="shared" ca="1" si="5720"/>
        <v/>
      </c>
      <c r="ALR21" s="319"/>
      <c r="ALS21" s="319"/>
      <c r="ALT21" s="324" t="s">
        <v>101</v>
      </c>
      <c r="ALU21" s="325" t="s">
        <v>103</v>
      </c>
      <c r="ALV21" s="325" t="s">
        <v>105</v>
      </c>
      <c r="ALW21" s="325" t="s">
        <v>106</v>
      </c>
      <c r="ALX21" s="324" t="s">
        <v>105</v>
      </c>
      <c r="ALY21" s="324" t="s">
        <v>106</v>
      </c>
      <c r="ALZ21" s="324" t="s">
        <v>103</v>
      </c>
      <c r="AMA21" s="324" t="s">
        <v>101</v>
      </c>
      <c r="AMB21" s="325"/>
      <c r="AMC21" s="326">
        <f t="shared" ref="AMC21" ca="1" si="6979">IFERROR(MATCH(AMC12,ALT21:ALW21,0),0)</f>
        <v>1</v>
      </c>
      <c r="AMD21" s="326">
        <f t="shared" ref="AMD21" ca="1" si="6980">IFERROR(MATCH(AMD12,ALT21:ALW21,0),0)</f>
        <v>0</v>
      </c>
      <c r="AME21" s="326">
        <f t="shared" ref="AME21" ca="1" si="6981">IFERROR(MATCH(AME12,ALT21:ALW21,0),0)</f>
        <v>0</v>
      </c>
      <c r="AMF21" s="326">
        <f t="shared" ref="AMF21" ca="1" si="6982">IFERROR(MATCH(AMF12,ALT21:ALW21,0),0)</f>
        <v>2</v>
      </c>
      <c r="AMG21" s="326">
        <f t="shared" ca="1" si="3896"/>
        <v>3</v>
      </c>
      <c r="AMH21" s="325" t="s">
        <v>359</v>
      </c>
      <c r="AMI21" s="325" t="str">
        <f t="shared" ref="AMI21" ca="1" si="6983">INDEX(ALT3:ALT8,MATCH(INDEX(AMA13:AMA27,MATCH(10,AMG13:AMG27,0),0),AMH3:AMH8,0),0)</f>
        <v>Slovenia</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0</v>
      </c>
      <c r="AMN21" s="319">
        <f t="shared" ref="AMN21" ca="1" si="6986">SUMPRODUCT((AQJ3:AQJ42=AML21)*(AQN3:AQN42="D"))+SUMPRODUCT((AQM3:AQM42=AML21)*(AQO3:AQO42="D"))</f>
        <v>0</v>
      </c>
      <c r="AMO21" s="319">
        <f t="shared" ref="AMO21" ca="1" si="6987">SUMPRODUCT((AQJ3:AQJ42=AML21)*(AQN3:AQN42="L"))+SUMPRODUCT((AQM3:AQM42=AML21)*(AQO3:AQO42="L"))</f>
        <v>0</v>
      </c>
      <c r="AMP21" s="319">
        <f t="shared" ref="AMP21" ca="1" si="6988">SUMIF(AQJ3:AQJ60,AML21,AQK3:AQK60)+SUMIF(AQM3:AQM60,AML21,AQL3:AQL60)</f>
        <v>0</v>
      </c>
      <c r="AMQ21" s="319">
        <f t="shared" ref="AMQ21" ca="1" si="6989">SUMIF(AQM3:AQM60,AML21,AQK3:AQK60)+SUMIF(AQJ3:AQJ60,AML21,AQL3:AQL60)</f>
        <v>0</v>
      </c>
      <c r="AMR21" s="319">
        <f t="shared" ca="1" si="5275"/>
        <v>1000</v>
      </c>
      <c r="AMS21" s="319">
        <f t="shared" ca="1" si="5276"/>
        <v>0</v>
      </c>
      <c r="AMT21" s="319">
        <f t="shared" si="930"/>
        <v>45</v>
      </c>
      <c r="AMU21" s="319">
        <f t="shared" ref="AMU21" ca="1" si="6990">IF(COUNTIF(AMS18:AMS22,4)&lt;&gt;4,RANK(AMS21,AMS18:AMS22),AMS61)</f>
        <v>1</v>
      </c>
      <c r="AMV21" s="319"/>
      <c r="AMW21" s="319">
        <f t="shared" ref="AMW21" ca="1" si="6991">SUMPRODUCT((AMU18:AMU21=AMU21)*(AMT18:AMT21&lt;AMT21))+AMU21</f>
        <v>3</v>
      </c>
      <c r="AMX21" s="319" t="str">
        <f t="shared" ref="AMX21" ca="1" si="6992">INDEX(AML18:AML22,MATCH(4,AMW18:AMW22,0),0)</f>
        <v>England</v>
      </c>
      <c r="AMY21" s="319">
        <f t="shared" ref="AMY21" ca="1" si="6993">INDEX(AMU18:AMU22,MATCH(AMX21,AML18:AML22,0),0)</f>
        <v>1</v>
      </c>
      <c r="AMZ21" s="319" t="str">
        <f t="shared" ca="1" si="6307"/>
        <v>England</v>
      </c>
      <c r="ANA21" s="319" t="str">
        <f t="shared" ca="1" si="6308"/>
        <v/>
      </c>
      <c r="ANB21" s="319"/>
      <c r="ANC21" s="319"/>
      <c r="AND21" s="319"/>
      <c r="ANE21" s="319" t="str">
        <f t="shared" ca="1" si="5285"/>
        <v>England</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f t="shared" ca="1" si="5292"/>
        <v>0</v>
      </c>
      <c r="ANM21" s="319">
        <f t="shared" ref="ANM21" ca="1" si="6999">IF(ANE21&lt;&gt;"",VLOOKUP(ANE21,AML4:AMR40,7,FALSE),"")</f>
        <v>1000</v>
      </c>
      <c r="ANN21" s="319">
        <f t="shared" ref="ANN21" ca="1" si="7000">IF(ANE21&lt;&gt;"",VLOOKUP(ANE21,AML4:AMR40,5,FALSE),"")</f>
        <v>0</v>
      </c>
      <c r="ANO21" s="319">
        <f t="shared" ref="ANO21" ca="1" si="7001">IF(ANE21&lt;&gt;"",VLOOKUP(ANE21,AML4:AMT40,9,FALSE),"")</f>
        <v>49</v>
      </c>
      <c r="ANP21" s="319">
        <f t="shared" ca="1" si="5296"/>
        <v>0</v>
      </c>
      <c r="ANQ21" s="319">
        <f t="shared" ref="ANQ21" ca="1" si="7002">IF(ANE21&lt;&gt;"",RANK(ANP21,ANP18:ANP22),"")</f>
        <v>1</v>
      </c>
      <c r="ANR21" s="319">
        <f t="shared" ref="ANR21" ca="1" si="7003">IF(ANE21&lt;&gt;"",SUMPRODUCT((ANP18:ANP22=ANP21)*(ANK18:ANK22&gt;ANK21)),"")</f>
        <v>0</v>
      </c>
      <c r="ANS21" s="319">
        <f t="shared" ref="ANS21" ca="1" si="7004">IF(ANE21&lt;&gt;"",SUMPRODUCT((ANP18:ANP22=ANP21)*(ANK18:ANK22=ANK21)*(ANI18:ANI22&gt;ANI21)),"")</f>
        <v>0</v>
      </c>
      <c r="ANT21" s="319">
        <f t="shared" ref="ANT21" ca="1" si="7005">IF(ANE21&lt;&gt;"",SUMPRODUCT((ANP18:ANP22=ANP21)*(ANK18:ANK22=ANK21)*(ANI18:ANI22=ANI21)*(ANM18:ANM22&gt;ANM21)),"")</f>
        <v>0</v>
      </c>
      <c r="ANU21" s="319">
        <f t="shared" ref="ANU21" ca="1" si="7006">IF(ANE21&lt;&gt;"",SUMPRODUCT((ANP18:ANP22=ANP21)*(ANK18:ANK22=ANK21)*(ANI18:ANI22=ANI21)*(ANM18:ANM22=ANM21)*(ANN18:ANN22&gt;ANN21)),"")</f>
        <v>0</v>
      </c>
      <c r="ANV21" s="319">
        <f t="shared" ref="ANV21" ca="1" si="7007">IF(ANE21&lt;&gt;"",SUMPRODUCT((ANP18:ANP22=ANP21)*(ANK18:ANK22=ANK21)*(ANI18:ANI22=ANI21)*(ANM18:ANM22=ANM21)*(ANN18:ANN22=ANN21)*(ANO18:ANO22&gt;ANO21)),"")</f>
        <v>0</v>
      </c>
      <c r="ANW21" s="319">
        <f ca="1">IF(ANE21&lt;&gt;"",IF(ANW61&lt;&gt;"",IF(AND57=3,ANW61,ANW61+AND57),SUM(ANQ21:ANV21)),"")</f>
        <v>1</v>
      </c>
      <c r="ANX21" s="319" t="str">
        <f t="shared" ref="ANX21" ca="1" si="7008">IF(ANE21&lt;&gt;"",INDEX(ANE18:ANE22,MATCH(4,ANW18:ANW22,0),0),"")</f>
        <v>Serbia</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0</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t="str">
        <f t="shared" ca="1" si="6347"/>
        <v/>
      </c>
      <c r="APA21" s="319" t="str">
        <f t="shared" ref="APA21" ca="1" si="7029">IF(AOS21&lt;&gt;"",VLOOKUP(AOS21,AML4:AMR40,7,FALSE),"")</f>
        <v/>
      </c>
      <c r="APB21" s="319" t="str">
        <f t="shared" ref="APB21" ca="1" si="7030">IF(AOS21&lt;&gt;"",VLOOKUP(AOS21,AML4:AMR40,5,FALSE),"")</f>
        <v/>
      </c>
      <c r="APC21" s="319" t="str">
        <f t="shared" ref="APC21" ca="1" si="7031">IF(AOS21&lt;&gt;"",VLOOKUP(AOS21,AML4:AMT40,9,FALSE),"")</f>
        <v/>
      </c>
      <c r="APD21" s="319" t="str">
        <f t="shared" ca="1" si="6351"/>
        <v/>
      </c>
      <c r="APE21" s="319" t="str">
        <f t="shared" ref="APE21" ca="1" si="7032">IF(AOS21&lt;&gt;"",RANK(APD21,APD18:APD22),"")</f>
        <v/>
      </c>
      <c r="APF21" s="319" t="str">
        <f t="shared" ref="APF21" ca="1" si="7033">IF(AOS21&lt;&gt;"",SUMPRODUCT((APD18:APD22=APD21)*(AOY18:AOY22&gt;AOY21)),"")</f>
        <v/>
      </c>
      <c r="APG21" s="319" t="str">
        <f t="shared" ref="APG21" ca="1" si="7034">IF(AOS21&lt;&gt;"",SUMPRODUCT((APD18:APD22=APD21)*(AOY18:AOY22=AOY21)*(AOW18:AOW22&gt;AOW21)),"")</f>
        <v/>
      </c>
      <c r="APH21" s="319" t="str">
        <f t="shared" ref="APH21" ca="1" si="7035">IF(AOS21&lt;&gt;"",SUMPRODUCT((APD18:APD22=APD21)*(AOY18:AOY22=AOY21)*(AOW18:AOW22=AOW21)*(APA18:APA22&gt;APA21)),"")</f>
        <v/>
      </c>
      <c r="API21" s="319" t="str">
        <f t="shared" ref="API21" ca="1" si="7036">IF(AOS21&lt;&gt;"",SUMPRODUCT((APD18:APD22=APD21)*(AOY18:AOY22=AOY21)*(AOW18:AOW22=AOW21)*(APA18:APA22=APA21)*(APB18:APB22&gt;APB21)),"")</f>
        <v/>
      </c>
      <c r="APJ21" s="319" t="str">
        <f t="shared" ref="APJ21" ca="1" si="7037">IF(AOS21&lt;&gt;"",SUMPRODUCT((APD18:APD22=APD21)*(AOY18:AOY22=AOY21)*(AOW18:AOW22=AOW21)*(APA18:APA22=APA21)*(APB18:APB22=APB21)*(APC18:APC22&gt;APC21)),"")</f>
        <v/>
      </c>
      <c r="APK21" s="319" t="str">
        <f t="shared" ca="1" si="6358"/>
        <v/>
      </c>
      <c r="APL21" s="319" t="str">
        <f t="shared" ref="APL21" ca="1" si="7038">IF(AOS21&lt;&gt;"",INDEX(AOS20:AOS22,MATCH(4,APK20:APK22,0),0),"")</f>
        <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Serbia</v>
      </c>
      <c r="AQH21" s="319">
        <v>4</v>
      </c>
      <c r="AQI21" s="319">
        <v>19</v>
      </c>
      <c r="AQJ21" s="319" t="str">
        <f t="shared" si="98"/>
        <v>Poland</v>
      </c>
      <c r="AQK21" s="322">
        <f ca="1">IF(OFFSET('Player Game Board'!P28,0,AQK1)&lt;&gt;"",OFFSET('Player Game Board'!P28,0,AQK1),0)</f>
        <v>0</v>
      </c>
      <c r="AQL21" s="322">
        <f ca="1">IF(OFFSET('Player Game Board'!Q28,0,AQK1)&lt;&gt;"",OFFSET('Player Game Board'!Q28,0,AQK1),0)</f>
        <v>0</v>
      </c>
      <c r="AQM21" s="319" t="str">
        <f t="shared" si="99"/>
        <v>Austria</v>
      </c>
      <c r="AQN21" s="319" t="str">
        <f ca="1">IF(AND(OFFSET('Player Game Board'!P28,0,AQK1)&lt;&gt;"",OFFSET('Player Game Board'!Q28,0,AQK1)&lt;&gt;""),IF(AQK21&gt;AQL21,"W",IF(AQK21=AQL21,"D","L")),"")</f>
        <v/>
      </c>
      <c r="AQO21" s="319" t="str">
        <f t="shared" ca="1" si="5775"/>
        <v/>
      </c>
      <c r="AQP21" s="319"/>
      <c r="AQQ21" s="319"/>
      <c r="AQR21" s="324" t="s">
        <v>101</v>
      </c>
      <c r="AQS21" s="325" t="s">
        <v>103</v>
      </c>
      <c r="AQT21" s="325" t="s">
        <v>105</v>
      </c>
      <c r="AQU21" s="325" t="s">
        <v>106</v>
      </c>
      <c r="AQV21" s="324" t="s">
        <v>105</v>
      </c>
      <c r="AQW21" s="324" t="s">
        <v>106</v>
      </c>
      <c r="AQX21" s="324" t="s">
        <v>103</v>
      </c>
      <c r="AQY21" s="324" t="s">
        <v>101</v>
      </c>
      <c r="AQZ21" s="325"/>
      <c r="ARA21" s="326">
        <f t="shared" ref="ARA21" ca="1" si="7060">IFERROR(MATCH(ARA12,AQR21:AQU21,0),0)</f>
        <v>1</v>
      </c>
      <c r="ARB21" s="326">
        <f t="shared" ref="ARB21" ca="1" si="7061">IFERROR(MATCH(ARB12,AQR21:AQU21,0),0)</f>
        <v>0</v>
      </c>
      <c r="ARC21" s="326">
        <f t="shared" ref="ARC21" ca="1" si="7062">IFERROR(MATCH(ARC12,AQR21:AQU21,0),0)</f>
        <v>0</v>
      </c>
      <c r="ARD21" s="326">
        <f t="shared" ref="ARD21" ca="1" si="7063">IFERROR(MATCH(ARD12,AQR21:AQU21,0),0)</f>
        <v>2</v>
      </c>
      <c r="ARE21" s="326">
        <f t="shared" ca="1" si="3966"/>
        <v>3</v>
      </c>
      <c r="ARF21" s="325" t="s">
        <v>359</v>
      </c>
      <c r="ARG21" s="325" t="str">
        <f t="shared" ref="ARG21" ca="1" si="7064">INDEX(AQR3:AQR8,MATCH(INDEX(AQY13:AQY27,MATCH(10,ARE13:ARE27,0),0),ARF3:ARF8,0),0)</f>
        <v>Slovenia</v>
      </c>
      <c r="ARH21" s="325">
        <f t="shared" ca="1" si="5310"/>
        <v>1</v>
      </c>
      <c r="ARI21" s="319">
        <f t="shared" ref="ARI21" ca="1" si="7065">VLOOKUP(ARJ21,AVE18:AVF22,2,FALSE)</f>
        <v>2</v>
      </c>
      <c r="ARJ21" s="319" t="str">
        <f t="shared" si="5312"/>
        <v>Denmark</v>
      </c>
      <c r="ARK21" s="319">
        <f t="shared" ref="ARK21" ca="1" si="7066">SUMPRODUCT((AVH3:AVH42=ARJ21)*(AVL3:AVL42="W"))+SUMPRODUCT((AVK3:AVK42=ARJ21)*(AVM3:AVM42="W"))</f>
        <v>0</v>
      </c>
      <c r="ARL21" s="319">
        <f t="shared" ref="ARL21" ca="1" si="7067">SUMPRODUCT((AVH3:AVH42=ARJ21)*(AVL3:AVL42="D"))+SUMPRODUCT((AVK3:AVK42=ARJ21)*(AVM3:AVM42="D"))</f>
        <v>0</v>
      </c>
      <c r="ARM21" s="319">
        <f t="shared" ref="ARM21" ca="1" si="7068">SUMPRODUCT((AVH3:AVH42=ARJ21)*(AVL3:AVL42="L"))+SUMPRODUCT((AVK3:AVK42=ARJ21)*(AVM3:AVM42="L"))</f>
        <v>0</v>
      </c>
      <c r="ARN21" s="319">
        <f t="shared" ref="ARN21" ca="1" si="7069">SUMIF(AVH3:AVH60,ARJ21,AVI3:AVI60)+SUMIF(AVK3:AVK60,ARJ21,AVJ3:AVJ60)</f>
        <v>0</v>
      </c>
      <c r="ARO21" s="319">
        <f t="shared" ref="ARO21" ca="1" si="7070">SUMIF(AVK3:AVK60,ARJ21,AVI3:AVI60)+SUMIF(AVH3:AVH60,ARJ21,AVJ3:AVJ60)</f>
        <v>0</v>
      </c>
      <c r="ARP21" s="319">
        <f t="shared" ca="1" si="5318"/>
        <v>1000</v>
      </c>
      <c r="ARQ21" s="319">
        <f t="shared" ca="1" si="5319"/>
        <v>0</v>
      </c>
      <c r="ARR21" s="319">
        <f t="shared" si="990"/>
        <v>45</v>
      </c>
      <c r="ARS21" s="319">
        <f t="shared" ref="ARS21" ca="1" si="7071">IF(COUNTIF(ARQ18:ARQ22,4)&lt;&gt;4,RANK(ARQ21,ARQ18:ARQ22),ARQ61)</f>
        <v>1</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1</v>
      </c>
      <c r="ARX21" s="319" t="str">
        <f t="shared" ca="1" si="6376"/>
        <v>England</v>
      </c>
      <c r="ARY21" s="319" t="str">
        <f t="shared" ca="1" si="6377"/>
        <v/>
      </c>
      <c r="ARZ21" s="319"/>
      <c r="ASA21" s="319"/>
      <c r="ASB21" s="319"/>
      <c r="ASC21" s="319" t="str">
        <f t="shared" ca="1" si="5328"/>
        <v>England</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f t="shared" ca="1" si="5335"/>
        <v>0</v>
      </c>
      <c r="ASK21" s="319">
        <f t="shared" ref="ASK21" ca="1" si="7080">IF(ASC21&lt;&gt;"",VLOOKUP(ASC21,ARJ4:ARP40,7,FALSE),"")</f>
        <v>1000</v>
      </c>
      <c r="ASL21" s="319">
        <f t="shared" ref="ASL21" ca="1" si="7081">IF(ASC21&lt;&gt;"",VLOOKUP(ASC21,ARJ4:ARP40,5,FALSE),"")</f>
        <v>0</v>
      </c>
      <c r="ASM21" s="319">
        <f t="shared" ref="ASM21" ca="1" si="7082">IF(ASC21&lt;&gt;"",VLOOKUP(ASC21,ARJ4:ARR40,9,FALSE),"")</f>
        <v>49</v>
      </c>
      <c r="ASN21" s="319">
        <f t="shared" ca="1" si="5339"/>
        <v>0</v>
      </c>
      <c r="ASO21" s="319">
        <f t="shared" ref="ASO21" ca="1" si="7083">IF(ASC21&lt;&gt;"",RANK(ASN21,ASN18:ASN22),"")</f>
        <v>1</v>
      </c>
      <c r="ASP21" s="319">
        <f t="shared" ref="ASP21" ca="1" si="7084">IF(ASC21&lt;&gt;"",SUMPRODUCT((ASN18:ASN22=ASN21)*(ASI18:ASI22&gt;ASI21)),"")</f>
        <v>0</v>
      </c>
      <c r="ASQ21" s="319">
        <f t="shared" ref="ASQ21" ca="1" si="7085">IF(ASC21&lt;&gt;"",SUMPRODUCT((ASN18:ASN22=ASN21)*(ASI18:ASI22=ASI21)*(ASG18:ASG22&gt;ASG21)),"")</f>
        <v>0</v>
      </c>
      <c r="ASR21" s="319">
        <f t="shared" ref="ASR21" ca="1" si="7086">IF(ASC21&lt;&gt;"",SUMPRODUCT((ASN18:ASN22=ASN21)*(ASI18:ASI22=ASI21)*(ASG18:ASG22=ASG21)*(ASK18:ASK22&gt;ASK21)),"")</f>
        <v>0</v>
      </c>
      <c r="ASS21" s="319">
        <f t="shared" ref="ASS21" ca="1" si="7087">IF(ASC21&lt;&gt;"",SUMPRODUCT((ASN18:ASN22=ASN21)*(ASI18:ASI22=ASI21)*(ASG18:ASG22=ASG21)*(ASK18:ASK22=ASK21)*(ASL18:ASL22&gt;ASL21)),"")</f>
        <v>0</v>
      </c>
      <c r="AST21" s="319">
        <f t="shared" ref="AST21" ca="1" si="7088">IF(ASC21&lt;&gt;"",SUMPRODUCT((ASN18:ASN22=ASN21)*(ASI18:ASI22=ASI21)*(ASG18:ASG22=ASG21)*(ASK18:ASK22=ASK21)*(ASL18:ASL22=ASL21)*(ASM18:ASM22&gt;ASM21)),"")</f>
        <v>0</v>
      </c>
      <c r="ASU21" s="319">
        <f ca="1">IF(ASC21&lt;&gt;"",IF(ASU61&lt;&gt;"",IF(ASB57=3,ASU61,ASU61+ASB57),SUM(ASO21:AST21)),"")</f>
        <v>1</v>
      </c>
      <c r="ASV21" s="319" t="str">
        <f t="shared" ref="ASV21" ca="1" si="7089">IF(ASC21&lt;&gt;"",INDEX(ASC18:ASC22,MATCH(4,ASU18:ASU22,0),0),"")</f>
        <v>Serbia</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0</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0</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0</v>
      </c>
      <c r="ATW21" s="319">
        <f t="shared" ca="1" si="6415"/>
        <v>1000</v>
      </c>
      <c r="ATX21" s="319" t="str">
        <f t="shared" ca="1" si="6416"/>
        <v/>
      </c>
      <c r="ATY21" s="319" t="str">
        <f t="shared" ref="ATY21" ca="1" si="7110">IF(ATQ21&lt;&gt;"",VLOOKUP(ATQ21,ARJ4:ARP40,7,FALSE),"")</f>
        <v/>
      </c>
      <c r="ATZ21" s="319" t="str">
        <f t="shared" ref="ATZ21" ca="1" si="7111">IF(ATQ21&lt;&gt;"",VLOOKUP(ATQ21,ARJ4:ARP40,5,FALSE),"")</f>
        <v/>
      </c>
      <c r="AUA21" s="319" t="str">
        <f t="shared" ref="AUA21" ca="1" si="7112">IF(ATQ21&lt;&gt;"",VLOOKUP(ATQ21,ARJ4:ARR40,9,FALSE),"")</f>
        <v/>
      </c>
      <c r="AUB21" s="319" t="str">
        <f t="shared" ca="1" si="6420"/>
        <v/>
      </c>
      <c r="AUC21" s="319" t="str">
        <f t="shared" ref="AUC21" ca="1" si="7113">IF(ATQ21&lt;&gt;"",RANK(AUB21,AUB18:AUB22),"")</f>
        <v/>
      </c>
      <c r="AUD21" s="319" t="str">
        <f t="shared" ref="AUD21" ca="1" si="7114">IF(ATQ21&lt;&gt;"",SUMPRODUCT((AUB18:AUB22=AUB21)*(ATW18:ATW22&gt;ATW21)),"")</f>
        <v/>
      </c>
      <c r="AUE21" s="319" t="str">
        <f t="shared" ref="AUE21" ca="1" si="7115">IF(ATQ21&lt;&gt;"",SUMPRODUCT((AUB18:AUB22=AUB21)*(ATW18:ATW22=ATW21)*(ATU18:ATU22&gt;ATU21)),"")</f>
        <v/>
      </c>
      <c r="AUF21" s="319" t="str">
        <f t="shared" ref="AUF21" ca="1" si="7116">IF(ATQ21&lt;&gt;"",SUMPRODUCT((AUB18:AUB22=AUB21)*(ATW18:ATW22=ATW21)*(ATU18:ATU22=ATU21)*(ATY18:ATY22&gt;ATY21)),"")</f>
        <v/>
      </c>
      <c r="AUG21" s="319" t="str">
        <f t="shared" ref="AUG21" ca="1" si="7117">IF(ATQ21&lt;&gt;"",SUMPRODUCT((AUB18:AUB22=AUB21)*(ATW18:ATW22=ATW21)*(ATU18:ATU22=ATU21)*(ATY18:ATY22=ATY21)*(ATZ18:ATZ22&gt;ATZ21)),"")</f>
        <v/>
      </c>
      <c r="AUH21" s="319" t="str">
        <f t="shared" ref="AUH21" ca="1" si="7118">IF(ATQ21&lt;&gt;"",SUMPRODUCT((AUB18:AUB22=AUB21)*(ATW18:ATW22=ATW21)*(ATU18:ATU22=ATU21)*(ATY18:ATY22=ATY21)*(ATZ18:ATZ22=ATZ21)*(AUA18:AUA22&gt;AUA21)),"")</f>
        <v/>
      </c>
      <c r="AUI21" s="319" t="str">
        <f t="shared" ca="1" si="6427"/>
        <v/>
      </c>
      <c r="AUJ21" s="319" t="str">
        <f t="shared" ref="AUJ21" ca="1" si="7119">IF(ATQ21&lt;&gt;"",INDEX(ATQ20:ATQ22,MATCH(4,AUI20:AUI22,0),0),"")</f>
        <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Serbia</v>
      </c>
      <c r="AVF21" s="319">
        <v>4</v>
      </c>
      <c r="AVG21" s="319">
        <v>19</v>
      </c>
      <c r="AVH21" s="319" t="str">
        <f t="shared" si="114"/>
        <v>Poland</v>
      </c>
      <c r="AVI21" s="322">
        <f ca="1">IF(OFFSET('Player Game Board'!P28,0,AVI1)&lt;&gt;"",OFFSET('Player Game Board'!P28,0,AVI1),0)</f>
        <v>0</v>
      </c>
      <c r="AVJ21" s="322">
        <f ca="1">IF(OFFSET('Player Game Board'!Q28,0,AVI1)&lt;&gt;"",OFFSET('Player Game Board'!Q28,0,AVI1),0)</f>
        <v>0</v>
      </c>
      <c r="AVK21" s="319" t="str">
        <f t="shared" si="115"/>
        <v>Austria</v>
      </c>
      <c r="AVL21" s="319" t="str">
        <f ca="1">IF(AND(OFFSET('Player Game Board'!P28,0,AVI1)&lt;&gt;"",OFFSET('Player Game Board'!Q28,0,AVI1)&lt;&gt;""),IF(AVI21&gt;AVJ21,"W",IF(AVI21=AVJ21,"D","L")),"")</f>
        <v/>
      </c>
      <c r="AVM21" s="319" t="str">
        <f t="shared" ca="1" si="5830"/>
        <v/>
      </c>
      <c r="AVN21" s="319"/>
      <c r="AVO21" s="319"/>
      <c r="AVP21" s="324" t="s">
        <v>101</v>
      </c>
      <c r="AVQ21" s="325" t="s">
        <v>103</v>
      </c>
      <c r="AVR21" s="325" t="s">
        <v>105</v>
      </c>
      <c r="AVS21" s="325" t="s">
        <v>106</v>
      </c>
      <c r="AVT21" s="324" t="s">
        <v>105</v>
      </c>
      <c r="AVU21" s="324" t="s">
        <v>106</v>
      </c>
      <c r="AVV21" s="324" t="s">
        <v>103</v>
      </c>
      <c r="AVW21" s="324" t="s">
        <v>101</v>
      </c>
      <c r="AVX21" s="325"/>
      <c r="AVY21" s="326">
        <f t="shared" ref="AVY21" ca="1" si="7141">IFERROR(MATCH(AVY12,AVP21:AVS21,0),0)</f>
        <v>1</v>
      </c>
      <c r="AVZ21" s="326">
        <f t="shared" ref="AVZ21" ca="1" si="7142">IFERROR(MATCH(AVZ12,AVP21:AVS21,0),0)</f>
        <v>0</v>
      </c>
      <c r="AWA21" s="326">
        <f t="shared" ref="AWA21" ca="1" si="7143">IFERROR(MATCH(AWA12,AVP21:AVS21,0),0)</f>
        <v>0</v>
      </c>
      <c r="AWB21" s="326">
        <f t="shared" ref="AWB21" ca="1" si="7144">IFERROR(MATCH(AWB12,AVP21:AVS21,0),0)</f>
        <v>2</v>
      </c>
      <c r="AWC21" s="326">
        <f t="shared" ca="1" si="4036"/>
        <v>3</v>
      </c>
      <c r="AWD21" s="325" t="s">
        <v>359</v>
      </c>
      <c r="AWE21" s="325" t="str">
        <f t="shared" ref="AWE21" ca="1" si="7145">INDEX(AVP3:AVP8,MATCH(INDEX(AVW13:AVW27,MATCH(10,AWC13:AWC27,0),0),AWD3:AWD8,0),0)</f>
        <v>Slovenia</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0</v>
      </c>
      <c r="AWJ21" s="319">
        <f t="shared" ref="AWJ21" ca="1" si="7148">SUMPRODUCT((BAF3:BAF42=AWH21)*(BAJ3:BAJ42="D"))+SUMPRODUCT((BAI3:BAI42=AWH21)*(BAK3:BAK42="D"))</f>
        <v>0</v>
      </c>
      <c r="AWK21" s="319">
        <f t="shared" ref="AWK21" ca="1" si="7149">SUMPRODUCT((BAF3:BAF42=AWH21)*(BAJ3:BAJ42="L"))+SUMPRODUCT((BAI3:BAI42=AWH21)*(BAK3:BAK42="L"))</f>
        <v>0</v>
      </c>
      <c r="AWL21" s="319">
        <f t="shared" ref="AWL21" ca="1" si="7150">SUMIF(BAF3:BAF60,AWH21,BAG3:BAG60)+SUMIF(BAI3:BAI60,AWH21,BAH3:BAH60)</f>
        <v>0</v>
      </c>
      <c r="AWM21" s="319">
        <f t="shared" ref="AWM21" ca="1" si="7151">SUMIF(BAI3:BAI60,AWH21,BAG3:BAG60)+SUMIF(BAF3:BAF60,AWH21,BAH3:BAH60)</f>
        <v>0</v>
      </c>
      <c r="AWN21" s="319">
        <f t="shared" ca="1" si="5361"/>
        <v>1000</v>
      </c>
      <c r="AWO21" s="319">
        <f t="shared" ca="1" si="5362"/>
        <v>0</v>
      </c>
      <c r="AWP21" s="319">
        <f t="shared" si="1050"/>
        <v>45</v>
      </c>
      <c r="AWQ21" s="319">
        <f t="shared" ref="AWQ21" ca="1" si="7152">IF(COUNTIF(AWO18:AWO22,4)&lt;&gt;4,RANK(AWO21,AWO18:AWO22),AWO61)</f>
        <v>1</v>
      </c>
      <c r="AWR21" s="319"/>
      <c r="AWS21" s="319">
        <f t="shared" ref="AWS21" ca="1" si="7153">SUMPRODUCT((AWQ18:AWQ21=AWQ21)*(AWP18:AWP21&lt;AWP21))+AWQ21</f>
        <v>3</v>
      </c>
      <c r="AWT21" s="319" t="str">
        <f t="shared" ref="AWT21" ca="1" si="7154">INDEX(AWH18:AWH22,MATCH(4,AWS18:AWS22,0),0)</f>
        <v>England</v>
      </c>
      <c r="AWU21" s="319">
        <f t="shared" ref="AWU21" ca="1" si="7155">INDEX(AWQ18:AWQ22,MATCH(AWT21,AWH18:AWH22,0),0)</f>
        <v>1</v>
      </c>
      <c r="AWV21" s="319" t="str">
        <f t="shared" ca="1" si="6445"/>
        <v>England</v>
      </c>
      <c r="AWW21" s="319" t="str">
        <f t="shared" ca="1" si="6446"/>
        <v/>
      </c>
      <c r="AWX21" s="319"/>
      <c r="AWY21" s="319"/>
      <c r="AWZ21" s="319"/>
      <c r="AXA21" s="319" t="str">
        <f t="shared" ca="1" si="5371"/>
        <v>England</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f t="shared" ca="1" si="5378"/>
        <v>0</v>
      </c>
      <c r="AXI21" s="319">
        <f t="shared" ref="AXI21" ca="1" si="7161">IF(AXA21&lt;&gt;"",VLOOKUP(AXA21,AWH4:AWN40,7,FALSE),"")</f>
        <v>1000</v>
      </c>
      <c r="AXJ21" s="319">
        <f t="shared" ref="AXJ21" ca="1" si="7162">IF(AXA21&lt;&gt;"",VLOOKUP(AXA21,AWH4:AWN40,5,FALSE),"")</f>
        <v>0</v>
      </c>
      <c r="AXK21" s="319">
        <f t="shared" ref="AXK21" ca="1" si="7163">IF(AXA21&lt;&gt;"",VLOOKUP(AXA21,AWH4:AWP40,9,FALSE),"")</f>
        <v>49</v>
      </c>
      <c r="AXL21" s="319">
        <f t="shared" ca="1" si="5382"/>
        <v>0</v>
      </c>
      <c r="AXM21" s="319">
        <f t="shared" ref="AXM21" ca="1" si="7164">IF(AXA21&lt;&gt;"",RANK(AXL21,AXL18:AXL22),"")</f>
        <v>1</v>
      </c>
      <c r="AXN21" s="319">
        <f t="shared" ref="AXN21" ca="1" si="7165">IF(AXA21&lt;&gt;"",SUMPRODUCT((AXL18:AXL22=AXL21)*(AXG18:AXG22&gt;AXG21)),"")</f>
        <v>0</v>
      </c>
      <c r="AXO21" s="319">
        <f t="shared" ref="AXO21" ca="1" si="7166">IF(AXA21&lt;&gt;"",SUMPRODUCT((AXL18:AXL22=AXL21)*(AXG18:AXG22=AXG21)*(AXE18:AXE22&gt;AXE21)),"")</f>
        <v>0</v>
      </c>
      <c r="AXP21" s="319">
        <f t="shared" ref="AXP21" ca="1" si="7167">IF(AXA21&lt;&gt;"",SUMPRODUCT((AXL18:AXL22=AXL21)*(AXG18:AXG22=AXG21)*(AXE18:AXE22=AXE21)*(AXI18:AXI22&gt;AXI21)),"")</f>
        <v>0</v>
      </c>
      <c r="AXQ21" s="319">
        <f t="shared" ref="AXQ21" ca="1" si="7168">IF(AXA21&lt;&gt;"",SUMPRODUCT((AXL18:AXL22=AXL21)*(AXG18:AXG22=AXG21)*(AXE18:AXE22=AXE21)*(AXI18:AXI22=AXI21)*(AXJ18:AXJ22&gt;AXJ21)),"")</f>
        <v>0</v>
      </c>
      <c r="AXR21" s="319">
        <f t="shared" ref="AXR21" ca="1" si="7169">IF(AXA21&lt;&gt;"",SUMPRODUCT((AXL18:AXL22=AXL21)*(AXG18:AXG22=AXG21)*(AXE18:AXE22=AXE21)*(AXI18:AXI22=AXI21)*(AXJ18:AXJ22=AXJ21)*(AXK18:AXK22&gt;AXK21)),"")</f>
        <v>0</v>
      </c>
      <c r="AXS21" s="319">
        <f ca="1">IF(AXA21&lt;&gt;"",IF(AXS61&lt;&gt;"",IF(AWZ57=3,AXS61,AXS61+AWZ57),SUM(AXM21:AXR21)),"")</f>
        <v>1</v>
      </c>
      <c r="AXT21" s="319" t="str">
        <f t="shared" ref="AXT21" ca="1" si="7170">IF(AXA21&lt;&gt;"",INDEX(AXA18:AXA22,MATCH(4,AXS18:AXS22,0),0),"")</f>
        <v>Serbia</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Serbia</v>
      </c>
      <c r="BAD21" s="319">
        <v>4</v>
      </c>
      <c r="BAE21" s="319">
        <v>19</v>
      </c>
      <c r="BAF21" s="319" t="str">
        <f t="shared" si="130"/>
        <v>Poland</v>
      </c>
      <c r="BAG21" s="322">
        <f ca="1">IF(OFFSET('Player Game Board'!P28,0,BAG1)&lt;&gt;"",OFFSET('Player Game Board'!P28,0,BAG1),0)</f>
        <v>0</v>
      </c>
      <c r="BAH21" s="322">
        <f ca="1">IF(OFFSET('Player Game Board'!Q28,0,BAG1)&lt;&gt;"",OFFSET('Player Game Board'!Q28,0,BAG1),0)</f>
        <v>0</v>
      </c>
      <c r="BAI21" s="319" t="str">
        <f t="shared" si="131"/>
        <v>Austria</v>
      </c>
      <c r="BAJ21" s="319" t="str">
        <f ca="1">IF(AND(OFFSET('Player Game Board'!P28,0,BAG1)&lt;&gt;"",OFFSET('Player Game Board'!Q28,0,BAG1)&lt;&gt;""),IF(BAG21&gt;BAH21,"W",IF(BAG21=BAH21,"D","L")),"")</f>
        <v/>
      </c>
      <c r="BAK21" s="319" t="str">
        <f t="shared" ca="1" si="5885"/>
        <v/>
      </c>
      <c r="BAL21" s="319"/>
      <c r="BAM21" s="319"/>
      <c r="BAN21" s="324" t="s">
        <v>101</v>
      </c>
      <c r="BAO21" s="325" t="s">
        <v>103</v>
      </c>
      <c r="BAP21" s="325" t="s">
        <v>105</v>
      </c>
      <c r="BAQ21" s="325" t="s">
        <v>106</v>
      </c>
      <c r="BAR21" s="324" t="s">
        <v>105</v>
      </c>
      <c r="BAS21" s="324" t="s">
        <v>106</v>
      </c>
      <c r="BAT21" s="324" t="s">
        <v>103</v>
      </c>
      <c r="BAU21" s="324" t="s">
        <v>101</v>
      </c>
      <c r="BAV21" s="325"/>
      <c r="BAW21" s="326">
        <f t="shared" ref="BAW21" ca="1" si="7222">IFERROR(MATCH(BAW12,BAN21:BAQ21,0),0)</f>
        <v>1</v>
      </c>
      <c r="BAX21" s="326">
        <f t="shared" ref="BAX21" ca="1" si="7223">IFERROR(MATCH(BAX12,BAN21:BAQ21,0),0)</f>
        <v>0</v>
      </c>
      <c r="BAY21" s="326">
        <f t="shared" ref="BAY21" ca="1" si="7224">IFERROR(MATCH(BAY12,BAN21:BAQ21,0),0)</f>
        <v>0</v>
      </c>
      <c r="BAZ21" s="326">
        <f t="shared" ref="BAZ21" ca="1" si="7225">IFERROR(MATCH(BAZ12,BAN21:BAQ21,0),0)</f>
        <v>2</v>
      </c>
      <c r="BBA21" s="326">
        <f t="shared" ca="1" si="4106"/>
        <v>3</v>
      </c>
      <c r="BBB21" s="325" t="s">
        <v>359</v>
      </c>
      <c r="BBC21" s="325" t="str">
        <f t="shared" ref="BBC21" ca="1" si="7226">INDEX(BAN3:BAN8,MATCH(INDEX(BAU13:BAU27,MATCH(10,BBA13:BBA27,0),0),BBB3:BBB8,0),0)</f>
        <v>Slovenia</v>
      </c>
      <c r="BBD21" s="325">
        <f t="shared" ca="1" si="5396"/>
        <v>1</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101</v>
      </c>
      <c r="BFM21" s="325" t="s">
        <v>103</v>
      </c>
      <c r="BFN21" s="325" t="s">
        <v>105</v>
      </c>
      <c r="BFO21" s="325" t="s">
        <v>106</v>
      </c>
      <c r="BFP21" s="324" t="s">
        <v>105</v>
      </c>
      <c r="BFQ21" s="324" t="s">
        <v>106</v>
      </c>
      <c r="BFR21" s="324" t="s">
        <v>103</v>
      </c>
      <c r="BFS21" s="324" t="s">
        <v>101</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359</v>
      </c>
      <c r="BGA21" s="325" t="str">
        <f t="shared" ref="BGA21" ca="1" si="7307">INDEX(BFL3:BFL8,MATCH(INDEX(BFS13:BFS27,MATCH(10,BFY13:BFY27,0),0),BFZ3:BFZ8,0),0)</f>
        <v>Slovenia</v>
      </c>
      <c r="BGB21" s="325">
        <f t="shared" ca="1" si="5439"/>
        <v>1</v>
      </c>
    </row>
    <row r="22" spans="1:1536" ht="13.8" x14ac:dyDescent="0.3">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
      </c>
      <c r="DE22" s="319" t="str">
        <f t="shared" si="162"/>
        <v/>
      </c>
      <c r="DF22" s="319"/>
      <c r="DG22" s="319"/>
      <c r="DH22" s="324" t="s">
        <v>101</v>
      </c>
      <c r="DI22" s="325" t="s">
        <v>104</v>
      </c>
      <c r="DJ22" s="325" t="s">
        <v>105</v>
      </c>
      <c r="DK22" s="325" t="s">
        <v>106</v>
      </c>
      <c r="DL22" s="324" t="s">
        <v>105</v>
      </c>
      <c r="DM22" s="324" t="s">
        <v>106</v>
      </c>
      <c r="DN22" s="324" t="s">
        <v>104</v>
      </c>
      <c r="DO22" s="324" t="s">
        <v>101</v>
      </c>
      <c r="DP22" s="325"/>
      <c r="DQ22" s="326">
        <f>IFERROR(MATCH(DQ12,DH22:DK22,0),0)</f>
        <v>0</v>
      </c>
      <c r="DR22" s="326">
        <f>IFERROR(MATCH(DR12,DH22:DK22,0),0)</f>
        <v>0</v>
      </c>
      <c r="DS22" s="326">
        <f>IFERROR(MATCH(DS12,DH22:DK22,0),0)</f>
        <v>4</v>
      </c>
      <c r="DT22" s="326">
        <f>IFERROR(MATCH(DT12,DH22:DK22,0),0)</f>
        <v>2</v>
      </c>
      <c r="DU22" s="326">
        <f t="shared" si="3541"/>
        <v>6</v>
      </c>
      <c r="DV22" s="325" t="s">
        <v>101</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2</v>
      </c>
      <c r="IA22" s="319" t="str">
        <f t="shared" si="165"/>
        <v>France</v>
      </c>
      <c r="IB22" s="319" t="str">
        <f ca="1">IF(AND(OFFSET('Player Game Board'!P29,0,HY1)&lt;&gt;"",OFFSET('Player Game Board'!Q29,0,HY1)&lt;&gt;""),IF(HY22&gt;HZ22,"W",IF(HY22=HZ22,"D","L")),"")</f>
        <v>L</v>
      </c>
      <c r="IC22" s="319" t="str">
        <f t="shared" ca="1" si="166"/>
        <v>W</v>
      </c>
      <c r="ID22" s="319"/>
      <c r="IE22" s="319"/>
      <c r="IF22" s="324" t="s">
        <v>101</v>
      </c>
      <c r="IG22" s="325" t="s">
        <v>104</v>
      </c>
      <c r="IH22" s="325" t="s">
        <v>105</v>
      </c>
      <c r="II22" s="325" t="s">
        <v>106</v>
      </c>
      <c r="IJ22" s="324" t="s">
        <v>105</v>
      </c>
      <c r="IK22" s="324" t="s">
        <v>106</v>
      </c>
      <c r="IL22" s="324" t="s">
        <v>104</v>
      </c>
      <c r="IM22" s="324" t="s">
        <v>101</v>
      </c>
      <c r="IN22" s="325"/>
      <c r="IO22" s="326">
        <f ca="1">IFERROR(MATCH(IO12,IF22:II22,0),0)</f>
        <v>1</v>
      </c>
      <c r="IP22" s="326">
        <f ca="1">IFERROR(MATCH(IP12,IF22:II22,0),0)</f>
        <v>2</v>
      </c>
      <c r="IQ22" s="326">
        <f ca="1">IFERROR(MATCH(IQ12,IF22:II22,0),0)</f>
        <v>4</v>
      </c>
      <c r="IR22" s="326">
        <f ca="1">IFERROR(MATCH(IR12,IF22:II22,0),0)</f>
        <v>0</v>
      </c>
      <c r="IS22" s="326">
        <f t="shared" ca="1" si="3544"/>
        <v>7</v>
      </c>
      <c r="IT22" s="325" t="s">
        <v>101</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0</v>
      </c>
      <c r="MX22" s="322">
        <f ca="1">IF(OFFSET('Player Game Board'!Q29,0,MW1)&lt;&gt;"",OFFSET('Player Game Board'!Q29,0,MW1),0)</f>
        <v>1</v>
      </c>
      <c r="MY22" s="319" t="str">
        <f t="shared" si="171"/>
        <v>France</v>
      </c>
      <c r="MZ22" s="319" t="str">
        <f ca="1">IF(AND(OFFSET('Player Game Board'!P29,0,MW1)&lt;&gt;"",OFFSET('Player Game Board'!Q29,0,MW1)&lt;&gt;""),IF(MW22&gt;MX22,"W",IF(MW22=MX22,"D","L")),"")</f>
        <v>L</v>
      </c>
      <c r="NA22" s="319" t="str">
        <f t="shared" ca="1" si="172"/>
        <v>W</v>
      </c>
      <c r="NB22" s="319"/>
      <c r="NC22" s="319"/>
      <c r="ND22" s="324" t="s">
        <v>101</v>
      </c>
      <c r="NE22" s="325" t="s">
        <v>104</v>
      </c>
      <c r="NF22" s="325" t="s">
        <v>105</v>
      </c>
      <c r="NG22" s="325" t="s">
        <v>106</v>
      </c>
      <c r="NH22" s="324" t="s">
        <v>105</v>
      </c>
      <c r="NI22" s="324" t="s">
        <v>106</v>
      </c>
      <c r="NJ22" s="324" t="s">
        <v>104</v>
      </c>
      <c r="NK22" s="324" t="s">
        <v>101</v>
      </c>
      <c r="NL22" s="325"/>
      <c r="NM22" s="326">
        <f ca="1">IFERROR(MATCH(NM12,ND22:NG22,0),0)</f>
        <v>0</v>
      </c>
      <c r="NN22" s="326">
        <f ca="1">IFERROR(MATCH(NN12,ND22:NG22,0),0)</f>
        <v>1</v>
      </c>
      <c r="NO22" s="326">
        <f ca="1">IFERROR(MATCH(NO12,ND22:NG22,0),0)</f>
        <v>4</v>
      </c>
      <c r="NP22" s="326">
        <f ca="1">IFERROR(MATCH(NP12,ND22:NG22,0),0)</f>
        <v>3</v>
      </c>
      <c r="NQ22" s="326">
        <f t="shared" ca="1" si="3547"/>
        <v>8</v>
      </c>
      <c r="NR22" s="325" t="s">
        <v>101</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1</v>
      </c>
      <c r="RV22" s="322">
        <f ca="1">IF(OFFSET('Player Game Board'!Q29,0,RU1)&lt;&gt;"",OFFSET('Player Game Board'!Q29,0,RU1),0)</f>
        <v>2</v>
      </c>
      <c r="RW22" s="319" t="str">
        <f t="shared" si="19"/>
        <v>France</v>
      </c>
      <c r="RX22" s="319" t="str">
        <f ca="1">IF(AND(OFFSET('Player Game Board'!P29,0,RU1)&lt;&gt;"",OFFSET('Player Game Board'!Q29,0,RU1)&lt;&gt;""),IF(RU22&gt;RV22,"W",IF(RU22=RV22,"D","L")),"")</f>
        <v>L</v>
      </c>
      <c r="RY22" s="319" t="str">
        <f t="shared" ca="1" si="5500"/>
        <v>W</v>
      </c>
      <c r="RZ22" s="319"/>
      <c r="SA22" s="319"/>
      <c r="SB22" s="324" t="s">
        <v>101</v>
      </c>
      <c r="SC22" s="325" t="s">
        <v>104</v>
      </c>
      <c r="SD22" s="325" t="s">
        <v>105</v>
      </c>
      <c r="SE22" s="325" t="s">
        <v>106</v>
      </c>
      <c r="SF22" s="324" t="s">
        <v>105</v>
      </c>
      <c r="SG22" s="324" t="s">
        <v>106</v>
      </c>
      <c r="SH22" s="324" t="s">
        <v>104</v>
      </c>
      <c r="SI22" s="324" t="s">
        <v>101</v>
      </c>
      <c r="SJ22" s="325"/>
      <c r="SK22" s="326">
        <f t="shared" ref="SK22" ca="1" si="7308">IFERROR(MATCH(SK12,SB22:SE22,0),0)</f>
        <v>0</v>
      </c>
      <c r="SL22" s="326">
        <f t="shared" ref="SL22" ca="1" si="7309">IFERROR(MATCH(SL12,SB22:SE22,0),0)</f>
        <v>0</v>
      </c>
      <c r="SM22" s="326">
        <f t="shared" ref="SM22" ca="1" si="7310">IFERROR(MATCH(SM12,SB22:SE22,0),0)</f>
        <v>4</v>
      </c>
      <c r="SN22" s="326">
        <f t="shared" ref="SN22" ca="1" si="7311">IFERROR(MATCH(SN12,SB22:SE22,0),0)</f>
        <v>3</v>
      </c>
      <c r="SO22" s="326">
        <f t="shared" ca="1" si="3616"/>
        <v>7</v>
      </c>
      <c r="SP22" s="325" t="s">
        <v>101</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1</v>
      </c>
      <c r="WT22" s="322">
        <f ca="1">IF(OFFSET('Player Game Board'!Q29,0,WS1)&lt;&gt;"",OFFSET('Player Game Board'!Q29,0,WS1),0)</f>
        <v>2</v>
      </c>
      <c r="WU22" s="319" t="str">
        <f t="shared" si="35"/>
        <v>France</v>
      </c>
      <c r="WV22" s="319" t="str">
        <f ca="1">IF(AND(OFFSET('Player Game Board'!P29,0,WS1)&lt;&gt;"",OFFSET('Player Game Board'!Q29,0,WS1)&lt;&gt;""),IF(WS22&gt;WT22,"W",IF(WS22=WT22,"D","L")),"")</f>
        <v>L</v>
      </c>
      <c r="WW22" s="319" t="str">
        <f t="shared" ca="1" si="5555"/>
        <v>W</v>
      </c>
      <c r="WX22" s="319"/>
      <c r="WY22" s="319"/>
      <c r="WZ22" s="324" t="s">
        <v>101</v>
      </c>
      <c r="XA22" s="325" t="s">
        <v>104</v>
      </c>
      <c r="XB22" s="325" t="s">
        <v>105</v>
      </c>
      <c r="XC22" s="325" t="s">
        <v>106</v>
      </c>
      <c r="XD22" s="324" t="s">
        <v>105</v>
      </c>
      <c r="XE22" s="324" t="s">
        <v>106</v>
      </c>
      <c r="XF22" s="324" t="s">
        <v>104</v>
      </c>
      <c r="XG22" s="324" t="s">
        <v>101</v>
      </c>
      <c r="XH22" s="325"/>
      <c r="XI22" s="326">
        <f t="shared" ref="XI22" ca="1" si="7313">IFERROR(MATCH(XI12,WZ22:XC22,0),0)</f>
        <v>4</v>
      </c>
      <c r="XJ22" s="326">
        <f t="shared" ref="XJ22" ca="1" si="7314">IFERROR(MATCH(XJ12,WZ22:XC22,0),0)</f>
        <v>3</v>
      </c>
      <c r="XK22" s="326">
        <f t="shared" ref="XK22" ca="1" si="7315">IFERROR(MATCH(XK12,WZ22:XC22,0),0)</f>
        <v>0</v>
      </c>
      <c r="XL22" s="326">
        <f t="shared" ref="XL22" ca="1" si="7316">IFERROR(MATCH(XL12,WZ22:XC22,0),0)</f>
        <v>1</v>
      </c>
      <c r="XM22" s="326">
        <f t="shared" ca="1" si="3686"/>
        <v>8</v>
      </c>
      <c r="XN22" s="325" t="s">
        <v>101</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2</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101</v>
      </c>
      <c r="ABY22" s="325" t="s">
        <v>104</v>
      </c>
      <c r="ABZ22" s="325" t="s">
        <v>105</v>
      </c>
      <c r="ACA22" s="325" t="s">
        <v>106</v>
      </c>
      <c r="ACB22" s="324" t="s">
        <v>105</v>
      </c>
      <c r="ACC22" s="324" t="s">
        <v>106</v>
      </c>
      <c r="ACD22" s="324" t="s">
        <v>104</v>
      </c>
      <c r="ACE22" s="324" t="s">
        <v>101</v>
      </c>
      <c r="ACF22" s="325"/>
      <c r="ACG22" s="326">
        <f t="shared" ref="ACG22" ca="1" si="7318">IFERROR(MATCH(ACG12,ABX22:ACA22,0),0)</f>
        <v>0</v>
      </c>
      <c r="ACH22" s="326">
        <f t="shared" ref="ACH22" ca="1" si="7319">IFERROR(MATCH(ACH12,ABX22:ACA22,0),0)</f>
        <v>0</v>
      </c>
      <c r="ACI22" s="326">
        <f t="shared" ref="ACI22" ca="1" si="7320">IFERROR(MATCH(ACI12,ABX22:ACA22,0),0)</f>
        <v>2</v>
      </c>
      <c r="ACJ22" s="326">
        <f t="shared" ref="ACJ22" ca="1" si="7321">IFERROR(MATCH(ACJ12,ABX22:ACA22,0),0)</f>
        <v>1</v>
      </c>
      <c r="ACK22" s="326">
        <f t="shared" ca="1" si="3756"/>
        <v>3</v>
      </c>
      <c r="ACL22" s="325" t="s">
        <v>101</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2</v>
      </c>
      <c r="AGP22" s="322">
        <f ca="1">IF(OFFSET('Player Game Board'!Q29,0,AGO1)&lt;&gt;"",OFFSET('Player Game Board'!Q29,0,AGO1),0)</f>
        <v>1</v>
      </c>
      <c r="AGQ22" s="319" t="str">
        <f t="shared" si="67"/>
        <v>France</v>
      </c>
      <c r="AGR22" s="319" t="str">
        <f ca="1">IF(AND(OFFSET('Player Game Board'!P29,0,AGO1)&lt;&gt;"",OFFSET('Player Game Board'!Q29,0,AGO1)&lt;&gt;""),IF(AGO22&gt;AGP22,"W",IF(AGO22=AGP22,"D","L")),"")</f>
        <v>W</v>
      </c>
      <c r="AGS22" s="319" t="str">
        <f t="shared" ca="1" si="5665"/>
        <v>L</v>
      </c>
      <c r="AGT22" s="319"/>
      <c r="AGU22" s="319"/>
      <c r="AGV22" s="324" t="s">
        <v>101</v>
      </c>
      <c r="AGW22" s="325" t="s">
        <v>104</v>
      </c>
      <c r="AGX22" s="325" t="s">
        <v>105</v>
      </c>
      <c r="AGY22" s="325" t="s">
        <v>106</v>
      </c>
      <c r="AGZ22" s="324" t="s">
        <v>105</v>
      </c>
      <c r="AHA22" s="324" t="s">
        <v>106</v>
      </c>
      <c r="AHB22" s="324" t="s">
        <v>104</v>
      </c>
      <c r="AHC22" s="324" t="s">
        <v>101</v>
      </c>
      <c r="AHD22" s="325"/>
      <c r="AHE22" s="326">
        <f t="shared" ref="AHE22" ca="1" si="7323">IFERROR(MATCH(AHE12,AGV22:AGY22,0),0)</f>
        <v>4</v>
      </c>
      <c r="AHF22" s="326">
        <f t="shared" ref="AHF22" ca="1" si="7324">IFERROR(MATCH(AHF12,AGV22:AGY22,0),0)</f>
        <v>1</v>
      </c>
      <c r="AHG22" s="326">
        <f t="shared" ref="AHG22" ca="1" si="7325">IFERROR(MATCH(AHG12,AGV22:AGY22,0),0)</f>
        <v>0</v>
      </c>
      <c r="AHH22" s="326">
        <f t="shared" ref="AHH22" ca="1" si="7326">IFERROR(MATCH(AHH12,AGV22:AGY22,0),0)</f>
        <v>0</v>
      </c>
      <c r="AHI22" s="326">
        <f t="shared" ca="1" si="3826"/>
        <v>5</v>
      </c>
      <c r="AHJ22" s="325" t="s">
        <v>101</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0</v>
      </c>
      <c r="ALN22" s="322">
        <f ca="1">IF(OFFSET('Player Game Board'!Q29,0,ALM1)&lt;&gt;"",OFFSET('Player Game Board'!Q29,0,ALM1),0)</f>
        <v>0</v>
      </c>
      <c r="ALO22" s="319" t="str">
        <f t="shared" si="83"/>
        <v>France</v>
      </c>
      <c r="ALP22" s="319" t="str">
        <f ca="1">IF(AND(OFFSET('Player Game Board'!P29,0,ALM1)&lt;&gt;"",OFFSET('Player Game Board'!Q29,0,ALM1)&lt;&gt;""),IF(ALM22&gt;ALN22,"W",IF(ALM22=ALN22,"D","L")),"")</f>
        <v/>
      </c>
      <c r="ALQ22" s="319" t="str">
        <f t="shared" ca="1" si="5720"/>
        <v/>
      </c>
      <c r="ALR22" s="319"/>
      <c r="ALS22" s="319"/>
      <c r="ALT22" s="324" t="s">
        <v>101</v>
      </c>
      <c r="ALU22" s="325" t="s">
        <v>104</v>
      </c>
      <c r="ALV22" s="325" t="s">
        <v>105</v>
      </c>
      <c r="ALW22" s="325" t="s">
        <v>106</v>
      </c>
      <c r="ALX22" s="324" t="s">
        <v>105</v>
      </c>
      <c r="ALY22" s="324" t="s">
        <v>106</v>
      </c>
      <c r="ALZ22" s="324" t="s">
        <v>104</v>
      </c>
      <c r="AMA22" s="324" t="s">
        <v>101</v>
      </c>
      <c r="AMB22" s="325"/>
      <c r="AMC22" s="326">
        <f t="shared" ref="AMC22" ca="1" si="7328">IFERROR(MATCH(AMC12,ALT22:ALW22,0),0)</f>
        <v>1</v>
      </c>
      <c r="AMD22" s="326">
        <f t="shared" ref="AMD22" ca="1" si="7329">IFERROR(MATCH(AMD12,ALT22:ALW22,0),0)</f>
        <v>2</v>
      </c>
      <c r="AME22" s="326">
        <f t="shared" ref="AME22" ca="1" si="7330">IFERROR(MATCH(AME12,ALT22:ALW22,0),0)</f>
        <v>0</v>
      </c>
      <c r="AMF22" s="326">
        <f t="shared" ref="AMF22" ca="1" si="7331">IFERROR(MATCH(AMF12,ALT22:ALW22,0),0)</f>
        <v>0</v>
      </c>
      <c r="AMG22" s="326">
        <f t="shared" ca="1" si="3896"/>
        <v>3</v>
      </c>
      <c r="AMH22" s="325" t="s">
        <v>101</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0</v>
      </c>
      <c r="AQL22" s="322">
        <f ca="1">IF(OFFSET('Player Game Board'!Q29,0,AQK1)&lt;&gt;"",OFFSET('Player Game Board'!Q29,0,AQK1),0)</f>
        <v>0</v>
      </c>
      <c r="AQM22" s="319" t="str">
        <f t="shared" si="99"/>
        <v>France</v>
      </c>
      <c r="AQN22" s="319" t="str">
        <f ca="1">IF(AND(OFFSET('Player Game Board'!P29,0,AQK1)&lt;&gt;"",OFFSET('Player Game Board'!Q29,0,AQK1)&lt;&gt;""),IF(AQK22&gt;AQL22,"W",IF(AQK22=AQL22,"D","L")),"")</f>
        <v/>
      </c>
      <c r="AQO22" s="319" t="str">
        <f t="shared" ca="1" si="5775"/>
        <v/>
      </c>
      <c r="AQP22" s="319"/>
      <c r="AQQ22" s="319"/>
      <c r="AQR22" s="324" t="s">
        <v>101</v>
      </c>
      <c r="AQS22" s="325" t="s">
        <v>104</v>
      </c>
      <c r="AQT22" s="325" t="s">
        <v>105</v>
      </c>
      <c r="AQU22" s="325" t="s">
        <v>106</v>
      </c>
      <c r="AQV22" s="324" t="s">
        <v>105</v>
      </c>
      <c r="AQW22" s="324" t="s">
        <v>106</v>
      </c>
      <c r="AQX22" s="324" t="s">
        <v>104</v>
      </c>
      <c r="AQY22" s="324" t="s">
        <v>101</v>
      </c>
      <c r="AQZ22" s="325"/>
      <c r="ARA22" s="326">
        <f t="shared" ref="ARA22" ca="1" si="7333">IFERROR(MATCH(ARA12,AQR22:AQU22,0),0)</f>
        <v>1</v>
      </c>
      <c r="ARB22" s="326">
        <f t="shared" ref="ARB22" ca="1" si="7334">IFERROR(MATCH(ARB12,AQR22:AQU22,0),0)</f>
        <v>2</v>
      </c>
      <c r="ARC22" s="326">
        <f t="shared" ref="ARC22" ca="1" si="7335">IFERROR(MATCH(ARC12,AQR22:AQU22,0),0)</f>
        <v>0</v>
      </c>
      <c r="ARD22" s="326">
        <f t="shared" ref="ARD22" ca="1" si="7336">IFERROR(MATCH(ARD12,AQR22:AQU22,0),0)</f>
        <v>0</v>
      </c>
      <c r="ARE22" s="326">
        <f t="shared" ca="1" si="3966"/>
        <v>3</v>
      </c>
      <c r="ARF22" s="325" t="s">
        <v>101</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0</v>
      </c>
      <c r="AVK22" s="319" t="str">
        <f t="shared" si="115"/>
        <v>France</v>
      </c>
      <c r="AVL22" s="319" t="str">
        <f ca="1">IF(AND(OFFSET('Player Game Board'!P29,0,AVI1)&lt;&gt;"",OFFSET('Player Game Board'!Q29,0,AVI1)&lt;&gt;""),IF(AVI22&gt;AVJ22,"W",IF(AVI22=AVJ22,"D","L")),"")</f>
        <v/>
      </c>
      <c r="AVM22" s="319" t="str">
        <f t="shared" ca="1" si="5830"/>
        <v/>
      </c>
      <c r="AVN22" s="319"/>
      <c r="AVO22" s="319"/>
      <c r="AVP22" s="324" t="s">
        <v>101</v>
      </c>
      <c r="AVQ22" s="325" t="s">
        <v>104</v>
      </c>
      <c r="AVR22" s="325" t="s">
        <v>105</v>
      </c>
      <c r="AVS22" s="325" t="s">
        <v>106</v>
      </c>
      <c r="AVT22" s="324" t="s">
        <v>105</v>
      </c>
      <c r="AVU22" s="324" t="s">
        <v>106</v>
      </c>
      <c r="AVV22" s="324" t="s">
        <v>104</v>
      </c>
      <c r="AVW22" s="324" t="s">
        <v>101</v>
      </c>
      <c r="AVX22" s="325"/>
      <c r="AVY22" s="326">
        <f t="shared" ref="AVY22" ca="1" si="7338">IFERROR(MATCH(AVY12,AVP22:AVS22,0),0)</f>
        <v>1</v>
      </c>
      <c r="AVZ22" s="326">
        <f t="shared" ref="AVZ22" ca="1" si="7339">IFERROR(MATCH(AVZ12,AVP22:AVS22,0),0)</f>
        <v>2</v>
      </c>
      <c r="AWA22" s="326">
        <f t="shared" ref="AWA22" ca="1" si="7340">IFERROR(MATCH(AWA12,AVP22:AVS22,0),0)</f>
        <v>0</v>
      </c>
      <c r="AWB22" s="326">
        <f t="shared" ref="AWB22" ca="1" si="7341">IFERROR(MATCH(AWB12,AVP22:AVS22,0),0)</f>
        <v>0</v>
      </c>
      <c r="AWC22" s="326">
        <f t="shared" ca="1" si="4036"/>
        <v>3</v>
      </c>
      <c r="AWD22" s="325" t="s">
        <v>101</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0</v>
      </c>
      <c r="BAH22" s="322">
        <f ca="1">IF(OFFSET('Player Game Board'!Q29,0,BAG1)&lt;&gt;"",OFFSET('Player Game Board'!Q29,0,BAG1),0)</f>
        <v>0</v>
      </c>
      <c r="BAI22" s="319" t="str">
        <f t="shared" si="131"/>
        <v>France</v>
      </c>
      <c r="BAJ22" s="319" t="str">
        <f ca="1">IF(AND(OFFSET('Player Game Board'!P29,0,BAG1)&lt;&gt;"",OFFSET('Player Game Board'!Q29,0,BAG1)&lt;&gt;""),IF(BAG22&gt;BAH22,"W",IF(BAG22=BAH22,"D","L")),"")</f>
        <v/>
      </c>
      <c r="BAK22" s="319" t="str">
        <f t="shared" ca="1" si="5885"/>
        <v/>
      </c>
      <c r="BAL22" s="319"/>
      <c r="BAM22" s="319"/>
      <c r="BAN22" s="324" t="s">
        <v>101</v>
      </c>
      <c r="BAO22" s="325" t="s">
        <v>104</v>
      </c>
      <c r="BAP22" s="325" t="s">
        <v>105</v>
      </c>
      <c r="BAQ22" s="325" t="s">
        <v>106</v>
      </c>
      <c r="BAR22" s="324" t="s">
        <v>105</v>
      </c>
      <c r="BAS22" s="324" t="s">
        <v>106</v>
      </c>
      <c r="BAT22" s="324" t="s">
        <v>104</v>
      </c>
      <c r="BAU22" s="324" t="s">
        <v>101</v>
      </c>
      <c r="BAV22" s="325"/>
      <c r="BAW22" s="326">
        <f t="shared" ref="BAW22" ca="1" si="7343">IFERROR(MATCH(BAW12,BAN22:BAQ22,0),0)</f>
        <v>1</v>
      </c>
      <c r="BAX22" s="326">
        <f t="shared" ref="BAX22" ca="1" si="7344">IFERROR(MATCH(BAX12,BAN22:BAQ22,0),0)</f>
        <v>2</v>
      </c>
      <c r="BAY22" s="326">
        <f t="shared" ref="BAY22" ca="1" si="7345">IFERROR(MATCH(BAY12,BAN22:BAQ22,0),0)</f>
        <v>0</v>
      </c>
      <c r="BAZ22" s="326">
        <f t="shared" ref="BAZ22" ca="1" si="7346">IFERROR(MATCH(BAZ12,BAN22:BAQ22,0),0)</f>
        <v>0</v>
      </c>
      <c r="BBA22" s="326">
        <f t="shared" ca="1" si="4106"/>
        <v>3</v>
      </c>
      <c r="BBB22" s="325" t="s">
        <v>101</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101</v>
      </c>
      <c r="BFM22" s="325" t="s">
        <v>104</v>
      </c>
      <c r="BFN22" s="325" t="s">
        <v>105</v>
      </c>
      <c r="BFO22" s="325" t="s">
        <v>106</v>
      </c>
      <c r="BFP22" s="324" t="s">
        <v>105</v>
      </c>
      <c r="BFQ22" s="324" t="s">
        <v>106</v>
      </c>
      <c r="BFR22" s="324" t="s">
        <v>104</v>
      </c>
      <c r="BFS22" s="324" t="s">
        <v>101</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101</v>
      </c>
      <c r="BGA22" s="325" t="str">
        <f t="shared" ref="BGA22" ca="1" si="7352">VLOOKUP(1,BBE4:BBF7,2,FALSE)</f>
        <v>Germany</v>
      </c>
      <c r="BGB22" s="325">
        <f t="shared" ca="1" si="5439"/>
        <v>1</v>
      </c>
    </row>
    <row r="23" spans="1:1536" ht="13.8" x14ac:dyDescent="0.3">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0</v>
      </c>
      <c r="DB23" s="319">
        <f>IF(AND(Matches!I28&lt;&gt;"",Matches!H28&lt;&gt;""),Matches!I28,0)</f>
        <v>0</v>
      </c>
      <c r="DC23" s="319" t="str">
        <f>Matches!J28</f>
        <v>Ukraine</v>
      </c>
      <c r="DD23" s="319" t="str">
        <f>IF(AND(Matches!H28&lt;&gt;"",Matches!I28&lt;&gt;""),IF(DA23&gt;DB23,"W",IF(DA23=DB23,"D","L")),"")</f>
        <v/>
      </c>
      <c r="DE23" s="319" t="str">
        <f t="shared" si="162"/>
        <v/>
      </c>
      <c r="DF23" s="319"/>
      <c r="DG23" s="319"/>
      <c r="DH23" s="324" t="s">
        <v>102</v>
      </c>
      <c r="DI23" s="325" t="s">
        <v>103</v>
      </c>
      <c r="DJ23" s="325" t="s">
        <v>104</v>
      </c>
      <c r="DK23" s="325" t="s">
        <v>105</v>
      </c>
      <c r="DL23" s="324" t="s">
        <v>105</v>
      </c>
      <c r="DM23" s="324" t="s">
        <v>104</v>
      </c>
      <c r="DN23" s="324" t="s">
        <v>102</v>
      </c>
      <c r="DO23" s="324" t="s">
        <v>103</v>
      </c>
      <c r="DP23" s="325"/>
      <c r="DQ23" s="326">
        <f>IFERROR(MATCH(DQ12,DH23:DK23,0),0)</f>
        <v>2</v>
      </c>
      <c r="DR23" s="326">
        <f>IFERROR(MATCH(DR12,DH23:DK23,0),0)</f>
        <v>1</v>
      </c>
      <c r="DS23" s="326">
        <f>IFERROR(MATCH(DS12,DH23:DK23,0),0)</f>
        <v>0</v>
      </c>
      <c r="DT23" s="326">
        <f>IFERROR(MATCH(DT12,DH23:DK23,0),0)</f>
        <v>3</v>
      </c>
      <c r="DU23" s="326">
        <f t="shared" si="3541"/>
        <v>6</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1</v>
      </c>
      <c r="HZ23" s="322">
        <f ca="1">IF(OFFSET('Player Game Board'!Q30,0,HY1)&lt;&gt;"",OFFSET('Player Game Board'!Q30,0,HY1),0)</f>
        <v>1</v>
      </c>
      <c r="IA23" s="319" t="str">
        <f t="shared" si="165"/>
        <v>Ukraine</v>
      </c>
      <c r="IB23" s="319" t="str">
        <f ca="1">IF(AND(OFFSET('Player Game Board'!P30,0,HY1)&lt;&gt;"",OFFSET('Player Game Board'!Q30,0,HY1)&lt;&gt;""),IF(HY23&gt;HZ23,"W",IF(HY23=HZ23,"D","L")),"")</f>
        <v>D</v>
      </c>
      <c r="IC23" s="319" t="str">
        <f t="shared" ca="1" si="166"/>
        <v>D</v>
      </c>
      <c r="ID23" s="319"/>
      <c r="IE23" s="319"/>
      <c r="IF23" s="324" t="s">
        <v>102</v>
      </c>
      <c r="IG23" s="325" t="s">
        <v>103</v>
      </c>
      <c r="IH23" s="325" t="s">
        <v>104</v>
      </c>
      <c r="II23" s="325" t="s">
        <v>105</v>
      </c>
      <c r="IJ23" s="324" t="s">
        <v>105</v>
      </c>
      <c r="IK23" s="324" t="s">
        <v>104</v>
      </c>
      <c r="IL23" s="324" t="s">
        <v>102</v>
      </c>
      <c r="IM23" s="324" t="s">
        <v>103</v>
      </c>
      <c r="IN23" s="325"/>
      <c r="IO23" s="326">
        <f ca="1">IFERROR(MATCH(IO12,IF23:II23,0),0)</f>
        <v>0</v>
      </c>
      <c r="IP23" s="326">
        <f ca="1">IFERROR(MATCH(IP12,IF23:II23,0),0)</f>
        <v>3</v>
      </c>
      <c r="IQ23" s="326">
        <f ca="1">IFERROR(MATCH(IQ12,IF23:II23,0),0)</f>
        <v>0</v>
      </c>
      <c r="IR23" s="326">
        <f ca="1">IFERROR(MATCH(IR12,IF23:II23,0),0)</f>
        <v>1</v>
      </c>
      <c r="IS23" s="326">
        <f t="shared" ca="1" si="3544"/>
        <v>4</v>
      </c>
      <c r="IT23" s="325"/>
      <c r="IU23" s="325" t="str">
        <f ca="1">VLOOKUP(2,DY4:DZ7,2,FALSE)</f>
        <v>Switzerland</v>
      </c>
      <c r="IV23" s="325">
        <f t="shared" ca="1" si="5047"/>
        <v>1</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0</v>
      </c>
      <c r="MX23" s="322">
        <f ca="1">IF(OFFSET('Player Game Board'!Q30,0,MW1)&lt;&gt;"",OFFSET('Player Game Board'!Q30,0,MW1),0)</f>
        <v>0</v>
      </c>
      <c r="MY23" s="319" t="str">
        <f t="shared" si="171"/>
        <v>Ukraine</v>
      </c>
      <c r="MZ23" s="319" t="str">
        <f ca="1">IF(AND(OFFSET('Player Game Board'!P30,0,MW1)&lt;&gt;"",OFFSET('Player Game Board'!Q30,0,MW1)&lt;&gt;""),IF(MW23&gt;MX23,"W",IF(MW23=MX23,"D","L")),"")</f>
        <v>D</v>
      </c>
      <c r="NA23" s="319" t="str">
        <f t="shared" ca="1" si="172"/>
        <v>D</v>
      </c>
      <c r="NB23" s="319"/>
      <c r="NC23" s="319"/>
      <c r="ND23" s="324" t="s">
        <v>102</v>
      </c>
      <c r="NE23" s="325" t="s">
        <v>103</v>
      </c>
      <c r="NF23" s="325" t="s">
        <v>104</v>
      </c>
      <c r="NG23" s="325" t="s">
        <v>105</v>
      </c>
      <c r="NH23" s="324" t="s">
        <v>105</v>
      </c>
      <c r="NI23" s="324" t="s">
        <v>104</v>
      </c>
      <c r="NJ23" s="324" t="s">
        <v>102</v>
      </c>
      <c r="NK23" s="324" t="s">
        <v>103</v>
      </c>
      <c r="NL23" s="325"/>
      <c r="NM23" s="326">
        <f ca="1">IFERROR(MATCH(NM12,ND23:NG23,0),0)</f>
        <v>1</v>
      </c>
      <c r="NN23" s="326">
        <f ca="1">IFERROR(MATCH(NN12,ND23:NG23,0),0)</f>
        <v>0</v>
      </c>
      <c r="NO23" s="326">
        <f ca="1">IFERROR(MATCH(NO12,ND23:NG23,0),0)</f>
        <v>0</v>
      </c>
      <c r="NP23" s="326">
        <f ca="1">IFERROR(MATCH(NP12,ND23:NG23,0),0)</f>
        <v>4</v>
      </c>
      <c r="NQ23" s="326">
        <f t="shared" ca="1" si="3547"/>
        <v>5</v>
      </c>
      <c r="NR23" s="325"/>
      <c r="NS23" s="325" t="str">
        <f ca="1">VLOOKUP(2,IW4:IX7,2,FALSE)</f>
        <v>Scotland</v>
      </c>
      <c r="NT23" s="325">
        <f t="shared" ca="1" si="5052"/>
        <v>0</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1</v>
      </c>
      <c r="RW23" s="319" t="str">
        <f t="shared" si="19"/>
        <v>Ukraine</v>
      </c>
      <c r="RX23" s="319" t="str">
        <f ca="1">IF(AND(OFFSET('Player Game Board'!P30,0,RU1)&lt;&gt;"",OFFSET('Player Game Board'!Q30,0,RU1)&lt;&gt;""),IF(RU23&gt;RV23,"W",IF(RU23=RV23,"D","L")),"")</f>
        <v>L</v>
      </c>
      <c r="RY23" s="319" t="str">
        <f t="shared" ca="1" si="5500"/>
        <v>W</v>
      </c>
      <c r="RZ23" s="319"/>
      <c r="SA23" s="319"/>
      <c r="SB23" s="324" t="s">
        <v>102</v>
      </c>
      <c r="SC23" s="325" t="s">
        <v>103</v>
      </c>
      <c r="SD23" s="325" t="s">
        <v>104</v>
      </c>
      <c r="SE23" s="325" t="s">
        <v>105</v>
      </c>
      <c r="SF23" s="324" t="s">
        <v>105</v>
      </c>
      <c r="SG23" s="324" t="s">
        <v>104</v>
      </c>
      <c r="SH23" s="324" t="s">
        <v>102</v>
      </c>
      <c r="SI23" s="324" t="s">
        <v>103</v>
      </c>
      <c r="SJ23" s="325"/>
      <c r="SK23" s="326">
        <f t="shared" ref="SK23" ca="1" si="7353">IFERROR(MATCH(SK12,SB23:SE23,0),0)</f>
        <v>2</v>
      </c>
      <c r="SL23" s="326">
        <f t="shared" ref="SL23" ca="1" si="7354">IFERROR(MATCH(SL12,SB23:SE23,0),0)</f>
        <v>1</v>
      </c>
      <c r="SM23" s="326">
        <f t="shared" ref="SM23" ca="1" si="7355">IFERROR(MATCH(SM12,SB23:SE23,0),0)</f>
        <v>0</v>
      </c>
      <c r="SN23" s="326">
        <f t="shared" ref="SN23" ca="1" si="7356">IFERROR(MATCH(SN12,SB23:SE23,0),0)</f>
        <v>4</v>
      </c>
      <c r="SO23" s="326">
        <f t="shared" ca="1" si="3616"/>
        <v>7</v>
      </c>
      <c r="SP23" s="325"/>
      <c r="SQ23" s="325" t="str">
        <f t="shared" ref="SQ23" ca="1" si="7357">VLOOKUP(2,NU4:NV7,2,FALSE)</f>
        <v>Hungary</v>
      </c>
      <c r="SR23" s="325">
        <f t="shared" ca="1" si="5095"/>
        <v>0</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0</v>
      </c>
      <c r="WT23" s="322">
        <f ca="1">IF(OFFSET('Player Game Board'!Q30,0,WS1)&lt;&gt;"",OFFSET('Player Game Board'!Q30,0,WS1),0)</f>
        <v>1</v>
      </c>
      <c r="WU23" s="319" t="str">
        <f t="shared" si="35"/>
        <v>Ukraine</v>
      </c>
      <c r="WV23" s="319" t="str">
        <f ca="1">IF(AND(OFFSET('Player Game Board'!P30,0,WS1)&lt;&gt;"",OFFSET('Player Game Board'!Q30,0,WS1)&lt;&gt;""),IF(WS23&gt;WT23,"W",IF(WS23=WT23,"D","L")),"")</f>
        <v>L</v>
      </c>
      <c r="WW23" s="319" t="str">
        <f t="shared" ca="1" si="5555"/>
        <v>W</v>
      </c>
      <c r="WX23" s="319"/>
      <c r="WY23" s="319"/>
      <c r="WZ23" s="324" t="s">
        <v>102</v>
      </c>
      <c r="XA23" s="325" t="s">
        <v>103</v>
      </c>
      <c r="XB23" s="325" t="s">
        <v>104</v>
      </c>
      <c r="XC23" s="325" t="s">
        <v>105</v>
      </c>
      <c r="XD23" s="324" t="s">
        <v>105</v>
      </c>
      <c r="XE23" s="324" t="s">
        <v>104</v>
      </c>
      <c r="XF23" s="324" t="s">
        <v>102</v>
      </c>
      <c r="XG23" s="324" t="s">
        <v>103</v>
      </c>
      <c r="XH23" s="325"/>
      <c r="XI23" s="326">
        <f t="shared" ref="XI23" ca="1" si="7358">IFERROR(MATCH(XI12,WZ23:XC23,0),0)</f>
        <v>0</v>
      </c>
      <c r="XJ23" s="326">
        <f t="shared" ref="XJ23" ca="1" si="7359">IFERROR(MATCH(XJ12,WZ23:XC23,0),0)</f>
        <v>4</v>
      </c>
      <c r="XK23" s="326">
        <f t="shared" ref="XK23" ca="1" si="7360">IFERROR(MATCH(XK12,WZ23:XC23,0),0)</f>
        <v>1</v>
      </c>
      <c r="XL23" s="326">
        <f t="shared" ref="XL23" ca="1" si="7361">IFERROR(MATCH(XL12,WZ23:XC23,0),0)</f>
        <v>0</v>
      </c>
      <c r="XM23" s="326">
        <f t="shared" ca="1" si="3686"/>
        <v>5</v>
      </c>
      <c r="XN23" s="325"/>
      <c r="XO23" s="325" t="str">
        <f t="shared" ref="XO23" ca="1" si="7362">VLOOKUP(2,SS4:ST7,2,FALSE)</f>
        <v>Switzerland</v>
      </c>
      <c r="XP23" s="325">
        <f t="shared" ca="1" si="5138"/>
        <v>1</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2</v>
      </c>
      <c r="ABS23" s="319" t="str">
        <f t="shared" si="51"/>
        <v>Ukraine</v>
      </c>
      <c r="ABT23" s="319" t="str">
        <f ca="1">IF(AND(OFFSET('Player Game Board'!P30,0,ABQ1)&lt;&gt;"",OFFSET('Player Game Board'!Q30,0,ABQ1)&lt;&gt;""),IF(ABQ23&gt;ABR23,"W",IF(ABQ23=ABR23,"D","L")),"")</f>
        <v>L</v>
      </c>
      <c r="ABU23" s="319" t="str">
        <f t="shared" ca="1" si="5610"/>
        <v>W</v>
      </c>
      <c r="ABV23" s="319"/>
      <c r="ABW23" s="319"/>
      <c r="ABX23" s="324" t="s">
        <v>102</v>
      </c>
      <c r="ABY23" s="325" t="s">
        <v>103</v>
      </c>
      <c r="ABZ23" s="325" t="s">
        <v>104</v>
      </c>
      <c r="ACA23" s="325" t="s">
        <v>105</v>
      </c>
      <c r="ACB23" s="324" t="s">
        <v>105</v>
      </c>
      <c r="ACC23" s="324" t="s">
        <v>104</v>
      </c>
      <c r="ACD23" s="324" t="s">
        <v>102</v>
      </c>
      <c r="ACE23" s="324" t="s">
        <v>103</v>
      </c>
      <c r="ACF23" s="325"/>
      <c r="ACG23" s="326">
        <f t="shared" ref="ACG23" ca="1" si="7363">IFERROR(MATCH(ACG12,ABX23:ACA23,0),0)</f>
        <v>2</v>
      </c>
      <c r="ACH23" s="326">
        <f t="shared" ref="ACH23" ca="1" si="7364">IFERROR(MATCH(ACH12,ABX23:ACA23,0),0)</f>
        <v>1</v>
      </c>
      <c r="ACI23" s="326">
        <f t="shared" ref="ACI23" ca="1" si="7365">IFERROR(MATCH(ACI12,ABX23:ACA23,0),0)</f>
        <v>3</v>
      </c>
      <c r="ACJ23" s="326">
        <f t="shared" ref="ACJ23" ca="1" si="7366">IFERROR(MATCH(ACJ12,ABX23:ACA23,0),0)</f>
        <v>0</v>
      </c>
      <c r="ACK23" s="326">
        <f t="shared" ca="1" si="3756"/>
        <v>6</v>
      </c>
      <c r="ACL23" s="325"/>
      <c r="ACM23" s="325" t="str">
        <f t="shared" ref="ACM23" ca="1" si="7367">VLOOKUP(2,XQ4:XR7,2,FALSE)</f>
        <v>Scotland</v>
      </c>
      <c r="ACN23" s="325">
        <f t="shared" ca="1" si="5181"/>
        <v>0</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0</v>
      </c>
      <c r="AGP23" s="322">
        <f ca="1">IF(OFFSET('Player Game Board'!Q30,0,AGO1)&lt;&gt;"",OFFSET('Player Game Board'!Q30,0,AGO1),0)</f>
        <v>2</v>
      </c>
      <c r="AGQ23" s="319" t="str">
        <f t="shared" si="67"/>
        <v>Ukraine</v>
      </c>
      <c r="AGR23" s="319" t="str">
        <f ca="1">IF(AND(OFFSET('Player Game Board'!P30,0,AGO1)&lt;&gt;"",OFFSET('Player Game Board'!Q30,0,AGO1)&lt;&gt;""),IF(AGO23&gt;AGP23,"W",IF(AGO23=AGP23,"D","L")),"")</f>
        <v>L</v>
      </c>
      <c r="AGS23" s="319" t="str">
        <f t="shared" ca="1" si="5665"/>
        <v>W</v>
      </c>
      <c r="AGT23" s="319"/>
      <c r="AGU23" s="319"/>
      <c r="AGV23" s="324" t="s">
        <v>102</v>
      </c>
      <c r="AGW23" s="325" t="s">
        <v>103</v>
      </c>
      <c r="AGX23" s="325" t="s">
        <v>104</v>
      </c>
      <c r="AGY23" s="325" t="s">
        <v>105</v>
      </c>
      <c r="AGZ23" s="324" t="s">
        <v>105</v>
      </c>
      <c r="AHA23" s="324" t="s">
        <v>104</v>
      </c>
      <c r="AHB23" s="324" t="s">
        <v>102</v>
      </c>
      <c r="AHC23" s="324" t="s">
        <v>103</v>
      </c>
      <c r="AHD23" s="325"/>
      <c r="AHE23" s="326">
        <f t="shared" ref="AHE23" ca="1" si="7368">IFERROR(MATCH(AHE12,AGV23:AGY23,0),0)</f>
        <v>0</v>
      </c>
      <c r="AHF23" s="326">
        <f t="shared" ref="AHF23" ca="1" si="7369">IFERROR(MATCH(AHF12,AGV23:AGY23,0),0)</f>
        <v>0</v>
      </c>
      <c r="AHG23" s="326">
        <f t="shared" ref="AHG23" ca="1" si="7370">IFERROR(MATCH(AHG12,AGV23:AGY23,0),0)</f>
        <v>1</v>
      </c>
      <c r="AHH23" s="326">
        <f t="shared" ref="AHH23" ca="1" si="7371">IFERROR(MATCH(AHH12,AGV23:AGY23,0),0)</f>
        <v>2</v>
      </c>
      <c r="AHI23" s="326">
        <f t="shared" ca="1" si="3826"/>
        <v>3</v>
      </c>
      <c r="AHJ23" s="325"/>
      <c r="AHK23" s="325" t="str">
        <f t="shared" ref="AHK23" ca="1" si="7372">VLOOKUP(2,ACO4:ACP7,2,FALSE)</f>
        <v>Switzerland</v>
      </c>
      <c r="AHL23" s="325">
        <f t="shared" ca="1" si="5224"/>
        <v>1</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0</v>
      </c>
      <c r="ALN23" s="322">
        <f ca="1">IF(OFFSET('Player Game Board'!Q30,0,ALM1)&lt;&gt;"",OFFSET('Player Game Board'!Q30,0,ALM1),0)</f>
        <v>0</v>
      </c>
      <c r="ALO23" s="319" t="str">
        <f t="shared" si="83"/>
        <v>Ukraine</v>
      </c>
      <c r="ALP23" s="319" t="str">
        <f ca="1">IF(AND(OFFSET('Player Game Board'!P30,0,ALM1)&lt;&gt;"",OFFSET('Player Game Board'!Q30,0,ALM1)&lt;&gt;""),IF(ALM23&gt;ALN23,"W",IF(ALM23=ALN23,"D","L")),"")</f>
        <v/>
      </c>
      <c r="ALQ23" s="319" t="str">
        <f t="shared" ca="1" si="5720"/>
        <v/>
      </c>
      <c r="ALR23" s="319"/>
      <c r="ALS23" s="319"/>
      <c r="ALT23" s="324" t="s">
        <v>102</v>
      </c>
      <c r="ALU23" s="325" t="s">
        <v>103</v>
      </c>
      <c r="ALV23" s="325" t="s">
        <v>104</v>
      </c>
      <c r="ALW23" s="325" t="s">
        <v>105</v>
      </c>
      <c r="ALX23" s="324" t="s">
        <v>105</v>
      </c>
      <c r="ALY23" s="324" t="s">
        <v>104</v>
      </c>
      <c r="ALZ23" s="324" t="s">
        <v>102</v>
      </c>
      <c r="AMA23" s="324" t="s">
        <v>103</v>
      </c>
      <c r="AMB23" s="325"/>
      <c r="AMC23" s="326">
        <f t="shared" ref="AMC23" ca="1" si="7373">IFERROR(MATCH(AMC12,ALT23:ALW23,0),0)</f>
        <v>0</v>
      </c>
      <c r="AMD23" s="326">
        <f t="shared" ref="AMD23" ca="1" si="7374">IFERROR(MATCH(AMD12,ALT23:ALW23,0),0)</f>
        <v>3</v>
      </c>
      <c r="AME23" s="326">
        <f t="shared" ref="AME23" ca="1" si="7375">IFERROR(MATCH(AME12,ALT23:ALW23,0),0)</f>
        <v>1</v>
      </c>
      <c r="AMF23" s="326">
        <f t="shared" ref="AMF23" ca="1" si="7376">IFERROR(MATCH(AMF12,ALT23:ALW23,0),0)</f>
        <v>2</v>
      </c>
      <c r="AMG23" s="326">
        <f t="shared" ca="1" si="3896"/>
        <v>6</v>
      </c>
      <c r="AMH23" s="325"/>
      <c r="AMI23" s="325" t="str">
        <f t="shared" ref="AMI23" ca="1" si="7377">VLOOKUP(2,AHM4:AHN7,2,FALSE)</f>
        <v>Hungary</v>
      </c>
      <c r="AMJ23" s="325">
        <f t="shared" ca="1" si="5267"/>
        <v>0</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0</v>
      </c>
      <c r="AQL23" s="322">
        <f ca="1">IF(OFFSET('Player Game Board'!Q30,0,AQK1)&lt;&gt;"",OFFSET('Player Game Board'!Q30,0,AQK1),0)</f>
        <v>0</v>
      </c>
      <c r="AQM23" s="319" t="str">
        <f t="shared" si="99"/>
        <v>Ukraine</v>
      </c>
      <c r="AQN23" s="319" t="str">
        <f ca="1">IF(AND(OFFSET('Player Game Board'!P30,0,AQK1)&lt;&gt;"",OFFSET('Player Game Board'!Q30,0,AQK1)&lt;&gt;""),IF(AQK23&gt;AQL23,"W",IF(AQK23=AQL23,"D","L")),"")</f>
        <v/>
      </c>
      <c r="AQO23" s="319" t="str">
        <f t="shared" ca="1" si="5775"/>
        <v/>
      </c>
      <c r="AQP23" s="319"/>
      <c r="AQQ23" s="319"/>
      <c r="AQR23" s="324" t="s">
        <v>102</v>
      </c>
      <c r="AQS23" s="325" t="s">
        <v>103</v>
      </c>
      <c r="AQT23" s="325" t="s">
        <v>104</v>
      </c>
      <c r="AQU23" s="325" t="s">
        <v>105</v>
      </c>
      <c r="AQV23" s="324" t="s">
        <v>105</v>
      </c>
      <c r="AQW23" s="324" t="s">
        <v>104</v>
      </c>
      <c r="AQX23" s="324" t="s">
        <v>102</v>
      </c>
      <c r="AQY23" s="324" t="s">
        <v>103</v>
      </c>
      <c r="AQZ23" s="325"/>
      <c r="ARA23" s="326">
        <f t="shared" ref="ARA23" ca="1" si="7378">IFERROR(MATCH(ARA12,AQR23:AQU23,0),0)</f>
        <v>0</v>
      </c>
      <c r="ARB23" s="326">
        <f t="shared" ref="ARB23" ca="1" si="7379">IFERROR(MATCH(ARB12,AQR23:AQU23,0),0)</f>
        <v>3</v>
      </c>
      <c r="ARC23" s="326">
        <f t="shared" ref="ARC23" ca="1" si="7380">IFERROR(MATCH(ARC12,AQR23:AQU23,0),0)</f>
        <v>1</v>
      </c>
      <c r="ARD23" s="326">
        <f t="shared" ref="ARD23" ca="1" si="7381">IFERROR(MATCH(ARD12,AQR23:AQU23,0),0)</f>
        <v>2</v>
      </c>
      <c r="ARE23" s="326">
        <f t="shared" ca="1" si="3966"/>
        <v>6</v>
      </c>
      <c r="ARF23" s="325"/>
      <c r="ARG23" s="325" t="str">
        <f t="shared" ref="ARG23" ca="1" si="7382">VLOOKUP(2,AMK4:AML7,2,FALSE)</f>
        <v>Hungary</v>
      </c>
      <c r="ARH23" s="325">
        <f t="shared" ca="1" si="5310"/>
        <v>0</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0</v>
      </c>
      <c r="AVJ23" s="322">
        <f ca="1">IF(OFFSET('Player Game Board'!Q30,0,AVI1)&lt;&gt;"",OFFSET('Player Game Board'!Q30,0,AVI1),0)</f>
        <v>0</v>
      </c>
      <c r="AVK23" s="319" t="str">
        <f t="shared" si="115"/>
        <v>Ukraine</v>
      </c>
      <c r="AVL23" s="319" t="str">
        <f ca="1">IF(AND(OFFSET('Player Game Board'!P30,0,AVI1)&lt;&gt;"",OFFSET('Player Game Board'!Q30,0,AVI1)&lt;&gt;""),IF(AVI23&gt;AVJ23,"W",IF(AVI23=AVJ23,"D","L")),"")</f>
        <v/>
      </c>
      <c r="AVM23" s="319" t="str">
        <f t="shared" ca="1" si="5830"/>
        <v/>
      </c>
      <c r="AVN23" s="319"/>
      <c r="AVO23" s="319"/>
      <c r="AVP23" s="324" t="s">
        <v>102</v>
      </c>
      <c r="AVQ23" s="325" t="s">
        <v>103</v>
      </c>
      <c r="AVR23" s="325" t="s">
        <v>104</v>
      </c>
      <c r="AVS23" s="325" t="s">
        <v>105</v>
      </c>
      <c r="AVT23" s="324" t="s">
        <v>105</v>
      </c>
      <c r="AVU23" s="324" t="s">
        <v>104</v>
      </c>
      <c r="AVV23" s="324" t="s">
        <v>102</v>
      </c>
      <c r="AVW23" s="324" t="s">
        <v>103</v>
      </c>
      <c r="AVX23" s="325"/>
      <c r="AVY23" s="326">
        <f t="shared" ref="AVY23" ca="1" si="7383">IFERROR(MATCH(AVY12,AVP23:AVS23,0),0)</f>
        <v>0</v>
      </c>
      <c r="AVZ23" s="326">
        <f t="shared" ref="AVZ23" ca="1" si="7384">IFERROR(MATCH(AVZ12,AVP23:AVS23,0),0)</f>
        <v>3</v>
      </c>
      <c r="AWA23" s="326">
        <f t="shared" ref="AWA23" ca="1" si="7385">IFERROR(MATCH(AWA12,AVP23:AVS23,0),0)</f>
        <v>1</v>
      </c>
      <c r="AWB23" s="326">
        <f t="shared" ref="AWB23" ca="1" si="7386">IFERROR(MATCH(AWB12,AVP23:AVS23,0),0)</f>
        <v>2</v>
      </c>
      <c r="AWC23" s="326">
        <f t="shared" ca="1" si="4036"/>
        <v>6</v>
      </c>
      <c r="AWD23" s="325"/>
      <c r="AWE23" s="325" t="str">
        <f t="shared" ref="AWE23" ca="1" si="7387">VLOOKUP(2,ARI4:ARJ7,2,FALSE)</f>
        <v>Hungary</v>
      </c>
      <c r="AWF23" s="325">
        <f t="shared" ca="1" si="5353"/>
        <v>0</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0</v>
      </c>
      <c r="BAH23" s="322">
        <f ca="1">IF(OFFSET('Player Game Board'!Q30,0,BAG1)&lt;&gt;"",OFFSET('Player Game Board'!Q30,0,BAG1),0)</f>
        <v>0</v>
      </c>
      <c r="BAI23" s="319" t="str">
        <f t="shared" si="131"/>
        <v>Ukraine</v>
      </c>
      <c r="BAJ23" s="319" t="str">
        <f ca="1">IF(AND(OFFSET('Player Game Board'!P30,0,BAG1)&lt;&gt;"",OFFSET('Player Game Board'!Q30,0,BAG1)&lt;&gt;""),IF(BAG23&gt;BAH23,"W",IF(BAG23=BAH23,"D","L")),"")</f>
        <v/>
      </c>
      <c r="BAK23" s="319" t="str">
        <f t="shared" ca="1" si="5885"/>
        <v/>
      </c>
      <c r="BAL23" s="319"/>
      <c r="BAM23" s="319"/>
      <c r="BAN23" s="324" t="s">
        <v>102</v>
      </c>
      <c r="BAO23" s="325" t="s">
        <v>103</v>
      </c>
      <c r="BAP23" s="325" t="s">
        <v>104</v>
      </c>
      <c r="BAQ23" s="325" t="s">
        <v>105</v>
      </c>
      <c r="BAR23" s="324" t="s">
        <v>105</v>
      </c>
      <c r="BAS23" s="324" t="s">
        <v>104</v>
      </c>
      <c r="BAT23" s="324" t="s">
        <v>102</v>
      </c>
      <c r="BAU23" s="324" t="s">
        <v>103</v>
      </c>
      <c r="BAV23" s="325"/>
      <c r="BAW23" s="326">
        <f t="shared" ref="BAW23" ca="1" si="7388">IFERROR(MATCH(BAW12,BAN23:BAQ23,0),0)</f>
        <v>0</v>
      </c>
      <c r="BAX23" s="326">
        <f t="shared" ref="BAX23" ca="1" si="7389">IFERROR(MATCH(BAX12,BAN23:BAQ23,0),0)</f>
        <v>3</v>
      </c>
      <c r="BAY23" s="326">
        <f t="shared" ref="BAY23" ca="1" si="7390">IFERROR(MATCH(BAY12,BAN23:BAQ23,0),0)</f>
        <v>1</v>
      </c>
      <c r="BAZ23" s="326">
        <f t="shared" ref="BAZ23" ca="1" si="7391">IFERROR(MATCH(BAZ12,BAN23:BAQ23,0),0)</f>
        <v>2</v>
      </c>
      <c r="BBA23" s="326">
        <f t="shared" ca="1" si="4106"/>
        <v>6</v>
      </c>
      <c r="BBB23" s="325"/>
      <c r="BBC23" s="325" t="str">
        <f t="shared" ref="BBC23" ca="1" si="7392">VLOOKUP(2,AWG4:AWH7,2,FALSE)</f>
        <v>Hungary</v>
      </c>
      <c r="BBD23" s="325">
        <f t="shared" ca="1" si="5396"/>
        <v>0</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102</v>
      </c>
      <c r="BFM23" s="325" t="s">
        <v>103</v>
      </c>
      <c r="BFN23" s="325" t="s">
        <v>104</v>
      </c>
      <c r="BFO23" s="325" t="s">
        <v>105</v>
      </c>
      <c r="BFP23" s="324" t="s">
        <v>105</v>
      </c>
      <c r="BFQ23" s="324" t="s">
        <v>104</v>
      </c>
      <c r="BFR23" s="324" t="s">
        <v>102</v>
      </c>
      <c r="BFS23" s="324" t="s">
        <v>103</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0</v>
      </c>
    </row>
    <row r="24" spans="1:1536" ht="13.8" x14ac:dyDescent="0.3">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0</v>
      </c>
      <c r="DB24" s="319">
        <f>IF(AND(Matches!I29&lt;&gt;"",Matches!H29&lt;&gt;""),Matches!I29,0)</f>
        <v>0</v>
      </c>
      <c r="DC24" s="319" t="str">
        <f>Matches!J29</f>
        <v>Romania</v>
      </c>
      <c r="DD24" s="319" t="str">
        <f>IF(AND(Matches!H29&lt;&gt;"",Matches!I29&lt;&gt;""),IF(DA24&gt;DB24,"W",IF(DA24=DB24,"D","L")),"")</f>
        <v/>
      </c>
      <c r="DE24" s="319" t="str">
        <f t="shared" si="162"/>
        <v/>
      </c>
      <c r="DF24" s="319"/>
      <c r="DG24" s="319"/>
      <c r="DH24" s="324" t="s">
        <v>102</v>
      </c>
      <c r="DI24" s="325" t="s">
        <v>103</v>
      </c>
      <c r="DJ24" s="325" t="s">
        <v>104</v>
      </c>
      <c r="DK24" s="325" t="s">
        <v>106</v>
      </c>
      <c r="DL24" s="324" t="s">
        <v>106</v>
      </c>
      <c r="DM24" s="324" t="s">
        <v>104</v>
      </c>
      <c r="DN24" s="324" t="s">
        <v>103</v>
      </c>
      <c r="DO24" s="324" t="s">
        <v>102</v>
      </c>
      <c r="DP24" s="325"/>
      <c r="DQ24" s="326">
        <f>IFERROR(MATCH(DQ12,DH24:DK24,0),0)</f>
        <v>2</v>
      </c>
      <c r="DR24" s="326">
        <f>IFERROR(MATCH(DR12,DH24:DK24,0),0)</f>
        <v>1</v>
      </c>
      <c r="DS24" s="326">
        <f>IFERROR(MATCH(DS12,DH24:DK24,0),0)</f>
        <v>4</v>
      </c>
      <c r="DT24" s="326">
        <f>IFERROR(MATCH(DT12,DH24:DK24,0),0)</f>
        <v>3</v>
      </c>
      <c r="DU24" s="326">
        <f t="shared" si="3541"/>
        <v>10</v>
      </c>
      <c r="DV24" s="325" t="s">
        <v>102</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5</v>
      </c>
      <c r="HZ24" s="322">
        <f ca="1">IF(OFFSET('Player Game Board'!Q31,0,HY1)&lt;&gt;"",OFFSET('Player Game Board'!Q31,0,HY1),0)</f>
        <v>1</v>
      </c>
      <c r="IA24" s="319" t="str">
        <f t="shared" si="165"/>
        <v>Romania</v>
      </c>
      <c r="IB24" s="319" t="str">
        <f ca="1">IF(AND(OFFSET('Player Game Board'!P31,0,HY1)&lt;&gt;"",OFFSET('Player Game Board'!Q31,0,HY1)&lt;&gt;""),IF(HY24&gt;HZ24,"W",IF(HY24=HZ24,"D","L")),"")</f>
        <v>W</v>
      </c>
      <c r="IC24" s="319" t="str">
        <f t="shared" ca="1" si="166"/>
        <v>L</v>
      </c>
      <c r="ID24" s="319"/>
      <c r="IE24" s="319"/>
      <c r="IF24" s="324" t="s">
        <v>102</v>
      </c>
      <c r="IG24" s="325" t="s">
        <v>103</v>
      </c>
      <c r="IH24" s="325" t="s">
        <v>104</v>
      </c>
      <c r="II24" s="325" t="s">
        <v>106</v>
      </c>
      <c r="IJ24" s="324" t="s">
        <v>106</v>
      </c>
      <c r="IK24" s="324" t="s">
        <v>104</v>
      </c>
      <c r="IL24" s="324" t="s">
        <v>103</v>
      </c>
      <c r="IM24" s="324" t="s">
        <v>102</v>
      </c>
      <c r="IN24" s="325"/>
      <c r="IO24" s="326">
        <f ca="1">IFERROR(MATCH(IO12,IF24:II24,0),0)</f>
        <v>0</v>
      </c>
      <c r="IP24" s="326">
        <f ca="1">IFERROR(MATCH(IP12,IF24:II24,0),0)</f>
        <v>3</v>
      </c>
      <c r="IQ24" s="326">
        <f ca="1">IFERROR(MATCH(IQ12,IF24:II24,0),0)</f>
        <v>4</v>
      </c>
      <c r="IR24" s="326">
        <f ca="1">IFERROR(MATCH(IR12,IF24:II24,0),0)</f>
        <v>1</v>
      </c>
      <c r="IS24" s="326">
        <f t="shared" ca="1" si="3544"/>
        <v>8</v>
      </c>
      <c r="IT24" s="325" t="s">
        <v>102</v>
      </c>
      <c r="IU24" s="325" t="str">
        <f ca="1">VLOOKUP(1,DY11:DZ14,2,FALSE)</f>
        <v>Spain</v>
      </c>
      <c r="IV24" s="325">
        <f t="shared" ca="1" si="5047"/>
        <v>1</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2</v>
      </c>
      <c r="MX24" s="322">
        <f ca="1">IF(OFFSET('Player Game Board'!Q31,0,MW1)&lt;&gt;"",OFFSET('Player Game Board'!Q31,0,MW1),0)</f>
        <v>1</v>
      </c>
      <c r="MY24" s="319" t="str">
        <f t="shared" si="171"/>
        <v>Romania</v>
      </c>
      <c r="MZ24" s="319" t="str">
        <f ca="1">IF(AND(OFFSET('Player Game Board'!P31,0,MW1)&lt;&gt;"",OFFSET('Player Game Board'!Q31,0,MW1)&lt;&gt;""),IF(MW24&gt;MX24,"W",IF(MW24=MX24,"D","L")),"")</f>
        <v>W</v>
      </c>
      <c r="NA24" s="319" t="str">
        <f t="shared" ca="1" si="172"/>
        <v>L</v>
      </c>
      <c r="NB24" s="319"/>
      <c r="NC24" s="319"/>
      <c r="ND24" s="324" t="s">
        <v>102</v>
      </c>
      <c r="NE24" s="325" t="s">
        <v>103</v>
      </c>
      <c r="NF24" s="325" t="s">
        <v>104</v>
      </c>
      <c r="NG24" s="325" t="s">
        <v>106</v>
      </c>
      <c r="NH24" s="324" t="s">
        <v>106</v>
      </c>
      <c r="NI24" s="324" t="s">
        <v>104</v>
      </c>
      <c r="NJ24" s="324" t="s">
        <v>103</v>
      </c>
      <c r="NK24" s="324" t="s">
        <v>102</v>
      </c>
      <c r="NL24" s="325"/>
      <c r="NM24" s="326">
        <f ca="1">IFERROR(MATCH(NM12,ND24:NG24,0),0)</f>
        <v>1</v>
      </c>
      <c r="NN24" s="326">
        <f ca="1">IFERROR(MATCH(NN12,ND24:NG24,0),0)</f>
        <v>0</v>
      </c>
      <c r="NO24" s="326">
        <f ca="1">IFERROR(MATCH(NO12,ND24:NG24,0),0)</f>
        <v>4</v>
      </c>
      <c r="NP24" s="326">
        <f ca="1">IFERROR(MATCH(NP12,ND24:NG24,0),0)</f>
        <v>0</v>
      </c>
      <c r="NQ24" s="326">
        <f t="shared" ca="1" si="3547"/>
        <v>5</v>
      </c>
      <c r="NR24" s="325" t="s">
        <v>102</v>
      </c>
      <c r="NS24" s="325" t="str">
        <f ca="1">VLOOKUP(1,IW11:IX14,2,FALSE)</f>
        <v>Spain</v>
      </c>
      <c r="NT24" s="325">
        <f t="shared" ca="1" si="5052"/>
        <v>1</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0</v>
      </c>
      <c r="RV24" s="322">
        <f ca="1">IF(OFFSET('Player Game Board'!Q31,0,RU1)&lt;&gt;"",OFFSET('Player Game Board'!Q31,0,RU1),0)</f>
        <v>1</v>
      </c>
      <c r="RW24" s="319" t="str">
        <f t="shared" si="19"/>
        <v>Romania</v>
      </c>
      <c r="RX24" s="319" t="str">
        <f ca="1">IF(AND(OFFSET('Player Game Board'!P31,0,RU1)&lt;&gt;"",OFFSET('Player Game Board'!Q31,0,RU1)&lt;&gt;""),IF(RU24&gt;RV24,"W",IF(RU24=RV24,"D","L")),"")</f>
        <v>L</v>
      </c>
      <c r="RY24" s="319" t="str">
        <f t="shared" ca="1" si="5500"/>
        <v>W</v>
      </c>
      <c r="RZ24" s="319"/>
      <c r="SA24" s="319"/>
      <c r="SB24" s="324" t="s">
        <v>102</v>
      </c>
      <c r="SC24" s="325" t="s">
        <v>103</v>
      </c>
      <c r="SD24" s="325" t="s">
        <v>104</v>
      </c>
      <c r="SE24" s="325" t="s">
        <v>106</v>
      </c>
      <c r="SF24" s="324" t="s">
        <v>106</v>
      </c>
      <c r="SG24" s="324" t="s">
        <v>104</v>
      </c>
      <c r="SH24" s="324" t="s">
        <v>103</v>
      </c>
      <c r="SI24" s="324" t="s">
        <v>102</v>
      </c>
      <c r="SJ24" s="325"/>
      <c r="SK24" s="326">
        <f t="shared" ref="SK24" ca="1" si="7398">IFERROR(MATCH(SK12,SB24:SE24,0),0)</f>
        <v>2</v>
      </c>
      <c r="SL24" s="326">
        <f t="shared" ref="SL24" ca="1" si="7399">IFERROR(MATCH(SL12,SB24:SE24,0),0)</f>
        <v>1</v>
      </c>
      <c r="SM24" s="326">
        <f t="shared" ref="SM24" ca="1" si="7400">IFERROR(MATCH(SM12,SB24:SE24,0),0)</f>
        <v>4</v>
      </c>
      <c r="SN24" s="326">
        <f t="shared" ref="SN24" ca="1" si="7401">IFERROR(MATCH(SN12,SB24:SE24,0),0)</f>
        <v>0</v>
      </c>
      <c r="SO24" s="326">
        <f t="shared" ca="1" si="3616"/>
        <v>7</v>
      </c>
      <c r="SP24" s="325" t="s">
        <v>102</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3</v>
      </c>
      <c r="WT24" s="322">
        <f ca="1">IF(OFFSET('Player Game Board'!Q31,0,WS1)&lt;&gt;"",OFFSET('Player Game Board'!Q31,0,WS1),0)</f>
        <v>1</v>
      </c>
      <c r="WU24" s="319" t="str">
        <f t="shared" si="35"/>
        <v>Romania</v>
      </c>
      <c r="WV24" s="319" t="str">
        <f ca="1">IF(AND(OFFSET('Player Game Board'!P31,0,WS1)&lt;&gt;"",OFFSET('Player Game Board'!Q31,0,WS1)&lt;&gt;""),IF(WS24&gt;WT24,"W",IF(WS24=WT24,"D","L")),"")</f>
        <v>W</v>
      </c>
      <c r="WW24" s="319" t="str">
        <f t="shared" ca="1" si="5555"/>
        <v>L</v>
      </c>
      <c r="WX24" s="319"/>
      <c r="WY24" s="319"/>
      <c r="WZ24" s="324" t="s">
        <v>102</v>
      </c>
      <c r="XA24" s="325" t="s">
        <v>103</v>
      </c>
      <c r="XB24" s="325" t="s">
        <v>104</v>
      </c>
      <c r="XC24" s="325" t="s">
        <v>106</v>
      </c>
      <c r="XD24" s="324" t="s">
        <v>106</v>
      </c>
      <c r="XE24" s="324" t="s">
        <v>104</v>
      </c>
      <c r="XF24" s="324" t="s">
        <v>103</v>
      </c>
      <c r="XG24" s="324" t="s">
        <v>102</v>
      </c>
      <c r="XH24" s="325"/>
      <c r="XI24" s="326">
        <f t="shared" ref="XI24" ca="1" si="7403">IFERROR(MATCH(XI12,WZ24:XC24,0),0)</f>
        <v>4</v>
      </c>
      <c r="XJ24" s="326">
        <f t="shared" ref="XJ24" ca="1" si="7404">IFERROR(MATCH(XJ12,WZ24:XC24,0),0)</f>
        <v>0</v>
      </c>
      <c r="XK24" s="326">
        <f t="shared" ref="XK24" ca="1" si="7405">IFERROR(MATCH(XK12,WZ24:XC24,0),0)</f>
        <v>1</v>
      </c>
      <c r="XL24" s="326">
        <f t="shared" ref="XL24" ca="1" si="7406">IFERROR(MATCH(XL12,WZ24:XC24,0),0)</f>
        <v>0</v>
      </c>
      <c r="XM24" s="326">
        <f t="shared" ca="1" si="3686"/>
        <v>5</v>
      </c>
      <c r="XN24" s="325" t="s">
        <v>102</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4</v>
      </c>
      <c r="ABR24" s="322">
        <f ca="1">IF(OFFSET('Player Game Board'!Q31,0,ABQ1)&lt;&gt;"",OFFSET('Player Game Board'!Q31,0,ABQ1),0)</f>
        <v>1</v>
      </c>
      <c r="ABS24" s="319" t="str">
        <f t="shared" si="51"/>
        <v>Romania</v>
      </c>
      <c r="ABT24" s="319" t="str">
        <f ca="1">IF(AND(OFFSET('Player Game Board'!P31,0,ABQ1)&lt;&gt;"",OFFSET('Player Game Board'!Q31,0,ABQ1)&lt;&gt;""),IF(ABQ24&gt;ABR24,"W",IF(ABQ24=ABR24,"D","L")),"")</f>
        <v>W</v>
      </c>
      <c r="ABU24" s="319" t="str">
        <f t="shared" ca="1" si="5610"/>
        <v>L</v>
      </c>
      <c r="ABV24" s="319"/>
      <c r="ABW24" s="319"/>
      <c r="ABX24" s="324" t="s">
        <v>102</v>
      </c>
      <c r="ABY24" s="325" t="s">
        <v>103</v>
      </c>
      <c r="ABZ24" s="325" t="s">
        <v>104</v>
      </c>
      <c r="ACA24" s="325" t="s">
        <v>106</v>
      </c>
      <c r="ACB24" s="324" t="s">
        <v>106</v>
      </c>
      <c r="ACC24" s="324" t="s">
        <v>104</v>
      </c>
      <c r="ACD24" s="324" t="s">
        <v>103</v>
      </c>
      <c r="ACE24" s="324" t="s">
        <v>102</v>
      </c>
      <c r="ACF24" s="325"/>
      <c r="ACG24" s="326">
        <f t="shared" ref="ACG24" ca="1" si="7408">IFERROR(MATCH(ACG12,ABX24:ACA24,0),0)</f>
        <v>2</v>
      </c>
      <c r="ACH24" s="326">
        <f t="shared" ref="ACH24" ca="1" si="7409">IFERROR(MATCH(ACH12,ABX24:ACA24,0),0)</f>
        <v>1</v>
      </c>
      <c r="ACI24" s="326">
        <f t="shared" ref="ACI24" ca="1" si="7410">IFERROR(MATCH(ACI12,ABX24:ACA24,0),0)</f>
        <v>3</v>
      </c>
      <c r="ACJ24" s="326">
        <f t="shared" ref="ACJ24" ca="1" si="7411">IFERROR(MATCH(ACJ12,ABX24:ACA24,0),0)</f>
        <v>0</v>
      </c>
      <c r="ACK24" s="326">
        <f t="shared" ca="1" si="3756"/>
        <v>6</v>
      </c>
      <c r="ACL24" s="325" t="s">
        <v>102</v>
      </c>
      <c r="ACM24" s="325" t="str">
        <f t="shared" ref="ACM24" ca="1" si="7412">VLOOKUP(1,XQ11:XR14,2,FALSE)</f>
        <v>Italy</v>
      </c>
      <c r="ACN24" s="325">
        <f t="shared" ca="1" si="5181"/>
        <v>1</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2</v>
      </c>
      <c r="AGP24" s="322">
        <f ca="1">IF(OFFSET('Player Game Board'!Q31,0,AGO1)&lt;&gt;"",OFFSET('Player Game Board'!Q31,0,AGO1),0)</f>
        <v>0</v>
      </c>
      <c r="AGQ24" s="319" t="str">
        <f t="shared" si="67"/>
        <v>Romania</v>
      </c>
      <c r="AGR24" s="319" t="str">
        <f ca="1">IF(AND(OFFSET('Player Game Board'!P31,0,AGO1)&lt;&gt;"",OFFSET('Player Game Board'!Q31,0,AGO1)&lt;&gt;""),IF(AGO24&gt;AGP24,"W",IF(AGO24=AGP24,"D","L")),"")</f>
        <v>W</v>
      </c>
      <c r="AGS24" s="319" t="str">
        <f t="shared" ca="1" si="5665"/>
        <v>L</v>
      </c>
      <c r="AGT24" s="319"/>
      <c r="AGU24" s="319"/>
      <c r="AGV24" s="324" t="s">
        <v>102</v>
      </c>
      <c r="AGW24" s="325" t="s">
        <v>103</v>
      </c>
      <c r="AGX24" s="325" t="s">
        <v>104</v>
      </c>
      <c r="AGY24" s="325" t="s">
        <v>106</v>
      </c>
      <c r="AGZ24" s="324" t="s">
        <v>106</v>
      </c>
      <c r="AHA24" s="324" t="s">
        <v>104</v>
      </c>
      <c r="AHB24" s="324" t="s">
        <v>103</v>
      </c>
      <c r="AHC24" s="324" t="s">
        <v>102</v>
      </c>
      <c r="AHD24" s="325"/>
      <c r="AHE24" s="326">
        <f t="shared" ref="AHE24" ca="1" si="7413">IFERROR(MATCH(AHE12,AGV24:AGY24,0),0)</f>
        <v>4</v>
      </c>
      <c r="AHF24" s="326">
        <f t="shared" ref="AHF24" ca="1" si="7414">IFERROR(MATCH(AHF12,AGV24:AGY24,0),0)</f>
        <v>0</v>
      </c>
      <c r="AHG24" s="326">
        <f t="shared" ref="AHG24" ca="1" si="7415">IFERROR(MATCH(AHG12,AGV24:AGY24,0),0)</f>
        <v>1</v>
      </c>
      <c r="AHH24" s="326">
        <f t="shared" ref="AHH24" ca="1" si="7416">IFERROR(MATCH(AHH12,AGV24:AGY24,0),0)</f>
        <v>2</v>
      </c>
      <c r="AHI24" s="326">
        <f t="shared" ca="1" si="3826"/>
        <v>7</v>
      </c>
      <c r="AHJ24" s="325" t="s">
        <v>102</v>
      </c>
      <c r="AHK24" s="325" t="str">
        <f t="shared" ref="AHK24" ca="1" si="7417">VLOOKUP(1,ACO11:ACP14,2,FALSE)</f>
        <v>Spain</v>
      </c>
      <c r="AHL24" s="325">
        <f t="shared" ca="1" si="5224"/>
        <v>1</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0</v>
      </c>
      <c r="ALN24" s="322">
        <f ca="1">IF(OFFSET('Player Game Board'!Q31,0,ALM1)&lt;&gt;"",OFFSET('Player Game Board'!Q31,0,ALM1),0)</f>
        <v>0</v>
      </c>
      <c r="ALO24" s="319" t="str">
        <f t="shared" si="83"/>
        <v>Romania</v>
      </c>
      <c r="ALP24" s="319" t="str">
        <f ca="1">IF(AND(OFFSET('Player Game Board'!P31,0,ALM1)&lt;&gt;"",OFFSET('Player Game Board'!Q31,0,ALM1)&lt;&gt;""),IF(ALM24&gt;ALN24,"W",IF(ALM24=ALN24,"D","L")),"")</f>
        <v/>
      </c>
      <c r="ALQ24" s="319" t="str">
        <f t="shared" ca="1" si="5720"/>
        <v/>
      </c>
      <c r="ALR24" s="319"/>
      <c r="ALS24" s="319"/>
      <c r="ALT24" s="324" t="s">
        <v>102</v>
      </c>
      <c r="ALU24" s="325" t="s">
        <v>103</v>
      </c>
      <c r="ALV24" s="325" t="s">
        <v>104</v>
      </c>
      <c r="ALW24" s="325" t="s">
        <v>106</v>
      </c>
      <c r="ALX24" s="324" t="s">
        <v>106</v>
      </c>
      <c r="ALY24" s="324" t="s">
        <v>104</v>
      </c>
      <c r="ALZ24" s="324" t="s">
        <v>103</v>
      </c>
      <c r="AMA24" s="324" t="s">
        <v>102</v>
      </c>
      <c r="AMB24" s="325"/>
      <c r="AMC24" s="326">
        <f t="shared" ref="AMC24" ca="1" si="7418">IFERROR(MATCH(AMC12,ALT24:ALW24,0),0)</f>
        <v>0</v>
      </c>
      <c r="AMD24" s="326">
        <f t="shared" ref="AMD24" ca="1" si="7419">IFERROR(MATCH(AMD12,ALT24:ALW24,0),0)</f>
        <v>3</v>
      </c>
      <c r="AME24" s="326">
        <f t="shared" ref="AME24" ca="1" si="7420">IFERROR(MATCH(AME12,ALT24:ALW24,0),0)</f>
        <v>1</v>
      </c>
      <c r="AMF24" s="326">
        <f t="shared" ref="AMF24" ca="1" si="7421">IFERROR(MATCH(AMF12,ALT24:ALW24,0),0)</f>
        <v>2</v>
      </c>
      <c r="AMG24" s="326">
        <f t="shared" ca="1" si="3896"/>
        <v>6</v>
      </c>
      <c r="AMH24" s="325" t="s">
        <v>102</v>
      </c>
      <c r="AMI24" s="325" t="str">
        <f t="shared" ref="AMI24" ca="1" si="7422">VLOOKUP(1,AHM11:AHN14,2,FALSE)</f>
        <v>Spain</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0</v>
      </c>
      <c r="AQL24" s="322">
        <f ca="1">IF(OFFSET('Player Game Board'!Q31,0,AQK1)&lt;&gt;"",OFFSET('Player Game Board'!Q31,0,AQK1),0)</f>
        <v>0</v>
      </c>
      <c r="AQM24" s="319" t="str">
        <f t="shared" si="99"/>
        <v>Romania</v>
      </c>
      <c r="AQN24" s="319" t="str">
        <f ca="1">IF(AND(OFFSET('Player Game Board'!P31,0,AQK1)&lt;&gt;"",OFFSET('Player Game Board'!Q31,0,AQK1)&lt;&gt;""),IF(AQK24&gt;AQL24,"W",IF(AQK24=AQL24,"D","L")),"")</f>
        <v/>
      </c>
      <c r="AQO24" s="319" t="str">
        <f t="shared" ca="1" si="5775"/>
        <v/>
      </c>
      <c r="AQP24" s="319"/>
      <c r="AQQ24" s="319"/>
      <c r="AQR24" s="324" t="s">
        <v>102</v>
      </c>
      <c r="AQS24" s="325" t="s">
        <v>103</v>
      </c>
      <c r="AQT24" s="325" t="s">
        <v>104</v>
      </c>
      <c r="AQU24" s="325" t="s">
        <v>106</v>
      </c>
      <c r="AQV24" s="324" t="s">
        <v>106</v>
      </c>
      <c r="AQW24" s="324" t="s">
        <v>104</v>
      </c>
      <c r="AQX24" s="324" t="s">
        <v>103</v>
      </c>
      <c r="AQY24" s="324" t="s">
        <v>102</v>
      </c>
      <c r="AQZ24" s="325"/>
      <c r="ARA24" s="326">
        <f t="shared" ref="ARA24" ca="1" si="7423">IFERROR(MATCH(ARA12,AQR24:AQU24,0),0)</f>
        <v>0</v>
      </c>
      <c r="ARB24" s="326">
        <f t="shared" ref="ARB24" ca="1" si="7424">IFERROR(MATCH(ARB12,AQR24:AQU24,0),0)</f>
        <v>3</v>
      </c>
      <c r="ARC24" s="326">
        <f t="shared" ref="ARC24" ca="1" si="7425">IFERROR(MATCH(ARC12,AQR24:AQU24,0),0)</f>
        <v>1</v>
      </c>
      <c r="ARD24" s="326">
        <f t="shared" ref="ARD24" ca="1" si="7426">IFERROR(MATCH(ARD12,AQR24:AQU24,0),0)</f>
        <v>2</v>
      </c>
      <c r="ARE24" s="326">
        <f t="shared" ca="1" si="3966"/>
        <v>6</v>
      </c>
      <c r="ARF24" s="325" t="s">
        <v>102</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0</v>
      </c>
      <c r="AVJ24" s="322">
        <f ca="1">IF(OFFSET('Player Game Board'!Q31,0,AVI1)&lt;&gt;"",OFFSET('Player Game Board'!Q31,0,AVI1),0)</f>
        <v>0</v>
      </c>
      <c r="AVK24" s="319" t="str">
        <f t="shared" si="115"/>
        <v>Romania</v>
      </c>
      <c r="AVL24" s="319" t="str">
        <f ca="1">IF(AND(OFFSET('Player Game Board'!P31,0,AVI1)&lt;&gt;"",OFFSET('Player Game Board'!Q31,0,AVI1)&lt;&gt;""),IF(AVI24&gt;AVJ24,"W",IF(AVI24=AVJ24,"D","L")),"")</f>
        <v/>
      </c>
      <c r="AVM24" s="319" t="str">
        <f t="shared" ca="1" si="5830"/>
        <v/>
      </c>
      <c r="AVN24" s="319"/>
      <c r="AVO24" s="319"/>
      <c r="AVP24" s="324" t="s">
        <v>102</v>
      </c>
      <c r="AVQ24" s="325" t="s">
        <v>103</v>
      </c>
      <c r="AVR24" s="325" t="s">
        <v>104</v>
      </c>
      <c r="AVS24" s="325" t="s">
        <v>106</v>
      </c>
      <c r="AVT24" s="324" t="s">
        <v>106</v>
      </c>
      <c r="AVU24" s="324" t="s">
        <v>104</v>
      </c>
      <c r="AVV24" s="324" t="s">
        <v>103</v>
      </c>
      <c r="AVW24" s="324" t="s">
        <v>102</v>
      </c>
      <c r="AVX24" s="325"/>
      <c r="AVY24" s="326">
        <f t="shared" ref="AVY24" ca="1" si="7428">IFERROR(MATCH(AVY12,AVP24:AVS24,0),0)</f>
        <v>0</v>
      </c>
      <c r="AVZ24" s="326">
        <f t="shared" ref="AVZ24" ca="1" si="7429">IFERROR(MATCH(AVZ12,AVP24:AVS24,0),0)</f>
        <v>3</v>
      </c>
      <c r="AWA24" s="326">
        <f t="shared" ref="AWA24" ca="1" si="7430">IFERROR(MATCH(AWA12,AVP24:AVS24,0),0)</f>
        <v>1</v>
      </c>
      <c r="AWB24" s="326">
        <f t="shared" ref="AWB24" ca="1" si="7431">IFERROR(MATCH(AWB12,AVP24:AVS24,0),0)</f>
        <v>2</v>
      </c>
      <c r="AWC24" s="326">
        <f t="shared" ca="1" si="4036"/>
        <v>6</v>
      </c>
      <c r="AWD24" s="325" t="s">
        <v>102</v>
      </c>
      <c r="AWE24" s="325" t="str">
        <f t="shared" ref="AWE24" ca="1" si="7432">VLOOKUP(1,ARI11:ARJ14,2,FALSE)</f>
        <v>Spain</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0</v>
      </c>
      <c r="BAH24" s="322">
        <f ca="1">IF(OFFSET('Player Game Board'!Q31,0,BAG1)&lt;&gt;"",OFFSET('Player Game Board'!Q31,0,BAG1),0)</f>
        <v>0</v>
      </c>
      <c r="BAI24" s="319" t="str">
        <f t="shared" si="131"/>
        <v>Romania</v>
      </c>
      <c r="BAJ24" s="319" t="str">
        <f ca="1">IF(AND(OFFSET('Player Game Board'!P31,0,BAG1)&lt;&gt;"",OFFSET('Player Game Board'!Q31,0,BAG1)&lt;&gt;""),IF(BAG24&gt;BAH24,"W",IF(BAG24=BAH24,"D","L")),"")</f>
        <v/>
      </c>
      <c r="BAK24" s="319" t="str">
        <f t="shared" ca="1" si="5885"/>
        <v/>
      </c>
      <c r="BAL24" s="319"/>
      <c r="BAM24" s="319"/>
      <c r="BAN24" s="324" t="s">
        <v>102</v>
      </c>
      <c r="BAO24" s="325" t="s">
        <v>103</v>
      </c>
      <c r="BAP24" s="325" t="s">
        <v>104</v>
      </c>
      <c r="BAQ24" s="325" t="s">
        <v>106</v>
      </c>
      <c r="BAR24" s="324" t="s">
        <v>106</v>
      </c>
      <c r="BAS24" s="324" t="s">
        <v>104</v>
      </c>
      <c r="BAT24" s="324" t="s">
        <v>103</v>
      </c>
      <c r="BAU24" s="324" t="s">
        <v>102</v>
      </c>
      <c r="BAV24" s="325"/>
      <c r="BAW24" s="326">
        <f t="shared" ref="BAW24" ca="1" si="7433">IFERROR(MATCH(BAW12,BAN24:BAQ24,0),0)</f>
        <v>0</v>
      </c>
      <c r="BAX24" s="326">
        <f t="shared" ref="BAX24" ca="1" si="7434">IFERROR(MATCH(BAX12,BAN24:BAQ24,0),0)</f>
        <v>3</v>
      </c>
      <c r="BAY24" s="326">
        <f t="shared" ref="BAY24" ca="1" si="7435">IFERROR(MATCH(BAY12,BAN24:BAQ24,0),0)</f>
        <v>1</v>
      </c>
      <c r="BAZ24" s="326">
        <f t="shared" ref="BAZ24" ca="1" si="7436">IFERROR(MATCH(BAZ12,BAN24:BAQ24,0),0)</f>
        <v>2</v>
      </c>
      <c r="BBA24" s="326">
        <f t="shared" ca="1" si="4106"/>
        <v>6</v>
      </c>
      <c r="BBB24" s="325" t="s">
        <v>102</v>
      </c>
      <c r="BBC24" s="325" t="str">
        <f t="shared" ref="BBC24" ca="1" si="7437">VLOOKUP(1,AWG11:AWH14,2,FALSE)</f>
        <v>Spain</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102</v>
      </c>
      <c r="BFM24" s="325" t="s">
        <v>103</v>
      </c>
      <c r="BFN24" s="325" t="s">
        <v>104</v>
      </c>
      <c r="BFO24" s="325" t="s">
        <v>106</v>
      </c>
      <c r="BFP24" s="324" t="s">
        <v>106</v>
      </c>
      <c r="BFQ24" s="324" t="s">
        <v>104</v>
      </c>
      <c r="BFR24" s="324" t="s">
        <v>103</v>
      </c>
      <c r="BFS24" s="324" t="s">
        <v>102</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102</v>
      </c>
      <c r="BGA24" s="325" t="str">
        <f t="shared" ref="BGA24" ca="1" si="7442">VLOOKUP(1,BBE11:BBF14,2,FALSE)</f>
        <v>Spain</v>
      </c>
      <c r="BGB24" s="325">
        <f t="shared" ca="1" si="5439"/>
        <v>1</v>
      </c>
    </row>
    <row r="25" spans="1:1536" ht="13.8" x14ac:dyDescent="0.3">
      <c r="A25" s="319">
        <f>VLOOKUP(B25,CW25:CX29,2,FALSE)</f>
        <v>3</v>
      </c>
      <c r="B25" s="319" t="str">
        <f>'Language Table'!C27</f>
        <v>Poland</v>
      </c>
      <c r="C25" s="319">
        <f>SUMPRODUCT((CZ3:CZ42=B25)*(DD3:DD42="W"))+SUMPRODUCT((DC3:DC42=B25)*(DE3:DE42="W"))</f>
        <v>0</v>
      </c>
      <c r="D25" s="319">
        <f>SUMPRODUCT((CZ3:CZ42=B25)*(DD3:DD42="D"))+SUMPRODUCT((DC3:DC42=B25)*(DE3:DE42="D"))</f>
        <v>0</v>
      </c>
      <c r="E25" s="319">
        <f>SUMPRODUCT((CZ3:CZ42=B25)*(DD3:DD42="L"))+SUMPRODUCT((DC3:DC42=B25)*(DE3:DE42="L"))</f>
        <v>1</v>
      </c>
      <c r="F25" s="319">
        <f>SUMIF(CZ3:CZ60,B25,DA3:DA60)+SUMIF(DC3:DC60,B25,DB3:DB60)</f>
        <v>1</v>
      </c>
      <c r="G25" s="319">
        <f>SUMIF(DC3:DC60,B25,DA3:DA60)+SUMIF(CZ3:CZ60,B25,DB3:DB60)</f>
        <v>2</v>
      </c>
      <c r="H25" s="319">
        <f t="shared" ref="H25:H28" si="7443">F25-G25+1000</f>
        <v>999</v>
      </c>
      <c r="I25" s="319">
        <f t="shared" ref="I25:I28" si="7444">C25*3+D25*1</f>
        <v>0</v>
      </c>
      <c r="J25" s="319">
        <v>0</v>
      </c>
      <c r="K25" s="319">
        <f>IF(COUNTIF(I25:I29,4)&lt;&gt;4,RANK(I25,I25:I29),I65)</f>
        <v>3</v>
      </c>
      <c r="L25" s="319"/>
      <c r="M25" s="319">
        <f>SUMPRODUCT((K25:K28=K25)*(J25:J28&lt;J25))+K25</f>
        <v>3</v>
      </c>
      <c r="N25" s="319" t="str">
        <f>INDEX(B25:B29,MATCH(1,M25:M29,0),0)</f>
        <v>Netherlands</v>
      </c>
      <c r="O25" s="319">
        <f>INDEX(K25:K29,MATCH(N25,B25:B29,0),0)</f>
        <v>1</v>
      </c>
      <c r="P25" s="319" t="str">
        <f>IF(O26=1,N25,"")</f>
        <v>Netherlands</v>
      </c>
      <c r="Q25" s="319" t="str">
        <f>IF(O27=2,N26,"")</f>
        <v/>
      </c>
      <c r="R25" s="319" t="str">
        <f>IF(O28=3,N27,"")</f>
        <v>Poland</v>
      </c>
      <c r="S25" s="319" t="str">
        <f>IF(O29=4,N28,"")</f>
        <v/>
      </c>
      <c r="T25" s="319"/>
      <c r="U25" s="319" t="str">
        <f>IF(P25&lt;&gt;"",P25,"")</f>
        <v>Netherlands</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19">
        <f>Y25-Z25+1000</f>
        <v>1000</v>
      </c>
      <c r="AB25" s="319">
        <f t="shared" ref="AB25:AB28" si="7445">IF(U25&lt;&gt;"",V25*3+W25*1,"")</f>
        <v>0</v>
      </c>
      <c r="AC25" s="319">
        <f>IF(U25&lt;&gt;"",VLOOKUP(U25,B4:H40,7,FALSE),"")</f>
        <v>1001</v>
      </c>
      <c r="AD25" s="319">
        <f>IF(U25&lt;&gt;"",VLOOKUP(U25,B4:H40,5,FALSE),"")</f>
        <v>2</v>
      </c>
      <c r="AE25" s="319">
        <f>IF(U25&lt;&gt;"",VLOOKUP(U25,B4:J40,9,FALSE),"")</f>
        <v>42</v>
      </c>
      <c r="AF25" s="319">
        <f t="shared" ref="AF25:AF28" si="7446">AB25</f>
        <v>0</v>
      </c>
      <c r="AG25" s="319">
        <f>IF(U25&lt;&gt;"",RANK(AF25,AF25:AF29),"")</f>
        <v>1</v>
      </c>
      <c r="AH25" s="319">
        <f>IF(U25&lt;&gt;"",SUMPRODUCT((AF25:AF29=AF25)*(AA25:AA29&gt;AA25)),"")</f>
        <v>0</v>
      </c>
      <c r="AI25" s="319">
        <f>IF(U25&lt;&gt;"",SUMPRODUCT((AF25:AF29=AF25)*(AA25:AA29=AA25)*(Y25:Y29&gt;Y25)),"")</f>
        <v>0</v>
      </c>
      <c r="AJ25" s="319">
        <f>IF(U25&lt;&gt;"",SUMPRODUCT((AF25:AF29=AF25)*(AA25:AA29=AA25)*(Y25:Y29=Y25)*(AC25:AC29&gt;AC25)),"")</f>
        <v>0</v>
      </c>
      <c r="AK25" s="319">
        <f>IF(U25&lt;&gt;"",SUMPRODUCT((AF25:AF29=AF25)*(AA25:AA29=AA25)*(Y25:Y29=Y25)*(AC25:AC29=AC25)*(AD25:AD29&gt;AD25)),"")</f>
        <v>0</v>
      </c>
      <c r="AL25" s="319">
        <f>IF(U25&lt;&gt;"",SUMPRODUCT((AF25:AF29=AF25)*(AA25:AA29=AA25)*(Y25:Y29=Y25)*(AC25:AC29=AC25)*(AD25:AD29=AD25)*(AE25:AE29&gt;AE25)),"")</f>
        <v>0</v>
      </c>
      <c r="AM25" s="319">
        <f>IF(U25&lt;&gt;"",IF(AM65&lt;&gt;"",IF(T64=3,AM65,AM65+T64),SUM(AG25:AL25)),"")</f>
        <v>1</v>
      </c>
      <c r="AN25" s="319" t="str">
        <f>IF(U25&lt;&gt;"",INDEX(U25:U29,MATCH(1,AM25:AM29,0),0),"")</f>
        <v>Netherlands</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Netherlands</v>
      </c>
      <c r="CX25" s="319">
        <v>1</v>
      </c>
      <c r="CY25" s="319">
        <v>23</v>
      </c>
      <c r="CZ25" s="319" t="str">
        <f>Matches!G30</f>
        <v>Türkiye</v>
      </c>
      <c r="DA25" s="319">
        <f>IF(AND(Matches!H30&lt;&gt;"",Matches!I30&lt;&gt;""),Matches!H30,0)</f>
        <v>0</v>
      </c>
      <c r="DB25" s="319">
        <f>IF(AND(Matches!I30&lt;&gt;"",Matches!H30&lt;&gt;""),Matches!I30,0)</f>
        <v>0</v>
      </c>
      <c r="DC25" s="319" t="str">
        <f>Matches!J30</f>
        <v>Portugal</v>
      </c>
      <c r="DD25" s="319" t="str">
        <f>IF(AND(Matches!H30&lt;&gt;"",Matches!I30&lt;&gt;""),IF(DA25&gt;DB25,"W",IF(DA25=DB25,"D","L")),"")</f>
        <v/>
      </c>
      <c r="DE25" s="319" t="str">
        <f t="shared" si="162"/>
        <v/>
      </c>
      <c r="DF25" s="319"/>
      <c r="DG25" s="319"/>
      <c r="DH25" s="324" t="s">
        <v>102</v>
      </c>
      <c r="DI25" s="325" t="s">
        <v>103</v>
      </c>
      <c r="DJ25" s="325" t="s">
        <v>105</v>
      </c>
      <c r="DK25" s="325" t="s">
        <v>106</v>
      </c>
      <c r="DL25" s="324" t="s">
        <v>106</v>
      </c>
      <c r="DM25" s="324" t="s">
        <v>105</v>
      </c>
      <c r="DN25" s="324" t="s">
        <v>103</v>
      </c>
      <c r="DO25" s="324" t="s">
        <v>102</v>
      </c>
      <c r="DP25" s="325"/>
      <c r="DQ25" s="326">
        <f>IFERROR(MATCH(DQ12,DH25:DK25,0),0)</f>
        <v>2</v>
      </c>
      <c r="DR25" s="326">
        <f>IFERROR(MATCH(DR12,DH25:DK25,0),0)</f>
        <v>1</v>
      </c>
      <c r="DS25" s="326">
        <f>IFERROR(MATCH(DS12,DH25:DK25,0),0)</f>
        <v>4</v>
      </c>
      <c r="DT25" s="326">
        <f>IFERROR(MATCH(DT12,DH25:DK25,0),0)</f>
        <v>0</v>
      </c>
      <c r="DU25" s="326">
        <f t="shared" si="3541"/>
        <v>7</v>
      </c>
      <c r="DV25" s="325"/>
      <c r="DW25" s="325" t="str">
        <f>VLOOKUP(2,A11:B14,2,FALSE)</f>
        <v>Italy</v>
      </c>
      <c r="DX25" s="325"/>
      <c r="DY25" s="319">
        <f ca="1">VLOOKUP(DZ25,HU25:HV29,2,FALSE)</f>
        <v>4</v>
      </c>
      <c r="DZ25" s="319" t="str">
        <f>B25</f>
        <v>Poland</v>
      </c>
      <c r="EA25" s="319">
        <f ca="1">SUMPRODUCT((HX3:HX42=DZ25)*(IB3:IB42="W"))+SUMPRODUCT((IA3:IA42=DZ25)*(IC3:IC42="W"))</f>
        <v>0</v>
      </c>
      <c r="EB25" s="319">
        <f ca="1">SUMPRODUCT((HX3:HX42=DZ25)*(IB3:IB42="D"))+SUMPRODUCT((IA3:IA42=DZ25)*(IC3:IC42="D"))</f>
        <v>0</v>
      </c>
      <c r="EC25" s="319">
        <f ca="1">SUMPRODUCT((HX3:HX42=DZ25)*(IB3:IB42="L"))+SUMPRODUCT((IA3:IA42=DZ25)*(IC3:IC42="L"))</f>
        <v>3</v>
      </c>
      <c r="ED25" s="319">
        <f ca="1">SUMIF(HX3:HX60,DZ25,HY3:HY60)+SUMIF(IA3:IA60,DZ25,HZ3:HZ60)</f>
        <v>2</v>
      </c>
      <c r="EE25" s="319">
        <f ca="1">SUMIF(IA3:IA60,DZ25,HY3:HY60)+SUMIF(HX3:HX60,DZ25,HZ3:HZ60)</f>
        <v>9</v>
      </c>
      <c r="EF25" s="319">
        <f t="shared" ref="EF25:EF28" ca="1" si="7447">ED25-EE25+1000</f>
        <v>993</v>
      </c>
      <c r="EG25" s="319">
        <f t="shared" ref="EG25:EG28" ca="1" si="7448">EA25*3+EB25*1</f>
        <v>0</v>
      </c>
      <c r="EH25" s="319">
        <f t="shared" si="609"/>
        <v>0</v>
      </c>
      <c r="EI25" s="319">
        <f ca="1">IF(COUNTIF(EG25:EG29,4)&lt;&gt;4,RANK(EG25,EG25:EG29),EG65)</f>
        <v>4</v>
      </c>
      <c r="EJ25" s="319"/>
      <c r="EK25" s="319">
        <f ca="1">SUMPRODUCT((EI25:EI28=EI25)*(EH25:EH28&lt;EH25))+EI25</f>
        <v>4</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1</v>
      </c>
      <c r="HZ25" s="322">
        <f ca="1">IF(OFFSET('Player Game Board'!Q32,0,HY1)&lt;&gt;"",OFFSET('Player Game Board'!Q32,0,HY1),0)</f>
        <v>3</v>
      </c>
      <c r="IA25" s="319" t="str">
        <f t="shared" si="165"/>
        <v>Portugal</v>
      </c>
      <c r="IB25" s="319" t="str">
        <f ca="1">IF(AND(OFFSET('Player Game Board'!P32,0,HY1)&lt;&gt;"",OFFSET('Player Game Board'!Q32,0,HY1)&lt;&gt;""),IF(HY25&gt;HZ25,"W",IF(HY25=HZ25,"D","L")),"")</f>
        <v>L</v>
      </c>
      <c r="IC25" s="319" t="str">
        <f t="shared" ca="1" si="166"/>
        <v>W</v>
      </c>
      <c r="ID25" s="319"/>
      <c r="IE25" s="319"/>
      <c r="IF25" s="324" t="s">
        <v>102</v>
      </c>
      <c r="IG25" s="325" t="s">
        <v>103</v>
      </c>
      <c r="IH25" s="325" t="s">
        <v>105</v>
      </c>
      <c r="II25" s="325" t="s">
        <v>106</v>
      </c>
      <c r="IJ25" s="324" t="s">
        <v>106</v>
      </c>
      <c r="IK25" s="324" t="s">
        <v>105</v>
      </c>
      <c r="IL25" s="324" t="s">
        <v>103</v>
      </c>
      <c r="IM25" s="324" t="s">
        <v>102</v>
      </c>
      <c r="IN25" s="325"/>
      <c r="IO25" s="326">
        <f ca="1">IFERROR(MATCH(IO12,IF25:II25,0),0)</f>
        <v>0</v>
      </c>
      <c r="IP25" s="326">
        <f ca="1">IFERROR(MATCH(IP12,IF25:II25,0),0)</f>
        <v>0</v>
      </c>
      <c r="IQ25" s="326">
        <f ca="1">IFERROR(MATCH(IQ12,IF25:II25,0),0)</f>
        <v>4</v>
      </c>
      <c r="IR25" s="326">
        <f ca="1">IFERROR(MATCH(IR12,IF25:II25,0),0)</f>
        <v>1</v>
      </c>
      <c r="IS25" s="326">
        <f t="shared" ca="1" si="3544"/>
        <v>5</v>
      </c>
      <c r="IT25" s="325"/>
      <c r="IU25" s="325" t="str">
        <f ca="1">VLOOKUP(2,DY11:DZ14,2,FALSE)</f>
        <v>Italy</v>
      </c>
      <c r="IV25" s="325">
        <f t="shared" ca="1" si="5047"/>
        <v>1</v>
      </c>
      <c r="IW25" s="319">
        <f ca="1">VLOOKUP(IX25,MS25:MT29,2,FALSE)</f>
        <v>2</v>
      </c>
      <c r="IX25" s="319" t="str">
        <f>DZ25</f>
        <v>Poland</v>
      </c>
      <c r="IY25" s="319">
        <f ca="1">SUMPRODUCT((MV3:MV42=IX25)*(MZ3:MZ42="W"))+SUMPRODUCT((MY3:MY42=IX25)*(NA3:NA42="W"))</f>
        <v>1</v>
      </c>
      <c r="IZ25" s="319">
        <f ca="1">SUMPRODUCT((MV3:MV42=IX25)*(MZ3:MZ42="D"))+SUMPRODUCT((MY3:MY42=IX25)*(NA3:NA42="D"))</f>
        <v>2</v>
      </c>
      <c r="JA25" s="319">
        <f ca="1">SUMPRODUCT((MV3:MV42=IX25)*(MZ3:MZ42="L"))+SUMPRODUCT((MY3:MY42=IX25)*(NA3:NA42="L"))</f>
        <v>0</v>
      </c>
      <c r="JB25" s="319">
        <f ca="1">SUMIF(MV3:MV60,IX25,MW3:MW60)+SUMIF(MY3:MY60,IX25,MX3:MX60)</f>
        <v>4</v>
      </c>
      <c r="JC25" s="319">
        <f ca="1">SUMIF(MY3:MY60,IX25,MW3:MW60)+SUMIF(MV3:MV60,IX25,MX3:MX60)</f>
        <v>3</v>
      </c>
      <c r="JD25" s="319">
        <f t="shared" ref="JD25:JD28" ca="1" si="7451">JB25-JC25+1000</f>
        <v>1001</v>
      </c>
      <c r="JE25" s="319">
        <f t="shared" ref="JE25:JE28" ca="1" si="7452">IY25*3+IZ25*1</f>
        <v>5</v>
      </c>
      <c r="JF25" s="319">
        <f t="shared" si="618"/>
        <v>0</v>
      </c>
      <c r="JG25" s="319">
        <f ca="1">IF(COUNTIF(JE25:JE29,4)&lt;&gt;4,RANK(JE25,JE25:JE29),JE65)</f>
        <v>2</v>
      </c>
      <c r="JH25" s="319"/>
      <c r="JI25" s="319">
        <f ca="1">SUMPRODUCT((JG25:JG28=JG25)*(JF25:JF28&lt;JF25))+JG25</f>
        <v>2</v>
      </c>
      <c r="JJ25" s="319" t="str">
        <f ca="1">INDEX(IX25:IX29,MATCH(1,JI25:JI29,0),0)</f>
        <v>France</v>
      </c>
      <c r="JK25" s="319">
        <f ca="1">INDEX(JG25:JG29,MATCH(JJ25,IX25:IX29,0),0)</f>
        <v>1</v>
      </c>
      <c r="JL25" s="319" t="str">
        <f ca="1">IF(JK26=1,JJ25,"")</f>
        <v/>
      </c>
      <c r="JM25" s="319" t="str">
        <f ca="1">IF(JK27=2,JJ26,"")</f>
        <v/>
      </c>
      <c r="JN25" s="319" t="str">
        <f ca="1">IF(JK28=3,JJ27,"")</f>
        <v/>
      </c>
      <c r="JO25" s="319" t="str">
        <f>IF(JK29=4,JJ28,"")</f>
        <v/>
      </c>
      <c r="JP25" s="319"/>
      <c r="JQ25" s="319" t="str">
        <f ca="1">IF(JL25&lt;&gt;"",JL25,"")</f>
        <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0</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0</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0</v>
      </c>
      <c r="JW25" s="319">
        <f ca="1">JU25-JV25+1000</f>
        <v>1000</v>
      </c>
      <c r="JX25" s="319" t="str">
        <f t="shared" ref="JX25:JX28" ca="1" si="7453">IF(JQ25&lt;&gt;"",JR25*3+JS25*1,"")</f>
        <v/>
      </c>
      <c r="JY25" s="319" t="str">
        <f ca="1">IF(JQ25&lt;&gt;"",VLOOKUP(JQ25,IX4:JD40,7,FALSE),"")</f>
        <v/>
      </c>
      <c r="JZ25" s="319" t="str">
        <f ca="1">IF(JQ25&lt;&gt;"",VLOOKUP(JQ25,IX4:JD40,5,FALSE),"")</f>
        <v/>
      </c>
      <c r="KA25" s="319" t="str">
        <f ca="1">IF(JQ25&lt;&gt;"",VLOOKUP(JQ25,IX4:JF40,9,FALSE),"")</f>
        <v/>
      </c>
      <c r="KB25" s="319" t="str">
        <f t="shared" ref="KB25:KB28" ca="1" si="7454">JX25</f>
        <v/>
      </c>
      <c r="KC25" s="319" t="str">
        <f ca="1">IF(JQ25&lt;&gt;"",RANK(KB25,KB25:KB29),"")</f>
        <v/>
      </c>
      <c r="KD25" s="319" t="str">
        <f ca="1">IF(JQ25&lt;&gt;"",SUMPRODUCT((KB25:KB29=KB25)*(JW25:JW29&gt;JW25)),"")</f>
        <v/>
      </c>
      <c r="KE25" s="319" t="str">
        <f ca="1">IF(JQ25&lt;&gt;"",SUMPRODUCT((KB25:KB29=KB25)*(JW25:JW29=JW25)*(JU25:JU29&gt;JU25)),"")</f>
        <v/>
      </c>
      <c r="KF25" s="319" t="str">
        <f ca="1">IF(JQ25&lt;&gt;"",SUMPRODUCT((KB25:KB29=KB25)*(JW25:JW29=JW25)*(JU25:JU29=JU25)*(JY25:JY29&gt;JY25)),"")</f>
        <v/>
      </c>
      <c r="KG25" s="319" t="str">
        <f ca="1">IF(JQ25&lt;&gt;"",SUMPRODUCT((KB25:KB29=KB25)*(JW25:JW29=JW25)*(JU25:JU29=JU25)*(JY25:JY29=JY25)*(JZ25:JZ29&gt;JZ25)),"")</f>
        <v/>
      </c>
      <c r="KH25" s="319" t="str">
        <f ca="1">IF(JQ25&lt;&gt;"",SUMPRODUCT((KB25:KB29=KB25)*(JW25:JW29=JW25)*(JU25:JU29=JU25)*(JY25:JY29=JY25)*(JZ25:JZ29=JZ25)*(KA25:KA29&gt;KA25)),"")</f>
        <v/>
      </c>
      <c r="KI25" s="319" t="str">
        <f ca="1">IF(JQ25&lt;&gt;"",IF(KI65&lt;&gt;"",IF(JP64=3,KI65,KI65+JP64),SUM(KC25:KH25)),"")</f>
        <v/>
      </c>
      <c r="KJ25" s="319" t="str">
        <f ca="1">IF(JQ25&lt;&gt;"",INDEX(JQ25:JQ29,MATCH(1,KI25:KI29,0),0),"")</f>
        <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France</v>
      </c>
      <c r="MT25" s="319">
        <v>1</v>
      </c>
      <c r="MU25" s="319">
        <v>23</v>
      </c>
      <c r="MV25" s="319" t="str">
        <f t="shared" si="170"/>
        <v>Türkiye</v>
      </c>
      <c r="MW25" s="322">
        <f ca="1">IF(OFFSET('Player Game Board'!P32,0,MW1)&lt;&gt;"",OFFSET('Player Game Board'!P32,0,MW1),0)</f>
        <v>0</v>
      </c>
      <c r="MX25" s="322">
        <f ca="1">IF(OFFSET('Player Game Board'!Q32,0,MW1)&lt;&gt;"",OFFSET('Player Game Board'!Q32,0,MW1),0)</f>
        <v>1</v>
      </c>
      <c r="MY25" s="319" t="str">
        <f t="shared" si="171"/>
        <v>Portugal</v>
      </c>
      <c r="MZ25" s="319" t="str">
        <f ca="1">IF(AND(OFFSET('Player Game Board'!P32,0,MW1)&lt;&gt;"",OFFSET('Player Game Board'!Q32,0,MW1)&lt;&gt;""),IF(MW25&gt;MX25,"W",IF(MW25=MX25,"D","L")),"")</f>
        <v>L</v>
      </c>
      <c r="NA25" s="319" t="str">
        <f t="shared" ca="1" si="172"/>
        <v>W</v>
      </c>
      <c r="NB25" s="319"/>
      <c r="NC25" s="319"/>
      <c r="ND25" s="324" t="s">
        <v>102</v>
      </c>
      <c r="NE25" s="325" t="s">
        <v>103</v>
      </c>
      <c r="NF25" s="325" t="s">
        <v>105</v>
      </c>
      <c r="NG25" s="325" t="s">
        <v>106</v>
      </c>
      <c r="NH25" s="324" t="s">
        <v>106</v>
      </c>
      <c r="NI25" s="324" t="s">
        <v>105</v>
      </c>
      <c r="NJ25" s="324" t="s">
        <v>103</v>
      </c>
      <c r="NK25" s="324" t="s">
        <v>102</v>
      </c>
      <c r="NL25" s="325"/>
      <c r="NM25" s="326">
        <f ca="1">IFERROR(MATCH(NM12,ND25:NG25,0),0)</f>
        <v>1</v>
      </c>
      <c r="NN25" s="326">
        <f ca="1">IFERROR(MATCH(NN12,ND25:NG25,0),0)</f>
        <v>0</v>
      </c>
      <c r="NO25" s="326">
        <f ca="1">IFERROR(MATCH(NO12,ND25:NG25,0),0)</f>
        <v>4</v>
      </c>
      <c r="NP25" s="326">
        <f ca="1">IFERROR(MATCH(NP12,ND25:NG25,0),0)</f>
        <v>3</v>
      </c>
      <c r="NQ25" s="326">
        <f t="shared" ca="1" si="3547"/>
        <v>8</v>
      </c>
      <c r="NR25" s="325"/>
      <c r="NS25" s="325" t="str">
        <f ca="1">VLOOKUP(2,IW11:IX14,2,FALSE)</f>
        <v>Italy</v>
      </c>
      <c r="NT25" s="325">
        <f t="shared" ca="1" si="5052"/>
        <v>1</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1</v>
      </c>
      <c r="NY25" s="319">
        <f t="shared" ref="NY25" ca="1" si="7459">SUMPRODUCT((RT3:RT42=NV25)*(RX3:RX42="L"))+SUMPRODUCT((RW3:RW42=NV25)*(RY3:RY42="L"))</f>
        <v>2</v>
      </c>
      <c r="NZ25" s="319">
        <f t="shared" ref="NZ25" ca="1" si="7460">SUMIF(RT3:RT60,NV25,RU3:RU60)+SUMIF(RW3:RW60,NV25,RV3:RV60)</f>
        <v>3</v>
      </c>
      <c r="OA25" s="319">
        <f t="shared" ref="OA25" ca="1" si="7461">SUMIF(RW3:RW60,NV25,RU3:RU60)+SUMIF(RT3:RT60,NV25,RV3:RV60)</f>
        <v>5</v>
      </c>
      <c r="OB25" s="319">
        <f t="shared" ref="OB25:OB28" ca="1" si="7462">NZ25-OA25+1000</f>
        <v>998</v>
      </c>
      <c r="OC25" s="319">
        <f t="shared" ref="OC25:OC28" ca="1" si="7463">NW25*3+NX25*1</f>
        <v>1</v>
      </c>
      <c r="OD25" s="319">
        <f t="shared" si="630"/>
        <v>0</v>
      </c>
      <c r="OE25" s="319">
        <f t="shared" ref="OE25" ca="1" si="7464">IF(COUNTIF(OC25:OC29,4)&lt;&gt;4,RANK(OC25,OC25:OC29),OC65)</f>
        <v>4</v>
      </c>
      <c r="OF25" s="319"/>
      <c r="OG25" s="319">
        <f t="shared" ref="OG25" ca="1" si="7465">SUMPRODUCT((OE25:OE28=OE25)*(OD25:OD28&lt;OD25))+OE25</f>
        <v>4</v>
      </c>
      <c r="OH25" s="319" t="str">
        <f t="shared" ref="OH25" ca="1" si="7466">INDEX(NV25:NV29,MATCH(1,OG25:OG29,0),0)</f>
        <v>France</v>
      </c>
      <c r="OI25" s="319">
        <f t="shared" ref="OI25" ca="1" si="7467">INDEX(OE25:OE29,MATCH(OH25,NV25:NV29,0),0)</f>
        <v>1</v>
      </c>
      <c r="OJ25" s="319" t="str">
        <f t="shared" ref="OJ25" ca="1" si="7468">IF(OI26=1,OH25,"")</f>
        <v/>
      </c>
      <c r="OK25" s="319" t="str">
        <f t="shared" ref="OK25" ca="1" si="7469">IF(OI27=2,OH26,"")</f>
        <v/>
      </c>
      <c r="OL25" s="319" t="str">
        <f t="shared" ref="OL25" ca="1" si="7470">IF(OI28=3,OH27,"")</f>
        <v/>
      </c>
      <c r="OM25" s="319" t="str">
        <f t="shared" ref="OM25" si="7471">IF(OI29=4,OH28,"")</f>
        <v/>
      </c>
      <c r="ON25" s="319"/>
      <c r="OO25" s="319" t="str">
        <f t="shared" ref="OO25:OO28" ca="1" si="7472">IF(OJ25&lt;&gt;"",OJ25,"")</f>
        <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0</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0</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0</v>
      </c>
      <c r="OU25" s="319">
        <f t="shared" ref="OU25:OU28" ca="1" si="7478">OS25-OT25+1000</f>
        <v>1000</v>
      </c>
      <c r="OV25" s="319" t="str">
        <f t="shared" ref="OV25:OV28" ca="1" si="7479">IF(OO25&lt;&gt;"",OP25*3+OQ25*1,"")</f>
        <v/>
      </c>
      <c r="OW25" s="319" t="str">
        <f t="shared" ref="OW25" ca="1" si="7480">IF(OO25&lt;&gt;"",VLOOKUP(OO25,NV4:OB40,7,FALSE),"")</f>
        <v/>
      </c>
      <c r="OX25" s="319" t="str">
        <f t="shared" ref="OX25" ca="1" si="7481">IF(OO25&lt;&gt;"",VLOOKUP(OO25,NV4:OB40,5,FALSE),"")</f>
        <v/>
      </c>
      <c r="OY25" s="319" t="str">
        <f t="shared" ref="OY25" ca="1" si="7482">IF(OO25&lt;&gt;"",VLOOKUP(OO25,NV4:OD40,9,FALSE),"")</f>
        <v/>
      </c>
      <c r="OZ25" s="319" t="str">
        <f t="shared" ref="OZ25:OZ28" ca="1" si="7483">OV25</f>
        <v/>
      </c>
      <c r="PA25" s="319" t="str">
        <f t="shared" ref="PA25" ca="1" si="7484">IF(OO25&lt;&gt;"",RANK(OZ25,OZ25:OZ29),"")</f>
        <v/>
      </c>
      <c r="PB25" s="319" t="str">
        <f t="shared" ref="PB25" ca="1" si="7485">IF(OO25&lt;&gt;"",SUMPRODUCT((OZ25:OZ29=OZ25)*(OU25:OU29&gt;OU25)),"")</f>
        <v/>
      </c>
      <c r="PC25" s="319" t="str">
        <f t="shared" ref="PC25" ca="1" si="7486">IF(OO25&lt;&gt;"",SUMPRODUCT((OZ25:OZ29=OZ25)*(OU25:OU29=OU25)*(OS25:OS29&gt;OS25)),"")</f>
        <v/>
      </c>
      <c r="PD25" s="319" t="str">
        <f t="shared" ref="PD25" ca="1" si="7487">IF(OO25&lt;&gt;"",SUMPRODUCT((OZ25:OZ29=OZ25)*(OU25:OU29=OU25)*(OS25:OS29=OS25)*(OW25:OW29&gt;OW25)),"")</f>
        <v/>
      </c>
      <c r="PE25" s="319" t="str">
        <f t="shared" ref="PE25" ca="1" si="7488">IF(OO25&lt;&gt;"",SUMPRODUCT((OZ25:OZ29=OZ25)*(OU25:OU29=OU25)*(OS25:OS29=OS25)*(OW25:OW29=OW25)*(OX25:OX29&gt;OX25)),"")</f>
        <v/>
      </c>
      <c r="PF25" s="319" t="str">
        <f t="shared" ref="PF25" ca="1" si="7489">IF(OO25&lt;&gt;"",SUMPRODUCT((OZ25:OZ29=OZ25)*(OU25:OU29=OU25)*(OS25:OS29=OS25)*(OW25:OW29=OW25)*(OX25:OX29=OX25)*(OY25:OY29&gt;OY25)),"")</f>
        <v/>
      </c>
      <c r="PG25" s="319" t="str">
        <f ca="1">IF(OO25&lt;&gt;"",IF(PG65&lt;&gt;"",IF(ON64=3,PG65,PG65+ON64),SUM(PA25:PF25)),"")</f>
        <v/>
      </c>
      <c r="PH25" s="319" t="str">
        <f t="shared" ref="PH25" ca="1" si="7490">IF(OO25&lt;&gt;"",INDEX(OO25:OO29,MATCH(1,PG25:PG29,0),0),"")</f>
        <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1</v>
      </c>
      <c r="RV25" s="322">
        <f ca="1">IF(OFFSET('Player Game Board'!Q32,0,RU1)&lt;&gt;"",OFFSET('Player Game Board'!Q32,0,RU1),0)</f>
        <v>1</v>
      </c>
      <c r="RW25" s="319" t="str">
        <f t="shared" si="19"/>
        <v>Portugal</v>
      </c>
      <c r="RX25" s="319" t="str">
        <f ca="1">IF(AND(OFFSET('Player Game Board'!P32,0,RU1)&lt;&gt;"",OFFSET('Player Game Board'!Q32,0,RU1)&lt;&gt;""),IF(RU25&gt;RV25,"W",IF(RU25=RV25,"D","L")),"")</f>
        <v>D</v>
      </c>
      <c r="RY25" s="319" t="str">
        <f t="shared" ca="1" si="5500"/>
        <v>D</v>
      </c>
      <c r="RZ25" s="319"/>
      <c r="SA25" s="319"/>
      <c r="SB25" s="324" t="s">
        <v>102</v>
      </c>
      <c r="SC25" s="325" t="s">
        <v>103</v>
      </c>
      <c r="SD25" s="325" t="s">
        <v>105</v>
      </c>
      <c r="SE25" s="325" t="s">
        <v>106</v>
      </c>
      <c r="SF25" s="324" t="s">
        <v>106</v>
      </c>
      <c r="SG25" s="324" t="s">
        <v>105</v>
      </c>
      <c r="SH25" s="324" t="s">
        <v>103</v>
      </c>
      <c r="SI25" s="324" t="s">
        <v>102</v>
      </c>
      <c r="SJ25" s="325"/>
      <c r="SK25" s="326">
        <f t="shared" ref="SK25" ca="1" si="7492">IFERROR(MATCH(SK12,SB25:SE25,0),0)</f>
        <v>2</v>
      </c>
      <c r="SL25" s="326">
        <f t="shared" ref="SL25" ca="1" si="7493">IFERROR(MATCH(SL12,SB25:SE25,0),0)</f>
        <v>1</v>
      </c>
      <c r="SM25" s="326">
        <f t="shared" ref="SM25" ca="1" si="7494">IFERROR(MATCH(SM12,SB25:SE25,0),0)</f>
        <v>4</v>
      </c>
      <c r="SN25" s="326">
        <f t="shared" ref="SN25" ca="1" si="7495">IFERROR(MATCH(SN12,SB25:SE25,0),0)</f>
        <v>3</v>
      </c>
      <c r="SO25" s="326">
        <f t="shared" ca="1" si="3616"/>
        <v>10</v>
      </c>
      <c r="SP25" s="325"/>
      <c r="SQ25" s="325" t="str">
        <f t="shared" ref="SQ25" ca="1" si="7496">VLOOKUP(2,NU11:NV14,2,FALSE)</f>
        <v>Italy</v>
      </c>
      <c r="SR25" s="325">
        <f t="shared" ca="1" si="5095"/>
        <v>1</v>
      </c>
      <c r="SS25" s="319">
        <f t="shared" ref="SS25" ca="1" si="7497">VLOOKUP(ST25,WO25:WP29,2,FALSE)</f>
        <v>3</v>
      </c>
      <c r="ST25" s="319" t="str">
        <f t="shared" ref="ST25:ST28" si="7498">NV25</f>
        <v>Poland</v>
      </c>
      <c r="SU25" s="319">
        <f t="shared" ref="SU25" ca="1" si="7499">SUMPRODUCT((WR3:WR42=ST25)*(WV3:WV42="W"))+SUMPRODUCT((WU3:WU42=ST25)*(WW3:WW42="W"))</f>
        <v>0</v>
      </c>
      <c r="SV25" s="319">
        <f t="shared" ref="SV25" ca="1" si="7500">SUMPRODUCT((WR3:WR42=ST25)*(WV3:WV42="D"))+SUMPRODUCT((WU3:WU42=ST25)*(WW3:WW42="D"))</f>
        <v>2</v>
      </c>
      <c r="SW25" s="319">
        <f t="shared" ref="SW25" ca="1" si="7501">SUMPRODUCT((WR3:WR42=ST25)*(WV3:WV42="L"))+SUMPRODUCT((WU3:WU42=ST25)*(WW3:WW42="L"))</f>
        <v>1</v>
      </c>
      <c r="SX25" s="319">
        <f t="shared" ref="SX25" ca="1" si="7502">SUMIF(WR3:WR60,ST25,WS3:WS60)+SUMIF(WU3:WU60,ST25,WT3:WT60)</f>
        <v>2</v>
      </c>
      <c r="SY25" s="319">
        <f t="shared" ref="SY25" ca="1" si="7503">SUMIF(WU3:WU60,ST25,WS3:WS60)+SUMIF(WR3:WR60,ST25,WT3:WT60)</f>
        <v>3</v>
      </c>
      <c r="SZ25" s="319">
        <f t="shared" ref="SZ25:SZ28" ca="1" si="7504">SX25-SY25+1000</f>
        <v>999</v>
      </c>
      <c r="TA25" s="319">
        <f t="shared" ref="TA25:TA28" ca="1" si="7505">SU25*3+SV25*1</f>
        <v>2</v>
      </c>
      <c r="TB25" s="319">
        <f t="shared" si="690"/>
        <v>0</v>
      </c>
      <c r="TC25" s="319">
        <f t="shared" ref="TC25" ca="1" si="7506">IF(COUNTIF(TA25:TA29,4)&lt;&gt;4,RANK(TA25,TA25:TA29),TA65)</f>
        <v>3</v>
      </c>
      <c r="TD25" s="319"/>
      <c r="TE25" s="319">
        <f t="shared" ref="TE25" ca="1" si="7507">SUMPRODUCT((TC25:TC28=TC25)*(TB25:TB28&lt;TB25))+TC25</f>
        <v>3</v>
      </c>
      <c r="TF25" s="319" t="str">
        <f t="shared" ref="TF25" ca="1" si="7508">INDEX(ST25:ST29,MATCH(1,TE25:TE29,0),0)</f>
        <v>France</v>
      </c>
      <c r="TG25" s="319">
        <f t="shared" ref="TG25" ca="1" si="7509">INDEX(TC25:TC29,MATCH(TF25,ST25:ST29,0),0)</f>
        <v>1</v>
      </c>
      <c r="TH25" s="319" t="str">
        <f t="shared" ref="TH25" ca="1" si="7510">IF(TG26=1,TF25,"")</f>
        <v/>
      </c>
      <c r="TI25" s="319" t="str">
        <f t="shared" ref="TI25" ca="1" si="7511">IF(TG27=2,TF26,"")</f>
        <v/>
      </c>
      <c r="TJ25" s="319" t="str">
        <f t="shared" ref="TJ25" ca="1" si="7512">IF(TG28=3,TF27,"")</f>
        <v/>
      </c>
      <c r="TK25" s="319" t="str">
        <f t="shared" ref="TK25" si="7513">IF(TG29=4,TF28,"")</f>
        <v/>
      </c>
      <c r="TL25" s="319"/>
      <c r="TM25" s="319" t="str">
        <f t="shared" ref="TM25:TM28" ca="1" si="7514">IF(TH25&lt;&gt;"",TH25,"")</f>
        <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t="str">
        <f t="shared" ref="TT25:TT28" ca="1" si="7521">IF(TM25&lt;&gt;"",TN25*3+TO25*1,"")</f>
        <v/>
      </c>
      <c r="TU25" s="319" t="str">
        <f t="shared" ref="TU25" ca="1" si="7522">IF(TM25&lt;&gt;"",VLOOKUP(TM25,ST4:SZ40,7,FALSE),"")</f>
        <v/>
      </c>
      <c r="TV25" s="319" t="str">
        <f t="shared" ref="TV25" ca="1" si="7523">IF(TM25&lt;&gt;"",VLOOKUP(TM25,ST4:SZ40,5,FALSE),"")</f>
        <v/>
      </c>
      <c r="TW25" s="319" t="str">
        <f t="shared" ref="TW25" ca="1" si="7524">IF(TM25&lt;&gt;"",VLOOKUP(TM25,ST4:TB40,9,FALSE),"")</f>
        <v/>
      </c>
      <c r="TX25" s="319" t="str">
        <f t="shared" ref="TX25:TX28" ca="1" si="7525">TT25</f>
        <v/>
      </c>
      <c r="TY25" s="319" t="str">
        <f t="shared" ref="TY25" ca="1" si="7526">IF(TM25&lt;&gt;"",RANK(TX25,TX25:TX29),"")</f>
        <v/>
      </c>
      <c r="TZ25" s="319" t="str">
        <f t="shared" ref="TZ25" ca="1" si="7527">IF(TM25&lt;&gt;"",SUMPRODUCT((TX25:TX29=TX25)*(TS25:TS29&gt;TS25)),"")</f>
        <v/>
      </c>
      <c r="UA25" s="319" t="str">
        <f t="shared" ref="UA25" ca="1" si="7528">IF(TM25&lt;&gt;"",SUMPRODUCT((TX25:TX29=TX25)*(TS25:TS29=TS25)*(TQ25:TQ29&gt;TQ25)),"")</f>
        <v/>
      </c>
      <c r="UB25" s="319" t="str">
        <f t="shared" ref="UB25" ca="1" si="7529">IF(TM25&lt;&gt;"",SUMPRODUCT((TX25:TX29=TX25)*(TS25:TS29=TS25)*(TQ25:TQ29=TQ25)*(TU25:TU29&gt;TU25)),"")</f>
        <v/>
      </c>
      <c r="UC25" s="319" t="str">
        <f t="shared" ref="UC25" ca="1" si="7530">IF(TM25&lt;&gt;"",SUMPRODUCT((TX25:TX29=TX25)*(TS25:TS29=TS25)*(TQ25:TQ29=TQ25)*(TU25:TU29=TU25)*(TV25:TV29&gt;TV25)),"")</f>
        <v/>
      </c>
      <c r="UD25" s="319" t="str">
        <f t="shared" ref="UD25" ca="1" si="7531">IF(TM25&lt;&gt;"",SUMPRODUCT((TX25:TX29=TX25)*(TS25:TS29=TS25)*(TQ25:TQ29=TQ25)*(TU25:TU29=TU25)*(TV25:TV29=TV25)*(TW25:TW29&gt;TW25)),"")</f>
        <v/>
      </c>
      <c r="UE25" s="319" t="str">
        <f ca="1">IF(TM25&lt;&gt;"",IF(UE65&lt;&gt;"",IF(TL64=3,UE65,UE65+TL64),SUM(TY25:UD25)),"")</f>
        <v/>
      </c>
      <c r="UF25" s="319" t="str">
        <f t="shared" ref="UF25" ca="1" si="7532">IF(TM25&lt;&gt;"",INDEX(TM25:TM29,MATCH(1,UE25:UE29,0),0),"")</f>
        <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1</v>
      </c>
      <c r="WT25" s="322">
        <f ca="1">IF(OFFSET('Player Game Board'!Q32,0,WS1)&lt;&gt;"",OFFSET('Player Game Board'!Q32,0,WS1),0)</f>
        <v>1</v>
      </c>
      <c r="WU25" s="319" t="str">
        <f t="shared" si="35"/>
        <v>Portugal</v>
      </c>
      <c r="WV25" s="319" t="str">
        <f ca="1">IF(AND(OFFSET('Player Game Board'!P32,0,WS1)&lt;&gt;"",OFFSET('Player Game Board'!Q32,0,WS1)&lt;&gt;""),IF(WS25&gt;WT25,"W",IF(WS25=WT25,"D","L")),"")</f>
        <v>D</v>
      </c>
      <c r="WW25" s="319" t="str">
        <f t="shared" ca="1" si="5555"/>
        <v>D</v>
      </c>
      <c r="WX25" s="319"/>
      <c r="WY25" s="319"/>
      <c r="WZ25" s="324" t="s">
        <v>102</v>
      </c>
      <c r="XA25" s="325" t="s">
        <v>103</v>
      </c>
      <c r="XB25" s="325" t="s">
        <v>105</v>
      </c>
      <c r="XC25" s="325" t="s">
        <v>106</v>
      </c>
      <c r="XD25" s="324" t="s">
        <v>106</v>
      </c>
      <c r="XE25" s="324" t="s">
        <v>105</v>
      </c>
      <c r="XF25" s="324" t="s">
        <v>103</v>
      </c>
      <c r="XG25" s="324" t="s">
        <v>102</v>
      </c>
      <c r="XH25" s="325"/>
      <c r="XI25" s="326">
        <f t="shared" ref="XI25" ca="1" si="7534">IFERROR(MATCH(XI12,WZ25:XC25,0),0)</f>
        <v>4</v>
      </c>
      <c r="XJ25" s="326">
        <f t="shared" ref="XJ25" ca="1" si="7535">IFERROR(MATCH(XJ12,WZ25:XC25,0),0)</f>
        <v>3</v>
      </c>
      <c r="XK25" s="326">
        <f t="shared" ref="XK25" ca="1" si="7536">IFERROR(MATCH(XK12,WZ25:XC25,0),0)</f>
        <v>1</v>
      </c>
      <c r="XL25" s="326">
        <f t="shared" ref="XL25" ca="1" si="7537">IFERROR(MATCH(XL12,WZ25:XC25,0),0)</f>
        <v>0</v>
      </c>
      <c r="XM25" s="326">
        <f t="shared" ca="1" si="3686"/>
        <v>8</v>
      </c>
      <c r="XN25" s="325"/>
      <c r="XO25" s="325" t="str">
        <f t="shared" ref="XO25" ca="1" si="7538">VLOOKUP(2,SS11:ST14,2,FALSE)</f>
        <v>Italy</v>
      </c>
      <c r="XP25" s="325">
        <f t="shared" ca="1" si="5138"/>
        <v>1</v>
      </c>
      <c r="XQ25" s="319">
        <f t="shared" ref="XQ25" ca="1" si="7539">VLOOKUP(XR25,ABM25:ABN29,2,FALSE)</f>
        <v>4</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1</v>
      </c>
      <c r="XU25" s="319">
        <f t="shared" ref="XU25" ca="1" si="7543">SUMPRODUCT((ABP3:ABP42=XR25)*(ABT3:ABT42="L"))+SUMPRODUCT((ABS3:ABS42=XR25)*(ABU3:ABU42="L"))</f>
        <v>2</v>
      </c>
      <c r="XV25" s="319">
        <f t="shared" ref="XV25" ca="1" si="7544">SUMIF(ABP3:ABP60,XR25,ABQ3:ABQ60)+SUMIF(ABS3:ABS60,XR25,ABR3:ABR60)</f>
        <v>1</v>
      </c>
      <c r="XW25" s="319">
        <f t="shared" ref="XW25" ca="1" si="7545">SUMIF(ABS3:ABS60,XR25,ABQ3:ABQ60)+SUMIF(ABP3:ABP60,XR25,ABR3:ABR60)</f>
        <v>7</v>
      </c>
      <c r="XX25" s="319">
        <f t="shared" ref="XX25:XX28" ca="1" si="7546">XV25-XW25+1000</f>
        <v>994</v>
      </c>
      <c r="XY25" s="319">
        <f t="shared" ref="XY25:XY28" ca="1" si="7547">XS25*3+XT25*1</f>
        <v>1</v>
      </c>
      <c r="XZ25" s="319">
        <f t="shared" si="750"/>
        <v>0</v>
      </c>
      <c r="YA25" s="319">
        <f t="shared" ref="YA25" ca="1" si="7548">IF(COUNTIF(XY25:XY29,4)&lt;&gt;4,RANK(XY25,XY25:XY29),XY65)</f>
        <v>4</v>
      </c>
      <c r="YB25" s="319"/>
      <c r="YC25" s="319">
        <f t="shared" ref="YC25" ca="1" si="7549">SUMPRODUCT((YA25:YA28=YA25)*(XZ25:XZ28&lt;XZ25))+YA25</f>
        <v>4</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2</v>
      </c>
      <c r="ABS25" s="319" t="str">
        <f t="shared" si="51"/>
        <v>Portugal</v>
      </c>
      <c r="ABT25" s="319" t="str">
        <f ca="1">IF(AND(OFFSET('Player Game Board'!P32,0,ABQ1)&lt;&gt;"",OFFSET('Player Game Board'!Q32,0,ABQ1)&lt;&gt;""),IF(ABQ25&gt;ABR25,"W",IF(ABQ25=ABR25,"D","L")),"")</f>
        <v>D</v>
      </c>
      <c r="ABU25" s="319" t="str">
        <f t="shared" ca="1" si="5610"/>
        <v>D</v>
      </c>
      <c r="ABV25" s="319"/>
      <c r="ABW25" s="319"/>
      <c r="ABX25" s="324" t="s">
        <v>102</v>
      </c>
      <c r="ABY25" s="325" t="s">
        <v>103</v>
      </c>
      <c r="ABZ25" s="325" t="s">
        <v>105</v>
      </c>
      <c r="ACA25" s="325" t="s">
        <v>106</v>
      </c>
      <c r="ACB25" s="324" t="s">
        <v>106</v>
      </c>
      <c r="ACC25" s="324" t="s">
        <v>105</v>
      </c>
      <c r="ACD25" s="324" t="s">
        <v>103</v>
      </c>
      <c r="ACE25" s="324" t="s">
        <v>102</v>
      </c>
      <c r="ACF25" s="325"/>
      <c r="ACG25" s="326">
        <f t="shared" ref="ACG25" ca="1" si="7576">IFERROR(MATCH(ACG12,ABX25:ACA25,0),0)</f>
        <v>2</v>
      </c>
      <c r="ACH25" s="326">
        <f t="shared" ref="ACH25" ca="1" si="7577">IFERROR(MATCH(ACH12,ABX25:ACA25,0),0)</f>
        <v>1</v>
      </c>
      <c r="ACI25" s="326">
        <f t="shared" ref="ACI25" ca="1" si="7578">IFERROR(MATCH(ACI12,ABX25:ACA25,0),0)</f>
        <v>0</v>
      </c>
      <c r="ACJ25" s="326">
        <f t="shared" ref="ACJ25" ca="1" si="7579">IFERROR(MATCH(ACJ12,ABX25:ACA25,0),0)</f>
        <v>0</v>
      </c>
      <c r="ACK25" s="326">
        <f t="shared" ca="1" si="3756"/>
        <v>3</v>
      </c>
      <c r="ACL25" s="325"/>
      <c r="ACM25" s="325" t="str">
        <f t="shared" ref="ACM25" ca="1" si="7580">VLOOKUP(2,XQ11:XR14,2,FALSE)</f>
        <v>Croatia</v>
      </c>
      <c r="ACN25" s="325">
        <f t="shared" ca="1" si="5181"/>
        <v>0</v>
      </c>
      <c r="ACO25" s="319">
        <f t="shared" ref="ACO25" ca="1" si="7581">VLOOKUP(ACP25,AGK25:AGL29,2,FALSE)</f>
        <v>4</v>
      </c>
      <c r="ACP25" s="319" t="str">
        <f t="shared" ref="ACP25:ACP28" si="7582">XR25</f>
        <v>Poland</v>
      </c>
      <c r="ACQ25" s="319">
        <f t="shared" ref="ACQ25" ca="1" si="7583">SUMPRODUCT((AGN3:AGN42=ACP25)*(AGR3:AGR42="W"))+SUMPRODUCT((AGQ3:AGQ42=ACP25)*(AGS3:AGS42="W"))</f>
        <v>0</v>
      </c>
      <c r="ACR25" s="319">
        <f t="shared" ref="ACR25" ca="1" si="7584">SUMPRODUCT((AGN3:AGN42=ACP25)*(AGR3:AGR42="D"))+SUMPRODUCT((AGQ3:AGQ42=ACP25)*(AGS3:AGS42="D"))</f>
        <v>1</v>
      </c>
      <c r="ACS25" s="319">
        <f t="shared" ref="ACS25" ca="1" si="7585">SUMPRODUCT((AGN3:AGN42=ACP25)*(AGR3:AGR42="L"))+SUMPRODUCT((AGQ3:AGQ42=ACP25)*(AGS3:AGS42="L"))</f>
        <v>2</v>
      </c>
      <c r="ACT25" s="319">
        <f t="shared" ref="ACT25" ca="1" si="7586">SUMIF(AGN3:AGN60,ACP25,AGO3:AGO60)+SUMIF(AGQ3:AGQ60,ACP25,AGP3:AGP60)</f>
        <v>3</v>
      </c>
      <c r="ACU25" s="319">
        <f t="shared" ref="ACU25" ca="1" si="7587">SUMIF(AGQ3:AGQ60,ACP25,AGO3:AGO60)+SUMIF(AGN3:AGN60,ACP25,AGP3:AGP60)</f>
        <v>5</v>
      </c>
      <c r="ACV25" s="319">
        <f t="shared" ref="ACV25:ACV28" ca="1" si="7588">ACT25-ACU25+1000</f>
        <v>998</v>
      </c>
      <c r="ACW25" s="319">
        <f t="shared" ref="ACW25:ACW28" ca="1" si="7589">ACQ25*3+ACR25*1</f>
        <v>1</v>
      </c>
      <c r="ACX25" s="319">
        <f t="shared" si="810"/>
        <v>0</v>
      </c>
      <c r="ACY25" s="319">
        <f t="shared" ref="ACY25" ca="1" si="7590">IF(COUNTIF(ACW25:ACW29,4)&lt;&gt;4,RANK(ACW25,ACW25:ACW29),ACW65)</f>
        <v>4</v>
      </c>
      <c r="ACZ25" s="319"/>
      <c r="ADA25" s="319">
        <f t="shared" ref="ADA25" ca="1" si="7591">SUMPRODUCT((ACY25:ACY28=ACY25)*(ACX25:ACX28&lt;ACX25))+ACY25</f>
        <v>4</v>
      </c>
      <c r="ADB25" s="319" t="str">
        <f t="shared" ref="ADB25" ca="1" si="7592">INDEX(ACP25:ACP29,MATCH(1,ADA25:ADA29,0),0)</f>
        <v>Netherlands</v>
      </c>
      <c r="ADC25" s="319">
        <f t="shared" ref="ADC25" ca="1" si="7593">INDEX(ACY25:ACY29,MATCH(ADB25,ACP25:ACP29,0),0)</f>
        <v>1</v>
      </c>
      <c r="ADD25" s="319" t="str">
        <f t="shared" ref="ADD25" ca="1" si="7594">IF(ADC26=1,ADB25,"")</f>
        <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0</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0</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0</v>
      </c>
      <c r="ADO25" s="319">
        <f t="shared" ref="ADO25:ADO28" ca="1" si="7604">ADM25-ADN25+1000</f>
        <v>1000</v>
      </c>
      <c r="ADP25" s="319" t="str">
        <f t="shared" ref="ADP25:ADP28" ca="1" si="7605">IF(ADI25&lt;&gt;"",ADJ25*3+ADK25*1,"")</f>
        <v/>
      </c>
      <c r="ADQ25" s="319" t="str">
        <f t="shared" ref="ADQ25" ca="1" si="7606">IF(ADI25&lt;&gt;"",VLOOKUP(ADI25,ACP4:ACV40,7,FALSE),"")</f>
        <v/>
      </c>
      <c r="ADR25" s="319" t="str">
        <f t="shared" ref="ADR25" ca="1" si="7607">IF(ADI25&lt;&gt;"",VLOOKUP(ADI25,ACP4:ACV40,5,FALSE),"")</f>
        <v/>
      </c>
      <c r="ADS25" s="319" t="str">
        <f t="shared" ref="ADS25" ca="1" si="7608">IF(ADI25&lt;&gt;"",VLOOKUP(ADI25,ACP4:ACX40,9,FALSE),"")</f>
        <v/>
      </c>
      <c r="ADT25" s="319" t="str">
        <f t="shared" ref="ADT25:ADT28" ca="1" si="7609">ADP25</f>
        <v/>
      </c>
      <c r="ADU25" s="319" t="str">
        <f t="shared" ref="ADU25" ca="1" si="7610">IF(ADI25&lt;&gt;"",RANK(ADT25,ADT25:ADT29),"")</f>
        <v/>
      </c>
      <c r="ADV25" s="319" t="str">
        <f t="shared" ref="ADV25" ca="1" si="7611">IF(ADI25&lt;&gt;"",SUMPRODUCT((ADT25:ADT29=ADT25)*(ADO25:ADO29&gt;ADO25)),"")</f>
        <v/>
      </c>
      <c r="ADW25" s="319" t="str">
        <f t="shared" ref="ADW25" ca="1" si="7612">IF(ADI25&lt;&gt;"",SUMPRODUCT((ADT25:ADT29=ADT25)*(ADO25:ADO29=ADO25)*(ADM25:ADM29&gt;ADM25)),"")</f>
        <v/>
      </c>
      <c r="ADX25" s="319" t="str">
        <f t="shared" ref="ADX25" ca="1" si="7613">IF(ADI25&lt;&gt;"",SUMPRODUCT((ADT25:ADT29=ADT25)*(ADO25:ADO29=ADO25)*(ADM25:ADM29=ADM25)*(ADQ25:ADQ29&gt;ADQ25)),"")</f>
        <v/>
      </c>
      <c r="ADY25" s="319" t="str">
        <f t="shared" ref="ADY25" ca="1" si="7614">IF(ADI25&lt;&gt;"",SUMPRODUCT((ADT25:ADT29=ADT25)*(ADO25:ADO29=ADO25)*(ADM25:ADM29=ADM25)*(ADQ25:ADQ29=ADQ25)*(ADR25:ADR29&gt;ADR25)),"")</f>
        <v/>
      </c>
      <c r="ADZ25" s="319" t="str">
        <f t="shared" ref="ADZ25" ca="1" si="7615">IF(ADI25&lt;&gt;"",SUMPRODUCT((ADT25:ADT29=ADT25)*(ADO25:ADO29=ADO25)*(ADM25:ADM29=ADM25)*(ADQ25:ADQ29=ADQ25)*(ADR25:ADR29=ADR25)*(ADS25:ADS29&gt;ADS25)),"")</f>
        <v/>
      </c>
      <c r="AEA25" s="319" t="str">
        <f ca="1">IF(ADI25&lt;&gt;"",IF(AEA65&lt;&gt;"",IF(ADH64=3,AEA65,AEA65+ADH64),SUM(ADU25:ADZ25)),"")</f>
        <v/>
      </c>
      <c r="AEB25" s="319" t="str">
        <f t="shared" ref="AEB25" ca="1" si="7616">IF(ADI25&lt;&gt;"",INDEX(ADI25:ADI29,MATCH(1,AEA25:AEA29,0),0),"")</f>
        <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Netherlands</v>
      </c>
      <c r="AGL25" s="319">
        <v>1</v>
      </c>
      <c r="AGM25" s="319">
        <v>23</v>
      </c>
      <c r="AGN25" s="319" t="str">
        <f t="shared" si="66"/>
        <v>Türkiye</v>
      </c>
      <c r="AGO25" s="322">
        <f ca="1">IF(OFFSET('Player Game Board'!P32,0,AGO1)&lt;&gt;"",OFFSET('Player Game Board'!P32,0,AGO1),0)</f>
        <v>1</v>
      </c>
      <c r="AGP25" s="322">
        <f ca="1">IF(OFFSET('Player Game Board'!Q32,0,AGO1)&lt;&gt;"",OFFSET('Player Game Board'!Q32,0,AGO1),0)</f>
        <v>3</v>
      </c>
      <c r="AGQ25" s="319" t="str">
        <f t="shared" si="67"/>
        <v>Portugal</v>
      </c>
      <c r="AGR25" s="319" t="str">
        <f ca="1">IF(AND(OFFSET('Player Game Board'!P32,0,AGO1)&lt;&gt;"",OFFSET('Player Game Board'!Q32,0,AGO1)&lt;&gt;""),IF(AGO25&gt;AGP25,"W",IF(AGO25=AGP25,"D","L")),"")</f>
        <v>L</v>
      </c>
      <c r="AGS25" s="319" t="str">
        <f t="shared" ca="1" si="5665"/>
        <v>W</v>
      </c>
      <c r="AGT25" s="319"/>
      <c r="AGU25" s="319"/>
      <c r="AGV25" s="324" t="s">
        <v>102</v>
      </c>
      <c r="AGW25" s="325" t="s">
        <v>103</v>
      </c>
      <c r="AGX25" s="325" t="s">
        <v>105</v>
      </c>
      <c r="AGY25" s="325" t="s">
        <v>106</v>
      </c>
      <c r="AGZ25" s="324" t="s">
        <v>106</v>
      </c>
      <c r="AHA25" s="324" t="s">
        <v>105</v>
      </c>
      <c r="AHB25" s="324" t="s">
        <v>103</v>
      </c>
      <c r="AHC25" s="324" t="s">
        <v>102</v>
      </c>
      <c r="AHD25" s="325"/>
      <c r="AHE25" s="326">
        <f t="shared" ref="AHE25" ca="1" si="7618">IFERROR(MATCH(AHE12,AGV25:AGY25,0),0)</f>
        <v>4</v>
      </c>
      <c r="AHF25" s="326">
        <f t="shared" ref="AHF25" ca="1" si="7619">IFERROR(MATCH(AHF12,AGV25:AGY25,0),0)</f>
        <v>0</v>
      </c>
      <c r="AHG25" s="326">
        <f t="shared" ref="AHG25" ca="1" si="7620">IFERROR(MATCH(AHG12,AGV25:AGY25,0),0)</f>
        <v>1</v>
      </c>
      <c r="AHH25" s="326">
        <f t="shared" ref="AHH25" ca="1" si="7621">IFERROR(MATCH(AHH12,AGV25:AGY25,0),0)</f>
        <v>2</v>
      </c>
      <c r="AHI25" s="326">
        <f t="shared" ca="1" si="3826"/>
        <v>7</v>
      </c>
      <c r="AHJ25" s="325"/>
      <c r="AHK25" s="325" t="str">
        <f t="shared" ref="AHK25" ca="1" si="7622">VLOOKUP(2,ACO11:ACP14,2,FALSE)</f>
        <v>Italy</v>
      </c>
      <c r="AHL25" s="325">
        <f t="shared" ca="1" si="5224"/>
        <v>1</v>
      </c>
      <c r="AHM25" s="319">
        <f t="shared" ref="AHM25" ca="1" si="7623">VLOOKUP(AHN25,ALI25:ALJ29,2,FALSE)</f>
        <v>4</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0</v>
      </c>
      <c r="AHQ25" s="319">
        <f t="shared" ref="AHQ25" ca="1" si="7627">SUMPRODUCT((ALL3:ALL42=AHN25)*(ALP3:ALP42="L"))+SUMPRODUCT((ALO3:ALO42=AHN25)*(ALQ3:ALQ42="L"))</f>
        <v>0</v>
      </c>
      <c r="AHR25" s="319">
        <f t="shared" ref="AHR25" ca="1" si="7628">SUMIF(ALL3:ALL60,AHN25,ALM3:ALM60)+SUMIF(ALO3:ALO60,AHN25,ALN3:ALN60)</f>
        <v>0</v>
      </c>
      <c r="AHS25" s="319">
        <f t="shared" ref="AHS25" ca="1" si="7629">SUMIF(ALO3:ALO60,AHN25,ALM3:ALM60)+SUMIF(ALL3:ALL60,AHN25,ALN3:ALN60)</f>
        <v>0</v>
      </c>
      <c r="AHT25" s="319">
        <f t="shared" ref="AHT25:AHT28" ca="1" si="7630">AHR25-AHS25+1000</f>
        <v>1000</v>
      </c>
      <c r="AHU25" s="319">
        <f t="shared" ref="AHU25:AHU28" ca="1" si="7631">AHO25*3+AHP25*1</f>
        <v>0</v>
      </c>
      <c r="AHV25" s="319">
        <f t="shared" si="870"/>
        <v>0</v>
      </c>
      <c r="AHW25" s="319">
        <f t="shared" ref="AHW25" ca="1" si="7632">IF(COUNTIF(AHU25:AHU29,4)&lt;&gt;4,RANK(AHU25,AHU25:AHU29),AHU65)</f>
        <v>1</v>
      </c>
      <c r="AHX25" s="319"/>
      <c r="AHY25" s="319">
        <f t="shared" ref="AHY25" ca="1" si="7633">SUMPRODUCT((AHW25:AHW28=AHW25)*(AHV25:AHV28&lt;AHV25))+AHW25</f>
        <v>1</v>
      </c>
      <c r="AHZ25" s="319" t="str">
        <f t="shared" ref="AHZ25" ca="1" si="7634">INDEX(AHN25:AHN29,MATCH(1,AHY25:AHY29,0),0)</f>
        <v>Poland</v>
      </c>
      <c r="AIA25" s="319">
        <f t="shared" ref="AIA25" ca="1" si="7635">INDEX(AHW25:AHW29,MATCH(AHZ25,AHN25:AHN29,0),0)</f>
        <v>1</v>
      </c>
      <c r="AIB25" s="319" t="str">
        <f t="shared" ref="AIB25" ca="1" si="7636">IF(AIA26=1,AHZ25,"")</f>
        <v>Poland</v>
      </c>
      <c r="AIC25" s="319" t="str">
        <f t="shared" ref="AIC25" ca="1" si="7637">IF(AIA27=2,AHZ26,"")</f>
        <v/>
      </c>
      <c r="AID25" s="319" t="str">
        <f t="shared" ref="AID25" ca="1" si="7638">IF(AIA28=3,AHZ27,"")</f>
        <v/>
      </c>
      <c r="AIE25" s="319" t="str">
        <f t="shared" ref="AIE25" si="7639">IF(AIA29=4,AHZ28,"")</f>
        <v/>
      </c>
      <c r="AIF25" s="319"/>
      <c r="AIG25" s="319" t="str">
        <f t="shared" ref="AIG25:AIG28" ca="1" si="7640">IF(AIB25&lt;&gt;"",AIB25,"")</f>
        <v>Poland</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0</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0</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0</v>
      </c>
      <c r="AIM25" s="319">
        <f t="shared" ref="AIM25:AIM28" ca="1" si="7646">AIK25-AIL25+1000</f>
        <v>1000</v>
      </c>
      <c r="AIN25" s="319">
        <f t="shared" ref="AIN25:AIN28" ca="1" si="7647">IF(AIG25&lt;&gt;"",AIH25*3+AII25*1,"")</f>
        <v>0</v>
      </c>
      <c r="AIO25" s="319">
        <f t="shared" ref="AIO25" ca="1" si="7648">IF(AIG25&lt;&gt;"",VLOOKUP(AIG25,AHN4:AHT40,7,FALSE),"")</f>
        <v>1000</v>
      </c>
      <c r="AIP25" s="319">
        <f t="shared" ref="AIP25" ca="1" si="7649">IF(AIG25&lt;&gt;"",VLOOKUP(AIG25,AHN4:AHT40,5,FALSE),"")</f>
        <v>0</v>
      </c>
      <c r="AIQ25" s="319">
        <f t="shared" ref="AIQ25" ca="1" si="7650">IF(AIG25&lt;&gt;"",VLOOKUP(AIG25,AHN4:AHV40,9,FALSE),"")</f>
        <v>0</v>
      </c>
      <c r="AIR25" s="319">
        <f t="shared" ref="AIR25:AIR28" ca="1" si="7651">AIN25</f>
        <v>0</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0</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3</v>
      </c>
      <c r="AIY25" s="319">
        <f ca="1">IF(AIG25&lt;&gt;"",IF(AIY65&lt;&gt;"",IF(AIF64=3,AIY65,AIY65+AIF64),SUM(AIS25:AIX25)),"")</f>
        <v>4</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0</v>
      </c>
      <c r="ALN25" s="322">
        <f ca="1">IF(OFFSET('Player Game Board'!Q32,0,ALM1)&lt;&gt;"",OFFSET('Player Game Board'!Q32,0,ALM1),0)</f>
        <v>0</v>
      </c>
      <c r="ALO25" s="319" t="str">
        <f t="shared" si="83"/>
        <v>Portugal</v>
      </c>
      <c r="ALP25" s="319" t="str">
        <f ca="1">IF(AND(OFFSET('Player Game Board'!P32,0,ALM1)&lt;&gt;"",OFFSET('Player Game Board'!Q32,0,ALM1)&lt;&gt;""),IF(ALM25&gt;ALN25,"W",IF(ALM25=ALN25,"D","L")),"")</f>
        <v/>
      </c>
      <c r="ALQ25" s="319" t="str">
        <f t="shared" ca="1" si="5720"/>
        <v/>
      </c>
      <c r="ALR25" s="319"/>
      <c r="ALS25" s="319"/>
      <c r="ALT25" s="324" t="s">
        <v>102</v>
      </c>
      <c r="ALU25" s="325" t="s">
        <v>103</v>
      </c>
      <c r="ALV25" s="325" t="s">
        <v>105</v>
      </c>
      <c r="ALW25" s="325" t="s">
        <v>106</v>
      </c>
      <c r="ALX25" s="324" t="s">
        <v>106</v>
      </c>
      <c r="ALY25" s="324" t="s">
        <v>105</v>
      </c>
      <c r="ALZ25" s="324" t="s">
        <v>103</v>
      </c>
      <c r="AMA25" s="324" t="s">
        <v>102</v>
      </c>
      <c r="AMB25" s="325"/>
      <c r="AMC25" s="326">
        <f t="shared" ref="AMC25" ca="1" si="7660">IFERROR(MATCH(AMC12,ALT25:ALW25,0),0)</f>
        <v>0</v>
      </c>
      <c r="AMD25" s="326">
        <f t="shared" ref="AMD25" ca="1" si="7661">IFERROR(MATCH(AMD12,ALT25:ALW25,0),0)</f>
        <v>0</v>
      </c>
      <c r="AME25" s="326">
        <f t="shared" ref="AME25" ca="1" si="7662">IFERROR(MATCH(AME12,ALT25:ALW25,0),0)</f>
        <v>1</v>
      </c>
      <c r="AMF25" s="326">
        <f t="shared" ref="AMF25" ca="1" si="7663">IFERROR(MATCH(AMF12,ALT25:ALW25,0),0)</f>
        <v>2</v>
      </c>
      <c r="AMG25" s="326">
        <f t="shared" ca="1" si="3896"/>
        <v>3</v>
      </c>
      <c r="AMH25" s="325"/>
      <c r="AMI25" s="325" t="str">
        <f t="shared" ref="AMI25" ca="1" si="7664">VLOOKUP(2,AHM11:AHN14,2,FALSE)</f>
        <v>Albania</v>
      </c>
      <c r="AMJ25" s="325">
        <f t="shared" ca="1" si="5267"/>
        <v>1</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0</v>
      </c>
      <c r="AMO25" s="319">
        <f t="shared" ref="AMO25" ca="1" si="7669">SUMPRODUCT((AQJ3:AQJ42=AML25)*(AQN3:AQN42="L"))+SUMPRODUCT((AQM3:AQM42=AML25)*(AQO3:AQO42="L"))</f>
        <v>0</v>
      </c>
      <c r="AMP25" s="319">
        <f t="shared" ref="AMP25" ca="1" si="7670">SUMIF(AQJ3:AQJ60,AML25,AQK3:AQK60)+SUMIF(AQM3:AQM60,AML25,AQL3:AQL60)</f>
        <v>0</v>
      </c>
      <c r="AMQ25" s="319">
        <f t="shared" ref="AMQ25" ca="1" si="7671">SUMIF(AQM3:AQM60,AML25,AQK3:AQK60)+SUMIF(AQJ3:AQJ60,AML25,AQL3:AQL60)</f>
        <v>0</v>
      </c>
      <c r="AMR25" s="319">
        <f t="shared" ref="AMR25:AMR28" ca="1" si="7672">AMP25-AMQ25+1000</f>
        <v>1000</v>
      </c>
      <c r="AMS25" s="319">
        <f t="shared" ref="AMS25:AMS28" ca="1" si="7673">AMM25*3+AMN25*1</f>
        <v>0</v>
      </c>
      <c r="AMT25" s="319">
        <f t="shared" si="930"/>
        <v>0</v>
      </c>
      <c r="AMU25" s="319">
        <f t="shared" ref="AMU25" ca="1" si="7674">IF(COUNTIF(AMS25:AMS29,4)&lt;&gt;4,RANK(AMS25,AMS25:AMS29),AMS65)</f>
        <v>1</v>
      </c>
      <c r="AMV25" s="319"/>
      <c r="AMW25" s="319">
        <f t="shared" ref="AMW25" ca="1" si="7675">SUMPRODUCT((AMU25:AMU28=AMU25)*(AMT25:AMT28&lt;AMT25))+AMU25</f>
        <v>1</v>
      </c>
      <c r="AMX25" s="319" t="str">
        <f t="shared" ref="AMX25" ca="1" si="7676">INDEX(AML25:AML29,MATCH(1,AMW25:AMW29,0),0)</f>
        <v>Poland</v>
      </c>
      <c r="AMY25" s="319">
        <f t="shared" ref="AMY25" ca="1" si="7677">INDEX(AMU25:AMU29,MATCH(AMX25,AML25:AML29,0),0)</f>
        <v>1</v>
      </c>
      <c r="AMZ25" s="319" t="str">
        <f t="shared" ref="AMZ25" ca="1" si="7678">IF(AMY26=1,AMX25,"")</f>
        <v>Poland</v>
      </c>
      <c r="ANA25" s="319" t="str">
        <f t="shared" ref="ANA25" ca="1" si="7679">IF(AMY27=2,AMX26,"")</f>
        <v/>
      </c>
      <c r="ANB25" s="319" t="str">
        <f t="shared" ref="ANB25" ca="1" si="7680">IF(AMY28=3,AMX27,"")</f>
        <v/>
      </c>
      <c r="ANC25" s="319" t="str">
        <f t="shared" ref="ANC25" si="7681">IF(AMY29=4,AMX28,"")</f>
        <v/>
      </c>
      <c r="AND25" s="319"/>
      <c r="ANE25" s="319" t="str">
        <f t="shared" ref="ANE25:ANE28" ca="1" si="7682">IF(AMZ25&lt;&gt;"",AMZ25,"")</f>
        <v>Poland</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f t="shared" ref="ANL25:ANL28" ca="1" si="7689">IF(ANE25&lt;&gt;"",ANF25*3+ANG25*1,"")</f>
        <v>0</v>
      </c>
      <c r="ANM25" s="319">
        <f t="shared" ref="ANM25" ca="1" si="7690">IF(ANE25&lt;&gt;"",VLOOKUP(ANE25,AML4:AMR40,7,FALSE),"")</f>
        <v>1000</v>
      </c>
      <c r="ANN25" s="319">
        <f t="shared" ref="ANN25" ca="1" si="7691">IF(ANE25&lt;&gt;"",VLOOKUP(ANE25,AML4:AMR40,5,FALSE),"")</f>
        <v>0</v>
      </c>
      <c r="ANO25" s="319">
        <f t="shared" ref="ANO25" ca="1" si="7692">IF(ANE25&lt;&gt;"",VLOOKUP(ANE25,AML4:AMT40,9,FALSE),"")</f>
        <v>0</v>
      </c>
      <c r="ANP25" s="319">
        <f t="shared" ref="ANP25:ANP28" ca="1" si="7693">ANL25</f>
        <v>0</v>
      </c>
      <c r="ANQ25" s="319">
        <f t="shared" ref="ANQ25" ca="1" si="7694">IF(ANE25&lt;&gt;"",RANK(ANP25,ANP25:ANP29),"")</f>
        <v>1</v>
      </c>
      <c r="ANR25" s="319">
        <f t="shared" ref="ANR25" ca="1" si="7695">IF(ANE25&lt;&gt;"",SUMPRODUCT((ANP25:ANP29=ANP25)*(ANK25:ANK29&gt;ANK25)),"")</f>
        <v>0</v>
      </c>
      <c r="ANS25" s="319">
        <f t="shared" ref="ANS25" ca="1" si="7696">IF(ANE25&lt;&gt;"",SUMPRODUCT((ANP25:ANP29=ANP25)*(ANK25:ANK29=ANK25)*(ANI25:ANI29&gt;ANI25)),"")</f>
        <v>0</v>
      </c>
      <c r="ANT25" s="319">
        <f t="shared" ref="ANT25" ca="1" si="7697">IF(ANE25&lt;&gt;"",SUMPRODUCT((ANP25:ANP29=ANP25)*(ANK25:ANK29=ANK25)*(ANI25:ANI29=ANI25)*(ANM25:ANM29&gt;ANM25)),"")</f>
        <v>0</v>
      </c>
      <c r="ANU25" s="319">
        <f t="shared" ref="ANU25" ca="1" si="7698">IF(ANE25&lt;&gt;"",SUMPRODUCT((ANP25:ANP29=ANP25)*(ANK25:ANK29=ANK25)*(ANI25:ANI29=ANI25)*(ANM25:ANM29=ANM25)*(ANN25:ANN29&gt;ANN25)),"")</f>
        <v>0</v>
      </c>
      <c r="ANV25" s="319">
        <f t="shared" ref="ANV25" ca="1" si="7699">IF(ANE25&lt;&gt;"",SUMPRODUCT((ANP25:ANP29=ANP25)*(ANK25:ANK29=ANK25)*(ANI25:ANI29=ANI25)*(ANM25:ANM29=ANM25)*(ANN25:ANN29=ANN25)*(ANO25:ANO29&gt;ANO25)),"")</f>
        <v>3</v>
      </c>
      <c r="ANW25" s="319">
        <f ca="1">IF(ANE25&lt;&gt;"",IF(ANW65&lt;&gt;"",IF(AND64=3,ANW65,ANW65+AND64),SUM(ANQ25:ANV25)),"")</f>
        <v>4</v>
      </c>
      <c r="ANX25" s="319" t="str">
        <f t="shared" ref="ANX25" ca="1" si="7700">IF(ANE25&lt;&gt;"",INDEX(ANE25:ANE29,MATCH(1,ANW25:ANW29,0),0),"")</f>
        <v>France</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0</v>
      </c>
      <c r="AQL25" s="322">
        <f ca="1">IF(OFFSET('Player Game Board'!Q32,0,AQK1)&lt;&gt;"",OFFSET('Player Game Board'!Q32,0,AQK1),0)</f>
        <v>0</v>
      </c>
      <c r="AQM25" s="319" t="str">
        <f t="shared" si="99"/>
        <v>Portugal</v>
      </c>
      <c r="AQN25" s="319" t="str">
        <f ca="1">IF(AND(OFFSET('Player Game Board'!P32,0,AQK1)&lt;&gt;"",OFFSET('Player Game Board'!Q32,0,AQK1)&lt;&gt;""),IF(AQK25&gt;AQL25,"W",IF(AQK25=AQL25,"D","L")),"")</f>
        <v/>
      </c>
      <c r="AQO25" s="319" t="str">
        <f t="shared" ca="1" si="5775"/>
        <v/>
      </c>
      <c r="AQP25" s="319"/>
      <c r="AQQ25" s="319"/>
      <c r="AQR25" s="324" t="s">
        <v>102</v>
      </c>
      <c r="AQS25" s="325" t="s">
        <v>103</v>
      </c>
      <c r="AQT25" s="325" t="s">
        <v>105</v>
      </c>
      <c r="AQU25" s="325" t="s">
        <v>106</v>
      </c>
      <c r="AQV25" s="324" t="s">
        <v>106</v>
      </c>
      <c r="AQW25" s="324" t="s">
        <v>105</v>
      </c>
      <c r="AQX25" s="324" t="s">
        <v>103</v>
      </c>
      <c r="AQY25" s="324" t="s">
        <v>102</v>
      </c>
      <c r="AQZ25" s="325"/>
      <c r="ARA25" s="326">
        <f t="shared" ref="ARA25" ca="1" si="7702">IFERROR(MATCH(ARA12,AQR25:AQU25,0),0)</f>
        <v>0</v>
      </c>
      <c r="ARB25" s="326">
        <f t="shared" ref="ARB25" ca="1" si="7703">IFERROR(MATCH(ARB12,AQR25:AQU25,0),0)</f>
        <v>0</v>
      </c>
      <c r="ARC25" s="326">
        <f t="shared" ref="ARC25" ca="1" si="7704">IFERROR(MATCH(ARC12,AQR25:AQU25,0),0)</f>
        <v>1</v>
      </c>
      <c r="ARD25" s="326">
        <f t="shared" ref="ARD25" ca="1" si="7705">IFERROR(MATCH(ARD12,AQR25:AQU25,0),0)</f>
        <v>2</v>
      </c>
      <c r="ARE25" s="326">
        <f t="shared" ca="1" si="3966"/>
        <v>3</v>
      </c>
      <c r="ARF25" s="325"/>
      <c r="ARG25" s="325" t="str">
        <f t="shared" ref="ARG25" ca="1" si="7706">VLOOKUP(2,AMK11:AML14,2,FALSE)</f>
        <v>Albania</v>
      </c>
      <c r="ARH25" s="325">
        <f t="shared" ca="1" si="5310"/>
        <v>1</v>
      </c>
      <c r="ARI25" s="319">
        <f t="shared" ref="ARI25" ca="1" si="7707">VLOOKUP(ARJ25,AVE25:AVF29,2,FALSE)</f>
        <v>4</v>
      </c>
      <c r="ARJ25" s="319" t="str">
        <f t="shared" ref="ARJ25:ARJ28" si="7708">AML25</f>
        <v>Poland</v>
      </c>
      <c r="ARK25" s="319">
        <f t="shared" ref="ARK25" ca="1" si="7709">SUMPRODUCT((AVH3:AVH42=ARJ25)*(AVL3:AVL42="W"))+SUMPRODUCT((AVK3:AVK42=ARJ25)*(AVM3:AVM42="W"))</f>
        <v>0</v>
      </c>
      <c r="ARL25" s="319">
        <f t="shared" ref="ARL25" ca="1" si="7710">SUMPRODUCT((AVH3:AVH42=ARJ25)*(AVL3:AVL42="D"))+SUMPRODUCT((AVK3:AVK42=ARJ25)*(AVM3:AVM42="D"))</f>
        <v>0</v>
      </c>
      <c r="ARM25" s="319">
        <f t="shared" ref="ARM25" ca="1" si="7711">SUMPRODUCT((AVH3:AVH42=ARJ25)*(AVL3:AVL42="L"))+SUMPRODUCT((AVK3:AVK42=ARJ25)*(AVM3:AVM42="L"))</f>
        <v>0</v>
      </c>
      <c r="ARN25" s="319">
        <f t="shared" ref="ARN25" ca="1" si="7712">SUMIF(AVH3:AVH60,ARJ25,AVI3:AVI60)+SUMIF(AVK3:AVK60,ARJ25,AVJ3:AVJ60)</f>
        <v>0</v>
      </c>
      <c r="ARO25" s="319">
        <f t="shared" ref="ARO25" ca="1" si="7713">SUMIF(AVK3:AVK60,ARJ25,AVI3:AVI60)+SUMIF(AVH3:AVH60,ARJ25,AVJ3:AVJ60)</f>
        <v>0</v>
      </c>
      <c r="ARP25" s="319">
        <f t="shared" ref="ARP25:ARP28" ca="1" si="7714">ARN25-ARO25+1000</f>
        <v>1000</v>
      </c>
      <c r="ARQ25" s="319">
        <f t="shared" ref="ARQ25:ARQ28" ca="1" si="7715">ARK25*3+ARL25*1</f>
        <v>0</v>
      </c>
      <c r="ARR25" s="319">
        <f t="shared" si="990"/>
        <v>0</v>
      </c>
      <c r="ARS25" s="319">
        <f t="shared" ref="ARS25" ca="1" si="7716">IF(COUNTIF(ARQ25:ARQ29,4)&lt;&gt;4,RANK(ARQ25,ARQ25:ARQ29),ARQ65)</f>
        <v>1</v>
      </c>
      <c r="ART25" s="319"/>
      <c r="ARU25" s="319">
        <f t="shared" ref="ARU25" ca="1" si="7717">SUMPRODUCT((ARS25:ARS28=ARS25)*(ARR25:ARR28&lt;ARR25))+ARS25</f>
        <v>1</v>
      </c>
      <c r="ARV25" s="319" t="str">
        <f t="shared" ref="ARV25" ca="1" si="7718">INDEX(ARJ25:ARJ29,MATCH(1,ARU25:ARU29,0),0)</f>
        <v>Poland</v>
      </c>
      <c r="ARW25" s="319">
        <f t="shared" ref="ARW25" ca="1" si="7719">INDEX(ARS25:ARS29,MATCH(ARV25,ARJ25:ARJ29,0),0)</f>
        <v>1</v>
      </c>
      <c r="ARX25" s="319" t="str">
        <f t="shared" ref="ARX25" ca="1" si="7720">IF(ARW26=1,ARV25,"")</f>
        <v>Poland</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Poland</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f t="shared" ref="ASJ25:ASJ28" ca="1" si="7731">IF(ASC25&lt;&gt;"",ASD25*3+ASE25*1,"")</f>
        <v>0</v>
      </c>
      <c r="ASK25" s="319">
        <f t="shared" ref="ASK25" ca="1" si="7732">IF(ASC25&lt;&gt;"",VLOOKUP(ASC25,ARJ4:ARP40,7,FALSE),"")</f>
        <v>1000</v>
      </c>
      <c r="ASL25" s="319">
        <f t="shared" ref="ASL25" ca="1" si="7733">IF(ASC25&lt;&gt;"",VLOOKUP(ASC25,ARJ4:ARP40,5,FALSE),"")</f>
        <v>0</v>
      </c>
      <c r="ASM25" s="319">
        <f t="shared" ref="ASM25" ca="1" si="7734">IF(ASC25&lt;&gt;"",VLOOKUP(ASC25,ARJ4:ARR40,9,FALSE),"")</f>
        <v>0</v>
      </c>
      <c r="ASN25" s="319">
        <f t="shared" ref="ASN25:ASN28" ca="1" si="7735">ASJ25</f>
        <v>0</v>
      </c>
      <c r="ASO25" s="319">
        <f t="shared" ref="ASO25" ca="1" si="7736">IF(ASC25&lt;&gt;"",RANK(ASN25,ASN25:ASN29),"")</f>
        <v>1</v>
      </c>
      <c r="ASP25" s="319">
        <f t="shared" ref="ASP25" ca="1" si="7737">IF(ASC25&lt;&gt;"",SUMPRODUCT((ASN25:ASN29=ASN25)*(ASI25:ASI29&gt;ASI25)),"")</f>
        <v>0</v>
      </c>
      <c r="ASQ25" s="319">
        <f t="shared" ref="ASQ25" ca="1" si="7738">IF(ASC25&lt;&gt;"",SUMPRODUCT((ASN25:ASN29=ASN25)*(ASI25:ASI29=ASI25)*(ASG25:ASG29&gt;ASG25)),"")</f>
        <v>0</v>
      </c>
      <c r="ASR25" s="319">
        <f t="shared" ref="ASR25" ca="1" si="7739">IF(ASC25&lt;&gt;"",SUMPRODUCT((ASN25:ASN29=ASN25)*(ASI25:ASI29=ASI25)*(ASG25:ASG29=ASG25)*(ASK25:ASK29&gt;ASK25)),"")</f>
        <v>0</v>
      </c>
      <c r="ASS25" s="319">
        <f t="shared" ref="ASS25" ca="1" si="7740">IF(ASC25&lt;&gt;"",SUMPRODUCT((ASN25:ASN29=ASN25)*(ASI25:ASI29=ASI25)*(ASG25:ASG29=ASG25)*(ASK25:ASK29=ASK25)*(ASL25:ASL29&gt;ASL25)),"")</f>
        <v>0</v>
      </c>
      <c r="AST25" s="319">
        <f t="shared" ref="AST25" ca="1" si="7741">IF(ASC25&lt;&gt;"",SUMPRODUCT((ASN25:ASN29=ASN25)*(ASI25:ASI29=ASI25)*(ASG25:ASG29=ASG25)*(ASK25:ASK29=ASK25)*(ASL25:ASL29=ASL25)*(ASM25:ASM29&gt;ASM25)),"")</f>
        <v>3</v>
      </c>
      <c r="ASU25" s="319">
        <f ca="1">IF(ASC25&lt;&gt;"",IF(ASU65&lt;&gt;"",IF(ASB64=3,ASU65,ASU65+ASB64),SUM(ASO25:AST25)),"")</f>
        <v>4</v>
      </c>
      <c r="ASV25" s="319" t="str">
        <f t="shared" ref="ASV25" ca="1" si="7742">IF(ASC25&lt;&gt;"",INDEX(ASC25:ASC29,MATCH(1,ASU25:ASU29,0),0),"")</f>
        <v>France</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0</v>
      </c>
      <c r="AVJ25" s="322">
        <f ca="1">IF(OFFSET('Player Game Board'!Q32,0,AVI1)&lt;&gt;"",OFFSET('Player Game Board'!Q32,0,AVI1),0)</f>
        <v>0</v>
      </c>
      <c r="AVK25" s="319" t="str">
        <f t="shared" si="115"/>
        <v>Portugal</v>
      </c>
      <c r="AVL25" s="319" t="str">
        <f ca="1">IF(AND(OFFSET('Player Game Board'!P32,0,AVI1)&lt;&gt;"",OFFSET('Player Game Board'!Q32,0,AVI1)&lt;&gt;""),IF(AVI25&gt;AVJ25,"W",IF(AVI25=AVJ25,"D","L")),"")</f>
        <v/>
      </c>
      <c r="AVM25" s="319" t="str">
        <f t="shared" ca="1" si="5830"/>
        <v/>
      </c>
      <c r="AVN25" s="319"/>
      <c r="AVO25" s="319"/>
      <c r="AVP25" s="324" t="s">
        <v>102</v>
      </c>
      <c r="AVQ25" s="325" t="s">
        <v>103</v>
      </c>
      <c r="AVR25" s="325" t="s">
        <v>105</v>
      </c>
      <c r="AVS25" s="325" t="s">
        <v>106</v>
      </c>
      <c r="AVT25" s="324" t="s">
        <v>106</v>
      </c>
      <c r="AVU25" s="324" t="s">
        <v>105</v>
      </c>
      <c r="AVV25" s="324" t="s">
        <v>103</v>
      </c>
      <c r="AVW25" s="324" t="s">
        <v>102</v>
      </c>
      <c r="AVX25" s="325"/>
      <c r="AVY25" s="326">
        <f t="shared" ref="AVY25" ca="1" si="7744">IFERROR(MATCH(AVY12,AVP25:AVS25,0),0)</f>
        <v>0</v>
      </c>
      <c r="AVZ25" s="326">
        <f t="shared" ref="AVZ25" ca="1" si="7745">IFERROR(MATCH(AVZ12,AVP25:AVS25,0),0)</f>
        <v>0</v>
      </c>
      <c r="AWA25" s="326">
        <f t="shared" ref="AWA25" ca="1" si="7746">IFERROR(MATCH(AWA12,AVP25:AVS25,0),0)</f>
        <v>1</v>
      </c>
      <c r="AWB25" s="326">
        <f t="shared" ref="AWB25" ca="1" si="7747">IFERROR(MATCH(AWB12,AVP25:AVS25,0),0)</f>
        <v>2</v>
      </c>
      <c r="AWC25" s="326">
        <f t="shared" ca="1" si="4036"/>
        <v>3</v>
      </c>
      <c r="AWD25" s="325"/>
      <c r="AWE25" s="325" t="str">
        <f t="shared" ref="AWE25" ca="1" si="7748">VLOOKUP(2,ARI11:ARJ14,2,FALSE)</f>
        <v>Albania</v>
      </c>
      <c r="AWF25" s="325">
        <f t="shared" ca="1" si="5353"/>
        <v>1</v>
      </c>
      <c r="AWG25" s="319">
        <f t="shared" ref="AWG25" ca="1" si="7749">VLOOKUP(AWH25,BAC25:BAD29,2,FALSE)</f>
        <v>4</v>
      </c>
      <c r="AWH25" s="319" t="str">
        <f t="shared" ref="AWH25:AWH28" si="7750">ARJ25</f>
        <v>Poland</v>
      </c>
      <c r="AWI25" s="319">
        <f t="shared" ref="AWI25" ca="1" si="7751">SUMPRODUCT((BAF3:BAF42=AWH25)*(BAJ3:BAJ42="W"))+SUMPRODUCT((BAI3:BAI42=AWH25)*(BAK3:BAK42="W"))</f>
        <v>0</v>
      </c>
      <c r="AWJ25" s="319">
        <f t="shared" ref="AWJ25" ca="1" si="7752">SUMPRODUCT((BAF3:BAF42=AWH25)*(BAJ3:BAJ42="D"))+SUMPRODUCT((BAI3:BAI42=AWH25)*(BAK3:BAK42="D"))</f>
        <v>0</v>
      </c>
      <c r="AWK25" s="319">
        <f t="shared" ref="AWK25" ca="1" si="7753">SUMPRODUCT((BAF3:BAF42=AWH25)*(BAJ3:BAJ42="L"))+SUMPRODUCT((BAI3:BAI42=AWH25)*(BAK3:BAK42="L"))</f>
        <v>0</v>
      </c>
      <c r="AWL25" s="319">
        <f t="shared" ref="AWL25" ca="1" si="7754">SUMIF(BAF3:BAF60,AWH25,BAG3:BAG60)+SUMIF(BAI3:BAI60,AWH25,BAH3:BAH60)</f>
        <v>0</v>
      </c>
      <c r="AWM25" s="319">
        <f t="shared" ref="AWM25" ca="1" si="7755">SUMIF(BAI3:BAI60,AWH25,BAG3:BAG60)+SUMIF(BAF3:BAF60,AWH25,BAH3:BAH60)</f>
        <v>0</v>
      </c>
      <c r="AWN25" s="319">
        <f t="shared" ref="AWN25:AWN28" ca="1" si="7756">AWL25-AWM25+1000</f>
        <v>1000</v>
      </c>
      <c r="AWO25" s="319">
        <f t="shared" ref="AWO25:AWO28" ca="1" si="7757">AWI25*3+AWJ25*1</f>
        <v>0</v>
      </c>
      <c r="AWP25" s="319">
        <f t="shared" si="1050"/>
        <v>0</v>
      </c>
      <c r="AWQ25" s="319">
        <f t="shared" ref="AWQ25" ca="1" si="7758">IF(COUNTIF(AWO25:AWO29,4)&lt;&gt;4,RANK(AWO25,AWO25:AWO29),AWO65)</f>
        <v>1</v>
      </c>
      <c r="AWR25" s="319"/>
      <c r="AWS25" s="319">
        <f t="shared" ref="AWS25" ca="1" si="7759">SUMPRODUCT((AWQ25:AWQ28=AWQ25)*(AWP25:AWP28&lt;AWP25))+AWQ25</f>
        <v>1</v>
      </c>
      <c r="AWT25" s="319" t="str">
        <f t="shared" ref="AWT25" ca="1" si="7760">INDEX(AWH25:AWH29,MATCH(1,AWS25:AWS29,0),0)</f>
        <v>Poland</v>
      </c>
      <c r="AWU25" s="319">
        <f t="shared" ref="AWU25" ca="1" si="7761">INDEX(AWQ25:AWQ29,MATCH(AWT25,AWH25:AWH29,0),0)</f>
        <v>1</v>
      </c>
      <c r="AWV25" s="319" t="str">
        <f t="shared" ref="AWV25" ca="1" si="7762">IF(AWU26=1,AWT25,"")</f>
        <v>Poland</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Poland</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f t="shared" ref="AXH25:AXH28" ca="1" si="7773">IF(AXA25&lt;&gt;"",AXB25*3+AXC25*1,"")</f>
        <v>0</v>
      </c>
      <c r="AXI25" s="319">
        <f t="shared" ref="AXI25" ca="1" si="7774">IF(AXA25&lt;&gt;"",VLOOKUP(AXA25,AWH4:AWN40,7,FALSE),"")</f>
        <v>1000</v>
      </c>
      <c r="AXJ25" s="319">
        <f t="shared" ref="AXJ25" ca="1" si="7775">IF(AXA25&lt;&gt;"",VLOOKUP(AXA25,AWH4:AWN40,5,FALSE),"")</f>
        <v>0</v>
      </c>
      <c r="AXK25" s="319">
        <f t="shared" ref="AXK25" ca="1" si="7776">IF(AXA25&lt;&gt;"",VLOOKUP(AXA25,AWH4:AWP40,9,FALSE),"")</f>
        <v>0</v>
      </c>
      <c r="AXL25" s="319">
        <f t="shared" ref="AXL25:AXL28" ca="1" si="7777">AXH25</f>
        <v>0</v>
      </c>
      <c r="AXM25" s="319">
        <f t="shared" ref="AXM25" ca="1" si="7778">IF(AXA25&lt;&gt;"",RANK(AXL25,AXL25:AXL29),"")</f>
        <v>1</v>
      </c>
      <c r="AXN25" s="319">
        <f t="shared" ref="AXN25" ca="1" si="7779">IF(AXA25&lt;&gt;"",SUMPRODUCT((AXL25:AXL29=AXL25)*(AXG25:AXG29&gt;AXG25)),"")</f>
        <v>0</v>
      </c>
      <c r="AXO25" s="319">
        <f t="shared" ref="AXO25" ca="1" si="7780">IF(AXA25&lt;&gt;"",SUMPRODUCT((AXL25:AXL29=AXL25)*(AXG25:AXG29=AXG25)*(AXE25:AXE29&gt;AXE25)),"")</f>
        <v>0</v>
      </c>
      <c r="AXP25" s="319">
        <f t="shared" ref="AXP25" ca="1" si="7781">IF(AXA25&lt;&gt;"",SUMPRODUCT((AXL25:AXL29=AXL25)*(AXG25:AXG29=AXG25)*(AXE25:AXE29=AXE25)*(AXI25:AXI29&gt;AXI25)),"")</f>
        <v>0</v>
      </c>
      <c r="AXQ25" s="319">
        <f t="shared" ref="AXQ25" ca="1" si="7782">IF(AXA25&lt;&gt;"",SUMPRODUCT((AXL25:AXL29=AXL25)*(AXG25:AXG29=AXG25)*(AXE25:AXE29=AXE25)*(AXI25:AXI29=AXI25)*(AXJ25:AXJ29&gt;AXJ25)),"")</f>
        <v>0</v>
      </c>
      <c r="AXR25" s="319">
        <f t="shared" ref="AXR25" ca="1" si="7783">IF(AXA25&lt;&gt;"",SUMPRODUCT((AXL25:AXL29=AXL25)*(AXG25:AXG29=AXG25)*(AXE25:AXE29=AXE25)*(AXI25:AXI29=AXI25)*(AXJ25:AXJ29=AXJ25)*(AXK25:AXK29&gt;AXK25)),"")</f>
        <v>3</v>
      </c>
      <c r="AXS25" s="319">
        <f ca="1">IF(AXA25&lt;&gt;"",IF(AXS65&lt;&gt;"",IF(AWZ64=3,AXS65,AXS65+AWZ64),SUM(AXM25:AXR25)),"")</f>
        <v>4</v>
      </c>
      <c r="AXT25" s="319" t="str">
        <f t="shared" ref="AXT25" ca="1" si="7784">IF(AXA25&lt;&gt;"",INDEX(AXA25:AXA29,MATCH(1,AXS25:AXS29,0),0),"")</f>
        <v>France</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0</v>
      </c>
      <c r="BAH25" s="322">
        <f ca="1">IF(OFFSET('Player Game Board'!Q32,0,BAG1)&lt;&gt;"",OFFSET('Player Game Board'!Q32,0,BAG1),0)</f>
        <v>0</v>
      </c>
      <c r="BAI25" s="319" t="str">
        <f t="shared" si="131"/>
        <v>Portugal</v>
      </c>
      <c r="BAJ25" s="319" t="str">
        <f ca="1">IF(AND(OFFSET('Player Game Board'!P32,0,BAG1)&lt;&gt;"",OFFSET('Player Game Board'!Q32,0,BAG1)&lt;&gt;""),IF(BAG25&gt;BAH25,"W",IF(BAG25=BAH25,"D","L")),"")</f>
        <v/>
      </c>
      <c r="BAK25" s="319" t="str">
        <f t="shared" ca="1" si="5885"/>
        <v/>
      </c>
      <c r="BAL25" s="319"/>
      <c r="BAM25" s="319"/>
      <c r="BAN25" s="324" t="s">
        <v>102</v>
      </c>
      <c r="BAO25" s="325" t="s">
        <v>103</v>
      </c>
      <c r="BAP25" s="325" t="s">
        <v>105</v>
      </c>
      <c r="BAQ25" s="325" t="s">
        <v>106</v>
      </c>
      <c r="BAR25" s="324" t="s">
        <v>106</v>
      </c>
      <c r="BAS25" s="324" t="s">
        <v>105</v>
      </c>
      <c r="BAT25" s="324" t="s">
        <v>103</v>
      </c>
      <c r="BAU25" s="324" t="s">
        <v>102</v>
      </c>
      <c r="BAV25" s="325"/>
      <c r="BAW25" s="326">
        <f t="shared" ref="BAW25" ca="1" si="7786">IFERROR(MATCH(BAW12,BAN25:BAQ25,0),0)</f>
        <v>0</v>
      </c>
      <c r="BAX25" s="326">
        <f t="shared" ref="BAX25" ca="1" si="7787">IFERROR(MATCH(BAX12,BAN25:BAQ25,0),0)</f>
        <v>0</v>
      </c>
      <c r="BAY25" s="326">
        <f t="shared" ref="BAY25" ca="1" si="7788">IFERROR(MATCH(BAY12,BAN25:BAQ25,0),0)</f>
        <v>1</v>
      </c>
      <c r="BAZ25" s="326">
        <f t="shared" ref="BAZ25" ca="1" si="7789">IFERROR(MATCH(BAZ12,BAN25:BAQ25,0),0)</f>
        <v>2</v>
      </c>
      <c r="BBA25" s="326">
        <f t="shared" ca="1" si="4106"/>
        <v>3</v>
      </c>
      <c r="BBB25" s="325"/>
      <c r="BBC25" s="325" t="str">
        <f t="shared" ref="BBC25" ca="1" si="7790">VLOOKUP(2,AWG11:AWH14,2,FALSE)</f>
        <v>Albania</v>
      </c>
      <c r="BBD25" s="325">
        <f t="shared" ca="1" si="5396"/>
        <v>1</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102</v>
      </c>
      <c r="BFM25" s="325" t="s">
        <v>103</v>
      </c>
      <c r="BFN25" s="325" t="s">
        <v>105</v>
      </c>
      <c r="BFO25" s="325" t="s">
        <v>106</v>
      </c>
      <c r="BFP25" s="324" t="s">
        <v>106</v>
      </c>
      <c r="BFQ25" s="324" t="s">
        <v>105</v>
      </c>
      <c r="BFR25" s="324" t="s">
        <v>103</v>
      </c>
      <c r="BFS25" s="324" t="s">
        <v>102</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1</v>
      </c>
    </row>
    <row r="26" spans="1:1536" ht="13.8" x14ac:dyDescent="0.3">
      <c r="A26" s="319">
        <f>VLOOKUP(B26,CW25:CX29,2,FALSE)</f>
        <v>1</v>
      </c>
      <c r="B26" s="319" t="str">
        <f>'Language Table'!C17</f>
        <v>Netherlands</v>
      </c>
      <c r="C26" s="319">
        <f>SUMPRODUCT((CZ3:CZ42=B26)*(DD3:DD42="W"))+SUMPRODUCT((DC3:DC42=B26)*(DE3:DE42="W"))</f>
        <v>1</v>
      </c>
      <c r="D26" s="319">
        <f>SUMPRODUCT((CZ3:CZ42=B26)*(DD3:DD42="D"))+SUMPRODUCT((DC3:DC42=B26)*(DE3:DE42="D"))</f>
        <v>0</v>
      </c>
      <c r="E26" s="319">
        <f>SUMPRODUCT((CZ3:CZ42=B26)*(DD3:DD42="L"))+SUMPRODUCT((DC3:DC42=B26)*(DE3:DE42="L"))</f>
        <v>0</v>
      </c>
      <c r="F26" s="319">
        <f>SUMIF(CZ3:CZ60,B26,DA3:DA60)+SUMIF(DC3:DC60,B26,DB3:DB60)</f>
        <v>2</v>
      </c>
      <c r="G26" s="319">
        <f>SUMIF(DC3:DC60,B26,DA3:DA60)+SUMIF(CZ3:CZ60,B26,DB3:DB60)</f>
        <v>1</v>
      </c>
      <c r="H26" s="319">
        <f t="shared" si="7443"/>
        <v>1001</v>
      </c>
      <c r="I26" s="319">
        <f t="shared" si="7444"/>
        <v>3</v>
      </c>
      <c r="J26" s="319">
        <v>42</v>
      </c>
      <c r="K26" s="319">
        <f>IF(COUNTIF(I25:I29,4)&lt;&gt;4,RANK(I26,I25:I29),I66)</f>
        <v>1</v>
      </c>
      <c r="L26" s="319"/>
      <c r="M26" s="319">
        <f>SUMPRODUCT((K25:K28=K26)*(J25:J28&lt;J26))+K26</f>
        <v>1</v>
      </c>
      <c r="N26" s="319" t="str">
        <f>INDEX(B25:B29,MATCH(2,M25:M29,0),0)</f>
        <v>France</v>
      </c>
      <c r="O26" s="319">
        <f>INDEX(K25:K29,MATCH(N26,B25:B29,0),0)</f>
        <v>1</v>
      </c>
      <c r="P26" s="319" t="str">
        <f>IF(P25&lt;&gt;"",N26,"")</f>
        <v>France</v>
      </c>
      <c r="Q26" s="319" t="str">
        <f>IF(Q25&lt;&gt;"",N27,"")</f>
        <v/>
      </c>
      <c r="R26" s="319" t="str">
        <f>IF(R25&lt;&gt;"",N28,"")</f>
        <v>Austria</v>
      </c>
      <c r="S26" s="319" t="str">
        <f>IF(S25&lt;&gt;"",N29,"")</f>
        <v/>
      </c>
      <c r="T26" s="319"/>
      <c r="U26" s="319" t="str">
        <f t="shared" ref="U26:U28" si="7833">IF(P26&lt;&gt;"",P26,"")</f>
        <v>France</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f t="shared" si="7445"/>
        <v>0</v>
      </c>
      <c r="AC26" s="319">
        <f>IF(U26&lt;&gt;"",VLOOKUP(U26,B4:H40,7,FALSE),"")</f>
        <v>1001</v>
      </c>
      <c r="AD26" s="319">
        <f>IF(U26&lt;&gt;"",VLOOKUP(U26,B4:H40,5,FALSE),"")</f>
        <v>1</v>
      </c>
      <c r="AE26" s="319">
        <f>IF(U26&lt;&gt;"",VLOOKUP(U26,B4:J40,9,FALSE),"")</f>
        <v>52</v>
      </c>
      <c r="AF26" s="319">
        <f t="shared" si="7446"/>
        <v>0</v>
      </c>
      <c r="AG26" s="319">
        <f>IF(U26&lt;&gt;"",RANK(AF26,AF25:AF29),"")</f>
        <v>1</v>
      </c>
      <c r="AH26" s="319">
        <f>IF(U26&lt;&gt;"",SUMPRODUCT((AF25:AF29=AF26)*(AA25:AA29&gt;AA26)),"")</f>
        <v>0</v>
      </c>
      <c r="AI26" s="319">
        <f>IF(U26&lt;&gt;"",SUMPRODUCT((AF25:AF29=AF26)*(AA25:AA29=AA26)*(Y25:Y29&gt;Y26)),"")</f>
        <v>0</v>
      </c>
      <c r="AJ26" s="319">
        <f>IF(U26&lt;&gt;"",SUMPRODUCT((AF25:AF29=AF26)*(AA25:AA29=AA26)*(Y25:Y29=Y26)*(AC25:AC29&gt;AC26)),"")</f>
        <v>0</v>
      </c>
      <c r="AK26" s="319">
        <f>IF(U26&lt;&gt;"",SUMPRODUCT((AF25:AF29=AF26)*(AA25:AA29=AA26)*(Y25:Y29=Y26)*(AC25:AC29=AC26)*(AD25:AD29&gt;AD26)),"")</f>
        <v>1</v>
      </c>
      <c r="AL26" s="319">
        <f>IF(U26&lt;&gt;"",SUMPRODUCT((AF25:AF29=AF26)*(AA25:AA29=AA26)*(Y25:Y29=Y26)*(AC25:AC29=AC26)*(AD25:AD29=AD26)*(AE25:AE29&gt;AE26)),"")</f>
        <v>0</v>
      </c>
      <c r="AM26" s="319">
        <f>IF(U26&lt;&gt;"",IF(AM66&lt;&gt;"",IF(T64=3,AM66,AM66+T64),SUM(AG26:AL26)),"")</f>
        <v>2</v>
      </c>
      <c r="AN26" s="319" t="str">
        <f>IF(U26&lt;&gt;"",INDEX(U25:U29,MATCH(2,AM25:AM29,0),0),"")</f>
        <v>France</v>
      </c>
      <c r="AO26" s="319" t="str">
        <f>IF(Q25&lt;&gt;"",Q25,"")</f>
        <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t="str">
        <f t="shared" ref="AV26:AV28" si="7834">IF(AO26&lt;&gt;"",AP26*3+AQ26*1,"")</f>
        <v/>
      </c>
      <c r="AW26" s="319" t="str">
        <f>IF(AO26&lt;&gt;"",VLOOKUP(AO26,B4:H40,7,FALSE),"")</f>
        <v/>
      </c>
      <c r="AX26" s="319" t="str">
        <f>IF(AO26&lt;&gt;"",VLOOKUP(AO26,B4:H40,5,FALSE),"")</f>
        <v/>
      </c>
      <c r="AY26" s="319" t="str">
        <f>IF(AO26&lt;&gt;"",VLOOKUP(AO26,B4:J40,9,FALSE),"")</f>
        <v/>
      </c>
      <c r="AZ26" s="319" t="str">
        <f t="shared" ref="AZ26:AZ28" si="7835">AV26</f>
        <v/>
      </c>
      <c r="BA26" s="319" t="str">
        <f>IF(AO26&lt;&gt;"",RANK(AZ26,AZ25:AZ29),"")</f>
        <v/>
      </c>
      <c r="BB26" s="319" t="str">
        <f>IF(AO26&lt;&gt;"",SUMPRODUCT((AZ25:AZ29=AZ26)*(AU25:AU29&gt;AU26)),"")</f>
        <v/>
      </c>
      <c r="BC26" s="319" t="str">
        <f>IF(AO26&lt;&gt;"",SUMPRODUCT((AZ25:AZ29=AZ26)*(AU25:AU29=AU26)*(AS25:AS29&gt;AS26)),"")</f>
        <v/>
      </c>
      <c r="BD26" s="319" t="str">
        <f>IF(AO26&lt;&gt;"",SUMPRODUCT((AZ25:AZ29=AZ26)*(AU25:AU29=AU26)*(AS25:AS29=AS26)*(AW25:AW29&gt;AW26)),"")</f>
        <v/>
      </c>
      <c r="BE26" s="319" t="str">
        <f>IF(AO26&lt;&gt;"",SUMPRODUCT((AZ25:AZ29=AZ26)*(AU25:AU29=AU26)*(AS25:AS29=AS26)*(AW25:AW29=AW26)*(AX25:AX29&gt;AX26)),"")</f>
        <v/>
      </c>
      <c r="BF26" s="319" t="str">
        <f>IF(AO26&lt;&gt;"",SUMPRODUCT((AZ25:AZ29=AZ26)*(AU25:AU29=AU26)*(AS25:AS29=AS26)*(AW25:AW29=AW26)*(AX25:AX29=AX26)*(AY25:AY29&gt;AY26)),"")</f>
        <v/>
      </c>
      <c r="BG26" s="319" t="str">
        <f>IF(AO26&lt;&gt;"",IF(BG66&lt;&gt;"",IF(AN64=3,BG66,BG66+AN64),SUM(BA26:BF26)+1),"")</f>
        <v/>
      </c>
      <c r="BH26" s="319" t="str">
        <f>IF(AO26&lt;&gt;"",INDEX(AO26:AO29,MATCH(2,BG26:BG29,0),0),"")</f>
        <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France</v>
      </c>
      <c r="CX26" s="319">
        <v>2</v>
      </c>
      <c r="CY26" s="319">
        <v>24</v>
      </c>
      <c r="CZ26" s="319" t="str">
        <f>Matches!G31</f>
        <v>Georgia</v>
      </c>
      <c r="DA26" s="319">
        <f>IF(AND(Matches!H31&lt;&gt;"",Matches!I31&lt;&gt;""),Matches!H31,0)</f>
        <v>0</v>
      </c>
      <c r="DB26" s="319">
        <f>IF(AND(Matches!I31&lt;&gt;"",Matches!H31&lt;&gt;""),Matches!I31,0)</f>
        <v>0</v>
      </c>
      <c r="DC26" s="319" t="str">
        <f>Matches!J31</f>
        <v>Czechia</v>
      </c>
      <c r="DD26" s="319" t="str">
        <f>IF(AND(Matches!H31&lt;&gt;"",Matches!I31&lt;&gt;""),IF(DA26&gt;DB26,"W",IF(DA26=DB26,"D","L")),"")</f>
        <v/>
      </c>
      <c r="DE26" s="319" t="str">
        <f t="shared" si="162"/>
        <v/>
      </c>
      <c r="DF26" s="319"/>
      <c r="DG26" s="319"/>
      <c r="DH26" s="324" t="s">
        <v>102</v>
      </c>
      <c r="DI26" s="325" t="s">
        <v>104</v>
      </c>
      <c r="DJ26" s="325" t="s">
        <v>105</v>
      </c>
      <c r="DK26" s="325" t="s">
        <v>106</v>
      </c>
      <c r="DL26" s="324" t="s">
        <v>106</v>
      </c>
      <c r="DM26" s="324" t="s">
        <v>105</v>
      </c>
      <c r="DN26" s="324" t="s">
        <v>104</v>
      </c>
      <c r="DO26" s="324" t="s">
        <v>102</v>
      </c>
      <c r="DP26" s="325"/>
      <c r="DQ26" s="326">
        <f>IFERROR(MATCH(DQ12,DH26:DK26,0),0)</f>
        <v>0</v>
      </c>
      <c r="DR26" s="326">
        <f>IFERROR(MATCH(DR12,DH26:DK26,0),0)</f>
        <v>1</v>
      </c>
      <c r="DS26" s="326">
        <f>IFERROR(MATCH(DS12,DH26:DK26,0),0)</f>
        <v>4</v>
      </c>
      <c r="DT26" s="326">
        <f>IFERROR(MATCH(DT12,DH26:DK26,0),0)</f>
        <v>2</v>
      </c>
      <c r="DU26" s="326">
        <f t="shared" si="3541"/>
        <v>7</v>
      </c>
      <c r="DV26" s="325" t="s">
        <v>103</v>
      </c>
      <c r="DW26" s="325" t="str">
        <f>VLOOKUP(1,A18:B21,2,FALSE)</f>
        <v>England</v>
      </c>
      <c r="DX26" s="325"/>
      <c r="DY26" s="319">
        <f ca="1">VLOOKUP(DZ26,HU25:HV29,2,FALSE)</f>
        <v>2</v>
      </c>
      <c r="DZ26" s="319" t="str">
        <f t="shared" ref="DZ26:DZ28" si="7836">B26</f>
        <v>Netherlands</v>
      </c>
      <c r="EA26" s="319">
        <f ca="1">SUMPRODUCT((HX3:HX42=DZ26)*(IB3:IB42="W"))+SUMPRODUCT((IA3:IA42=DZ26)*(IC3:IC42="W"))</f>
        <v>2</v>
      </c>
      <c r="EB26" s="319">
        <f ca="1">SUMPRODUCT((HX3:HX42=DZ26)*(IB3:IB42="D"))+SUMPRODUCT((IA3:IA42=DZ26)*(IC3:IC42="D"))</f>
        <v>0</v>
      </c>
      <c r="EC26" s="319">
        <f ca="1">SUMPRODUCT((HX3:HX42=DZ26)*(IB3:IB42="L"))+SUMPRODUCT((IA3:IA42=DZ26)*(IC3:IC42="L"))</f>
        <v>1</v>
      </c>
      <c r="ED26" s="319">
        <f ca="1">SUMIF(HX3:HX60,DZ26,HY3:HY60)+SUMIF(IA3:IA60,DZ26,HZ3:HZ60)</f>
        <v>6</v>
      </c>
      <c r="EE26" s="319">
        <f ca="1">SUMIF(IA3:IA60,DZ26,HY3:HY60)+SUMIF(HX3:HX60,DZ26,HZ3:HZ60)</f>
        <v>3</v>
      </c>
      <c r="EF26" s="319">
        <f t="shared" ca="1" si="7447"/>
        <v>1003</v>
      </c>
      <c r="EG26" s="319">
        <f t="shared" ca="1" si="7448"/>
        <v>6</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1</v>
      </c>
      <c r="HZ26" s="322">
        <f ca="1">IF(OFFSET('Player Game Board'!Q33,0,HY1)&lt;&gt;"",OFFSET('Player Game Board'!Q33,0,HY1),0)</f>
        <v>2</v>
      </c>
      <c r="IA26" s="319" t="str">
        <f t="shared" si="165"/>
        <v>Czechia</v>
      </c>
      <c r="IB26" s="319" t="str">
        <f ca="1">IF(AND(OFFSET('Player Game Board'!P33,0,HY1)&lt;&gt;"",OFFSET('Player Game Board'!Q33,0,HY1)&lt;&gt;""),IF(HY26&gt;HZ26,"W",IF(HY26=HZ26,"D","L")),"")</f>
        <v>L</v>
      </c>
      <c r="IC26" s="319" t="str">
        <f t="shared" ca="1" si="166"/>
        <v>W</v>
      </c>
      <c r="ID26" s="319"/>
      <c r="IE26" s="319"/>
      <c r="IF26" s="324" t="s">
        <v>102</v>
      </c>
      <c r="IG26" s="325" t="s">
        <v>104</v>
      </c>
      <c r="IH26" s="325" t="s">
        <v>105</v>
      </c>
      <c r="II26" s="325" t="s">
        <v>106</v>
      </c>
      <c r="IJ26" s="324" t="s">
        <v>106</v>
      </c>
      <c r="IK26" s="324" t="s">
        <v>105</v>
      </c>
      <c r="IL26" s="324" t="s">
        <v>104</v>
      </c>
      <c r="IM26" s="324" t="s">
        <v>102</v>
      </c>
      <c r="IN26" s="325"/>
      <c r="IO26" s="326">
        <f ca="1">IFERROR(MATCH(IO12,IF26:II26,0),0)</f>
        <v>0</v>
      </c>
      <c r="IP26" s="326">
        <f ca="1">IFERROR(MATCH(IP12,IF26:II26,0),0)</f>
        <v>2</v>
      </c>
      <c r="IQ26" s="326">
        <f ca="1">IFERROR(MATCH(IQ12,IF26:II26,0),0)</f>
        <v>4</v>
      </c>
      <c r="IR26" s="326">
        <f ca="1">IFERROR(MATCH(IR12,IF26:II26,0),0)</f>
        <v>1</v>
      </c>
      <c r="IS26" s="326">
        <f t="shared" ca="1" si="3544"/>
        <v>7</v>
      </c>
      <c r="IT26" s="325" t="s">
        <v>103</v>
      </c>
      <c r="IU26" s="325" t="str">
        <f ca="1">VLOOKUP(1,DY18:DZ21,2,FALSE)</f>
        <v>Denmark</v>
      </c>
      <c r="IV26" s="325">
        <f t="shared" ca="1" si="5047"/>
        <v>1</v>
      </c>
      <c r="IW26" s="319">
        <f ca="1">VLOOKUP(IX26,MS25:MT29,2,FALSE)</f>
        <v>3</v>
      </c>
      <c r="IX26" s="319" t="str">
        <f t="shared" ref="IX26:IX28" si="7840">DZ26</f>
        <v>Netherlands</v>
      </c>
      <c r="IY26" s="319">
        <f ca="1">SUMPRODUCT((MV3:MV42=IX26)*(MZ3:MZ42="W"))+SUMPRODUCT((MY3:MY42=IX26)*(NA3:NA42="W"))</f>
        <v>0</v>
      </c>
      <c r="IZ26" s="319">
        <f ca="1">SUMPRODUCT((MV3:MV42=IX26)*(MZ3:MZ42="D"))+SUMPRODUCT((MY3:MY42=IX26)*(NA3:NA42="D"))</f>
        <v>2</v>
      </c>
      <c r="JA26" s="319">
        <f ca="1">SUMPRODUCT((MV3:MV42=IX26)*(MZ3:MZ42="L"))+SUMPRODUCT((MY3:MY42=IX26)*(NA3:NA42="L"))</f>
        <v>1</v>
      </c>
      <c r="JB26" s="319">
        <f ca="1">SUMIF(MV3:MV60,IX26,MW3:MW60)+SUMIF(MY3:MY60,IX26,MX3:MX60)</f>
        <v>3</v>
      </c>
      <c r="JC26" s="319">
        <f ca="1">SUMIF(MY3:MY60,IX26,MW3:MW60)+SUMIF(MV3:MV60,IX26,MX3:MX60)</f>
        <v>4</v>
      </c>
      <c r="JD26" s="319">
        <f t="shared" ca="1" si="7451"/>
        <v>999</v>
      </c>
      <c r="JE26" s="319">
        <f t="shared" ca="1" si="7452"/>
        <v>2</v>
      </c>
      <c r="JF26" s="319">
        <f t="shared" si="618"/>
        <v>42</v>
      </c>
      <c r="JG26" s="319">
        <f ca="1">IF(COUNTIF(JE25:JE29,4)&lt;&gt;4,RANK(JE26,JE25:JE29),JE66)</f>
        <v>3</v>
      </c>
      <c r="JH26" s="319"/>
      <c r="JI26" s="319">
        <f ca="1">SUMPRODUCT((JG25:JG28=JG26)*(JF25:JF28&lt;JF26))+JG26</f>
        <v>3</v>
      </c>
      <c r="JJ26" s="319" t="str">
        <f ca="1">INDEX(IX25:IX29,MATCH(2,JI25:JI29,0),0)</f>
        <v>Poland</v>
      </c>
      <c r="JK26" s="319">
        <f ca="1">INDEX(JG25:JG29,MATCH(JJ26,IX25:IX29,0),0)</f>
        <v>2</v>
      </c>
      <c r="JL26" s="319" t="str">
        <f ca="1">IF(JL25&lt;&gt;"",JJ26,"")</f>
        <v/>
      </c>
      <c r="JM26" s="319" t="str">
        <f ca="1">IF(JM25&lt;&gt;"",JJ27,"")</f>
        <v/>
      </c>
      <c r="JN26" s="319" t="str">
        <f ca="1">IF(JN25&lt;&gt;"",JJ28,"")</f>
        <v/>
      </c>
      <c r="JO26" s="319" t="str">
        <f>IF(JO25&lt;&gt;"",JJ29,"")</f>
        <v/>
      </c>
      <c r="JP26" s="319"/>
      <c r="JQ26" s="319" t="str">
        <f t="shared" ref="JQ26:JQ28" ca="1" si="7841">IF(JL26&lt;&gt;"",JL26,"")</f>
        <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0</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0</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0</v>
      </c>
      <c r="JW26" s="319">
        <f ca="1">JU26-JV26+1000</f>
        <v>1000</v>
      </c>
      <c r="JX26" s="319" t="str">
        <f t="shared" ca="1" si="7453"/>
        <v/>
      </c>
      <c r="JY26" s="319" t="str">
        <f ca="1">IF(JQ26&lt;&gt;"",VLOOKUP(JQ26,IX4:JD40,7,FALSE),"")</f>
        <v/>
      </c>
      <c r="JZ26" s="319" t="str">
        <f ca="1">IF(JQ26&lt;&gt;"",VLOOKUP(JQ26,IX4:JD40,5,FALSE),"")</f>
        <v/>
      </c>
      <c r="KA26" s="319" t="str">
        <f ca="1">IF(JQ26&lt;&gt;"",VLOOKUP(JQ26,IX4:JF40,9,FALSE),"")</f>
        <v/>
      </c>
      <c r="KB26" s="319" t="str">
        <f t="shared" ca="1" si="7454"/>
        <v/>
      </c>
      <c r="KC26" s="319" t="str">
        <f ca="1">IF(JQ26&lt;&gt;"",RANK(KB26,KB25:KB29),"")</f>
        <v/>
      </c>
      <c r="KD26" s="319" t="str">
        <f ca="1">IF(JQ26&lt;&gt;"",SUMPRODUCT((KB25:KB29=KB26)*(JW25:JW29&gt;JW26)),"")</f>
        <v/>
      </c>
      <c r="KE26" s="319" t="str">
        <f ca="1">IF(JQ26&lt;&gt;"",SUMPRODUCT((KB25:KB29=KB26)*(JW25:JW29=JW26)*(JU25:JU29&gt;JU26)),"")</f>
        <v/>
      </c>
      <c r="KF26" s="319" t="str">
        <f ca="1">IF(JQ26&lt;&gt;"",SUMPRODUCT((KB25:KB29=KB26)*(JW25:JW29=JW26)*(JU25:JU29=JU26)*(JY25:JY29&gt;JY26)),"")</f>
        <v/>
      </c>
      <c r="KG26" s="319" t="str">
        <f ca="1">IF(JQ26&lt;&gt;"",SUMPRODUCT((KB25:KB29=KB26)*(JW25:JW29=JW26)*(JU25:JU29=JU26)*(JY25:JY29=JY26)*(JZ25:JZ29&gt;JZ26)),"")</f>
        <v/>
      </c>
      <c r="KH26" s="319" t="str">
        <f ca="1">IF(JQ26&lt;&gt;"",SUMPRODUCT((KB25:KB29=KB26)*(JW25:JW29=JW26)*(JU25:JU29=JU26)*(JY25:JY29=JY26)*(JZ25:JZ29=JZ26)*(KA25:KA29&gt;KA26)),"")</f>
        <v/>
      </c>
      <c r="KI26" s="319" t="str">
        <f ca="1">IF(JQ26&lt;&gt;"",IF(KI66&lt;&gt;"",IF(JP64=3,KI66,KI66+JP64),SUM(KC26:KH26)),"")</f>
        <v/>
      </c>
      <c r="KJ26" s="319" t="str">
        <f ca="1">IF(JQ26&lt;&gt;"",INDEX(JQ25:JQ29,MATCH(2,KI25:KI29,0),0),"")</f>
        <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Poland</v>
      </c>
      <c r="MT26" s="319">
        <v>2</v>
      </c>
      <c r="MU26" s="319">
        <v>24</v>
      </c>
      <c r="MV26" s="319" t="str">
        <f t="shared" si="170"/>
        <v>Georgia</v>
      </c>
      <c r="MW26" s="322">
        <f ca="1">IF(OFFSET('Player Game Board'!P33,0,MW1)&lt;&gt;"",OFFSET('Player Game Board'!P33,0,MW1),0)</f>
        <v>0</v>
      </c>
      <c r="MX26" s="322">
        <f ca="1">IF(OFFSET('Player Game Board'!Q33,0,MW1)&lt;&gt;"",OFFSET('Player Game Board'!Q33,0,MW1),0)</f>
        <v>2</v>
      </c>
      <c r="MY26" s="319" t="str">
        <f t="shared" si="171"/>
        <v>Czechia</v>
      </c>
      <c r="MZ26" s="319" t="str">
        <f ca="1">IF(AND(OFFSET('Player Game Board'!P33,0,MW1)&lt;&gt;"",OFFSET('Player Game Board'!Q33,0,MW1)&lt;&gt;""),IF(MW26&gt;MX26,"W",IF(MW26=MX26,"D","L")),"")</f>
        <v>L</v>
      </c>
      <c r="NA26" s="319" t="str">
        <f t="shared" ca="1" si="172"/>
        <v>W</v>
      </c>
      <c r="NB26" s="319"/>
      <c r="NC26" s="319"/>
      <c r="ND26" s="324" t="s">
        <v>102</v>
      </c>
      <c r="NE26" s="325" t="s">
        <v>104</v>
      </c>
      <c r="NF26" s="325" t="s">
        <v>105</v>
      </c>
      <c r="NG26" s="325" t="s">
        <v>106</v>
      </c>
      <c r="NH26" s="324" t="s">
        <v>106</v>
      </c>
      <c r="NI26" s="324" t="s">
        <v>105</v>
      </c>
      <c r="NJ26" s="324" t="s">
        <v>104</v>
      </c>
      <c r="NK26" s="324" t="s">
        <v>102</v>
      </c>
      <c r="NL26" s="325"/>
      <c r="NM26" s="326">
        <f ca="1">IFERROR(MATCH(NM12,ND26:NG26,0),0)</f>
        <v>1</v>
      </c>
      <c r="NN26" s="326">
        <f ca="1">IFERROR(MATCH(NN12,ND26:NG26,0),0)</f>
        <v>0</v>
      </c>
      <c r="NO26" s="326">
        <f ca="1">IFERROR(MATCH(NO12,ND26:NG26,0),0)</f>
        <v>4</v>
      </c>
      <c r="NP26" s="326">
        <f ca="1">IFERROR(MATCH(NP12,ND26:NG26,0),0)</f>
        <v>3</v>
      </c>
      <c r="NQ26" s="326">
        <f t="shared" ca="1" si="3547"/>
        <v>8</v>
      </c>
      <c r="NR26" s="325" t="s">
        <v>103</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1</v>
      </c>
      <c r="NX26" s="319">
        <f t="shared" ref="NX26" ca="1" si="7846">SUMPRODUCT((RT3:RT42=NV26)*(RX3:RX42="D"))+SUMPRODUCT((RW3:RW42=NV26)*(RY3:RY42="D"))</f>
        <v>1</v>
      </c>
      <c r="NY26" s="319">
        <f t="shared" ref="NY26" ca="1" si="7847">SUMPRODUCT((RT3:RT42=NV26)*(RX3:RX42="L"))+SUMPRODUCT((RW3:RW42=NV26)*(RY3:RY42="L"))</f>
        <v>1</v>
      </c>
      <c r="NZ26" s="319">
        <f t="shared" ref="NZ26" ca="1" si="7848">SUMIF(RT3:RT60,NV26,RU3:RU60)+SUMIF(RW3:RW60,NV26,RV3:RV60)</f>
        <v>4</v>
      </c>
      <c r="OA26" s="319">
        <f t="shared" ref="OA26" ca="1" si="7849">SUMIF(RW3:RW60,NV26,RU3:RU60)+SUMIF(RT3:RT60,NV26,RV3:RV60)</f>
        <v>4</v>
      </c>
      <c r="OB26" s="319">
        <f t="shared" ca="1" si="7462"/>
        <v>1000</v>
      </c>
      <c r="OC26" s="319">
        <f t="shared" ca="1" si="7463"/>
        <v>4</v>
      </c>
      <c r="OD26" s="319">
        <f t="shared" si="630"/>
        <v>42</v>
      </c>
      <c r="OE26" s="319">
        <f t="shared" ref="OE26" ca="1" si="7850">IF(COUNTIF(OC25:OC29,4)&lt;&gt;4,RANK(OC26,OC25:OC29),OC66)</f>
        <v>2</v>
      </c>
      <c r="OF26" s="319"/>
      <c r="OG26" s="319">
        <f t="shared" ref="OG26" ca="1" si="7851">SUMPRODUCT((OE25:OE28=OE26)*(OD25:OD28&lt;OD26))+OE26</f>
        <v>2</v>
      </c>
      <c r="OH26" s="319" t="str">
        <f t="shared" ref="OH26" ca="1" si="7852">INDEX(NV25:NV29,MATCH(2,OG25:OG29,0),0)</f>
        <v>Netherlands</v>
      </c>
      <c r="OI26" s="319">
        <f t="shared" ref="OI26" ca="1" si="7853">INDEX(OE25:OE29,MATCH(OH26,NV25:NV29,0),0)</f>
        <v>2</v>
      </c>
      <c r="OJ26" s="319" t="str">
        <f t="shared" ref="OJ26" ca="1" si="7854">IF(OJ25&lt;&gt;"",OH26,"")</f>
        <v/>
      </c>
      <c r="OK26" s="319" t="str">
        <f t="shared" ref="OK26" ca="1" si="7855">IF(OK25&lt;&gt;"",OH27,"")</f>
        <v/>
      </c>
      <c r="OL26" s="319" t="str">
        <f t="shared" ref="OL26" ca="1" si="7856">IF(OL25&lt;&gt;"",OH28,"")</f>
        <v/>
      </c>
      <c r="OM26" s="319" t="str">
        <f t="shared" ref="OM26" si="7857">IF(OM25&lt;&gt;"",OH29,"")</f>
        <v/>
      </c>
      <c r="ON26" s="319"/>
      <c r="OO26" s="319" t="str">
        <f t="shared" ca="1" si="7472"/>
        <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0</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0</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0</v>
      </c>
      <c r="OU26" s="319">
        <f t="shared" ca="1" si="7478"/>
        <v>1000</v>
      </c>
      <c r="OV26" s="319" t="str">
        <f t="shared" ca="1" si="7479"/>
        <v/>
      </c>
      <c r="OW26" s="319" t="str">
        <f t="shared" ref="OW26" ca="1" si="7863">IF(OO26&lt;&gt;"",VLOOKUP(OO26,NV4:OB40,7,FALSE),"")</f>
        <v/>
      </c>
      <c r="OX26" s="319" t="str">
        <f t="shared" ref="OX26" ca="1" si="7864">IF(OO26&lt;&gt;"",VLOOKUP(OO26,NV4:OB40,5,FALSE),"")</f>
        <v/>
      </c>
      <c r="OY26" s="319" t="str">
        <f t="shared" ref="OY26" ca="1" si="7865">IF(OO26&lt;&gt;"",VLOOKUP(OO26,NV4:OD40,9,FALSE),"")</f>
        <v/>
      </c>
      <c r="OZ26" s="319" t="str">
        <f t="shared" ca="1" si="7483"/>
        <v/>
      </c>
      <c r="PA26" s="319" t="str">
        <f t="shared" ref="PA26" ca="1" si="7866">IF(OO26&lt;&gt;"",RANK(OZ26,OZ25:OZ29),"")</f>
        <v/>
      </c>
      <c r="PB26" s="319" t="str">
        <f t="shared" ref="PB26" ca="1" si="7867">IF(OO26&lt;&gt;"",SUMPRODUCT((OZ25:OZ29=OZ26)*(OU25:OU29&gt;OU26)),"")</f>
        <v/>
      </c>
      <c r="PC26" s="319" t="str">
        <f t="shared" ref="PC26" ca="1" si="7868">IF(OO26&lt;&gt;"",SUMPRODUCT((OZ25:OZ29=OZ26)*(OU25:OU29=OU26)*(OS25:OS29&gt;OS26)),"")</f>
        <v/>
      </c>
      <c r="PD26" s="319" t="str">
        <f t="shared" ref="PD26" ca="1" si="7869">IF(OO26&lt;&gt;"",SUMPRODUCT((OZ25:OZ29=OZ26)*(OU25:OU29=OU26)*(OS25:OS29=OS26)*(OW25:OW29&gt;OW26)),"")</f>
        <v/>
      </c>
      <c r="PE26" s="319" t="str">
        <f t="shared" ref="PE26" ca="1" si="7870">IF(OO26&lt;&gt;"",SUMPRODUCT((OZ25:OZ29=OZ26)*(OU25:OU29=OU26)*(OS25:OS29=OS26)*(OW25:OW29=OW26)*(OX25:OX29&gt;OX26)),"")</f>
        <v/>
      </c>
      <c r="PF26" s="319" t="str">
        <f t="shared" ref="PF26" ca="1" si="7871">IF(OO26&lt;&gt;"",SUMPRODUCT((OZ25:OZ29=OZ26)*(OU25:OU29=OU26)*(OS25:OS29=OS26)*(OW25:OW29=OW26)*(OX25:OX29=OX26)*(OY25:OY29&gt;OY26)),"")</f>
        <v/>
      </c>
      <c r="PG26" s="319" t="str">
        <f ca="1">IF(OO26&lt;&gt;"",IF(PG66&lt;&gt;"",IF(ON64=3,PG66,PG66+ON64),SUM(PA26:PF26)),"")</f>
        <v/>
      </c>
      <c r="PH26" s="319" t="str">
        <f t="shared" ref="PH26" ca="1" si="7872">IF(OO26&lt;&gt;"",INDEX(OO25:OO29,MATCH(2,PG25:PG29,0),0),"")</f>
        <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1</v>
      </c>
      <c r="RW26" s="319" t="str">
        <f t="shared" si="19"/>
        <v>Czechia</v>
      </c>
      <c r="RX26" s="319" t="str">
        <f ca="1">IF(AND(OFFSET('Player Game Board'!P33,0,RU1)&lt;&gt;"",OFFSET('Player Game Board'!Q33,0,RU1)&lt;&gt;""),IF(RU26&gt;RV26,"W",IF(RU26=RV26,"D","L")),"")</f>
        <v>L</v>
      </c>
      <c r="RY26" s="319" t="str">
        <f t="shared" ca="1" si="5500"/>
        <v>W</v>
      </c>
      <c r="RZ26" s="319"/>
      <c r="SA26" s="319"/>
      <c r="SB26" s="324" t="s">
        <v>102</v>
      </c>
      <c r="SC26" s="325" t="s">
        <v>104</v>
      </c>
      <c r="SD26" s="325" t="s">
        <v>105</v>
      </c>
      <c r="SE26" s="325" t="s">
        <v>106</v>
      </c>
      <c r="SF26" s="324" t="s">
        <v>106</v>
      </c>
      <c r="SG26" s="324" t="s">
        <v>105</v>
      </c>
      <c r="SH26" s="324" t="s">
        <v>104</v>
      </c>
      <c r="SI26" s="324" t="s">
        <v>102</v>
      </c>
      <c r="SJ26" s="325"/>
      <c r="SK26" s="326">
        <f t="shared" ref="SK26" ca="1" si="7893">IFERROR(MATCH(SK12,SB26:SE26,0),0)</f>
        <v>0</v>
      </c>
      <c r="SL26" s="326">
        <f t="shared" ref="SL26" ca="1" si="7894">IFERROR(MATCH(SL12,SB26:SE26,0),0)</f>
        <v>1</v>
      </c>
      <c r="SM26" s="326">
        <f t="shared" ref="SM26" ca="1" si="7895">IFERROR(MATCH(SM12,SB26:SE26,0),0)</f>
        <v>4</v>
      </c>
      <c r="SN26" s="326">
        <f t="shared" ref="SN26" ca="1" si="7896">IFERROR(MATCH(SN12,SB26:SE26,0),0)</f>
        <v>3</v>
      </c>
      <c r="SO26" s="326">
        <f t="shared" ca="1" si="3616"/>
        <v>8</v>
      </c>
      <c r="SP26" s="325" t="s">
        <v>103</v>
      </c>
      <c r="SQ26" s="325" t="str">
        <f t="shared" ref="SQ26" ca="1" si="7897">VLOOKUP(1,NU18:NV21,2,FALSE)</f>
        <v>England</v>
      </c>
      <c r="SR26" s="325">
        <f t="shared" ca="1" si="5095"/>
        <v>1</v>
      </c>
      <c r="SS26" s="319">
        <f t="shared" ref="SS26" ca="1" si="7898">VLOOKUP(ST26,WO25:WP29,2,FALSE)</f>
        <v>2</v>
      </c>
      <c r="ST26" s="319" t="str">
        <f t="shared" si="7498"/>
        <v>Netherlands</v>
      </c>
      <c r="SU26" s="319">
        <f t="shared" ref="SU26" ca="1" si="7899">SUMPRODUCT((WR3:WR42=ST26)*(WV3:WV42="W"))+SUMPRODUCT((WU3:WU42=ST26)*(WW3:WW42="W"))</f>
        <v>1</v>
      </c>
      <c r="SV26" s="319">
        <f t="shared" ref="SV26" ca="1" si="7900">SUMPRODUCT((WR3:WR42=ST26)*(WV3:WV42="D"))+SUMPRODUCT((WU3:WU42=ST26)*(WW3:WW42="D"))</f>
        <v>1</v>
      </c>
      <c r="SW26" s="319">
        <f t="shared" ref="SW26" ca="1" si="7901">SUMPRODUCT((WR3:WR42=ST26)*(WV3:WV42="L"))+SUMPRODUCT((WU3:WU42=ST26)*(WW3:WW42="L"))</f>
        <v>1</v>
      </c>
      <c r="SX26" s="319">
        <f t="shared" ref="SX26" ca="1" si="7902">SUMIF(WR3:WR60,ST26,WS3:WS60)+SUMIF(WU3:WU60,ST26,WT3:WT60)</f>
        <v>2</v>
      </c>
      <c r="SY26" s="319">
        <f t="shared" ref="SY26" ca="1" si="7903">SUMIF(WU3:WU60,ST26,WS3:WS60)+SUMIF(WR3:WR60,ST26,WT3:WT60)</f>
        <v>2</v>
      </c>
      <c r="SZ26" s="319">
        <f t="shared" ca="1" si="7504"/>
        <v>1000</v>
      </c>
      <c r="TA26" s="319">
        <f t="shared" ca="1" si="7505"/>
        <v>4</v>
      </c>
      <c r="TB26" s="319">
        <f t="shared" si="690"/>
        <v>42</v>
      </c>
      <c r="TC26" s="319">
        <f t="shared" ref="TC26" ca="1" si="7904">IF(COUNTIF(TA25:TA29,4)&lt;&gt;4,RANK(TA26,TA25:TA29),TA66)</f>
        <v>2</v>
      </c>
      <c r="TD26" s="319"/>
      <c r="TE26" s="319">
        <f t="shared" ref="TE26" ca="1" si="7905">SUMPRODUCT((TC25:TC28=TC26)*(TB25:TB28&lt;TB26))+TC26</f>
        <v>2</v>
      </c>
      <c r="TF26" s="319" t="str">
        <f t="shared" ref="TF26" ca="1" si="7906">INDEX(ST25:ST29,MATCH(2,TE25:TE29,0),0)</f>
        <v>Netherlands</v>
      </c>
      <c r="TG26" s="319">
        <f t="shared" ref="TG26" ca="1" si="7907">INDEX(TC25:TC29,MATCH(TF26,ST25:ST29,0),0)</f>
        <v>2</v>
      </c>
      <c r="TH26" s="319" t="str">
        <f t="shared" ref="TH26" ca="1" si="7908">IF(TH25&lt;&gt;"",TF26,"")</f>
        <v/>
      </c>
      <c r="TI26" s="319" t="str">
        <f t="shared" ref="TI26" ca="1" si="7909">IF(TI25&lt;&gt;"",TF27,"")</f>
        <v/>
      </c>
      <c r="TJ26" s="319" t="str">
        <f t="shared" ref="TJ26" ca="1" si="7910">IF(TJ25&lt;&gt;"",TF28,"")</f>
        <v/>
      </c>
      <c r="TK26" s="319" t="str">
        <f t="shared" ref="TK26" si="7911">IF(TK25&lt;&gt;"",TF29,"")</f>
        <v/>
      </c>
      <c r="TL26" s="319"/>
      <c r="TM26" s="319" t="str">
        <f t="shared" ca="1" si="7514"/>
        <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t="str">
        <f t="shared" ca="1" si="7521"/>
        <v/>
      </c>
      <c r="TU26" s="319" t="str">
        <f t="shared" ref="TU26" ca="1" si="7917">IF(TM26&lt;&gt;"",VLOOKUP(TM26,ST4:SZ40,7,FALSE),"")</f>
        <v/>
      </c>
      <c r="TV26" s="319" t="str">
        <f t="shared" ref="TV26" ca="1" si="7918">IF(TM26&lt;&gt;"",VLOOKUP(TM26,ST4:SZ40,5,FALSE),"")</f>
        <v/>
      </c>
      <c r="TW26" s="319" t="str">
        <f t="shared" ref="TW26" ca="1" si="7919">IF(TM26&lt;&gt;"",VLOOKUP(TM26,ST4:TB40,9,FALSE),"")</f>
        <v/>
      </c>
      <c r="TX26" s="319" t="str">
        <f t="shared" ca="1" si="7525"/>
        <v/>
      </c>
      <c r="TY26" s="319" t="str">
        <f t="shared" ref="TY26" ca="1" si="7920">IF(TM26&lt;&gt;"",RANK(TX26,TX25:TX29),"")</f>
        <v/>
      </c>
      <c r="TZ26" s="319" t="str">
        <f t="shared" ref="TZ26" ca="1" si="7921">IF(TM26&lt;&gt;"",SUMPRODUCT((TX25:TX29=TX26)*(TS25:TS29&gt;TS26)),"")</f>
        <v/>
      </c>
      <c r="UA26" s="319" t="str">
        <f t="shared" ref="UA26" ca="1" si="7922">IF(TM26&lt;&gt;"",SUMPRODUCT((TX25:TX29=TX26)*(TS25:TS29=TS26)*(TQ25:TQ29&gt;TQ26)),"")</f>
        <v/>
      </c>
      <c r="UB26" s="319" t="str">
        <f t="shared" ref="UB26" ca="1" si="7923">IF(TM26&lt;&gt;"",SUMPRODUCT((TX25:TX29=TX26)*(TS25:TS29=TS26)*(TQ25:TQ29=TQ26)*(TU25:TU29&gt;TU26)),"")</f>
        <v/>
      </c>
      <c r="UC26" s="319" t="str">
        <f t="shared" ref="UC26" ca="1" si="7924">IF(TM26&lt;&gt;"",SUMPRODUCT((TX25:TX29=TX26)*(TS25:TS29=TS26)*(TQ25:TQ29=TQ26)*(TU25:TU29=TU26)*(TV25:TV29&gt;TV26)),"")</f>
        <v/>
      </c>
      <c r="UD26" s="319" t="str">
        <f t="shared" ref="UD26" ca="1" si="7925">IF(TM26&lt;&gt;"",SUMPRODUCT((TX25:TX29=TX26)*(TS25:TS29=TS26)*(TQ25:TQ29=TQ26)*(TU25:TU29=TU26)*(TV25:TV29=TV26)*(TW25:TW29&gt;TW26)),"")</f>
        <v/>
      </c>
      <c r="UE26" s="319" t="str">
        <f ca="1">IF(TM26&lt;&gt;"",IF(UE66&lt;&gt;"",IF(TL64=3,UE66,UE66+TL64),SUM(TY26:UD26)),"")</f>
        <v/>
      </c>
      <c r="UF26" s="319" t="str">
        <f t="shared" ref="UF26" ca="1" si="7926">IF(TM26&lt;&gt;"",INDEX(TM25:TM29,MATCH(2,UE25:UE29,0),0),"")</f>
        <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0</v>
      </c>
      <c r="WT26" s="322">
        <f ca="1">IF(OFFSET('Player Game Board'!Q33,0,WS1)&lt;&gt;"",OFFSET('Player Game Board'!Q33,0,WS1),0)</f>
        <v>1</v>
      </c>
      <c r="WU26" s="319" t="str">
        <f t="shared" si="35"/>
        <v>Czechia</v>
      </c>
      <c r="WV26" s="319" t="str">
        <f ca="1">IF(AND(OFFSET('Player Game Board'!P33,0,WS1)&lt;&gt;"",OFFSET('Player Game Board'!Q33,0,WS1)&lt;&gt;""),IF(WS26&gt;WT26,"W",IF(WS26=WT26,"D","L")),"")</f>
        <v>L</v>
      </c>
      <c r="WW26" s="319" t="str">
        <f t="shared" ca="1" si="5555"/>
        <v>W</v>
      </c>
      <c r="WX26" s="319"/>
      <c r="WY26" s="319"/>
      <c r="WZ26" s="324" t="s">
        <v>102</v>
      </c>
      <c r="XA26" s="325" t="s">
        <v>104</v>
      </c>
      <c r="XB26" s="325" t="s">
        <v>105</v>
      </c>
      <c r="XC26" s="325" t="s">
        <v>106</v>
      </c>
      <c r="XD26" s="324" t="s">
        <v>106</v>
      </c>
      <c r="XE26" s="324" t="s">
        <v>105</v>
      </c>
      <c r="XF26" s="324" t="s">
        <v>104</v>
      </c>
      <c r="XG26" s="324" t="s">
        <v>102</v>
      </c>
      <c r="XH26" s="325"/>
      <c r="XI26" s="326">
        <f t="shared" ref="XI26" ca="1" si="7947">IFERROR(MATCH(XI12,WZ26:XC26,0),0)</f>
        <v>4</v>
      </c>
      <c r="XJ26" s="326">
        <f t="shared" ref="XJ26" ca="1" si="7948">IFERROR(MATCH(XJ12,WZ26:XC26,0),0)</f>
        <v>3</v>
      </c>
      <c r="XK26" s="326">
        <f t="shared" ref="XK26" ca="1" si="7949">IFERROR(MATCH(XK12,WZ26:XC26,0),0)</f>
        <v>1</v>
      </c>
      <c r="XL26" s="326">
        <f t="shared" ref="XL26" ca="1" si="7950">IFERROR(MATCH(XL12,WZ26:XC26,0),0)</f>
        <v>0</v>
      </c>
      <c r="XM26" s="326">
        <f t="shared" ca="1" si="3686"/>
        <v>8</v>
      </c>
      <c r="XN26" s="325" t="s">
        <v>103</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4</v>
      </c>
      <c r="XW26" s="319">
        <f t="shared" ref="XW26" ca="1" si="7957">SUMIF(ABS3:ABS60,XR26,ABQ3:ABQ60)+SUMIF(ABP3:ABP60,XR26,ABR3:ABR60)</f>
        <v>4</v>
      </c>
      <c r="XX26" s="319">
        <f t="shared" ca="1" si="7546"/>
        <v>1000</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1</v>
      </c>
      <c r="ABR26" s="322">
        <f ca="1">IF(OFFSET('Player Game Board'!Q33,0,ABQ1)&lt;&gt;"",OFFSET('Player Game Board'!Q33,0,ABQ1),0)</f>
        <v>1</v>
      </c>
      <c r="ABS26" s="319" t="str">
        <f t="shared" si="51"/>
        <v>Czechia</v>
      </c>
      <c r="ABT26" s="319" t="str">
        <f ca="1">IF(AND(OFFSET('Player Game Board'!P33,0,ABQ1)&lt;&gt;"",OFFSET('Player Game Board'!Q33,0,ABQ1)&lt;&gt;""),IF(ABQ26&gt;ABR26,"W",IF(ABQ26=ABR26,"D","L")),"")</f>
        <v>D</v>
      </c>
      <c r="ABU26" s="319" t="str">
        <f t="shared" ca="1" si="5610"/>
        <v>D</v>
      </c>
      <c r="ABV26" s="319"/>
      <c r="ABW26" s="319"/>
      <c r="ABX26" s="324" t="s">
        <v>102</v>
      </c>
      <c r="ABY26" s="325" t="s">
        <v>104</v>
      </c>
      <c r="ABZ26" s="325" t="s">
        <v>105</v>
      </c>
      <c r="ACA26" s="325" t="s">
        <v>106</v>
      </c>
      <c r="ACB26" s="324" t="s">
        <v>106</v>
      </c>
      <c r="ACC26" s="324" t="s">
        <v>105</v>
      </c>
      <c r="ACD26" s="324" t="s">
        <v>104</v>
      </c>
      <c r="ACE26" s="324" t="s">
        <v>102</v>
      </c>
      <c r="ACF26" s="325"/>
      <c r="ACG26" s="326">
        <f t="shared" ref="ACG26" ca="1" si="8001">IFERROR(MATCH(ACG12,ABX26:ACA26,0),0)</f>
        <v>0</v>
      </c>
      <c r="ACH26" s="326">
        <f t="shared" ref="ACH26" ca="1" si="8002">IFERROR(MATCH(ACH12,ABX26:ACA26,0),0)</f>
        <v>1</v>
      </c>
      <c r="ACI26" s="326">
        <f t="shared" ref="ACI26" ca="1" si="8003">IFERROR(MATCH(ACI12,ABX26:ACA26,0),0)</f>
        <v>2</v>
      </c>
      <c r="ACJ26" s="326">
        <f t="shared" ref="ACJ26" ca="1" si="8004">IFERROR(MATCH(ACJ12,ABX26:ACA26,0),0)</f>
        <v>0</v>
      </c>
      <c r="ACK26" s="326">
        <f t="shared" ca="1" si="3756"/>
        <v>3</v>
      </c>
      <c r="ACL26" s="325" t="s">
        <v>103</v>
      </c>
      <c r="ACM26" s="325" t="str">
        <f t="shared" ref="ACM26" ca="1" si="8005">VLOOKUP(1,XQ18:XR21,2,FALSE)</f>
        <v>Denmark</v>
      </c>
      <c r="ACN26" s="325">
        <f t="shared" ca="1" si="5181"/>
        <v>1</v>
      </c>
      <c r="ACO26" s="319">
        <f t="shared" ref="ACO26" ca="1" si="8006">VLOOKUP(ACP26,AGK25:AGL29,2,FALSE)</f>
        <v>1</v>
      </c>
      <c r="ACP26" s="319" t="str">
        <f t="shared" si="7582"/>
        <v>Netherlands</v>
      </c>
      <c r="ACQ26" s="319">
        <f t="shared" ref="ACQ26" ca="1" si="8007">SUMPRODUCT((AGN3:AGN42=ACP26)*(AGR3:AGR42="W"))+SUMPRODUCT((AGQ3:AGQ42=ACP26)*(AGS3:AGS42="W"))</f>
        <v>2</v>
      </c>
      <c r="ACR26" s="319">
        <f t="shared" ref="ACR26" ca="1" si="8008">SUMPRODUCT((AGN3:AGN42=ACP26)*(AGR3:AGR42="D"))+SUMPRODUCT((AGQ3:AGQ42=ACP26)*(AGS3:AGS42="D"))</f>
        <v>1</v>
      </c>
      <c r="ACS26" s="319">
        <f t="shared" ref="ACS26" ca="1" si="8009">SUMPRODUCT((AGN3:AGN42=ACP26)*(AGR3:AGR42="L"))+SUMPRODUCT((AGQ3:AGQ42=ACP26)*(AGS3:AGS42="L"))</f>
        <v>0</v>
      </c>
      <c r="ACT26" s="319">
        <f t="shared" ref="ACT26" ca="1" si="8010">SUMIF(AGN3:AGN60,ACP26,AGO3:AGO60)+SUMIF(AGQ3:AGQ60,ACP26,AGP3:AGP60)</f>
        <v>5</v>
      </c>
      <c r="ACU26" s="319">
        <f t="shared" ref="ACU26" ca="1" si="8011">SUMIF(AGQ3:AGQ60,ACP26,AGO3:AGO60)+SUMIF(AGN3:AGN60,ACP26,AGP3:AGP60)</f>
        <v>3</v>
      </c>
      <c r="ACV26" s="319">
        <f t="shared" ca="1" si="7588"/>
        <v>1002</v>
      </c>
      <c r="ACW26" s="319">
        <f t="shared" ca="1" si="7589"/>
        <v>7</v>
      </c>
      <c r="ACX26" s="319">
        <f t="shared" si="810"/>
        <v>42</v>
      </c>
      <c r="ACY26" s="319">
        <f t="shared" ref="ACY26" ca="1" si="8012">IF(COUNTIF(ACW25:ACW29,4)&lt;&gt;4,RANK(ACW26,ACW25:ACW29),ACW66)</f>
        <v>1</v>
      </c>
      <c r="ACZ26" s="319"/>
      <c r="ADA26" s="319">
        <f t="shared" ref="ADA26" ca="1" si="8013">SUMPRODUCT((ACY25:ACY28=ACY26)*(ACX25:ACX28&lt;ACX26))+ACY26</f>
        <v>1</v>
      </c>
      <c r="ADB26" s="319" t="str">
        <f t="shared" ref="ADB26" ca="1" si="8014">INDEX(ACP25:ACP29,MATCH(2,ADA25:ADA29,0),0)</f>
        <v>France</v>
      </c>
      <c r="ADC26" s="319">
        <f t="shared" ref="ADC26" ca="1" si="8015">INDEX(ACY25:ACY29,MATCH(ADB26,ACP25:ACP29,0),0)</f>
        <v>2</v>
      </c>
      <c r="ADD26" s="319" t="str">
        <f t="shared" ref="ADD26" ca="1" si="8016">IF(ADD25&lt;&gt;"",ADB26,"")</f>
        <v/>
      </c>
      <c r="ADE26" s="319" t="str">
        <f t="shared" ref="ADE26" ca="1" si="8017">IF(ADE25&lt;&gt;"",ADB27,"")</f>
        <v/>
      </c>
      <c r="ADF26" s="319" t="str">
        <f t="shared" ref="ADF26" ca="1" si="8018">IF(ADF25&lt;&gt;"",ADB28,"")</f>
        <v/>
      </c>
      <c r="ADG26" s="319" t="str">
        <f t="shared" ref="ADG26" si="8019">IF(ADG25&lt;&gt;"",ADB29,"")</f>
        <v/>
      </c>
      <c r="ADH26" s="319"/>
      <c r="ADI26" s="319" t="str">
        <f t="shared" ca="1" si="7598"/>
        <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0</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0</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0</v>
      </c>
      <c r="ADO26" s="319">
        <f t="shared" ca="1" si="7604"/>
        <v>1000</v>
      </c>
      <c r="ADP26" s="319" t="str">
        <f t="shared" ca="1" si="7605"/>
        <v/>
      </c>
      <c r="ADQ26" s="319" t="str">
        <f t="shared" ref="ADQ26" ca="1" si="8025">IF(ADI26&lt;&gt;"",VLOOKUP(ADI26,ACP4:ACV40,7,FALSE),"")</f>
        <v/>
      </c>
      <c r="ADR26" s="319" t="str">
        <f t="shared" ref="ADR26" ca="1" si="8026">IF(ADI26&lt;&gt;"",VLOOKUP(ADI26,ACP4:ACV40,5,FALSE),"")</f>
        <v/>
      </c>
      <c r="ADS26" s="319" t="str">
        <f t="shared" ref="ADS26" ca="1" si="8027">IF(ADI26&lt;&gt;"",VLOOKUP(ADI26,ACP4:ACX40,9,FALSE),"")</f>
        <v/>
      </c>
      <c r="ADT26" s="319" t="str">
        <f t="shared" ca="1" si="7609"/>
        <v/>
      </c>
      <c r="ADU26" s="319" t="str">
        <f t="shared" ref="ADU26" ca="1" si="8028">IF(ADI26&lt;&gt;"",RANK(ADT26,ADT25:ADT29),"")</f>
        <v/>
      </c>
      <c r="ADV26" s="319" t="str">
        <f t="shared" ref="ADV26" ca="1" si="8029">IF(ADI26&lt;&gt;"",SUMPRODUCT((ADT25:ADT29=ADT26)*(ADO25:ADO29&gt;ADO26)),"")</f>
        <v/>
      </c>
      <c r="ADW26" s="319" t="str">
        <f t="shared" ref="ADW26" ca="1" si="8030">IF(ADI26&lt;&gt;"",SUMPRODUCT((ADT25:ADT29=ADT26)*(ADO25:ADO29=ADO26)*(ADM25:ADM29&gt;ADM26)),"")</f>
        <v/>
      </c>
      <c r="ADX26" s="319" t="str">
        <f t="shared" ref="ADX26" ca="1" si="8031">IF(ADI26&lt;&gt;"",SUMPRODUCT((ADT25:ADT29=ADT26)*(ADO25:ADO29=ADO26)*(ADM25:ADM29=ADM26)*(ADQ25:ADQ29&gt;ADQ26)),"")</f>
        <v/>
      </c>
      <c r="ADY26" s="319" t="str">
        <f t="shared" ref="ADY26" ca="1" si="8032">IF(ADI26&lt;&gt;"",SUMPRODUCT((ADT25:ADT29=ADT26)*(ADO25:ADO29=ADO26)*(ADM25:ADM29=ADM26)*(ADQ25:ADQ29=ADQ26)*(ADR25:ADR29&gt;ADR26)),"")</f>
        <v/>
      </c>
      <c r="ADZ26" s="319" t="str">
        <f t="shared" ref="ADZ26" ca="1" si="8033">IF(ADI26&lt;&gt;"",SUMPRODUCT((ADT25:ADT29=ADT26)*(ADO25:ADO29=ADO26)*(ADM25:ADM29=ADM26)*(ADQ25:ADQ29=ADQ26)*(ADR25:ADR29=ADR26)*(ADS25:ADS29&gt;ADS26)),"")</f>
        <v/>
      </c>
      <c r="AEA26" s="319" t="str">
        <f ca="1">IF(ADI26&lt;&gt;"",IF(AEA66&lt;&gt;"",IF(ADH64=3,AEA66,AEA66+ADH64),SUM(ADU26:ADZ26)),"")</f>
        <v/>
      </c>
      <c r="AEB26" s="319" t="str">
        <f t="shared" ref="AEB26" ca="1" si="8034">IF(ADI26&lt;&gt;"",INDEX(ADI25:ADI29,MATCH(2,AEA25:AEA29,0),0),"")</f>
        <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France</v>
      </c>
      <c r="AGL26" s="319">
        <v>2</v>
      </c>
      <c r="AGM26" s="319">
        <v>24</v>
      </c>
      <c r="AGN26" s="319" t="str">
        <f t="shared" si="66"/>
        <v>Georgia</v>
      </c>
      <c r="AGO26" s="322">
        <f ca="1">IF(OFFSET('Player Game Board'!P33,0,AGO1)&lt;&gt;"",OFFSET('Player Game Board'!P33,0,AGO1),0)</f>
        <v>1</v>
      </c>
      <c r="AGP26" s="322">
        <f ca="1">IF(OFFSET('Player Game Board'!Q33,0,AGO1)&lt;&gt;"",OFFSET('Player Game Board'!Q33,0,AGO1),0)</f>
        <v>3</v>
      </c>
      <c r="AGQ26" s="319" t="str">
        <f t="shared" si="67"/>
        <v>Czechia</v>
      </c>
      <c r="AGR26" s="319" t="str">
        <f ca="1">IF(AND(OFFSET('Player Game Board'!P33,0,AGO1)&lt;&gt;"",OFFSET('Player Game Board'!Q33,0,AGO1)&lt;&gt;""),IF(AGO26&gt;AGP26,"W",IF(AGO26=AGP26,"D","L")),"")</f>
        <v>L</v>
      </c>
      <c r="AGS26" s="319" t="str">
        <f t="shared" ca="1" si="5665"/>
        <v>W</v>
      </c>
      <c r="AGT26" s="319"/>
      <c r="AGU26" s="319"/>
      <c r="AGV26" s="324" t="s">
        <v>102</v>
      </c>
      <c r="AGW26" s="325" t="s">
        <v>104</v>
      </c>
      <c r="AGX26" s="325" t="s">
        <v>105</v>
      </c>
      <c r="AGY26" s="325" t="s">
        <v>106</v>
      </c>
      <c r="AGZ26" s="324" t="s">
        <v>106</v>
      </c>
      <c r="AHA26" s="324" t="s">
        <v>105</v>
      </c>
      <c r="AHB26" s="324" t="s">
        <v>104</v>
      </c>
      <c r="AHC26" s="324" t="s">
        <v>102</v>
      </c>
      <c r="AHD26" s="325"/>
      <c r="AHE26" s="326">
        <f t="shared" ref="AHE26" ca="1" si="8055">IFERROR(MATCH(AHE12,AGV26:AGY26,0),0)</f>
        <v>4</v>
      </c>
      <c r="AHF26" s="326">
        <f t="shared" ref="AHF26" ca="1" si="8056">IFERROR(MATCH(AHF12,AGV26:AGY26,0),0)</f>
        <v>0</v>
      </c>
      <c r="AHG26" s="326">
        <f t="shared" ref="AHG26" ca="1" si="8057">IFERROR(MATCH(AHG12,AGV26:AGY26,0),0)</f>
        <v>1</v>
      </c>
      <c r="AHH26" s="326">
        <f t="shared" ref="AHH26" ca="1" si="8058">IFERROR(MATCH(AHH12,AGV26:AGY26,0),0)</f>
        <v>0</v>
      </c>
      <c r="AHI26" s="326">
        <f t="shared" ca="1" si="3826"/>
        <v>5</v>
      </c>
      <c r="AHJ26" s="325" t="s">
        <v>103</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0</v>
      </c>
      <c r="AHP26" s="319">
        <f t="shared" ref="AHP26" ca="1" si="8062">SUMPRODUCT((ALL3:ALL42=AHN26)*(ALP3:ALP42="D"))+SUMPRODUCT((ALO3:ALO42=AHN26)*(ALQ3:ALQ42="D"))</f>
        <v>0</v>
      </c>
      <c r="AHQ26" s="319">
        <f t="shared" ref="AHQ26" ca="1" si="8063">SUMPRODUCT((ALL3:ALL42=AHN26)*(ALP3:ALP42="L"))+SUMPRODUCT((ALO3:ALO42=AHN26)*(ALQ3:ALQ42="L"))</f>
        <v>0</v>
      </c>
      <c r="AHR26" s="319">
        <f t="shared" ref="AHR26" ca="1" si="8064">SUMIF(ALL3:ALL60,AHN26,ALM3:ALM60)+SUMIF(ALO3:ALO60,AHN26,ALN3:ALN60)</f>
        <v>0</v>
      </c>
      <c r="AHS26" s="319">
        <f t="shared" ref="AHS26" ca="1" si="8065">SUMIF(ALO3:ALO60,AHN26,ALM3:ALM60)+SUMIF(ALL3:ALL60,AHN26,ALN3:ALN60)</f>
        <v>0</v>
      </c>
      <c r="AHT26" s="319">
        <f t="shared" ca="1" si="7630"/>
        <v>1000</v>
      </c>
      <c r="AHU26" s="319">
        <f t="shared" ca="1" si="7631"/>
        <v>0</v>
      </c>
      <c r="AHV26" s="319">
        <f t="shared" si="870"/>
        <v>42</v>
      </c>
      <c r="AHW26" s="319">
        <f t="shared" ref="AHW26" ca="1" si="8066">IF(COUNTIF(AHU25:AHU29,4)&lt;&gt;4,RANK(AHU26,AHU25:AHU29),AHU66)</f>
        <v>1</v>
      </c>
      <c r="AHX26" s="319"/>
      <c r="AHY26" s="319">
        <f t="shared" ref="AHY26" ca="1" si="8067">SUMPRODUCT((AHW25:AHW28=AHW26)*(AHV25:AHV28&lt;AHV26))+AHW26</f>
        <v>3</v>
      </c>
      <c r="AHZ26" s="319" t="str">
        <f t="shared" ref="AHZ26" ca="1" si="8068">INDEX(AHN25:AHN29,MATCH(2,AHY25:AHY29,0),0)</f>
        <v>Austria</v>
      </c>
      <c r="AIA26" s="319">
        <f t="shared" ref="AIA26" ca="1" si="8069">INDEX(AHW25:AHW29,MATCH(AHZ26,AHN25:AHN29,0),0)</f>
        <v>1</v>
      </c>
      <c r="AIB26" s="319" t="str">
        <f t="shared" ref="AIB26" ca="1" si="8070">IF(AIB25&lt;&gt;"",AHZ26,"")</f>
        <v>Austria</v>
      </c>
      <c r="AIC26" s="319" t="str">
        <f t="shared" ref="AIC26" ca="1" si="8071">IF(AIC25&lt;&gt;"",AHZ27,"")</f>
        <v/>
      </c>
      <c r="AID26" s="319" t="str">
        <f t="shared" ref="AID26" ca="1" si="8072">IF(AID25&lt;&gt;"",AHZ28,"")</f>
        <v/>
      </c>
      <c r="AIE26" s="319" t="str">
        <f t="shared" ref="AIE26" si="8073">IF(AIE25&lt;&gt;"",AHZ29,"")</f>
        <v/>
      </c>
      <c r="AIF26" s="319"/>
      <c r="AIG26" s="319" t="str">
        <f t="shared" ca="1" si="7640"/>
        <v>Austria</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0</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0</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0</v>
      </c>
      <c r="AIM26" s="319">
        <f t="shared" ca="1" si="7646"/>
        <v>1000</v>
      </c>
      <c r="AIN26" s="319">
        <f t="shared" ca="1" si="7647"/>
        <v>0</v>
      </c>
      <c r="AIO26" s="319">
        <f t="shared" ref="AIO26" ca="1" si="8079">IF(AIG26&lt;&gt;"",VLOOKUP(AIG26,AHN4:AHT40,7,FALSE),"")</f>
        <v>1000</v>
      </c>
      <c r="AIP26" s="319">
        <f t="shared" ref="AIP26" ca="1" si="8080">IF(AIG26&lt;&gt;"",VLOOKUP(AIG26,AHN4:AHT40,5,FALSE),"")</f>
        <v>0</v>
      </c>
      <c r="AIQ26" s="319">
        <f t="shared" ref="AIQ26" ca="1" si="8081">IF(AIG26&lt;&gt;"",VLOOKUP(AIG26,AHN4:AHV40,9,FALSE),"")</f>
        <v>41</v>
      </c>
      <c r="AIR26" s="319">
        <f t="shared" ca="1" si="7651"/>
        <v>0</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2</v>
      </c>
      <c r="AIY26" s="319">
        <f ca="1">IF(AIG26&lt;&gt;"",IF(AIY66&lt;&gt;"",IF(AIF64=3,AIY66,AIY66+AIF64),SUM(AIS26:AIX26)),"")</f>
        <v>3</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0</v>
      </c>
      <c r="ALO26" s="319" t="str">
        <f t="shared" si="83"/>
        <v>Czechia</v>
      </c>
      <c r="ALP26" s="319" t="str">
        <f ca="1">IF(AND(OFFSET('Player Game Board'!P33,0,ALM1)&lt;&gt;"",OFFSET('Player Game Board'!Q33,0,ALM1)&lt;&gt;""),IF(ALM26&gt;ALN26,"W",IF(ALM26=ALN26,"D","L")),"")</f>
        <v/>
      </c>
      <c r="ALQ26" s="319" t="str">
        <f t="shared" ca="1" si="5720"/>
        <v/>
      </c>
      <c r="ALR26" s="319"/>
      <c r="ALS26" s="319"/>
      <c r="ALT26" s="324" t="s">
        <v>102</v>
      </c>
      <c r="ALU26" s="325" t="s">
        <v>104</v>
      </c>
      <c r="ALV26" s="325" t="s">
        <v>105</v>
      </c>
      <c r="ALW26" s="325" t="s">
        <v>106</v>
      </c>
      <c r="ALX26" s="324" t="s">
        <v>106</v>
      </c>
      <c r="ALY26" s="324" t="s">
        <v>105</v>
      </c>
      <c r="ALZ26" s="324" t="s">
        <v>104</v>
      </c>
      <c r="AMA26" s="324" t="s">
        <v>102</v>
      </c>
      <c r="AMB26" s="325"/>
      <c r="AMC26" s="326">
        <f t="shared" ref="AMC26" ca="1" si="8109">IFERROR(MATCH(AMC12,ALT26:ALW26,0),0)</f>
        <v>0</v>
      </c>
      <c r="AMD26" s="326">
        <f t="shared" ref="AMD26" ca="1" si="8110">IFERROR(MATCH(AMD12,ALT26:ALW26,0),0)</f>
        <v>2</v>
      </c>
      <c r="AME26" s="326">
        <f t="shared" ref="AME26" ca="1" si="8111">IFERROR(MATCH(AME12,ALT26:ALW26,0),0)</f>
        <v>1</v>
      </c>
      <c r="AMF26" s="326">
        <f t="shared" ref="AMF26" ca="1" si="8112">IFERROR(MATCH(AMF12,ALT26:ALW26,0),0)</f>
        <v>0</v>
      </c>
      <c r="AMG26" s="326">
        <f t="shared" ca="1" si="3896"/>
        <v>3</v>
      </c>
      <c r="AMH26" s="325" t="s">
        <v>103</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0</v>
      </c>
      <c r="AMN26" s="319">
        <f t="shared" ref="AMN26" ca="1" si="8116">SUMPRODUCT((AQJ3:AQJ42=AML26)*(AQN3:AQN42="D"))+SUMPRODUCT((AQM3:AQM42=AML26)*(AQO3:AQO42="D"))</f>
        <v>0</v>
      </c>
      <c r="AMO26" s="319">
        <f t="shared" ref="AMO26" ca="1" si="8117">SUMPRODUCT((AQJ3:AQJ42=AML26)*(AQN3:AQN42="L"))+SUMPRODUCT((AQM3:AQM42=AML26)*(AQO3:AQO42="L"))</f>
        <v>0</v>
      </c>
      <c r="AMP26" s="319">
        <f t="shared" ref="AMP26" ca="1" si="8118">SUMIF(AQJ3:AQJ60,AML26,AQK3:AQK60)+SUMIF(AQM3:AQM60,AML26,AQL3:AQL60)</f>
        <v>0</v>
      </c>
      <c r="AMQ26" s="319">
        <f t="shared" ref="AMQ26" ca="1" si="8119">SUMIF(AQM3:AQM60,AML26,AQK3:AQK60)+SUMIF(AQJ3:AQJ60,AML26,AQL3:AQL60)</f>
        <v>0</v>
      </c>
      <c r="AMR26" s="319">
        <f t="shared" ca="1" si="7672"/>
        <v>1000</v>
      </c>
      <c r="AMS26" s="319">
        <f t="shared" ca="1" si="7673"/>
        <v>0</v>
      </c>
      <c r="AMT26" s="319">
        <f t="shared" si="930"/>
        <v>42</v>
      </c>
      <c r="AMU26" s="319">
        <f t="shared" ref="AMU26" ca="1" si="8120">IF(COUNTIF(AMS25:AMS29,4)&lt;&gt;4,RANK(AMS26,AMS25:AMS29),AMS66)</f>
        <v>1</v>
      </c>
      <c r="AMV26" s="319"/>
      <c r="AMW26" s="319">
        <f t="shared" ref="AMW26" ca="1" si="8121">SUMPRODUCT((AMU25:AMU28=AMU26)*(AMT25:AMT28&lt;AMT26))+AMU26</f>
        <v>3</v>
      </c>
      <c r="AMX26" s="319" t="str">
        <f t="shared" ref="AMX26" ca="1" si="8122">INDEX(AML25:AML29,MATCH(2,AMW25:AMW29,0),0)</f>
        <v>Austria</v>
      </c>
      <c r="AMY26" s="319">
        <f t="shared" ref="AMY26" ca="1" si="8123">INDEX(AMU25:AMU29,MATCH(AMX26,AML25:AML29,0),0)</f>
        <v>1</v>
      </c>
      <c r="AMZ26" s="319" t="str">
        <f t="shared" ref="AMZ26" ca="1" si="8124">IF(AMZ25&lt;&gt;"",AMX26,"")</f>
        <v>Austria</v>
      </c>
      <c r="ANA26" s="319" t="str">
        <f t="shared" ref="ANA26" ca="1" si="8125">IF(ANA25&lt;&gt;"",AMX27,"")</f>
        <v/>
      </c>
      <c r="ANB26" s="319" t="str">
        <f t="shared" ref="ANB26" ca="1" si="8126">IF(ANB25&lt;&gt;"",AMX28,"")</f>
        <v/>
      </c>
      <c r="ANC26" s="319" t="str">
        <f t="shared" ref="ANC26" si="8127">IF(ANC25&lt;&gt;"",AMX29,"")</f>
        <v/>
      </c>
      <c r="AND26" s="319"/>
      <c r="ANE26" s="319" t="str">
        <f t="shared" ca="1" si="7682"/>
        <v>Austria</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f t="shared" ca="1" si="7689"/>
        <v>0</v>
      </c>
      <c r="ANM26" s="319">
        <f t="shared" ref="ANM26" ca="1" si="8133">IF(ANE26&lt;&gt;"",VLOOKUP(ANE26,AML4:AMR40,7,FALSE),"")</f>
        <v>1000</v>
      </c>
      <c r="ANN26" s="319">
        <f t="shared" ref="ANN26" ca="1" si="8134">IF(ANE26&lt;&gt;"",VLOOKUP(ANE26,AML4:AMR40,5,FALSE),"")</f>
        <v>0</v>
      </c>
      <c r="ANO26" s="319">
        <f t="shared" ref="ANO26" ca="1" si="8135">IF(ANE26&lt;&gt;"",VLOOKUP(ANE26,AML4:AMT40,9,FALSE),"")</f>
        <v>41</v>
      </c>
      <c r="ANP26" s="319">
        <f t="shared" ca="1" si="7693"/>
        <v>0</v>
      </c>
      <c r="ANQ26" s="319">
        <f t="shared" ref="ANQ26" ca="1" si="8136">IF(ANE26&lt;&gt;"",RANK(ANP26,ANP25:ANP29),"")</f>
        <v>1</v>
      </c>
      <c r="ANR26" s="319">
        <f t="shared" ref="ANR26" ca="1" si="8137">IF(ANE26&lt;&gt;"",SUMPRODUCT((ANP25:ANP29=ANP26)*(ANK25:ANK29&gt;ANK26)),"")</f>
        <v>0</v>
      </c>
      <c r="ANS26" s="319">
        <f t="shared" ref="ANS26" ca="1" si="8138">IF(ANE26&lt;&gt;"",SUMPRODUCT((ANP25:ANP29=ANP26)*(ANK25:ANK29=ANK26)*(ANI25:ANI29&gt;ANI26)),"")</f>
        <v>0</v>
      </c>
      <c r="ANT26" s="319">
        <f t="shared" ref="ANT26" ca="1" si="8139">IF(ANE26&lt;&gt;"",SUMPRODUCT((ANP25:ANP29=ANP26)*(ANK25:ANK29=ANK26)*(ANI25:ANI29=ANI26)*(ANM25:ANM29&gt;ANM26)),"")</f>
        <v>0</v>
      </c>
      <c r="ANU26" s="319">
        <f t="shared" ref="ANU26" ca="1" si="8140">IF(ANE26&lt;&gt;"",SUMPRODUCT((ANP25:ANP29=ANP26)*(ANK25:ANK29=ANK26)*(ANI25:ANI29=ANI26)*(ANM25:ANM29=ANM26)*(ANN25:ANN29&gt;ANN26)),"")</f>
        <v>0</v>
      </c>
      <c r="ANV26" s="319">
        <f t="shared" ref="ANV26" ca="1" si="8141">IF(ANE26&lt;&gt;"",SUMPRODUCT((ANP25:ANP29=ANP26)*(ANK25:ANK29=ANK26)*(ANI25:ANI29=ANI26)*(ANM25:ANM29=ANM26)*(ANN25:ANN29=ANN26)*(ANO25:ANO29&gt;ANO26)),"")</f>
        <v>2</v>
      </c>
      <c r="ANW26" s="319">
        <f ca="1">IF(ANE26&lt;&gt;"",IF(ANW66&lt;&gt;"",IF(AND64=3,ANW66,ANW66+AND64),SUM(ANQ26:ANV26)),"")</f>
        <v>3</v>
      </c>
      <c r="ANX26" s="319" t="str">
        <f t="shared" ref="ANX26" ca="1" si="8142">IF(ANE26&lt;&gt;"",INDEX(ANE25:ANE29,MATCH(2,ANW25:ANW29,0),0),"")</f>
        <v>Netherlands</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0</v>
      </c>
      <c r="AQM26" s="319" t="str">
        <f t="shared" si="99"/>
        <v>Czechia</v>
      </c>
      <c r="AQN26" s="319" t="str">
        <f ca="1">IF(AND(OFFSET('Player Game Board'!P33,0,AQK1)&lt;&gt;"",OFFSET('Player Game Board'!Q33,0,AQK1)&lt;&gt;""),IF(AQK26&gt;AQL26,"W",IF(AQK26=AQL26,"D","L")),"")</f>
        <v/>
      </c>
      <c r="AQO26" s="319" t="str">
        <f t="shared" ca="1" si="5775"/>
        <v/>
      </c>
      <c r="AQP26" s="319"/>
      <c r="AQQ26" s="319"/>
      <c r="AQR26" s="324" t="s">
        <v>102</v>
      </c>
      <c r="AQS26" s="325" t="s">
        <v>104</v>
      </c>
      <c r="AQT26" s="325" t="s">
        <v>105</v>
      </c>
      <c r="AQU26" s="325" t="s">
        <v>106</v>
      </c>
      <c r="AQV26" s="324" t="s">
        <v>106</v>
      </c>
      <c r="AQW26" s="324" t="s">
        <v>105</v>
      </c>
      <c r="AQX26" s="324" t="s">
        <v>104</v>
      </c>
      <c r="AQY26" s="324" t="s">
        <v>102</v>
      </c>
      <c r="AQZ26" s="325"/>
      <c r="ARA26" s="326">
        <f t="shared" ref="ARA26" ca="1" si="8163">IFERROR(MATCH(ARA12,AQR26:AQU26,0),0)</f>
        <v>0</v>
      </c>
      <c r="ARB26" s="326">
        <f t="shared" ref="ARB26" ca="1" si="8164">IFERROR(MATCH(ARB12,AQR26:AQU26,0),0)</f>
        <v>2</v>
      </c>
      <c r="ARC26" s="326">
        <f t="shared" ref="ARC26" ca="1" si="8165">IFERROR(MATCH(ARC12,AQR26:AQU26,0),0)</f>
        <v>1</v>
      </c>
      <c r="ARD26" s="326">
        <f t="shared" ref="ARD26" ca="1" si="8166">IFERROR(MATCH(ARD12,AQR26:AQU26,0),0)</f>
        <v>0</v>
      </c>
      <c r="ARE26" s="326">
        <f t="shared" ca="1" si="3966"/>
        <v>3</v>
      </c>
      <c r="ARF26" s="325" t="s">
        <v>103</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0</v>
      </c>
      <c r="ARL26" s="319">
        <f t="shared" ref="ARL26" ca="1" si="8170">SUMPRODUCT((AVH3:AVH42=ARJ26)*(AVL3:AVL42="D"))+SUMPRODUCT((AVK3:AVK42=ARJ26)*(AVM3:AVM42="D"))</f>
        <v>0</v>
      </c>
      <c r="ARM26" s="319">
        <f t="shared" ref="ARM26" ca="1" si="8171">SUMPRODUCT((AVH3:AVH42=ARJ26)*(AVL3:AVL42="L"))+SUMPRODUCT((AVK3:AVK42=ARJ26)*(AVM3:AVM42="L"))</f>
        <v>0</v>
      </c>
      <c r="ARN26" s="319">
        <f t="shared" ref="ARN26" ca="1" si="8172">SUMIF(AVH3:AVH60,ARJ26,AVI3:AVI60)+SUMIF(AVK3:AVK60,ARJ26,AVJ3:AVJ60)</f>
        <v>0</v>
      </c>
      <c r="ARO26" s="319">
        <f t="shared" ref="ARO26" ca="1" si="8173">SUMIF(AVK3:AVK60,ARJ26,AVI3:AVI60)+SUMIF(AVH3:AVH60,ARJ26,AVJ3:AVJ60)</f>
        <v>0</v>
      </c>
      <c r="ARP26" s="319">
        <f t="shared" ca="1" si="7714"/>
        <v>1000</v>
      </c>
      <c r="ARQ26" s="319">
        <f t="shared" ca="1" si="7715"/>
        <v>0</v>
      </c>
      <c r="ARR26" s="319">
        <f t="shared" si="990"/>
        <v>42</v>
      </c>
      <c r="ARS26" s="319">
        <f t="shared" ref="ARS26" ca="1" si="8174">IF(COUNTIF(ARQ25:ARQ29,4)&lt;&gt;4,RANK(ARQ26,ARQ25:ARQ29),ARQ66)</f>
        <v>1</v>
      </c>
      <c r="ART26" s="319"/>
      <c r="ARU26" s="319">
        <f t="shared" ref="ARU26" ca="1" si="8175">SUMPRODUCT((ARS25:ARS28=ARS26)*(ARR25:ARR28&lt;ARR26))+ARS26</f>
        <v>3</v>
      </c>
      <c r="ARV26" s="319" t="str">
        <f t="shared" ref="ARV26" ca="1" si="8176">INDEX(ARJ25:ARJ29,MATCH(2,ARU25:ARU29,0),0)</f>
        <v>Austria</v>
      </c>
      <c r="ARW26" s="319">
        <f t="shared" ref="ARW26" ca="1" si="8177">INDEX(ARS25:ARS29,MATCH(ARV26,ARJ25:ARJ29,0),0)</f>
        <v>1</v>
      </c>
      <c r="ARX26" s="319" t="str">
        <f t="shared" ref="ARX26" ca="1" si="8178">IF(ARX25&lt;&gt;"",ARV26,"")</f>
        <v>Austria</v>
      </c>
      <c r="ARY26" s="319" t="str">
        <f t="shared" ref="ARY26" ca="1" si="8179">IF(ARY25&lt;&gt;"",ARV27,"")</f>
        <v/>
      </c>
      <c r="ARZ26" s="319" t="str">
        <f t="shared" ref="ARZ26" ca="1" si="8180">IF(ARZ25&lt;&gt;"",ARV28,"")</f>
        <v/>
      </c>
      <c r="ASA26" s="319" t="str">
        <f t="shared" ref="ASA26" si="8181">IF(ASA25&lt;&gt;"",ARV29,"")</f>
        <v/>
      </c>
      <c r="ASB26" s="319"/>
      <c r="ASC26" s="319" t="str">
        <f t="shared" ca="1" si="7724"/>
        <v>Austria</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f t="shared" ca="1" si="7731"/>
        <v>0</v>
      </c>
      <c r="ASK26" s="319">
        <f t="shared" ref="ASK26" ca="1" si="8187">IF(ASC26&lt;&gt;"",VLOOKUP(ASC26,ARJ4:ARP40,7,FALSE),"")</f>
        <v>1000</v>
      </c>
      <c r="ASL26" s="319">
        <f t="shared" ref="ASL26" ca="1" si="8188">IF(ASC26&lt;&gt;"",VLOOKUP(ASC26,ARJ4:ARP40,5,FALSE),"")</f>
        <v>0</v>
      </c>
      <c r="ASM26" s="319">
        <f t="shared" ref="ASM26" ca="1" si="8189">IF(ASC26&lt;&gt;"",VLOOKUP(ASC26,ARJ4:ARR40,9,FALSE),"")</f>
        <v>41</v>
      </c>
      <c r="ASN26" s="319">
        <f t="shared" ca="1" si="7735"/>
        <v>0</v>
      </c>
      <c r="ASO26" s="319">
        <f t="shared" ref="ASO26" ca="1" si="8190">IF(ASC26&lt;&gt;"",RANK(ASN26,ASN25:ASN29),"")</f>
        <v>1</v>
      </c>
      <c r="ASP26" s="319">
        <f t="shared" ref="ASP26" ca="1" si="8191">IF(ASC26&lt;&gt;"",SUMPRODUCT((ASN25:ASN29=ASN26)*(ASI25:ASI29&gt;ASI26)),"")</f>
        <v>0</v>
      </c>
      <c r="ASQ26" s="319">
        <f t="shared" ref="ASQ26" ca="1" si="8192">IF(ASC26&lt;&gt;"",SUMPRODUCT((ASN25:ASN29=ASN26)*(ASI25:ASI29=ASI26)*(ASG25:ASG29&gt;ASG26)),"")</f>
        <v>0</v>
      </c>
      <c r="ASR26" s="319">
        <f t="shared" ref="ASR26" ca="1" si="8193">IF(ASC26&lt;&gt;"",SUMPRODUCT((ASN25:ASN29=ASN26)*(ASI25:ASI29=ASI26)*(ASG25:ASG29=ASG26)*(ASK25:ASK29&gt;ASK26)),"")</f>
        <v>0</v>
      </c>
      <c r="ASS26" s="319">
        <f t="shared" ref="ASS26" ca="1" si="8194">IF(ASC26&lt;&gt;"",SUMPRODUCT((ASN25:ASN29=ASN26)*(ASI25:ASI29=ASI26)*(ASG25:ASG29=ASG26)*(ASK25:ASK29=ASK26)*(ASL25:ASL29&gt;ASL26)),"")</f>
        <v>0</v>
      </c>
      <c r="AST26" s="319">
        <f t="shared" ref="AST26" ca="1" si="8195">IF(ASC26&lt;&gt;"",SUMPRODUCT((ASN25:ASN29=ASN26)*(ASI25:ASI29=ASI26)*(ASG25:ASG29=ASG26)*(ASK25:ASK29=ASK26)*(ASL25:ASL29=ASL26)*(ASM25:ASM29&gt;ASM26)),"")</f>
        <v>2</v>
      </c>
      <c r="ASU26" s="319">
        <f ca="1">IF(ASC26&lt;&gt;"",IF(ASU66&lt;&gt;"",IF(ASB64=3,ASU66,ASU66+ASB64),SUM(ASO26:AST26)),"")</f>
        <v>3</v>
      </c>
      <c r="ASV26" s="319" t="str">
        <f t="shared" ref="ASV26" ca="1" si="8196">IF(ASC26&lt;&gt;"",INDEX(ASC25:ASC29,MATCH(2,ASU25:ASU29,0),0),"")</f>
        <v>Netherlands</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0</v>
      </c>
      <c r="AVJ26" s="322">
        <f ca="1">IF(OFFSET('Player Game Board'!Q33,0,AVI1)&lt;&gt;"",OFFSET('Player Game Board'!Q33,0,AVI1),0)</f>
        <v>0</v>
      </c>
      <c r="AVK26" s="319" t="str">
        <f t="shared" si="115"/>
        <v>Czechia</v>
      </c>
      <c r="AVL26" s="319" t="str">
        <f ca="1">IF(AND(OFFSET('Player Game Board'!P33,0,AVI1)&lt;&gt;"",OFFSET('Player Game Board'!Q33,0,AVI1)&lt;&gt;""),IF(AVI26&gt;AVJ26,"W",IF(AVI26=AVJ26,"D","L")),"")</f>
        <v/>
      </c>
      <c r="AVM26" s="319" t="str">
        <f t="shared" ca="1" si="5830"/>
        <v/>
      </c>
      <c r="AVN26" s="319"/>
      <c r="AVO26" s="319"/>
      <c r="AVP26" s="324" t="s">
        <v>102</v>
      </c>
      <c r="AVQ26" s="325" t="s">
        <v>104</v>
      </c>
      <c r="AVR26" s="325" t="s">
        <v>105</v>
      </c>
      <c r="AVS26" s="325" t="s">
        <v>106</v>
      </c>
      <c r="AVT26" s="324" t="s">
        <v>106</v>
      </c>
      <c r="AVU26" s="324" t="s">
        <v>105</v>
      </c>
      <c r="AVV26" s="324" t="s">
        <v>104</v>
      </c>
      <c r="AVW26" s="324" t="s">
        <v>102</v>
      </c>
      <c r="AVX26" s="325"/>
      <c r="AVY26" s="326">
        <f t="shared" ref="AVY26" ca="1" si="8217">IFERROR(MATCH(AVY12,AVP26:AVS26,0),0)</f>
        <v>0</v>
      </c>
      <c r="AVZ26" s="326">
        <f t="shared" ref="AVZ26" ca="1" si="8218">IFERROR(MATCH(AVZ12,AVP26:AVS26,0),0)</f>
        <v>2</v>
      </c>
      <c r="AWA26" s="326">
        <f t="shared" ref="AWA26" ca="1" si="8219">IFERROR(MATCH(AWA12,AVP26:AVS26,0),0)</f>
        <v>1</v>
      </c>
      <c r="AWB26" s="326">
        <f t="shared" ref="AWB26" ca="1" si="8220">IFERROR(MATCH(AWB12,AVP26:AVS26,0),0)</f>
        <v>0</v>
      </c>
      <c r="AWC26" s="326">
        <f t="shared" ca="1" si="4036"/>
        <v>3</v>
      </c>
      <c r="AWD26" s="325" t="s">
        <v>103</v>
      </c>
      <c r="AWE26" s="325" t="str">
        <f t="shared" ref="AWE26" ca="1" si="8221">VLOOKUP(1,ARI18:ARJ21,2,FALSE)</f>
        <v>England</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0</v>
      </c>
      <c r="AWJ26" s="319">
        <f t="shared" ref="AWJ26" ca="1" si="8224">SUMPRODUCT((BAF3:BAF42=AWH26)*(BAJ3:BAJ42="D"))+SUMPRODUCT((BAI3:BAI42=AWH26)*(BAK3:BAK42="D"))</f>
        <v>0</v>
      </c>
      <c r="AWK26" s="319">
        <f t="shared" ref="AWK26" ca="1" si="8225">SUMPRODUCT((BAF3:BAF42=AWH26)*(BAJ3:BAJ42="L"))+SUMPRODUCT((BAI3:BAI42=AWH26)*(BAK3:BAK42="L"))</f>
        <v>0</v>
      </c>
      <c r="AWL26" s="319">
        <f t="shared" ref="AWL26" ca="1" si="8226">SUMIF(BAF3:BAF60,AWH26,BAG3:BAG60)+SUMIF(BAI3:BAI60,AWH26,BAH3:BAH60)</f>
        <v>0</v>
      </c>
      <c r="AWM26" s="319">
        <f t="shared" ref="AWM26" ca="1" si="8227">SUMIF(BAI3:BAI60,AWH26,BAG3:BAG60)+SUMIF(BAF3:BAF60,AWH26,BAH3:BAH60)</f>
        <v>0</v>
      </c>
      <c r="AWN26" s="319">
        <f t="shared" ca="1" si="7756"/>
        <v>1000</v>
      </c>
      <c r="AWO26" s="319">
        <f t="shared" ca="1" si="7757"/>
        <v>0</v>
      </c>
      <c r="AWP26" s="319">
        <f t="shared" si="1050"/>
        <v>42</v>
      </c>
      <c r="AWQ26" s="319">
        <f t="shared" ref="AWQ26" ca="1" si="8228">IF(COUNTIF(AWO25:AWO29,4)&lt;&gt;4,RANK(AWO26,AWO25:AWO29),AWO66)</f>
        <v>1</v>
      </c>
      <c r="AWR26" s="319"/>
      <c r="AWS26" s="319">
        <f t="shared" ref="AWS26" ca="1" si="8229">SUMPRODUCT((AWQ25:AWQ28=AWQ26)*(AWP25:AWP28&lt;AWP26))+AWQ26</f>
        <v>3</v>
      </c>
      <c r="AWT26" s="319" t="str">
        <f t="shared" ref="AWT26" ca="1" si="8230">INDEX(AWH25:AWH29,MATCH(2,AWS25:AWS29,0),0)</f>
        <v>Austria</v>
      </c>
      <c r="AWU26" s="319">
        <f t="shared" ref="AWU26" ca="1" si="8231">INDEX(AWQ25:AWQ29,MATCH(AWT26,AWH25:AWH29,0),0)</f>
        <v>1</v>
      </c>
      <c r="AWV26" s="319" t="str">
        <f t="shared" ref="AWV26" ca="1" si="8232">IF(AWV25&lt;&gt;"",AWT26,"")</f>
        <v>Austria</v>
      </c>
      <c r="AWW26" s="319" t="str">
        <f t="shared" ref="AWW26" ca="1" si="8233">IF(AWW25&lt;&gt;"",AWT27,"")</f>
        <v/>
      </c>
      <c r="AWX26" s="319" t="str">
        <f t="shared" ref="AWX26" ca="1" si="8234">IF(AWX25&lt;&gt;"",AWT28,"")</f>
        <v/>
      </c>
      <c r="AWY26" s="319" t="str">
        <f t="shared" ref="AWY26" si="8235">IF(AWY25&lt;&gt;"",AWT29,"")</f>
        <v/>
      </c>
      <c r="AWZ26" s="319"/>
      <c r="AXA26" s="319" t="str">
        <f t="shared" ca="1" si="7766"/>
        <v>Austria</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f t="shared" ca="1" si="7773"/>
        <v>0</v>
      </c>
      <c r="AXI26" s="319">
        <f t="shared" ref="AXI26" ca="1" si="8241">IF(AXA26&lt;&gt;"",VLOOKUP(AXA26,AWH4:AWN40,7,FALSE),"")</f>
        <v>1000</v>
      </c>
      <c r="AXJ26" s="319">
        <f t="shared" ref="AXJ26" ca="1" si="8242">IF(AXA26&lt;&gt;"",VLOOKUP(AXA26,AWH4:AWN40,5,FALSE),"")</f>
        <v>0</v>
      </c>
      <c r="AXK26" s="319">
        <f t="shared" ref="AXK26" ca="1" si="8243">IF(AXA26&lt;&gt;"",VLOOKUP(AXA26,AWH4:AWP40,9,FALSE),"")</f>
        <v>41</v>
      </c>
      <c r="AXL26" s="319">
        <f t="shared" ca="1" si="7777"/>
        <v>0</v>
      </c>
      <c r="AXM26" s="319">
        <f t="shared" ref="AXM26" ca="1" si="8244">IF(AXA26&lt;&gt;"",RANK(AXL26,AXL25:AXL29),"")</f>
        <v>1</v>
      </c>
      <c r="AXN26" s="319">
        <f t="shared" ref="AXN26" ca="1" si="8245">IF(AXA26&lt;&gt;"",SUMPRODUCT((AXL25:AXL29=AXL26)*(AXG25:AXG29&gt;AXG26)),"")</f>
        <v>0</v>
      </c>
      <c r="AXO26" s="319">
        <f t="shared" ref="AXO26" ca="1" si="8246">IF(AXA26&lt;&gt;"",SUMPRODUCT((AXL25:AXL29=AXL26)*(AXG25:AXG29=AXG26)*(AXE25:AXE29&gt;AXE26)),"")</f>
        <v>0</v>
      </c>
      <c r="AXP26" s="319">
        <f t="shared" ref="AXP26" ca="1" si="8247">IF(AXA26&lt;&gt;"",SUMPRODUCT((AXL25:AXL29=AXL26)*(AXG25:AXG29=AXG26)*(AXE25:AXE29=AXE26)*(AXI25:AXI29&gt;AXI26)),"")</f>
        <v>0</v>
      </c>
      <c r="AXQ26" s="319">
        <f t="shared" ref="AXQ26" ca="1" si="8248">IF(AXA26&lt;&gt;"",SUMPRODUCT((AXL25:AXL29=AXL26)*(AXG25:AXG29=AXG26)*(AXE25:AXE29=AXE26)*(AXI25:AXI29=AXI26)*(AXJ25:AXJ29&gt;AXJ26)),"")</f>
        <v>0</v>
      </c>
      <c r="AXR26" s="319">
        <f t="shared" ref="AXR26" ca="1" si="8249">IF(AXA26&lt;&gt;"",SUMPRODUCT((AXL25:AXL29=AXL26)*(AXG25:AXG29=AXG26)*(AXE25:AXE29=AXE26)*(AXI25:AXI29=AXI26)*(AXJ25:AXJ29=AXJ26)*(AXK25:AXK29&gt;AXK26)),"")</f>
        <v>2</v>
      </c>
      <c r="AXS26" s="319">
        <f ca="1">IF(AXA26&lt;&gt;"",IF(AXS66&lt;&gt;"",IF(AWZ64=3,AXS66,AXS66+AWZ64),SUM(AXM26:AXR26)),"")</f>
        <v>3</v>
      </c>
      <c r="AXT26" s="319" t="str">
        <f t="shared" ref="AXT26" ca="1" si="8250">IF(AXA26&lt;&gt;"",INDEX(AXA25:AXA29,MATCH(2,AXS25:AXS29,0),0),"")</f>
        <v>Netherlands</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0</v>
      </c>
      <c r="BAH26" s="322">
        <f ca="1">IF(OFFSET('Player Game Board'!Q33,0,BAG1)&lt;&gt;"",OFFSET('Player Game Board'!Q33,0,BAG1),0)</f>
        <v>0</v>
      </c>
      <c r="BAI26" s="319" t="str">
        <f t="shared" si="131"/>
        <v>Czechia</v>
      </c>
      <c r="BAJ26" s="319" t="str">
        <f ca="1">IF(AND(OFFSET('Player Game Board'!P33,0,BAG1)&lt;&gt;"",OFFSET('Player Game Board'!Q33,0,BAG1)&lt;&gt;""),IF(BAG26&gt;BAH26,"W",IF(BAG26=BAH26,"D","L")),"")</f>
        <v/>
      </c>
      <c r="BAK26" s="319" t="str">
        <f t="shared" ca="1" si="5885"/>
        <v/>
      </c>
      <c r="BAL26" s="319"/>
      <c r="BAM26" s="319"/>
      <c r="BAN26" s="324" t="s">
        <v>102</v>
      </c>
      <c r="BAO26" s="325" t="s">
        <v>104</v>
      </c>
      <c r="BAP26" s="325" t="s">
        <v>105</v>
      </c>
      <c r="BAQ26" s="325" t="s">
        <v>106</v>
      </c>
      <c r="BAR26" s="324" t="s">
        <v>106</v>
      </c>
      <c r="BAS26" s="324" t="s">
        <v>105</v>
      </c>
      <c r="BAT26" s="324" t="s">
        <v>104</v>
      </c>
      <c r="BAU26" s="324" t="s">
        <v>102</v>
      </c>
      <c r="BAV26" s="325"/>
      <c r="BAW26" s="326">
        <f t="shared" ref="BAW26" ca="1" si="8271">IFERROR(MATCH(BAW12,BAN26:BAQ26,0),0)</f>
        <v>0</v>
      </c>
      <c r="BAX26" s="326">
        <f t="shared" ref="BAX26" ca="1" si="8272">IFERROR(MATCH(BAX12,BAN26:BAQ26,0),0)</f>
        <v>2</v>
      </c>
      <c r="BAY26" s="326">
        <f t="shared" ref="BAY26" ca="1" si="8273">IFERROR(MATCH(BAY12,BAN26:BAQ26,0),0)</f>
        <v>1</v>
      </c>
      <c r="BAZ26" s="326">
        <f t="shared" ref="BAZ26" ca="1" si="8274">IFERROR(MATCH(BAZ12,BAN26:BAQ26,0),0)</f>
        <v>0</v>
      </c>
      <c r="BBA26" s="326">
        <f t="shared" ca="1" si="4106"/>
        <v>3</v>
      </c>
      <c r="BBB26" s="325" t="s">
        <v>103</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102</v>
      </c>
      <c r="BFM26" s="325" t="s">
        <v>104</v>
      </c>
      <c r="BFN26" s="325" t="s">
        <v>105</v>
      </c>
      <c r="BFO26" s="325" t="s">
        <v>106</v>
      </c>
      <c r="BFP26" s="324" t="s">
        <v>106</v>
      </c>
      <c r="BFQ26" s="324" t="s">
        <v>105</v>
      </c>
      <c r="BFR26" s="324" t="s">
        <v>104</v>
      </c>
      <c r="BFS26" s="324" t="s">
        <v>102</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103</v>
      </c>
      <c r="BGA26" s="325" t="str">
        <f t="shared" ref="BGA26" ca="1" si="8329">VLOOKUP(1,BBE18:BBF21,2,FALSE)</f>
        <v>England</v>
      </c>
      <c r="BGB26" s="325">
        <f t="shared" ca="1" si="5439"/>
        <v>1</v>
      </c>
    </row>
    <row r="27" spans="1:1536" ht="13.8" x14ac:dyDescent="0.3">
      <c r="A27" s="319">
        <f>VLOOKUP(B27,CW25:CX29,2,FALSE)</f>
        <v>4</v>
      </c>
      <c r="B27" s="319" t="str">
        <f>'Language Table'!C7</f>
        <v>Austria</v>
      </c>
      <c r="C27" s="319">
        <f>SUMPRODUCT((CZ3:CZ42=B27)*(DD3:DD42="W"))+SUMPRODUCT((DC3:DC42=B27)*(DE3:DE42="W"))</f>
        <v>0</v>
      </c>
      <c r="D27" s="319">
        <f>SUMPRODUCT((CZ3:CZ42=B27)*(DD3:DD42="D"))+SUMPRODUCT((DC3:DC42=B27)*(DE3:DE42="D"))</f>
        <v>0</v>
      </c>
      <c r="E27" s="319">
        <f>SUMPRODUCT((CZ3:CZ42=B27)*(DD3:DD42="L"))+SUMPRODUCT((DC3:DC42=B27)*(DE3:DE42="L"))</f>
        <v>1</v>
      </c>
      <c r="F27" s="319">
        <f>SUMIF(CZ3:CZ60,B27,DA3:DA60)+SUMIF(DC3:DC60,B27,DB3:DB60)</f>
        <v>0</v>
      </c>
      <c r="G27" s="319">
        <f>SUMIF(DC3:DC60,B27,DA3:DA60)+SUMIF(CZ3:CZ60,B27,DB3:DB60)</f>
        <v>1</v>
      </c>
      <c r="H27" s="319">
        <f t="shared" si="7443"/>
        <v>999</v>
      </c>
      <c r="I27" s="319">
        <f t="shared" si="7444"/>
        <v>0</v>
      </c>
      <c r="J27" s="319">
        <v>41</v>
      </c>
      <c r="K27" s="319">
        <f>IF(COUNTIF(I25:I29,4)&lt;&gt;4,RANK(I27,I25:I29),I67)</f>
        <v>3</v>
      </c>
      <c r="L27" s="319"/>
      <c r="M27" s="319">
        <f>SUMPRODUCT((K25:K28=K27)*(J25:J28&lt;J27))+K27</f>
        <v>4</v>
      </c>
      <c r="N27" s="319" t="str">
        <f>INDEX(B25:B29,MATCH(3,M25:M29,0),0)</f>
        <v>Poland</v>
      </c>
      <c r="O27" s="319">
        <f>INDEX(K25:K29,MATCH(N27,B25:B29,0),0)</f>
        <v>3</v>
      </c>
      <c r="P27" s="319" t="str">
        <f>IF(AND(P26&lt;&gt;"",O27=1),N27,"")</f>
        <v/>
      </c>
      <c r="Q27" s="319" t="str">
        <f>IF(AND(Q26&lt;&gt;"",O28=2),N28,"")</f>
        <v/>
      </c>
      <c r="R27" s="319" t="str">
        <f>IF(AND(R26&lt;&gt;"",O29=3),N29,"")</f>
        <v/>
      </c>
      <c r="S27" s="319"/>
      <c r="T27" s="319"/>
      <c r="U27" s="319" t="str">
        <f t="shared" si="7833"/>
        <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1000</v>
      </c>
      <c r="AB27" s="319" t="str">
        <f t="shared" si="7445"/>
        <v/>
      </c>
      <c r="AC27" s="319" t="str">
        <f>IF(U27&lt;&gt;"",VLOOKUP(U27,B4:H40,7,FALSE),"")</f>
        <v/>
      </c>
      <c r="AD27" s="319" t="str">
        <f>IF(U27&lt;&gt;"",VLOOKUP(U27,B4:H40,5,FALSE),"")</f>
        <v/>
      </c>
      <c r="AE27" s="319" t="str">
        <f>IF(U27&lt;&gt;"",VLOOKUP(U27,B4:J40,9,FALSE),"")</f>
        <v/>
      </c>
      <c r="AF27" s="319" t="str">
        <f t="shared" si="7446"/>
        <v/>
      </c>
      <c r="AG27" s="319" t="str">
        <f>IF(U27&lt;&gt;"",RANK(AF27,AF25:AF29),"")</f>
        <v/>
      </c>
      <c r="AH27" s="319" t="str">
        <f>IF(U27&lt;&gt;"",SUMPRODUCT((AF25:AF29=AF27)*(AA25:AA29&gt;AA27)),"")</f>
        <v/>
      </c>
      <c r="AI27" s="319" t="str">
        <f>IF(U27&lt;&gt;"",SUMPRODUCT((AF25:AF29=AF27)*(AA25:AA29=AA27)*(Y25:Y29&gt;Y27)),"")</f>
        <v/>
      </c>
      <c r="AJ27" s="319" t="str">
        <f>IF(U27&lt;&gt;"",SUMPRODUCT((AF25:AF29=AF27)*(AA25:AA29=AA27)*(Y25:Y29=Y27)*(AC25:AC29&gt;AC27)),"")</f>
        <v/>
      </c>
      <c r="AK27" s="319" t="str">
        <f>IF(U27&lt;&gt;"",SUMPRODUCT((AF25:AF29=AF27)*(AA25:AA29=AA27)*(Y25:Y29=Y27)*(AC25:AC29=AC27)*(AD25:AD29&gt;AD27)),"")</f>
        <v/>
      </c>
      <c r="AL27" s="319" t="str">
        <f>IF(U27&lt;&gt;"",SUMPRODUCT((AF25:AF29=AF27)*(AA25:AA29=AA27)*(Y25:Y29=Y27)*(AC25:AC29=AC27)*(AD25:AD29=AD27)*(AE25:AE29&gt;AE27)),"")</f>
        <v/>
      </c>
      <c r="AM27" s="319" t="str">
        <f>IF(U27&lt;&gt;"",IF(AM67&lt;&gt;"",IF(T64=3,AM67,AM67+T64),SUM(AG27:AL27)),"")</f>
        <v/>
      </c>
      <c r="AN27" s="319" t="str">
        <f>IF(U27&lt;&gt;"",INDEX(U25:U29,MATCH(3,AM25:AM29,0),0),"")</f>
        <v/>
      </c>
      <c r="AO27" s="319" t="str">
        <f>IF(Q26&lt;&gt;"",Q26,"")</f>
        <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t="str">
        <f t="shared" si="7834"/>
        <v/>
      </c>
      <c r="AW27" s="319" t="str">
        <f>IF(AO27&lt;&gt;"",VLOOKUP(AO27,B4:H40,7,FALSE),"")</f>
        <v/>
      </c>
      <c r="AX27" s="319" t="str">
        <f>IF(AO27&lt;&gt;"",VLOOKUP(AO27,B4:H40,5,FALSE),"")</f>
        <v/>
      </c>
      <c r="AY27" s="319" t="str">
        <f>IF(AO27&lt;&gt;"",VLOOKUP(AO27,B4:J40,9,FALSE),"")</f>
        <v/>
      </c>
      <c r="AZ27" s="319" t="str">
        <f t="shared" si="7835"/>
        <v/>
      </c>
      <c r="BA27" s="319" t="str">
        <f>IF(AO27&lt;&gt;"",RANK(AZ27,AZ25:AZ29),"")</f>
        <v/>
      </c>
      <c r="BB27" s="319" t="str">
        <f>IF(AO27&lt;&gt;"",SUMPRODUCT((AZ25:AZ29=AZ27)*(AU25:AU29&gt;AU27)),"")</f>
        <v/>
      </c>
      <c r="BC27" s="319" t="str">
        <f>IF(AO27&lt;&gt;"",SUMPRODUCT((AZ25:AZ29=AZ27)*(AU25:AU29=AU27)*(AS25:AS29&gt;AS27)),"")</f>
        <v/>
      </c>
      <c r="BD27" s="319" t="str">
        <f>IF(AO27&lt;&gt;"",SUMPRODUCT((AZ25:AZ29=AZ27)*(AU25:AU29=AU27)*(AS25:AS29=AS27)*(AW25:AW29&gt;AW27)),"")</f>
        <v/>
      </c>
      <c r="BE27" s="319" t="str">
        <f>IF(AO27&lt;&gt;"",SUMPRODUCT((AZ25:AZ29=AZ27)*(AU25:AU29=AU27)*(AS25:AS29=AS27)*(AW25:AW29=AW27)*(AX25:AX29&gt;AX27)),"")</f>
        <v/>
      </c>
      <c r="BF27" s="319" t="str">
        <f>IF(AO27&lt;&gt;"",SUMPRODUCT((AZ25:AZ29=AZ27)*(AU25:AU29=AU27)*(AS25:AS29=AS27)*(AW25:AW29=AW27)*(AX25:AX29=AX27)*(AY25:AY29&gt;AY27)),"")</f>
        <v/>
      </c>
      <c r="BG27" s="319" t="str">
        <f>IF(AO27&lt;&gt;"",IF(BG67&lt;&gt;"",IF(AN64=3,BG67,BG67+AN64),SUM(BA27:BF27)+1),"")</f>
        <v/>
      </c>
      <c r="BH27" s="319" t="str">
        <f>IF(AO27&lt;&gt;"",INDEX(AO26:AO29,MATCH(3,BG26:BG29,0),0),"")</f>
        <v/>
      </c>
      <c r="BI27" s="319" t="str">
        <f>IF(R25&lt;&gt;"",R25,"")</f>
        <v>Poland</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f t="shared" ref="BP27:BP28" si="8330">IF(BI27&lt;&gt;"",BJ27*3+BK27*1,"")</f>
        <v>0</v>
      </c>
      <c r="BQ27" s="319">
        <f>IF(BI27&lt;&gt;"",VLOOKUP(BI27,B4:H40,7,FALSE),"")</f>
        <v>999</v>
      </c>
      <c r="BR27" s="319">
        <f>IF(BI27&lt;&gt;"",VLOOKUP(BI27,B4:H40,5,FALSE),"")</f>
        <v>1</v>
      </c>
      <c r="BS27" s="319">
        <f>IF(BI27&lt;&gt;"",VLOOKUP(BI27,B4:J40,9,FALSE),"")</f>
        <v>0</v>
      </c>
      <c r="BT27" s="319">
        <f t="shared" ref="BT27:BT28" si="8331">BP27</f>
        <v>0</v>
      </c>
      <c r="BU27" s="319">
        <f>IF(BI27&lt;&gt;"",RANK(BT27,BT25:BT29),"")</f>
        <v>1</v>
      </c>
      <c r="BV27" s="319">
        <f>IF(BI27&lt;&gt;"",SUMPRODUCT((BT25:BT29=BT27)*(BO25:BO29&gt;BO27)),"")</f>
        <v>0</v>
      </c>
      <c r="BW27" s="319">
        <f>IF(BI27&lt;&gt;"",SUMPRODUCT((BT25:BT29=BT27)*(BO25:BO29=BO27)*(BM25:BM29&gt;BM27)),"")</f>
        <v>0</v>
      </c>
      <c r="BX27" s="319">
        <f>IF(BI27&lt;&gt;"",SUMPRODUCT((BT25:BT29=BT27)*(BO25:BO29=BO27)*(BM25:BM29=BM27)*(BQ25:BQ29&gt;BQ27)),"")</f>
        <v>0</v>
      </c>
      <c r="BY27" s="319">
        <f>IF(BI27&lt;&gt;"",SUMPRODUCT((BT25:BT29=BT27)*(BO25:BO29=BO27)*(BM25:BM29=BM27)*(BQ25:BQ29=BQ27)*(BR25:BR29&gt;BR27)),"")</f>
        <v>0</v>
      </c>
      <c r="BZ27" s="319">
        <f>IF(BI27&lt;&gt;"",SUMPRODUCT((BT25:BT29=BT27)*(BO25:BO29=BO27)*(BM25:BM29=BM27)*(BQ25:BQ29=BQ27)*(BR25:BR29=BR27)*(BS25:BS29&gt;BS27)),"")</f>
        <v>0</v>
      </c>
      <c r="CA27" s="319">
        <f>IF(BI27&lt;&gt;"",SUM(BU27:BZ27)+2,"")</f>
        <v>3</v>
      </c>
      <c r="CB27" s="319" t="str">
        <f>IF(BI27&lt;&gt;"",INDEX(BI27:BI29,MATCH(3,CA27:CA29,0),0),"")</f>
        <v>Poland</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Poland</v>
      </c>
      <c r="CX27" s="319">
        <v>3</v>
      </c>
      <c r="CY27" s="319">
        <v>25</v>
      </c>
      <c r="CZ27" s="319" t="str">
        <f>Matches!G32</f>
        <v>Switzerland</v>
      </c>
      <c r="DA27" s="319">
        <f>IF(AND(Matches!H32&lt;&gt;"",Matches!I32&lt;&gt;""),Matches!H32,0)</f>
        <v>0</v>
      </c>
      <c r="DB27" s="319">
        <f>IF(AND(Matches!I32&lt;&gt;"",Matches!H32&lt;&gt;""),Matches!I32,0)</f>
        <v>0</v>
      </c>
      <c r="DC27" s="319" t="str">
        <f>Matches!J32</f>
        <v>Germany</v>
      </c>
      <c r="DD27" s="319" t="str">
        <f>IF(AND(Matches!H32&lt;&gt;"",Matches!I32&lt;&gt;""),IF(DA27&gt;DB27,"W",IF(DA27=DB27,"D","L")),"")</f>
        <v/>
      </c>
      <c r="DE27" s="319" t="str">
        <f t="shared" si="162"/>
        <v/>
      </c>
      <c r="DF27" s="319"/>
      <c r="DG27" s="319"/>
      <c r="DH27" s="324" t="s">
        <v>103</v>
      </c>
      <c r="DI27" s="325" t="s">
        <v>104</v>
      </c>
      <c r="DJ27" s="325" t="s">
        <v>105</v>
      </c>
      <c r="DK27" s="325" t="s">
        <v>106</v>
      </c>
      <c r="DL27" s="324" t="s">
        <v>106</v>
      </c>
      <c r="DM27" s="324" t="s">
        <v>105</v>
      </c>
      <c r="DN27" s="324" t="s">
        <v>104</v>
      </c>
      <c r="DO27" s="324" t="s">
        <v>103</v>
      </c>
      <c r="DP27" s="325"/>
      <c r="DQ27" s="326">
        <f>IFERROR(MATCH(DQ12,DH27:DK27,0),0)</f>
        <v>1</v>
      </c>
      <c r="DR27" s="326">
        <f>IFERROR(MATCH(DR12,DH27:DK27,0),0)</f>
        <v>0</v>
      </c>
      <c r="DS27" s="326">
        <f>IFERROR(MATCH(DS12,DH27:DK27,0),0)</f>
        <v>4</v>
      </c>
      <c r="DT27" s="326">
        <f>IFERROR(MATCH(DT12,DH27:DK27,0),0)</f>
        <v>2</v>
      </c>
      <c r="DU27" s="326">
        <f t="shared" si="3541"/>
        <v>7</v>
      </c>
      <c r="DV27" s="319"/>
      <c r="DW27" s="319" t="str">
        <f>VLOOKUP(2,A18:B21,2,FALSE)</f>
        <v>Denmark</v>
      </c>
      <c r="DX27" s="325"/>
      <c r="DY27" s="319">
        <f ca="1">VLOOKUP(DZ27,HU25:HV29,2,FALSE)</f>
        <v>3</v>
      </c>
      <c r="DZ27" s="319" t="str">
        <f t="shared" si="7836"/>
        <v>Austria</v>
      </c>
      <c r="EA27" s="319">
        <f ca="1">SUMPRODUCT((HX3:HX42=DZ27)*(IB3:IB42="W"))+SUMPRODUCT((IA3:IA42=DZ27)*(IC3:IC42="W"))</f>
        <v>1</v>
      </c>
      <c r="EB27" s="319">
        <f ca="1">SUMPRODUCT((HX3:HX42=DZ27)*(IB3:IB42="D"))+SUMPRODUCT((IA3:IA42=DZ27)*(IC3:IC42="D"))</f>
        <v>1</v>
      </c>
      <c r="EC27" s="319">
        <f ca="1">SUMPRODUCT((HX3:HX42=DZ27)*(IB3:IB42="L"))+SUMPRODUCT((IA3:IA42=DZ27)*(IC3:IC42="L"))</f>
        <v>1</v>
      </c>
      <c r="ED27" s="319">
        <f ca="1">SUMIF(HX3:HX60,DZ27,HY3:HY60)+SUMIF(IA3:IA60,DZ27,HZ3:HZ60)</f>
        <v>5</v>
      </c>
      <c r="EE27" s="319">
        <f ca="1">SUMIF(IA3:IA60,DZ27,HY3:HY60)+SUMIF(HX3:HX60,DZ27,HZ3:HZ60)</f>
        <v>6</v>
      </c>
      <c r="EF27" s="319">
        <f t="shared" ca="1" si="7447"/>
        <v>999</v>
      </c>
      <c r="EG27" s="319">
        <f t="shared" ca="1" si="7448"/>
        <v>4</v>
      </c>
      <c r="EH27" s="319">
        <f t="shared" si="609"/>
        <v>41</v>
      </c>
      <c r="EI27" s="319">
        <f ca="1">IF(COUNTIF(EG25:EG29,4)&lt;&gt;4,RANK(EG27,EG25:EG29),EG67)</f>
        <v>3</v>
      </c>
      <c r="EJ27" s="319"/>
      <c r="EK27" s="319">
        <f ca="1">SUMPRODUCT((EI25:EI28=EI27)*(EH25:EH28&lt;EH27))+EI27</f>
        <v>3</v>
      </c>
      <c r="EL27" s="319" t="str">
        <f ca="1">INDEX(DZ25:DZ29,MATCH(3,EK25:EK29,0),0)</f>
        <v>Austria</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Austria</v>
      </c>
      <c r="HV27" s="319">
        <v>3</v>
      </c>
      <c r="HW27" s="319">
        <v>25</v>
      </c>
      <c r="HX27" s="319" t="str">
        <f t="shared" si="164"/>
        <v>Switzerland</v>
      </c>
      <c r="HY27" s="322">
        <f ca="1">IF(OFFSET('Player Game Board'!P34,0,HY1)&lt;&gt;"",OFFSET('Player Game Board'!P34,0,HY1),0)</f>
        <v>2</v>
      </c>
      <c r="HZ27" s="322">
        <f ca="1">IF(OFFSET('Player Game Board'!Q34,0,HY1)&lt;&gt;"",OFFSET('Player Game Board'!Q34,0,HY1),0)</f>
        <v>2</v>
      </c>
      <c r="IA27" s="319" t="str">
        <f t="shared" si="165"/>
        <v>Germany</v>
      </c>
      <c r="IB27" s="319" t="str">
        <f ca="1">IF(AND(OFFSET('Player Game Board'!P34,0,HY1)&lt;&gt;"",OFFSET('Player Game Board'!Q34,0,HY1)&lt;&gt;""),IF(HY27&gt;HZ27,"W",IF(HY27=HZ27,"D","L")),"")</f>
        <v>D</v>
      </c>
      <c r="IC27" s="319" t="str">
        <f t="shared" ca="1" si="166"/>
        <v>D</v>
      </c>
      <c r="ID27" s="319"/>
      <c r="IE27" s="319"/>
      <c r="IF27" s="324" t="s">
        <v>103</v>
      </c>
      <c r="IG27" s="325" t="s">
        <v>104</v>
      </c>
      <c r="IH27" s="325" t="s">
        <v>105</v>
      </c>
      <c r="II27" s="325" t="s">
        <v>106</v>
      </c>
      <c r="IJ27" s="324" t="s">
        <v>106</v>
      </c>
      <c r="IK27" s="324" t="s">
        <v>105</v>
      </c>
      <c r="IL27" s="324" t="s">
        <v>104</v>
      </c>
      <c r="IM27" s="324" t="s">
        <v>103</v>
      </c>
      <c r="IN27" s="325"/>
      <c r="IO27" s="326">
        <f ca="1">IFERROR(MATCH(IO12,IF27:II27,0),0)</f>
        <v>0</v>
      </c>
      <c r="IP27" s="326">
        <f ca="1">IFERROR(MATCH(IP12,IF27:II27,0),0)</f>
        <v>2</v>
      </c>
      <c r="IQ27" s="326">
        <f ca="1">IFERROR(MATCH(IQ12,IF27:II27,0),0)</f>
        <v>4</v>
      </c>
      <c r="IR27" s="326">
        <f ca="1">IFERROR(MATCH(IR12,IF27:II27,0),0)</f>
        <v>0</v>
      </c>
      <c r="IS27" s="326">
        <f t="shared" ca="1" si="3544"/>
        <v>6</v>
      </c>
      <c r="IT27" s="319"/>
      <c r="IU27" s="319" t="str">
        <f ca="1">VLOOKUP(2,DY18:DZ21,2,FALSE)</f>
        <v>England</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1</v>
      </c>
      <c r="JA27" s="319">
        <f ca="1">SUMPRODUCT((MV3:MV42=IX27)*(MZ3:MZ42="L"))+SUMPRODUCT((MY3:MY42=IX27)*(NA3:NA42="L"))</f>
        <v>2</v>
      </c>
      <c r="JB27" s="319">
        <f ca="1">SUMIF(MV3:MV60,IX27,MW3:MW60)+SUMIF(MY3:MY60,IX27,MX3:MX60)</f>
        <v>1</v>
      </c>
      <c r="JC27" s="319">
        <f ca="1">SUMIF(MY3:MY60,IX27,MW3:MW60)+SUMIF(MV3:MV60,IX27,MX3:MX60)</f>
        <v>4</v>
      </c>
      <c r="JD27" s="319">
        <f t="shared" ca="1" si="7451"/>
        <v>997</v>
      </c>
      <c r="JE27" s="319">
        <f t="shared" ca="1" si="7452"/>
        <v>1</v>
      </c>
      <c r="JF27" s="319">
        <f t="shared" si="618"/>
        <v>41</v>
      </c>
      <c r="JG27" s="319">
        <f ca="1">IF(COUNTIF(JE25:JE29,4)&lt;&gt;4,RANK(JE27,JE25:JE29),JE67)</f>
        <v>4</v>
      </c>
      <c r="JH27" s="319"/>
      <c r="JI27" s="319">
        <f ca="1">SUMPRODUCT((JG25:JG28=JG27)*(JF25:JF28&lt;JF27))+JG27</f>
        <v>4</v>
      </c>
      <c r="JJ27" s="319" t="str">
        <f ca="1">INDEX(IX25:IX29,MATCH(3,JI25:JI29,0),0)</f>
        <v>Netherlands</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Netherlands</v>
      </c>
      <c r="MT27" s="319">
        <v>3</v>
      </c>
      <c r="MU27" s="319">
        <v>25</v>
      </c>
      <c r="MV27" s="319" t="str">
        <f t="shared" si="170"/>
        <v>Switzerland</v>
      </c>
      <c r="MW27" s="322">
        <f ca="1">IF(OFFSET('Player Game Board'!P34,0,MW1)&lt;&gt;"",OFFSET('Player Game Board'!P34,0,MW1),0)</f>
        <v>0</v>
      </c>
      <c r="MX27" s="322">
        <f ca="1">IF(OFFSET('Player Game Board'!Q34,0,MW1)&lt;&gt;"",OFFSET('Player Game Board'!Q34,0,MW1),0)</f>
        <v>5</v>
      </c>
      <c r="MY27" s="319" t="str">
        <f t="shared" si="171"/>
        <v>Germany</v>
      </c>
      <c r="MZ27" s="319" t="str">
        <f ca="1">IF(AND(OFFSET('Player Game Board'!P34,0,MW1)&lt;&gt;"",OFFSET('Player Game Board'!Q34,0,MW1)&lt;&gt;""),IF(MW27&gt;MX27,"W",IF(MW27=MX27,"D","L")),"")</f>
        <v>L</v>
      </c>
      <c r="NA27" s="319" t="str">
        <f t="shared" ca="1" si="172"/>
        <v>W</v>
      </c>
      <c r="NB27" s="319"/>
      <c r="NC27" s="319"/>
      <c r="ND27" s="324" t="s">
        <v>103</v>
      </c>
      <c r="NE27" s="325" t="s">
        <v>104</v>
      </c>
      <c r="NF27" s="325" t="s">
        <v>105</v>
      </c>
      <c r="NG27" s="325" t="s">
        <v>106</v>
      </c>
      <c r="NH27" s="324" t="s">
        <v>106</v>
      </c>
      <c r="NI27" s="324" t="s">
        <v>105</v>
      </c>
      <c r="NJ27" s="324" t="s">
        <v>104</v>
      </c>
      <c r="NK27" s="324" t="s">
        <v>103</v>
      </c>
      <c r="NL27" s="325"/>
      <c r="NM27" s="326">
        <f ca="1">IFERROR(MATCH(NM12,ND27:NG27,0),0)</f>
        <v>0</v>
      </c>
      <c r="NN27" s="326">
        <f ca="1">IFERROR(MATCH(NN12,ND27:NG27,0),0)</f>
        <v>0</v>
      </c>
      <c r="NO27" s="326">
        <f ca="1">IFERROR(MATCH(NO12,ND27:NG27,0),0)</f>
        <v>4</v>
      </c>
      <c r="NP27" s="326">
        <f ca="1">IFERROR(MATCH(NP12,ND27:NG27,0),0)</f>
        <v>3</v>
      </c>
      <c r="NQ27" s="326">
        <f t="shared" ca="1" si="3547"/>
        <v>7</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0</v>
      </c>
      <c r="NX27" s="319">
        <f t="shared" ref="NX27" ca="1" si="8338">SUMPRODUCT((RT3:RT42=NV27)*(RX3:RX42="D"))+SUMPRODUCT((RW3:RW42=NV27)*(RY3:RY42="D"))</f>
        <v>2</v>
      </c>
      <c r="NY27" s="319">
        <f t="shared" ref="NY27" ca="1" si="8339">SUMPRODUCT((RT3:RT42=NV27)*(RX3:RX42="L"))+SUMPRODUCT((RW3:RW42=NV27)*(RY3:RY42="L"))</f>
        <v>1</v>
      </c>
      <c r="NZ27" s="319">
        <f t="shared" ref="NZ27" ca="1" si="8340">SUMIF(RT3:RT60,NV27,RU3:RU60)+SUMIF(RW3:RW60,NV27,RV3:RV60)</f>
        <v>2</v>
      </c>
      <c r="OA27" s="319">
        <f t="shared" ref="OA27" ca="1" si="8341">SUMIF(RW3:RW60,NV27,RU3:RU60)+SUMIF(RT3:RT60,NV27,RV3:RV60)</f>
        <v>4</v>
      </c>
      <c r="OB27" s="319">
        <f t="shared" ca="1" si="7462"/>
        <v>998</v>
      </c>
      <c r="OC27" s="319">
        <f t="shared" ca="1" si="7463"/>
        <v>2</v>
      </c>
      <c r="OD27" s="319">
        <f t="shared" si="630"/>
        <v>41</v>
      </c>
      <c r="OE27" s="319">
        <f t="shared" ref="OE27" ca="1" si="8342">IF(COUNTIF(OC25:OC29,4)&lt;&gt;4,RANK(OC27,OC25:OC29),OC67)</f>
        <v>3</v>
      </c>
      <c r="OF27" s="319"/>
      <c r="OG27" s="319">
        <f t="shared" ref="OG27" ca="1" si="8343">SUMPRODUCT((OE25:OE28=OE27)*(OD25:OD28&lt;OD27))+OE27</f>
        <v>3</v>
      </c>
      <c r="OH27" s="319" t="str">
        <f t="shared" ref="OH27" ca="1" si="8344">INDEX(NV25:NV29,MATCH(3,OG25:OG29,0),0)</f>
        <v>Austria</v>
      </c>
      <c r="OI27" s="319">
        <f t="shared" ref="OI27" ca="1" si="8345">INDEX(OE25:OE29,MATCH(OH27,NV25:NV29,0),0)</f>
        <v>3</v>
      </c>
      <c r="OJ27" s="319" t="str">
        <f t="shared" ref="OJ27:OJ28" ca="1" si="8346">IF(AND(OJ26&lt;&gt;"",OI27=1),OH27,"")</f>
        <v/>
      </c>
      <c r="OK27" s="319" t="str">
        <f t="shared" ref="OK27:OK28" ca="1" si="8347">IF(AND(OK26&lt;&gt;"",OI28=2),OH28,"")</f>
        <v/>
      </c>
      <c r="OL27" s="319" t="str">
        <f t="shared" ref="OL27" ca="1" si="8348">IF(AND(OL26&lt;&gt;"",OI29=3),OH29,"")</f>
        <v/>
      </c>
      <c r="OM27" s="319"/>
      <c r="ON27" s="319"/>
      <c r="OO27" s="319" t="str">
        <f t="shared" ca="1" si="7472"/>
        <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t="str">
        <f t="shared" ca="1" si="7479"/>
        <v/>
      </c>
      <c r="OW27" s="319" t="str">
        <f t="shared" ref="OW27" ca="1" si="8354">IF(OO27&lt;&gt;"",VLOOKUP(OO27,NV4:OB40,7,FALSE),"")</f>
        <v/>
      </c>
      <c r="OX27" s="319" t="str">
        <f t="shared" ref="OX27" ca="1" si="8355">IF(OO27&lt;&gt;"",VLOOKUP(OO27,NV4:OB40,5,FALSE),"")</f>
        <v/>
      </c>
      <c r="OY27" s="319" t="str">
        <f t="shared" ref="OY27" ca="1" si="8356">IF(OO27&lt;&gt;"",VLOOKUP(OO27,NV4:OD40,9,FALSE),"")</f>
        <v/>
      </c>
      <c r="OZ27" s="319" t="str">
        <f t="shared" ca="1" si="7483"/>
        <v/>
      </c>
      <c r="PA27" s="319" t="str">
        <f t="shared" ref="PA27" ca="1" si="8357">IF(OO27&lt;&gt;"",RANK(OZ27,OZ25:OZ29),"")</f>
        <v/>
      </c>
      <c r="PB27" s="319" t="str">
        <f t="shared" ref="PB27" ca="1" si="8358">IF(OO27&lt;&gt;"",SUMPRODUCT((OZ25:OZ29=OZ27)*(OU25:OU29&gt;OU27)),"")</f>
        <v/>
      </c>
      <c r="PC27" s="319" t="str">
        <f t="shared" ref="PC27" ca="1" si="8359">IF(OO27&lt;&gt;"",SUMPRODUCT((OZ25:OZ29=OZ27)*(OU25:OU29=OU27)*(OS25:OS29&gt;OS27)),"")</f>
        <v/>
      </c>
      <c r="PD27" s="319" t="str">
        <f t="shared" ref="PD27" ca="1" si="8360">IF(OO27&lt;&gt;"",SUMPRODUCT((OZ25:OZ29=OZ27)*(OU25:OU29=OU27)*(OS25:OS29=OS27)*(OW25:OW29&gt;OW27)),"")</f>
        <v/>
      </c>
      <c r="PE27" s="319" t="str">
        <f t="shared" ref="PE27" ca="1" si="8361">IF(OO27&lt;&gt;"",SUMPRODUCT((OZ25:OZ29=OZ27)*(OU25:OU29=OU27)*(OS25:OS29=OS27)*(OW25:OW29=OW27)*(OX25:OX29&gt;OX27)),"")</f>
        <v/>
      </c>
      <c r="PF27" s="319" t="str">
        <f t="shared" ref="PF27" ca="1" si="8362">IF(OO27&lt;&gt;"",SUMPRODUCT((OZ25:OZ29=OZ27)*(OU25:OU29=OU27)*(OS25:OS29=OS27)*(OW25:OW29=OW27)*(OX25:OX29=OX27)*(OY25:OY29&gt;OY27)),"")</f>
        <v/>
      </c>
      <c r="PG27" s="319" t="str">
        <f ca="1">IF(OO27&lt;&gt;"",IF(PG67&lt;&gt;"",IF(ON64=3,PG67,PG67+ON64),SUM(PA27:PF27)),"")</f>
        <v/>
      </c>
      <c r="PH27" s="319" t="str">
        <f t="shared" ref="PH27" ca="1" si="8363">IF(OO27&lt;&gt;"",INDEX(OO25:OO29,MATCH(3,PG25:PG29,0),0),"")</f>
        <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0</v>
      </c>
      <c r="RV27" s="322">
        <f ca="1">IF(OFFSET('Player Game Board'!Q34,0,RU1)&lt;&gt;"",OFFSET('Player Game Board'!Q34,0,RU1),0)</f>
        <v>2</v>
      </c>
      <c r="RW27" s="319" t="str">
        <f t="shared" si="19"/>
        <v>Germany</v>
      </c>
      <c r="RX27" s="319" t="str">
        <f ca="1">IF(AND(OFFSET('Player Game Board'!P34,0,RU1)&lt;&gt;"",OFFSET('Player Game Board'!Q34,0,RU1)&lt;&gt;""),IF(RU27&gt;RV27,"W",IF(RU27=RV27,"D","L")),"")</f>
        <v>L</v>
      </c>
      <c r="RY27" s="319" t="str">
        <f t="shared" ca="1" si="5500"/>
        <v>W</v>
      </c>
      <c r="RZ27" s="319"/>
      <c r="SA27" s="319"/>
      <c r="SB27" s="324" t="s">
        <v>103</v>
      </c>
      <c r="SC27" s="325" t="s">
        <v>104</v>
      </c>
      <c r="SD27" s="325" t="s">
        <v>105</v>
      </c>
      <c r="SE27" s="325" t="s">
        <v>106</v>
      </c>
      <c r="SF27" s="324" t="s">
        <v>106</v>
      </c>
      <c r="SG27" s="324" t="s">
        <v>105</v>
      </c>
      <c r="SH27" s="324" t="s">
        <v>104</v>
      </c>
      <c r="SI27" s="324" t="s">
        <v>103</v>
      </c>
      <c r="SJ27" s="325"/>
      <c r="SK27" s="326">
        <f t="shared" ref="SK27" ca="1" si="8400">IFERROR(MATCH(SK12,SB27:SE27,0),0)</f>
        <v>1</v>
      </c>
      <c r="SL27" s="326">
        <f t="shared" ref="SL27" ca="1" si="8401">IFERROR(MATCH(SL12,SB27:SE27,0),0)</f>
        <v>0</v>
      </c>
      <c r="SM27" s="326">
        <f t="shared" ref="SM27" ca="1" si="8402">IFERROR(MATCH(SM12,SB27:SE27,0),0)</f>
        <v>4</v>
      </c>
      <c r="SN27" s="326">
        <f t="shared" ref="SN27" ca="1" si="8403">IFERROR(MATCH(SN12,SB27:SE27,0),0)</f>
        <v>3</v>
      </c>
      <c r="SO27" s="326">
        <f t="shared" ca="1" si="3616"/>
        <v>8</v>
      </c>
      <c r="SP27" s="319"/>
      <c r="SQ27" s="319" t="str">
        <f t="shared" ref="SQ27" ca="1" si="8404">VLOOKUP(2,NU18:NV21,2,FALSE)</f>
        <v>Serbia</v>
      </c>
      <c r="SR27" s="325">
        <f t="shared" ca="1" si="5095"/>
        <v>0</v>
      </c>
      <c r="SS27" s="319">
        <f t="shared" ref="SS27" ca="1" si="8405">VLOOKUP(ST27,WO25:WP29,2,FALSE)</f>
        <v>4</v>
      </c>
      <c r="ST27" s="319" t="str">
        <f t="shared" si="7498"/>
        <v>Austria</v>
      </c>
      <c r="SU27" s="319">
        <f t="shared" ref="SU27" ca="1" si="8406">SUMPRODUCT((WR3:WR42=ST27)*(WV3:WV42="W"))+SUMPRODUCT((WU3:WU42=ST27)*(WW3:WW42="W"))</f>
        <v>0</v>
      </c>
      <c r="SV27" s="319">
        <f t="shared" ref="SV27" ca="1" si="8407">SUMPRODUCT((WR3:WR42=ST27)*(WV3:WV42="D"))+SUMPRODUCT((WU3:WU42=ST27)*(WW3:WW42="D"))</f>
        <v>1</v>
      </c>
      <c r="SW27" s="319">
        <f t="shared" ref="SW27" ca="1" si="8408">SUMPRODUCT((WR3:WR42=ST27)*(WV3:WV42="L"))+SUMPRODUCT((WU3:WU42=ST27)*(WW3:WW42="L"))</f>
        <v>2</v>
      </c>
      <c r="SX27" s="319">
        <f t="shared" ref="SX27" ca="1" si="8409">SUMIF(WR3:WR60,ST27,WS3:WS60)+SUMIF(WU3:WU60,ST27,WT3:WT60)</f>
        <v>2</v>
      </c>
      <c r="SY27" s="319">
        <f t="shared" ref="SY27" ca="1" si="8410">SUMIF(WU3:WU60,ST27,WS3:WS60)+SUMIF(WR3:WR60,ST27,WT3:WT60)</f>
        <v>5</v>
      </c>
      <c r="SZ27" s="319">
        <f t="shared" ca="1" si="7504"/>
        <v>997</v>
      </c>
      <c r="TA27" s="319">
        <f t="shared" ca="1" si="7505"/>
        <v>1</v>
      </c>
      <c r="TB27" s="319">
        <f t="shared" si="690"/>
        <v>41</v>
      </c>
      <c r="TC27" s="319">
        <f t="shared" ref="TC27" ca="1" si="8411">IF(COUNTIF(TA25:TA29,4)&lt;&gt;4,RANK(TA27,TA25:TA29),TA67)</f>
        <v>4</v>
      </c>
      <c r="TD27" s="319"/>
      <c r="TE27" s="319">
        <f t="shared" ref="TE27" ca="1" si="8412">SUMPRODUCT((TC25:TC28=TC27)*(TB25:TB28&lt;TB27))+TC27</f>
        <v>4</v>
      </c>
      <c r="TF27" s="319" t="str">
        <f t="shared" ref="TF27" ca="1" si="8413">INDEX(ST25:ST29,MATCH(3,TE25:TE29,0),0)</f>
        <v>Poland</v>
      </c>
      <c r="TG27" s="319">
        <f t="shared" ref="TG27" ca="1" si="8414">INDEX(TC25:TC29,MATCH(TF27,ST25:ST29,0),0)</f>
        <v>3</v>
      </c>
      <c r="TH27" s="319" t="str">
        <f t="shared" ref="TH27:TH28" ca="1" si="8415">IF(AND(TH26&lt;&gt;"",TG27=1),TF27,"")</f>
        <v/>
      </c>
      <c r="TI27" s="319" t="str">
        <f t="shared" ref="TI27:TI28" ca="1" si="8416">IF(AND(TI26&lt;&gt;"",TG28=2),TF28,"")</f>
        <v/>
      </c>
      <c r="TJ27" s="319" t="str">
        <f t="shared" ref="TJ27" ca="1" si="8417">IF(AND(TJ26&lt;&gt;"",TG29=3),TF29,"")</f>
        <v/>
      </c>
      <c r="TK27" s="319"/>
      <c r="TL27" s="319"/>
      <c r="TM27" s="319" t="str">
        <f t="shared" ca="1" si="7514"/>
        <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t="str">
        <f t="shared" ca="1" si="7521"/>
        <v/>
      </c>
      <c r="TU27" s="319" t="str">
        <f t="shared" ref="TU27" ca="1" si="8423">IF(TM27&lt;&gt;"",VLOOKUP(TM27,ST4:SZ40,7,FALSE),"")</f>
        <v/>
      </c>
      <c r="TV27" s="319" t="str">
        <f t="shared" ref="TV27" ca="1" si="8424">IF(TM27&lt;&gt;"",VLOOKUP(TM27,ST4:SZ40,5,FALSE),"")</f>
        <v/>
      </c>
      <c r="TW27" s="319" t="str">
        <f t="shared" ref="TW27" ca="1" si="8425">IF(TM27&lt;&gt;"",VLOOKUP(TM27,ST4:TB40,9,FALSE),"")</f>
        <v/>
      </c>
      <c r="TX27" s="319" t="str">
        <f t="shared" ca="1" si="7525"/>
        <v/>
      </c>
      <c r="TY27" s="319" t="str">
        <f t="shared" ref="TY27" ca="1" si="8426">IF(TM27&lt;&gt;"",RANK(TX27,TX25:TX29),"")</f>
        <v/>
      </c>
      <c r="TZ27" s="319" t="str">
        <f t="shared" ref="TZ27" ca="1" si="8427">IF(TM27&lt;&gt;"",SUMPRODUCT((TX25:TX29=TX27)*(TS25:TS29&gt;TS27)),"")</f>
        <v/>
      </c>
      <c r="UA27" s="319" t="str">
        <f t="shared" ref="UA27" ca="1" si="8428">IF(TM27&lt;&gt;"",SUMPRODUCT((TX25:TX29=TX27)*(TS25:TS29=TS27)*(TQ25:TQ29&gt;TQ27)),"")</f>
        <v/>
      </c>
      <c r="UB27" s="319" t="str">
        <f t="shared" ref="UB27" ca="1" si="8429">IF(TM27&lt;&gt;"",SUMPRODUCT((TX25:TX29=TX27)*(TS25:TS29=TS27)*(TQ25:TQ29=TQ27)*(TU25:TU29&gt;TU27)),"")</f>
        <v/>
      </c>
      <c r="UC27" s="319" t="str">
        <f t="shared" ref="UC27" ca="1" si="8430">IF(TM27&lt;&gt;"",SUMPRODUCT((TX25:TX29=TX27)*(TS25:TS29=TS27)*(TQ25:TQ29=TQ27)*(TU25:TU29=TU27)*(TV25:TV29&gt;TV27)),"")</f>
        <v/>
      </c>
      <c r="UD27" s="319" t="str">
        <f t="shared" ref="UD27" ca="1" si="8431">IF(TM27&lt;&gt;"",SUMPRODUCT((TX25:TX29=TX27)*(TS25:TS29=TS27)*(TQ25:TQ29=TQ27)*(TU25:TU29=TU27)*(TV25:TV29=TV27)*(TW25:TW29&gt;TW27)),"")</f>
        <v/>
      </c>
      <c r="UE27" s="319" t="str">
        <f ca="1">IF(TM27&lt;&gt;"",IF(UE67&lt;&gt;"",IF(TL64=3,UE67,UE67+TL64),SUM(TY27:UD27)),"")</f>
        <v/>
      </c>
      <c r="UF27" s="319" t="str">
        <f t="shared" ref="UF27" ca="1" si="8432">IF(TM27&lt;&gt;"",INDEX(TM25:TM29,MATCH(3,UE25:UE29,0),0),"")</f>
        <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Poland</v>
      </c>
      <c r="WP27" s="319">
        <v>3</v>
      </c>
      <c r="WQ27" s="319">
        <v>25</v>
      </c>
      <c r="WR27" s="319" t="str">
        <f t="shared" si="34"/>
        <v>Switzerland</v>
      </c>
      <c r="WS27" s="322">
        <f ca="1">IF(OFFSET('Player Game Board'!P34,0,WS1)&lt;&gt;"",OFFSET('Player Game Board'!P34,0,WS1),0)</f>
        <v>2</v>
      </c>
      <c r="WT27" s="322">
        <f ca="1">IF(OFFSET('Player Game Board'!Q34,0,WS1)&lt;&gt;"",OFFSET('Player Game Board'!Q34,0,WS1),0)</f>
        <v>2</v>
      </c>
      <c r="WU27" s="319" t="str">
        <f t="shared" si="35"/>
        <v>Germany</v>
      </c>
      <c r="WV27" s="319" t="str">
        <f ca="1">IF(AND(OFFSET('Player Game Board'!P34,0,WS1)&lt;&gt;"",OFFSET('Player Game Board'!Q34,0,WS1)&lt;&gt;""),IF(WS27&gt;WT27,"W",IF(WS27=WT27,"D","L")),"")</f>
        <v>D</v>
      </c>
      <c r="WW27" s="319" t="str">
        <f t="shared" ca="1" si="5555"/>
        <v>D</v>
      </c>
      <c r="WX27" s="319"/>
      <c r="WY27" s="319"/>
      <c r="WZ27" s="324" t="s">
        <v>103</v>
      </c>
      <c r="XA27" s="325" t="s">
        <v>104</v>
      </c>
      <c r="XB27" s="325" t="s">
        <v>105</v>
      </c>
      <c r="XC27" s="325" t="s">
        <v>106</v>
      </c>
      <c r="XD27" s="324" t="s">
        <v>106</v>
      </c>
      <c r="XE27" s="324" t="s">
        <v>105</v>
      </c>
      <c r="XF27" s="324" t="s">
        <v>104</v>
      </c>
      <c r="XG27" s="324" t="s">
        <v>103</v>
      </c>
      <c r="XH27" s="325"/>
      <c r="XI27" s="326">
        <f t="shared" ref="XI27" ca="1" si="8469">IFERROR(MATCH(XI12,WZ27:XC27,0),0)</f>
        <v>4</v>
      </c>
      <c r="XJ27" s="326">
        <f t="shared" ref="XJ27" ca="1" si="8470">IFERROR(MATCH(XJ12,WZ27:XC27,0),0)</f>
        <v>3</v>
      </c>
      <c r="XK27" s="326">
        <f t="shared" ref="XK27" ca="1" si="8471">IFERROR(MATCH(XK12,WZ27:XC27,0),0)</f>
        <v>0</v>
      </c>
      <c r="XL27" s="326">
        <f t="shared" ref="XL27" ca="1" si="8472">IFERROR(MATCH(XL12,WZ27:XC27,0),0)</f>
        <v>0</v>
      </c>
      <c r="XM27" s="326">
        <f t="shared" ca="1" si="3686"/>
        <v>7</v>
      </c>
      <c r="XN27" s="319"/>
      <c r="XO27" s="319" t="str">
        <f t="shared" ref="XO27" ca="1" si="8473">VLOOKUP(2,SS18:ST21,2,FALSE)</f>
        <v>Denmark</v>
      </c>
      <c r="XP27" s="325">
        <f t="shared" ca="1" si="5138"/>
        <v>1</v>
      </c>
      <c r="XQ27" s="319">
        <f t="shared" ref="XQ27" ca="1" si="8474">VLOOKUP(XR27,ABM25:ABN29,2,FALSE)</f>
        <v>3</v>
      </c>
      <c r="XR27" s="319" t="str">
        <f t="shared" si="7540"/>
        <v>Austria</v>
      </c>
      <c r="XS27" s="319">
        <f t="shared" ref="XS27" ca="1" si="8475">SUMPRODUCT((ABP3:ABP42=XR27)*(ABT3:ABT42="W"))+SUMPRODUCT((ABS3:ABS42=XR27)*(ABU3:ABU42="W"))</f>
        <v>1</v>
      </c>
      <c r="XT27" s="319">
        <f t="shared" ref="XT27" ca="1" si="8476">SUMPRODUCT((ABP3:ABP42=XR27)*(ABT3:ABT42="D"))+SUMPRODUCT((ABS3:ABS42=XR27)*(ABU3:ABU42="D"))</f>
        <v>0</v>
      </c>
      <c r="XU27" s="319">
        <f t="shared" ref="XU27" ca="1" si="8477">SUMPRODUCT((ABP3:ABP42=XR27)*(ABT3:ABT42="L"))+SUMPRODUCT((ABS3:ABS42=XR27)*(ABU3:ABU42="L"))</f>
        <v>2</v>
      </c>
      <c r="XV27" s="319">
        <f t="shared" ref="XV27" ca="1" si="8478">SUMIF(ABP3:ABP60,XR27,ABQ3:ABQ60)+SUMIF(ABS3:ABS60,XR27,ABR3:ABR60)</f>
        <v>3</v>
      </c>
      <c r="XW27" s="319">
        <f t="shared" ref="XW27" ca="1" si="8479">SUMIF(ABS3:ABS60,XR27,ABQ3:ABQ60)+SUMIF(ABP3:ABP60,XR27,ABR3:ABR60)</f>
        <v>3</v>
      </c>
      <c r="XX27" s="319">
        <f t="shared" ca="1" si="7546"/>
        <v>1000</v>
      </c>
      <c r="XY27" s="319">
        <f t="shared" ca="1" si="7547"/>
        <v>3</v>
      </c>
      <c r="XZ27" s="319">
        <f t="shared" si="750"/>
        <v>41</v>
      </c>
      <c r="YA27" s="319">
        <f t="shared" ref="YA27" ca="1" si="8480">IF(COUNTIF(XY25:XY29,4)&lt;&gt;4,RANK(XY27,XY25:XY29),XY67)</f>
        <v>3</v>
      </c>
      <c r="YB27" s="319"/>
      <c r="YC27" s="319">
        <f t="shared" ref="YC27" ca="1" si="8481">SUMPRODUCT((YA25:YA28=YA27)*(XZ25:XZ28&lt;XZ27))+YA27</f>
        <v>3</v>
      </c>
      <c r="YD27" s="319" t="str">
        <f t="shared" ref="YD27" ca="1" si="8482">INDEX(XR25:XR29,MATCH(3,YC25:YC29,0),0)</f>
        <v>Austria</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Austria</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103</v>
      </c>
      <c r="ABY27" s="325" t="s">
        <v>104</v>
      </c>
      <c r="ABZ27" s="325" t="s">
        <v>105</v>
      </c>
      <c r="ACA27" s="325" t="s">
        <v>106</v>
      </c>
      <c r="ACB27" s="324" t="s">
        <v>106</v>
      </c>
      <c r="ACC27" s="324" t="s">
        <v>105</v>
      </c>
      <c r="ACD27" s="324" t="s">
        <v>104</v>
      </c>
      <c r="ACE27" s="324" t="s">
        <v>103</v>
      </c>
      <c r="ACF27" s="325"/>
      <c r="ACG27" s="326">
        <f t="shared" ref="ACG27" ca="1" si="8538">IFERROR(MATCH(ACG12,ABX27:ACA27,0),0)</f>
        <v>1</v>
      </c>
      <c r="ACH27" s="326">
        <f t="shared" ref="ACH27" ca="1" si="8539">IFERROR(MATCH(ACH12,ABX27:ACA27,0),0)</f>
        <v>0</v>
      </c>
      <c r="ACI27" s="326">
        <f t="shared" ref="ACI27" ca="1" si="8540">IFERROR(MATCH(ACI12,ABX27:ACA27,0),0)</f>
        <v>2</v>
      </c>
      <c r="ACJ27" s="326">
        <f t="shared" ref="ACJ27" ca="1" si="8541">IFERROR(MATCH(ACJ12,ABX27:ACA27,0),0)</f>
        <v>0</v>
      </c>
      <c r="ACK27" s="326">
        <f t="shared" ca="1" si="3756"/>
        <v>3</v>
      </c>
      <c r="ACL27" s="319"/>
      <c r="ACM27" s="319" t="str">
        <f t="shared" ref="ACM27" ca="1" si="8542">VLOOKUP(2,XQ18:XR21,2,FALSE)</f>
        <v>England</v>
      </c>
      <c r="ACN27" s="325">
        <f t="shared" ca="1" si="5181"/>
        <v>1</v>
      </c>
      <c r="ACO27" s="319">
        <f t="shared" ref="ACO27" ca="1" si="8543">VLOOKUP(ACP27,AGK25:AGL29,2,FALSE)</f>
        <v>3</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2</v>
      </c>
      <c r="ACS27" s="319">
        <f t="shared" ref="ACS27" ca="1" si="8546">SUMPRODUCT((AGN3:AGN42=ACP27)*(AGR3:AGR42="L"))+SUMPRODUCT((AGQ3:AGQ42=ACP27)*(AGS3:AGS42="L"))</f>
        <v>1</v>
      </c>
      <c r="ACT27" s="319">
        <f t="shared" ref="ACT27" ca="1" si="8547">SUMIF(AGN3:AGN60,ACP27,AGO3:AGO60)+SUMIF(AGQ3:AGQ60,ACP27,AGP3:AGP60)</f>
        <v>2</v>
      </c>
      <c r="ACU27" s="319">
        <f t="shared" ref="ACU27" ca="1" si="8548">SUMIF(AGQ3:AGQ60,ACP27,AGO3:AGO60)+SUMIF(AGN3:AGN60,ACP27,AGP3:AGP60)</f>
        <v>5</v>
      </c>
      <c r="ACV27" s="319">
        <f t="shared" ca="1" si="7588"/>
        <v>997</v>
      </c>
      <c r="ACW27" s="319">
        <f t="shared" ca="1" si="7589"/>
        <v>2</v>
      </c>
      <c r="ACX27" s="319">
        <f t="shared" si="810"/>
        <v>41</v>
      </c>
      <c r="ACY27" s="319">
        <f t="shared" ref="ACY27" ca="1" si="8549">IF(COUNTIF(ACW25:ACW29,4)&lt;&gt;4,RANK(ACW27,ACW25:ACW29),ACW67)</f>
        <v>3</v>
      </c>
      <c r="ACZ27" s="319"/>
      <c r="ADA27" s="319">
        <f t="shared" ref="ADA27" ca="1" si="8550">SUMPRODUCT((ACY25:ACY28=ACY27)*(ACX25:ACX28&lt;ACX27))+ACY27</f>
        <v>3</v>
      </c>
      <c r="ADB27" s="319" t="str">
        <f t="shared" ref="ADB27" ca="1" si="8551">INDEX(ACP25:ACP29,MATCH(3,ADA25:ADA29,0),0)</f>
        <v>Austria</v>
      </c>
      <c r="ADC27" s="319">
        <f t="shared" ref="ADC27" ca="1" si="8552">INDEX(ACY25:ACY29,MATCH(ADB27,ACP25:ACP29,0),0)</f>
        <v>3</v>
      </c>
      <c r="ADD27" s="319" t="str">
        <f t="shared" ref="ADD27:ADD28" ca="1" si="8553">IF(AND(ADD26&lt;&gt;"",ADC27=1),ADB27,"")</f>
        <v/>
      </c>
      <c r="ADE27" s="319" t="str">
        <f t="shared" ref="ADE27:ADE28" ca="1" si="8554">IF(AND(ADE26&lt;&gt;"",ADC28=2),ADB28,"")</f>
        <v/>
      </c>
      <c r="ADF27" s="319" t="str">
        <f t="shared" ref="ADF27" ca="1" si="8555">IF(AND(ADF26&lt;&gt;"",ADC29=3),ADB29,"")</f>
        <v/>
      </c>
      <c r="ADG27" s="319"/>
      <c r="ADH27" s="319"/>
      <c r="ADI27" s="319" t="str">
        <f t="shared" ca="1" si="7598"/>
        <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t="str">
        <f t="shared" ca="1" si="7605"/>
        <v/>
      </c>
      <c r="ADQ27" s="319" t="str">
        <f t="shared" ref="ADQ27" ca="1" si="8561">IF(ADI27&lt;&gt;"",VLOOKUP(ADI27,ACP4:ACV40,7,FALSE),"")</f>
        <v/>
      </c>
      <c r="ADR27" s="319" t="str">
        <f t="shared" ref="ADR27" ca="1" si="8562">IF(ADI27&lt;&gt;"",VLOOKUP(ADI27,ACP4:ACV40,5,FALSE),"")</f>
        <v/>
      </c>
      <c r="ADS27" s="319" t="str">
        <f t="shared" ref="ADS27" ca="1" si="8563">IF(ADI27&lt;&gt;"",VLOOKUP(ADI27,ACP4:ACX40,9,FALSE),"")</f>
        <v/>
      </c>
      <c r="ADT27" s="319" t="str">
        <f t="shared" ca="1" si="7609"/>
        <v/>
      </c>
      <c r="ADU27" s="319" t="str">
        <f t="shared" ref="ADU27" ca="1" si="8564">IF(ADI27&lt;&gt;"",RANK(ADT27,ADT25:ADT29),"")</f>
        <v/>
      </c>
      <c r="ADV27" s="319" t="str">
        <f t="shared" ref="ADV27" ca="1" si="8565">IF(ADI27&lt;&gt;"",SUMPRODUCT((ADT25:ADT29=ADT27)*(ADO25:ADO29&gt;ADO27)),"")</f>
        <v/>
      </c>
      <c r="ADW27" s="319" t="str">
        <f t="shared" ref="ADW27" ca="1" si="8566">IF(ADI27&lt;&gt;"",SUMPRODUCT((ADT25:ADT29=ADT27)*(ADO25:ADO29=ADO27)*(ADM25:ADM29&gt;ADM27)),"")</f>
        <v/>
      </c>
      <c r="ADX27" s="319" t="str">
        <f t="shared" ref="ADX27" ca="1" si="8567">IF(ADI27&lt;&gt;"",SUMPRODUCT((ADT25:ADT29=ADT27)*(ADO25:ADO29=ADO27)*(ADM25:ADM29=ADM27)*(ADQ25:ADQ29&gt;ADQ27)),"")</f>
        <v/>
      </c>
      <c r="ADY27" s="319" t="str">
        <f t="shared" ref="ADY27" ca="1" si="8568">IF(ADI27&lt;&gt;"",SUMPRODUCT((ADT25:ADT29=ADT27)*(ADO25:ADO29=ADO27)*(ADM25:ADM29=ADM27)*(ADQ25:ADQ29=ADQ27)*(ADR25:ADR29&gt;ADR27)),"")</f>
        <v/>
      </c>
      <c r="ADZ27" s="319" t="str">
        <f t="shared" ref="ADZ27" ca="1" si="8569">IF(ADI27&lt;&gt;"",SUMPRODUCT((ADT25:ADT29=ADT27)*(ADO25:ADO29=ADO27)*(ADM25:ADM29=ADM27)*(ADQ25:ADQ29=ADQ27)*(ADR25:ADR29=ADR27)*(ADS25:ADS29&gt;ADS27)),"")</f>
        <v/>
      </c>
      <c r="AEA27" s="319" t="str">
        <f ca="1">IF(ADI27&lt;&gt;"",IF(AEA67&lt;&gt;"",IF(ADH64=3,AEA67,AEA67+ADH64),SUM(ADU27:ADZ27)),"")</f>
        <v/>
      </c>
      <c r="AEB27" s="319" t="str">
        <f t="shared" ref="AEB27" ca="1" si="8570">IF(ADI27&lt;&gt;"",INDEX(ADI25:ADI29,MATCH(3,AEA25:AEA29,0),0),"")</f>
        <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Austria</v>
      </c>
      <c r="AGL27" s="319">
        <v>3</v>
      </c>
      <c r="AGM27" s="319">
        <v>25</v>
      </c>
      <c r="AGN27" s="319" t="str">
        <f t="shared" si="66"/>
        <v>Switzerland</v>
      </c>
      <c r="AGO27" s="322">
        <f ca="1">IF(OFFSET('Player Game Board'!P34,0,AGO1)&lt;&gt;"",OFFSET('Player Game Board'!P34,0,AGO1),0)</f>
        <v>1</v>
      </c>
      <c r="AGP27" s="322">
        <f ca="1">IF(OFFSET('Player Game Board'!Q34,0,AGO1)&lt;&gt;"",OFFSET('Player Game Board'!Q34,0,AGO1),0)</f>
        <v>2</v>
      </c>
      <c r="AGQ27" s="319" t="str">
        <f t="shared" si="67"/>
        <v>Germany</v>
      </c>
      <c r="AGR27" s="319" t="str">
        <f ca="1">IF(AND(OFFSET('Player Game Board'!P34,0,AGO1)&lt;&gt;"",OFFSET('Player Game Board'!Q34,0,AGO1)&lt;&gt;""),IF(AGO27&gt;AGP27,"W",IF(AGO27=AGP27,"D","L")),"")</f>
        <v>L</v>
      </c>
      <c r="AGS27" s="319" t="str">
        <f t="shared" ca="1" si="5665"/>
        <v>W</v>
      </c>
      <c r="AGT27" s="319"/>
      <c r="AGU27" s="319"/>
      <c r="AGV27" s="324" t="s">
        <v>103</v>
      </c>
      <c r="AGW27" s="325" t="s">
        <v>104</v>
      </c>
      <c r="AGX27" s="325" t="s">
        <v>105</v>
      </c>
      <c r="AGY27" s="325" t="s">
        <v>106</v>
      </c>
      <c r="AGZ27" s="324" t="s">
        <v>106</v>
      </c>
      <c r="AHA27" s="324" t="s">
        <v>105</v>
      </c>
      <c r="AHB27" s="324" t="s">
        <v>104</v>
      </c>
      <c r="AHC27" s="324" t="s">
        <v>103</v>
      </c>
      <c r="AHD27" s="325"/>
      <c r="AHE27" s="326">
        <f t="shared" ref="AHE27" ca="1" si="8607">IFERROR(MATCH(AHE12,AGV27:AGY27,0),0)</f>
        <v>4</v>
      </c>
      <c r="AHF27" s="326">
        <f t="shared" ref="AHF27" ca="1" si="8608">IFERROR(MATCH(AHF12,AGV27:AGY27,0),0)</f>
        <v>0</v>
      </c>
      <c r="AHG27" s="326">
        <f t="shared" ref="AHG27" ca="1" si="8609">IFERROR(MATCH(AHG12,AGV27:AGY27,0),0)</f>
        <v>0</v>
      </c>
      <c r="AHH27" s="326">
        <f t="shared" ref="AHH27" ca="1" si="8610">IFERROR(MATCH(AHH12,AGV27:AGY27,0),0)</f>
        <v>1</v>
      </c>
      <c r="AHI27" s="326">
        <f t="shared" ca="1" si="3826"/>
        <v>5</v>
      </c>
      <c r="AHJ27" s="319"/>
      <c r="AHK27" s="319" t="str">
        <f t="shared" ref="AHK27" ca="1" si="8611">VLOOKUP(2,ACO18:ACP21,2,FALSE)</f>
        <v>Denmark</v>
      </c>
      <c r="AHL27" s="325">
        <f t="shared" ca="1" si="5224"/>
        <v>1</v>
      </c>
      <c r="AHM27" s="319">
        <f t="shared" ref="AHM27" ca="1" si="8612">VLOOKUP(AHN27,ALI25:ALJ29,2,FALSE)</f>
        <v>3</v>
      </c>
      <c r="AHN27" s="319" t="str">
        <f t="shared" si="7624"/>
        <v>Austria</v>
      </c>
      <c r="AHO27" s="319">
        <f t="shared" ref="AHO27" ca="1" si="8613">SUMPRODUCT((ALL3:ALL42=AHN27)*(ALP3:ALP42="W"))+SUMPRODUCT((ALO3:ALO42=AHN27)*(ALQ3:ALQ42="W"))</f>
        <v>0</v>
      </c>
      <c r="AHP27" s="319">
        <f t="shared" ref="AHP27" ca="1" si="8614">SUMPRODUCT((ALL3:ALL42=AHN27)*(ALP3:ALP42="D"))+SUMPRODUCT((ALO3:ALO42=AHN27)*(ALQ3:ALQ42="D"))</f>
        <v>0</v>
      </c>
      <c r="AHQ27" s="319">
        <f t="shared" ref="AHQ27" ca="1" si="8615">SUMPRODUCT((ALL3:ALL42=AHN27)*(ALP3:ALP42="L"))+SUMPRODUCT((ALO3:ALO42=AHN27)*(ALQ3:ALQ42="L"))</f>
        <v>0</v>
      </c>
      <c r="AHR27" s="319">
        <f t="shared" ref="AHR27" ca="1" si="8616">SUMIF(ALL3:ALL60,AHN27,ALM3:ALM60)+SUMIF(ALO3:ALO60,AHN27,ALN3:ALN60)</f>
        <v>0</v>
      </c>
      <c r="AHS27" s="319">
        <f t="shared" ref="AHS27" ca="1" si="8617">SUMIF(ALO3:ALO60,AHN27,ALM3:ALM60)+SUMIF(ALL3:ALL60,AHN27,ALN3:ALN60)</f>
        <v>0</v>
      </c>
      <c r="AHT27" s="319">
        <f t="shared" ca="1" si="7630"/>
        <v>1000</v>
      </c>
      <c r="AHU27" s="319">
        <f t="shared" ca="1" si="7631"/>
        <v>0</v>
      </c>
      <c r="AHV27" s="319">
        <f t="shared" si="870"/>
        <v>41</v>
      </c>
      <c r="AHW27" s="319">
        <f t="shared" ref="AHW27" ca="1" si="8618">IF(COUNTIF(AHU25:AHU29,4)&lt;&gt;4,RANK(AHU27,AHU25:AHU29),AHU67)</f>
        <v>1</v>
      </c>
      <c r="AHX27" s="319"/>
      <c r="AHY27" s="319">
        <f t="shared" ref="AHY27" ca="1" si="8619">SUMPRODUCT((AHW25:AHW28=AHW27)*(AHV25:AHV28&lt;AHV27))+AHW27</f>
        <v>2</v>
      </c>
      <c r="AHZ27" s="319" t="str">
        <f t="shared" ref="AHZ27" ca="1" si="8620">INDEX(AHN25:AHN29,MATCH(3,AHY25:AHY29,0),0)</f>
        <v>Netherlands</v>
      </c>
      <c r="AIA27" s="319">
        <f t="shared" ref="AIA27" ca="1" si="8621">INDEX(AHW25:AHW29,MATCH(AHZ27,AHN25:AHN29,0),0)</f>
        <v>1</v>
      </c>
      <c r="AIB27" s="319" t="str">
        <f t="shared" ref="AIB27:AIB28" ca="1" si="8622">IF(AND(AIB26&lt;&gt;"",AIA27=1),AHZ27,"")</f>
        <v>Netherlands</v>
      </c>
      <c r="AIC27" s="319" t="str">
        <f t="shared" ref="AIC27:AIC28" ca="1" si="8623">IF(AND(AIC26&lt;&gt;"",AIA28=2),AHZ28,"")</f>
        <v/>
      </c>
      <c r="AID27" s="319" t="str">
        <f t="shared" ref="AID27" ca="1" si="8624">IF(AND(AID26&lt;&gt;"",AIA29=3),AHZ29,"")</f>
        <v/>
      </c>
      <c r="AIE27" s="319"/>
      <c r="AIF27" s="319"/>
      <c r="AIG27" s="319" t="str">
        <f t="shared" ca="1" si="7640"/>
        <v>Netherlands</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f t="shared" ca="1" si="7647"/>
        <v>0</v>
      </c>
      <c r="AIO27" s="319">
        <f t="shared" ref="AIO27" ca="1" si="8630">IF(AIG27&lt;&gt;"",VLOOKUP(AIG27,AHN4:AHT40,7,FALSE),"")</f>
        <v>1000</v>
      </c>
      <c r="AIP27" s="319">
        <f t="shared" ref="AIP27" ca="1" si="8631">IF(AIG27&lt;&gt;"",VLOOKUP(AIG27,AHN4:AHT40,5,FALSE),"")</f>
        <v>0</v>
      </c>
      <c r="AIQ27" s="319">
        <f t="shared" ref="AIQ27" ca="1" si="8632">IF(AIG27&lt;&gt;"",VLOOKUP(AIG27,AHN4:AHV40,9,FALSE),"")</f>
        <v>42</v>
      </c>
      <c r="AIR27" s="319">
        <f t="shared" ca="1" si="7651"/>
        <v>0</v>
      </c>
      <c r="AIS27" s="319">
        <f t="shared" ref="AIS27" ca="1" si="8633">IF(AIG27&lt;&gt;"",RANK(AIR27,AIR25:AIR29),"")</f>
        <v>1</v>
      </c>
      <c r="AIT27" s="319">
        <f t="shared" ref="AIT27" ca="1" si="8634">IF(AIG27&lt;&gt;"",SUMPRODUCT((AIR25:AIR29=AIR27)*(AIM25:AIM29&gt;AIM27)),"")</f>
        <v>0</v>
      </c>
      <c r="AIU27" s="319">
        <f t="shared" ref="AIU27" ca="1" si="8635">IF(AIG27&lt;&gt;"",SUMPRODUCT((AIR25:AIR29=AIR27)*(AIM25:AIM29=AIM27)*(AIK25:AIK29&gt;AIK27)),"")</f>
        <v>0</v>
      </c>
      <c r="AIV27" s="319">
        <f t="shared" ref="AIV27" ca="1" si="8636">IF(AIG27&lt;&gt;"",SUMPRODUCT((AIR25:AIR29=AIR27)*(AIM25:AIM29=AIM27)*(AIK25:AIK29=AIK27)*(AIO25:AIO29&gt;AIO27)),"")</f>
        <v>0</v>
      </c>
      <c r="AIW27" s="319">
        <f t="shared" ref="AIW27" ca="1" si="8637">IF(AIG27&lt;&gt;"",SUMPRODUCT((AIR25:AIR29=AIR27)*(AIM25:AIM29=AIM27)*(AIK25:AIK29=AIK27)*(AIO25:AIO29=AIO27)*(AIP25:AIP29&gt;AIP27)),"")</f>
        <v>0</v>
      </c>
      <c r="AIX27" s="319">
        <f t="shared" ref="AIX27" ca="1" si="8638">IF(AIG27&lt;&gt;"",SUMPRODUCT((AIR25:AIR29=AIR27)*(AIM25:AIM29=AIM27)*(AIK25:AIK29=AIK27)*(AIO25:AIO29=AIO27)*(AIP25:AIP29=AIP27)*(AIQ25:AIQ29&gt;AIQ27)),"")</f>
        <v>1</v>
      </c>
      <c r="AIY27" s="319">
        <f ca="1">IF(AIG27&lt;&gt;"",IF(AIY67&lt;&gt;"",IF(AIF64=3,AIY67,AIY67+AIF64),SUM(AIS27:AIX27)),"")</f>
        <v>2</v>
      </c>
      <c r="AIZ27" s="319" t="str">
        <f t="shared" ref="AIZ27" ca="1" si="8639">IF(AIG27&lt;&gt;"",INDEX(AIG25:AIG29,MATCH(3,AIY25:AIY29,0),0),"")</f>
        <v>Austria</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19">
        <f t="shared" ref="AKA27:AKA28" ca="1" si="8661">AJY27-AJZ27+1000</f>
        <v>1000</v>
      </c>
      <c r="AKB27" s="319" t="str">
        <f t="shared" ref="AKB27:AKB28" ca="1" si="8662">IF(AJU27&lt;&gt;"",AJV27*3+AJW27*1,"")</f>
        <v/>
      </c>
      <c r="AKC27" s="319" t="str">
        <f t="shared" ref="AKC27" ca="1" si="8663">IF(AJU27&lt;&gt;"",VLOOKUP(AJU27,AHN4:AHT40,7,FALSE),"")</f>
        <v/>
      </c>
      <c r="AKD27" s="319" t="str">
        <f t="shared" ref="AKD27" ca="1" si="8664">IF(AJU27&lt;&gt;"",VLOOKUP(AJU27,AHN4:AHT40,5,FALSE),"")</f>
        <v/>
      </c>
      <c r="AKE27" s="319" t="str">
        <f t="shared" ref="AKE27" ca="1" si="8665">IF(AJU27&lt;&gt;"",VLOOKUP(AJU27,AHN4:AHV40,9,FALSE),"")</f>
        <v/>
      </c>
      <c r="AKF27" s="319" t="str">
        <f t="shared" ref="AKF27:AKF28" ca="1" si="8666">AKB27</f>
        <v/>
      </c>
      <c r="AKG27" s="319" t="str">
        <f t="shared" ref="AKG27" ca="1" si="8667">IF(AJU27&lt;&gt;"",RANK(AKF27,AKF25:AKF29),"")</f>
        <v/>
      </c>
      <c r="AKH27" s="319" t="str">
        <f t="shared" ref="AKH27" ca="1" si="8668">IF(AJU27&lt;&gt;"",SUMPRODUCT((AKF25:AKF29=AKF27)*(AKA25:AKA29&gt;AKA27)),"")</f>
        <v/>
      </c>
      <c r="AKI27" s="319" t="str">
        <f t="shared" ref="AKI27" ca="1" si="8669">IF(AJU27&lt;&gt;"",SUMPRODUCT((AKF25:AKF29=AKF27)*(AKA25:AKA29=AKA27)*(AJY25:AJY29&gt;AJY27)),"")</f>
        <v/>
      </c>
      <c r="AKJ27" s="319" t="str">
        <f t="shared" ref="AKJ27" ca="1" si="8670">IF(AJU27&lt;&gt;"",SUMPRODUCT((AKF25:AKF29=AKF27)*(AKA25:AKA29=AKA27)*(AJY25:AJY29=AJY27)*(AKC25:AKC29&gt;AKC27)),"")</f>
        <v/>
      </c>
      <c r="AKK27" s="319" t="str">
        <f t="shared" ref="AKK27" ca="1" si="8671">IF(AJU27&lt;&gt;"",SUMPRODUCT((AKF25:AKF29=AKF27)*(AKA25:AKA29=AKA27)*(AJY25:AJY29=AJY27)*(AKC25:AKC29=AKC27)*(AKD25:AKD29&gt;AKD27)),"")</f>
        <v/>
      </c>
      <c r="AKL27" s="319" t="str">
        <f t="shared" ref="AKL27" ca="1" si="8672">IF(AJU27&lt;&gt;"",SUMPRODUCT((AKF25:AKF29=AKF27)*(AKA25:AKA29=AKA27)*(AJY25:AJY29=AJY27)*(AKC25:AKC29=AKC27)*(AKD25:AKD29=AKD27)*(AKE25:AKE29&gt;AKE27)),"")</f>
        <v/>
      </c>
      <c r="AKM27" s="319" t="str">
        <f t="shared" ref="AKM27:AKM28" ca="1" si="8673">IF(AJU27&lt;&gt;"",SUM(AKG27:AKL27)+2,"")</f>
        <v/>
      </c>
      <c r="AKN27" s="319" t="str">
        <f t="shared" ref="AKN27" ca="1" si="8674">IF(AJU27&lt;&gt;"",INDEX(AJU27:AJU29,MATCH(3,AKM27:AKM29,0),0),"")</f>
        <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Austria</v>
      </c>
      <c r="ALJ27" s="319">
        <v>3</v>
      </c>
      <c r="ALK27" s="319">
        <v>25</v>
      </c>
      <c r="ALL27" s="319" t="str">
        <f t="shared" si="82"/>
        <v>Switzerland</v>
      </c>
      <c r="ALM27" s="322">
        <f ca="1">IF(OFFSET('Player Game Board'!P34,0,ALM1)&lt;&gt;"",OFFSET('Player Game Board'!P34,0,ALM1),0)</f>
        <v>0</v>
      </c>
      <c r="ALN27" s="322">
        <f ca="1">IF(OFFSET('Player Game Board'!Q34,0,ALM1)&lt;&gt;"",OFFSET('Player Game Board'!Q34,0,ALM1),0)</f>
        <v>0</v>
      </c>
      <c r="ALO27" s="319" t="str">
        <f t="shared" si="83"/>
        <v>Germany</v>
      </c>
      <c r="ALP27" s="319" t="str">
        <f ca="1">IF(AND(OFFSET('Player Game Board'!P34,0,ALM1)&lt;&gt;"",OFFSET('Player Game Board'!Q34,0,ALM1)&lt;&gt;""),IF(ALM27&gt;ALN27,"W",IF(ALM27=ALN27,"D","L")),"")</f>
        <v/>
      </c>
      <c r="ALQ27" s="319" t="str">
        <f t="shared" ca="1" si="5720"/>
        <v/>
      </c>
      <c r="ALR27" s="319"/>
      <c r="ALS27" s="319"/>
      <c r="ALT27" s="324" t="s">
        <v>103</v>
      </c>
      <c r="ALU27" s="325" t="s">
        <v>104</v>
      </c>
      <c r="ALV27" s="325" t="s">
        <v>105</v>
      </c>
      <c r="ALW27" s="325" t="s">
        <v>106</v>
      </c>
      <c r="ALX27" s="324" t="s">
        <v>106</v>
      </c>
      <c r="ALY27" s="324" t="s">
        <v>105</v>
      </c>
      <c r="ALZ27" s="324" t="s">
        <v>104</v>
      </c>
      <c r="AMA27" s="324" t="s">
        <v>103</v>
      </c>
      <c r="AMB27" s="325"/>
      <c r="AMC27" s="326">
        <f t="shared" ref="AMC27" ca="1" si="8676">IFERROR(MATCH(AMC12,ALT27:ALW27,0),0)</f>
        <v>0</v>
      </c>
      <c r="AMD27" s="326">
        <f t="shared" ref="AMD27" ca="1" si="8677">IFERROR(MATCH(AMD12,ALT27:ALW27,0),0)</f>
        <v>2</v>
      </c>
      <c r="AME27" s="326">
        <f t="shared" ref="AME27" ca="1" si="8678">IFERROR(MATCH(AME12,ALT27:ALW27,0),0)</f>
        <v>0</v>
      </c>
      <c r="AMF27" s="326">
        <f t="shared" ref="AMF27" ca="1" si="8679">IFERROR(MATCH(AMF12,ALT27:ALW27,0),0)</f>
        <v>1</v>
      </c>
      <c r="AMG27" s="326">
        <f t="shared" ca="1" si="3896"/>
        <v>3</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0</v>
      </c>
      <c r="AMO27" s="319">
        <f t="shared" ref="AMO27" ca="1" si="8684">SUMPRODUCT((AQJ3:AQJ42=AML27)*(AQN3:AQN42="L"))+SUMPRODUCT((AQM3:AQM42=AML27)*(AQO3:AQO42="L"))</f>
        <v>0</v>
      </c>
      <c r="AMP27" s="319">
        <f t="shared" ref="AMP27" ca="1" si="8685">SUMIF(AQJ3:AQJ60,AML27,AQK3:AQK60)+SUMIF(AQM3:AQM60,AML27,AQL3:AQL60)</f>
        <v>0</v>
      </c>
      <c r="AMQ27" s="319">
        <f t="shared" ref="AMQ27" ca="1" si="8686">SUMIF(AQM3:AQM60,AML27,AQK3:AQK60)+SUMIF(AQJ3:AQJ60,AML27,AQL3:AQL60)</f>
        <v>0</v>
      </c>
      <c r="AMR27" s="319">
        <f t="shared" ca="1" si="7672"/>
        <v>1000</v>
      </c>
      <c r="AMS27" s="319">
        <f t="shared" ca="1" si="7673"/>
        <v>0</v>
      </c>
      <c r="AMT27" s="319">
        <f t="shared" si="930"/>
        <v>41</v>
      </c>
      <c r="AMU27" s="319">
        <f t="shared" ref="AMU27" ca="1" si="8687">IF(COUNTIF(AMS25:AMS29,4)&lt;&gt;4,RANK(AMS27,AMS25:AMS29),AMS67)</f>
        <v>1</v>
      </c>
      <c r="AMV27" s="319"/>
      <c r="AMW27" s="319">
        <f t="shared" ref="AMW27" ca="1" si="8688">SUMPRODUCT((AMU25:AMU28=AMU27)*(AMT25:AMT28&lt;AMT27))+AMU27</f>
        <v>2</v>
      </c>
      <c r="AMX27" s="319" t="str">
        <f t="shared" ref="AMX27" ca="1" si="8689">INDEX(AML25:AML29,MATCH(3,AMW25:AMW29,0),0)</f>
        <v>Netherlands</v>
      </c>
      <c r="AMY27" s="319">
        <f t="shared" ref="AMY27" ca="1" si="8690">INDEX(AMU25:AMU29,MATCH(AMX27,AML25:AML29,0),0)</f>
        <v>1</v>
      </c>
      <c r="AMZ27" s="319" t="str">
        <f t="shared" ref="AMZ27:AMZ28" ca="1" si="8691">IF(AND(AMZ26&lt;&gt;"",AMY27=1),AMX27,"")</f>
        <v>Netherlands</v>
      </c>
      <c r="ANA27" s="319" t="str">
        <f t="shared" ref="ANA27:ANA28" ca="1" si="8692">IF(AND(ANA26&lt;&gt;"",AMY28=2),AMX28,"")</f>
        <v/>
      </c>
      <c r="ANB27" s="319" t="str">
        <f t="shared" ref="ANB27" ca="1" si="8693">IF(AND(ANB26&lt;&gt;"",AMY29=3),AMX29,"")</f>
        <v/>
      </c>
      <c r="ANC27" s="319"/>
      <c r="AND27" s="319"/>
      <c r="ANE27" s="319" t="str">
        <f t="shared" ca="1" si="7682"/>
        <v>Netherlands</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f t="shared" ca="1" si="7689"/>
        <v>0</v>
      </c>
      <c r="ANM27" s="319">
        <f t="shared" ref="ANM27" ca="1" si="8699">IF(ANE27&lt;&gt;"",VLOOKUP(ANE27,AML4:AMR40,7,FALSE),"")</f>
        <v>1000</v>
      </c>
      <c r="ANN27" s="319">
        <f t="shared" ref="ANN27" ca="1" si="8700">IF(ANE27&lt;&gt;"",VLOOKUP(ANE27,AML4:AMR40,5,FALSE),"")</f>
        <v>0</v>
      </c>
      <c r="ANO27" s="319">
        <f t="shared" ref="ANO27" ca="1" si="8701">IF(ANE27&lt;&gt;"",VLOOKUP(ANE27,AML4:AMT40,9,FALSE),"")</f>
        <v>42</v>
      </c>
      <c r="ANP27" s="319">
        <f t="shared" ca="1" si="7693"/>
        <v>0</v>
      </c>
      <c r="ANQ27" s="319">
        <f t="shared" ref="ANQ27" ca="1" si="8702">IF(ANE27&lt;&gt;"",RANK(ANP27,ANP25:ANP29),"")</f>
        <v>1</v>
      </c>
      <c r="ANR27" s="319">
        <f t="shared" ref="ANR27" ca="1" si="8703">IF(ANE27&lt;&gt;"",SUMPRODUCT((ANP25:ANP29=ANP27)*(ANK25:ANK29&gt;ANK27)),"")</f>
        <v>0</v>
      </c>
      <c r="ANS27" s="319">
        <f t="shared" ref="ANS27" ca="1" si="8704">IF(ANE27&lt;&gt;"",SUMPRODUCT((ANP25:ANP29=ANP27)*(ANK25:ANK29=ANK27)*(ANI25:ANI29&gt;ANI27)),"")</f>
        <v>0</v>
      </c>
      <c r="ANT27" s="319">
        <f t="shared" ref="ANT27" ca="1" si="8705">IF(ANE27&lt;&gt;"",SUMPRODUCT((ANP25:ANP29=ANP27)*(ANK25:ANK29=ANK27)*(ANI25:ANI29=ANI27)*(ANM25:ANM29&gt;ANM27)),"")</f>
        <v>0</v>
      </c>
      <c r="ANU27" s="319">
        <f t="shared" ref="ANU27" ca="1" si="8706">IF(ANE27&lt;&gt;"",SUMPRODUCT((ANP25:ANP29=ANP27)*(ANK25:ANK29=ANK27)*(ANI25:ANI29=ANI27)*(ANM25:ANM29=ANM27)*(ANN25:ANN29&gt;ANN27)),"")</f>
        <v>0</v>
      </c>
      <c r="ANV27" s="319">
        <f t="shared" ref="ANV27" ca="1" si="8707">IF(ANE27&lt;&gt;"",SUMPRODUCT((ANP25:ANP29=ANP27)*(ANK25:ANK29=ANK27)*(ANI25:ANI29=ANI27)*(ANM25:ANM29=ANM27)*(ANN25:ANN29=ANN27)*(ANO25:ANO29&gt;ANO27)),"")</f>
        <v>1</v>
      </c>
      <c r="ANW27" s="319">
        <f ca="1">IF(ANE27&lt;&gt;"",IF(ANW67&lt;&gt;"",IF(AND64=3,ANW67,ANW67+AND64),SUM(ANQ27:ANV27)),"")</f>
        <v>2</v>
      </c>
      <c r="ANX27" s="319" t="str">
        <f t="shared" ref="ANX27" ca="1" si="8708">IF(ANE27&lt;&gt;"",INDEX(ANE25:ANE29,MATCH(3,ANW25:ANW29,0),0),"")</f>
        <v>Austria</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0</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0</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0</v>
      </c>
      <c r="AOY27" s="319">
        <f t="shared" ref="AOY27:AOY28" ca="1" si="8730">AOW27-AOX27+1000</f>
        <v>1000</v>
      </c>
      <c r="AOZ27" s="319" t="str">
        <f t="shared" ref="AOZ27:AOZ28" ca="1" si="8731">IF(AOS27&lt;&gt;"",AOT27*3+AOU27*1,"")</f>
        <v/>
      </c>
      <c r="APA27" s="319" t="str">
        <f t="shared" ref="APA27" ca="1" si="8732">IF(AOS27&lt;&gt;"",VLOOKUP(AOS27,AML4:AMR40,7,FALSE),"")</f>
        <v/>
      </c>
      <c r="APB27" s="319" t="str">
        <f t="shared" ref="APB27" ca="1" si="8733">IF(AOS27&lt;&gt;"",VLOOKUP(AOS27,AML4:AMR40,5,FALSE),"")</f>
        <v/>
      </c>
      <c r="APC27" s="319" t="str">
        <f t="shared" ref="APC27" ca="1" si="8734">IF(AOS27&lt;&gt;"",VLOOKUP(AOS27,AML4:AMT40,9,FALSE),"")</f>
        <v/>
      </c>
      <c r="APD27" s="319" t="str">
        <f t="shared" ref="APD27:APD28" ca="1" si="8735">AOZ27</f>
        <v/>
      </c>
      <c r="APE27" s="319" t="str">
        <f t="shared" ref="APE27" ca="1" si="8736">IF(AOS27&lt;&gt;"",RANK(APD27,APD25:APD29),"")</f>
        <v/>
      </c>
      <c r="APF27" s="319" t="str">
        <f t="shared" ref="APF27" ca="1" si="8737">IF(AOS27&lt;&gt;"",SUMPRODUCT((APD25:APD29=APD27)*(AOY25:AOY29&gt;AOY27)),"")</f>
        <v/>
      </c>
      <c r="APG27" s="319" t="str">
        <f t="shared" ref="APG27" ca="1" si="8738">IF(AOS27&lt;&gt;"",SUMPRODUCT((APD25:APD29=APD27)*(AOY25:AOY29=AOY27)*(AOW25:AOW29&gt;AOW27)),"")</f>
        <v/>
      </c>
      <c r="APH27" s="319" t="str">
        <f t="shared" ref="APH27" ca="1" si="8739">IF(AOS27&lt;&gt;"",SUMPRODUCT((APD25:APD29=APD27)*(AOY25:AOY29=AOY27)*(AOW25:AOW29=AOW27)*(APA25:APA29&gt;APA27)),"")</f>
        <v/>
      </c>
      <c r="API27" s="319" t="str">
        <f t="shared" ref="API27" ca="1" si="8740">IF(AOS27&lt;&gt;"",SUMPRODUCT((APD25:APD29=APD27)*(AOY25:AOY29=AOY27)*(AOW25:AOW29=AOW27)*(APA25:APA29=APA27)*(APB25:APB29&gt;APB27)),"")</f>
        <v/>
      </c>
      <c r="APJ27" s="319" t="str">
        <f t="shared" ref="APJ27" ca="1" si="8741">IF(AOS27&lt;&gt;"",SUMPRODUCT((APD25:APD29=APD27)*(AOY25:AOY29=AOY27)*(AOW25:AOW29=AOW27)*(APA25:APA29=APA27)*(APB25:APB29=APB27)*(APC25:APC29&gt;APC27)),"")</f>
        <v/>
      </c>
      <c r="APK27" s="319" t="str">
        <f t="shared" ref="APK27:APK28" ca="1" si="8742">IF(AOS27&lt;&gt;"",SUM(APE27:APJ27)+2,"")</f>
        <v/>
      </c>
      <c r="APL27" s="319" t="str">
        <f t="shared" ref="APL27" ca="1" si="8743">IF(AOS27&lt;&gt;"",INDEX(AOS27:AOS29,MATCH(3,APK27:APK29,0),0),"")</f>
        <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0</v>
      </c>
      <c r="AQL27" s="322">
        <f ca="1">IF(OFFSET('Player Game Board'!Q34,0,AQK1)&lt;&gt;"",OFFSET('Player Game Board'!Q34,0,AQK1),0)</f>
        <v>0</v>
      </c>
      <c r="AQM27" s="319" t="str">
        <f t="shared" si="99"/>
        <v>Germany</v>
      </c>
      <c r="AQN27" s="319" t="str">
        <f ca="1">IF(AND(OFFSET('Player Game Board'!P34,0,AQK1)&lt;&gt;"",OFFSET('Player Game Board'!Q34,0,AQK1)&lt;&gt;""),IF(AQK27&gt;AQL27,"W",IF(AQK27=AQL27,"D","L")),"")</f>
        <v/>
      </c>
      <c r="AQO27" s="319" t="str">
        <f t="shared" ca="1" si="5775"/>
        <v/>
      </c>
      <c r="AQP27" s="319"/>
      <c r="AQQ27" s="319"/>
      <c r="AQR27" s="324" t="s">
        <v>103</v>
      </c>
      <c r="AQS27" s="325" t="s">
        <v>104</v>
      </c>
      <c r="AQT27" s="325" t="s">
        <v>105</v>
      </c>
      <c r="AQU27" s="325" t="s">
        <v>106</v>
      </c>
      <c r="AQV27" s="324" t="s">
        <v>106</v>
      </c>
      <c r="AQW27" s="324" t="s">
        <v>105</v>
      </c>
      <c r="AQX27" s="324" t="s">
        <v>104</v>
      </c>
      <c r="AQY27" s="324" t="s">
        <v>103</v>
      </c>
      <c r="AQZ27" s="325"/>
      <c r="ARA27" s="326">
        <f t="shared" ref="ARA27" ca="1" si="8745">IFERROR(MATCH(ARA12,AQR27:AQU27,0),0)</f>
        <v>0</v>
      </c>
      <c r="ARB27" s="326">
        <f t="shared" ref="ARB27" ca="1" si="8746">IFERROR(MATCH(ARB12,AQR27:AQU27,0),0)</f>
        <v>2</v>
      </c>
      <c r="ARC27" s="326">
        <f t="shared" ref="ARC27" ca="1" si="8747">IFERROR(MATCH(ARC12,AQR27:AQU27,0),0)</f>
        <v>0</v>
      </c>
      <c r="ARD27" s="326">
        <f t="shared" ref="ARD27" ca="1" si="8748">IFERROR(MATCH(ARD12,AQR27:AQU27,0),0)</f>
        <v>1</v>
      </c>
      <c r="ARE27" s="326">
        <f t="shared" ca="1" si="3966"/>
        <v>3</v>
      </c>
      <c r="ARF27" s="319"/>
      <c r="ARG27" s="319" t="str">
        <f t="shared" ref="ARG27" ca="1" si="8749">VLOOKUP(2,AMK18:AML21,2,FALSE)</f>
        <v>Denmark</v>
      </c>
      <c r="ARH27" s="325">
        <f t="shared" ca="1" si="5310"/>
        <v>1</v>
      </c>
      <c r="ARI27" s="319">
        <f t="shared" ref="ARI27" ca="1" si="8750">VLOOKUP(ARJ27,AVE25:AVF29,2,FALSE)</f>
        <v>3</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0</v>
      </c>
      <c r="ARN27" s="319">
        <f t="shared" ref="ARN27" ca="1" si="8754">SUMIF(AVH3:AVH60,ARJ27,AVI3:AVI60)+SUMIF(AVK3:AVK60,ARJ27,AVJ3:AVJ60)</f>
        <v>0</v>
      </c>
      <c r="ARO27" s="319">
        <f t="shared" ref="ARO27" ca="1" si="8755">SUMIF(AVK3:AVK60,ARJ27,AVI3:AVI60)+SUMIF(AVH3:AVH60,ARJ27,AVJ3:AVJ60)</f>
        <v>0</v>
      </c>
      <c r="ARP27" s="319">
        <f t="shared" ca="1" si="7714"/>
        <v>1000</v>
      </c>
      <c r="ARQ27" s="319">
        <f t="shared" ca="1" si="7715"/>
        <v>0</v>
      </c>
      <c r="ARR27" s="319">
        <f t="shared" si="990"/>
        <v>41</v>
      </c>
      <c r="ARS27" s="319">
        <f t="shared" ref="ARS27" ca="1" si="8756">IF(COUNTIF(ARQ25:ARQ29,4)&lt;&gt;4,RANK(ARQ27,ARQ25:ARQ29),ARQ67)</f>
        <v>1</v>
      </c>
      <c r="ART27" s="319"/>
      <c r="ARU27" s="319">
        <f t="shared" ref="ARU27" ca="1" si="8757">SUMPRODUCT((ARS25:ARS28=ARS27)*(ARR25:ARR28&lt;ARR27))+ARS27</f>
        <v>2</v>
      </c>
      <c r="ARV27" s="319" t="str">
        <f t="shared" ref="ARV27" ca="1" si="8758">INDEX(ARJ25:ARJ29,MATCH(3,ARU25:ARU29,0),0)</f>
        <v>Netherlands</v>
      </c>
      <c r="ARW27" s="319">
        <f t="shared" ref="ARW27" ca="1" si="8759">INDEX(ARS25:ARS29,MATCH(ARV27,ARJ25:ARJ29,0),0)</f>
        <v>1</v>
      </c>
      <c r="ARX27" s="319" t="str">
        <f t="shared" ref="ARX27:ARX28" ca="1" si="8760">IF(AND(ARX26&lt;&gt;"",ARW27=1),ARV27,"")</f>
        <v>Netherlands</v>
      </c>
      <c r="ARY27" s="319" t="str">
        <f t="shared" ref="ARY27:ARY28" ca="1" si="8761">IF(AND(ARY26&lt;&gt;"",ARW28=2),ARV28,"")</f>
        <v/>
      </c>
      <c r="ARZ27" s="319" t="str">
        <f t="shared" ref="ARZ27" ca="1" si="8762">IF(AND(ARZ26&lt;&gt;"",ARW29=3),ARV29,"")</f>
        <v/>
      </c>
      <c r="ASA27" s="319"/>
      <c r="ASB27" s="319"/>
      <c r="ASC27" s="319" t="str">
        <f t="shared" ca="1" si="7724"/>
        <v>Netherlands</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f t="shared" ca="1" si="7731"/>
        <v>0</v>
      </c>
      <c r="ASK27" s="319">
        <f t="shared" ref="ASK27" ca="1" si="8768">IF(ASC27&lt;&gt;"",VLOOKUP(ASC27,ARJ4:ARP40,7,FALSE),"")</f>
        <v>1000</v>
      </c>
      <c r="ASL27" s="319">
        <f t="shared" ref="ASL27" ca="1" si="8769">IF(ASC27&lt;&gt;"",VLOOKUP(ASC27,ARJ4:ARP40,5,FALSE),"")</f>
        <v>0</v>
      </c>
      <c r="ASM27" s="319">
        <f t="shared" ref="ASM27" ca="1" si="8770">IF(ASC27&lt;&gt;"",VLOOKUP(ASC27,ARJ4:ARR40,9,FALSE),"")</f>
        <v>42</v>
      </c>
      <c r="ASN27" s="319">
        <f t="shared" ca="1" si="7735"/>
        <v>0</v>
      </c>
      <c r="ASO27" s="319">
        <f t="shared" ref="ASO27" ca="1" si="8771">IF(ASC27&lt;&gt;"",RANK(ASN27,ASN25:ASN29),"")</f>
        <v>1</v>
      </c>
      <c r="ASP27" s="319">
        <f t="shared" ref="ASP27" ca="1" si="8772">IF(ASC27&lt;&gt;"",SUMPRODUCT((ASN25:ASN29=ASN27)*(ASI25:ASI29&gt;ASI27)),"")</f>
        <v>0</v>
      </c>
      <c r="ASQ27" s="319">
        <f t="shared" ref="ASQ27" ca="1" si="8773">IF(ASC27&lt;&gt;"",SUMPRODUCT((ASN25:ASN29=ASN27)*(ASI25:ASI29=ASI27)*(ASG25:ASG29&gt;ASG27)),"")</f>
        <v>0</v>
      </c>
      <c r="ASR27" s="319">
        <f t="shared" ref="ASR27" ca="1" si="8774">IF(ASC27&lt;&gt;"",SUMPRODUCT((ASN25:ASN29=ASN27)*(ASI25:ASI29=ASI27)*(ASG25:ASG29=ASG27)*(ASK25:ASK29&gt;ASK27)),"")</f>
        <v>0</v>
      </c>
      <c r="ASS27" s="319">
        <f t="shared" ref="ASS27" ca="1" si="8775">IF(ASC27&lt;&gt;"",SUMPRODUCT((ASN25:ASN29=ASN27)*(ASI25:ASI29=ASI27)*(ASG25:ASG29=ASG27)*(ASK25:ASK29=ASK27)*(ASL25:ASL29&gt;ASL27)),"")</f>
        <v>0</v>
      </c>
      <c r="AST27" s="319">
        <f t="shared" ref="AST27" ca="1" si="8776">IF(ASC27&lt;&gt;"",SUMPRODUCT((ASN25:ASN29=ASN27)*(ASI25:ASI29=ASI27)*(ASG25:ASG29=ASG27)*(ASK25:ASK29=ASK27)*(ASL25:ASL29=ASL27)*(ASM25:ASM29&gt;ASM27)),"")</f>
        <v>1</v>
      </c>
      <c r="ASU27" s="319">
        <f ca="1">IF(ASC27&lt;&gt;"",IF(ASU67&lt;&gt;"",IF(ASB64=3,ASU67,ASU67+ASB64),SUM(ASO27:AST27)),"")</f>
        <v>2</v>
      </c>
      <c r="ASV27" s="319" t="str">
        <f t="shared" ref="ASV27" ca="1" si="8777">IF(ASC27&lt;&gt;"",INDEX(ASC25:ASC29,MATCH(3,ASU25:ASU29,0),0),"")</f>
        <v>Austria</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Austria</v>
      </c>
      <c r="AVF27" s="319">
        <v>3</v>
      </c>
      <c r="AVG27" s="319">
        <v>25</v>
      </c>
      <c r="AVH27" s="319" t="str">
        <f t="shared" si="114"/>
        <v>Switzerland</v>
      </c>
      <c r="AVI27" s="322">
        <f ca="1">IF(OFFSET('Player Game Board'!P34,0,AVI1)&lt;&gt;"",OFFSET('Player Game Board'!P34,0,AVI1),0)</f>
        <v>0</v>
      </c>
      <c r="AVJ27" s="322">
        <f ca="1">IF(OFFSET('Player Game Board'!Q34,0,AVI1)&lt;&gt;"",OFFSET('Player Game Board'!Q34,0,AVI1),0)</f>
        <v>0</v>
      </c>
      <c r="AVK27" s="319" t="str">
        <f t="shared" si="115"/>
        <v>Germany</v>
      </c>
      <c r="AVL27" s="319" t="str">
        <f ca="1">IF(AND(OFFSET('Player Game Board'!P34,0,AVI1)&lt;&gt;"",OFFSET('Player Game Board'!Q34,0,AVI1)&lt;&gt;""),IF(AVI27&gt;AVJ27,"W",IF(AVI27=AVJ27,"D","L")),"")</f>
        <v/>
      </c>
      <c r="AVM27" s="319" t="str">
        <f t="shared" ca="1" si="5830"/>
        <v/>
      </c>
      <c r="AVN27" s="319"/>
      <c r="AVO27" s="319"/>
      <c r="AVP27" s="324" t="s">
        <v>103</v>
      </c>
      <c r="AVQ27" s="325" t="s">
        <v>104</v>
      </c>
      <c r="AVR27" s="325" t="s">
        <v>105</v>
      </c>
      <c r="AVS27" s="325" t="s">
        <v>106</v>
      </c>
      <c r="AVT27" s="324" t="s">
        <v>106</v>
      </c>
      <c r="AVU27" s="324" t="s">
        <v>105</v>
      </c>
      <c r="AVV27" s="324" t="s">
        <v>104</v>
      </c>
      <c r="AVW27" s="324" t="s">
        <v>103</v>
      </c>
      <c r="AVX27" s="325"/>
      <c r="AVY27" s="326">
        <f t="shared" ref="AVY27" ca="1" si="8814">IFERROR(MATCH(AVY12,AVP27:AVS27,0),0)</f>
        <v>0</v>
      </c>
      <c r="AVZ27" s="326">
        <f t="shared" ref="AVZ27" ca="1" si="8815">IFERROR(MATCH(AVZ12,AVP27:AVS27,0),0)</f>
        <v>2</v>
      </c>
      <c r="AWA27" s="326">
        <f t="shared" ref="AWA27" ca="1" si="8816">IFERROR(MATCH(AWA12,AVP27:AVS27,0),0)</f>
        <v>0</v>
      </c>
      <c r="AWB27" s="326">
        <f t="shared" ref="AWB27" ca="1" si="8817">IFERROR(MATCH(AWB12,AVP27:AVS27,0),0)</f>
        <v>1</v>
      </c>
      <c r="AWC27" s="326">
        <f t="shared" ca="1" si="4036"/>
        <v>3</v>
      </c>
      <c r="AWD27" s="319"/>
      <c r="AWE27" s="319" t="str">
        <f t="shared" ref="AWE27" ca="1" si="8818">VLOOKUP(2,ARI18:ARJ21,2,FALSE)</f>
        <v>Denmark</v>
      </c>
      <c r="AWF27" s="325">
        <f t="shared" ca="1" si="5353"/>
        <v>1</v>
      </c>
      <c r="AWG27" s="319">
        <f t="shared" ref="AWG27" ca="1" si="8819">VLOOKUP(AWH27,BAC25:BAD29,2,FALSE)</f>
        <v>3</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0</v>
      </c>
      <c r="AWL27" s="319">
        <f t="shared" ref="AWL27" ca="1" si="8823">SUMIF(BAF3:BAF60,AWH27,BAG3:BAG60)+SUMIF(BAI3:BAI60,AWH27,BAH3:BAH60)</f>
        <v>0</v>
      </c>
      <c r="AWM27" s="319">
        <f t="shared" ref="AWM27" ca="1" si="8824">SUMIF(BAI3:BAI60,AWH27,BAG3:BAG60)+SUMIF(BAF3:BAF60,AWH27,BAH3:BAH60)</f>
        <v>0</v>
      </c>
      <c r="AWN27" s="319">
        <f t="shared" ca="1" si="7756"/>
        <v>1000</v>
      </c>
      <c r="AWO27" s="319">
        <f t="shared" ca="1" si="7757"/>
        <v>0</v>
      </c>
      <c r="AWP27" s="319">
        <f t="shared" si="1050"/>
        <v>41</v>
      </c>
      <c r="AWQ27" s="319">
        <f t="shared" ref="AWQ27" ca="1" si="8825">IF(COUNTIF(AWO25:AWO29,4)&lt;&gt;4,RANK(AWO27,AWO25:AWO29),AWO67)</f>
        <v>1</v>
      </c>
      <c r="AWR27" s="319"/>
      <c r="AWS27" s="319">
        <f t="shared" ref="AWS27" ca="1" si="8826">SUMPRODUCT((AWQ25:AWQ28=AWQ27)*(AWP25:AWP28&lt;AWP27))+AWQ27</f>
        <v>2</v>
      </c>
      <c r="AWT27" s="319" t="str">
        <f t="shared" ref="AWT27" ca="1" si="8827">INDEX(AWH25:AWH29,MATCH(3,AWS25:AWS29,0),0)</f>
        <v>Netherlands</v>
      </c>
      <c r="AWU27" s="319">
        <f t="shared" ref="AWU27" ca="1" si="8828">INDEX(AWQ25:AWQ29,MATCH(AWT27,AWH25:AWH29,0),0)</f>
        <v>1</v>
      </c>
      <c r="AWV27" s="319" t="str">
        <f t="shared" ref="AWV27:AWV28" ca="1" si="8829">IF(AND(AWV26&lt;&gt;"",AWU27=1),AWT27,"")</f>
        <v>Netherlands</v>
      </c>
      <c r="AWW27" s="319" t="str">
        <f t="shared" ref="AWW27:AWW28" ca="1" si="8830">IF(AND(AWW26&lt;&gt;"",AWU28=2),AWT28,"")</f>
        <v/>
      </c>
      <c r="AWX27" s="319" t="str">
        <f t="shared" ref="AWX27" ca="1" si="8831">IF(AND(AWX26&lt;&gt;"",AWU29=3),AWT29,"")</f>
        <v/>
      </c>
      <c r="AWY27" s="319"/>
      <c r="AWZ27" s="319"/>
      <c r="AXA27" s="319" t="str">
        <f t="shared" ca="1" si="7766"/>
        <v>Netherlands</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f t="shared" ca="1" si="7773"/>
        <v>0</v>
      </c>
      <c r="AXI27" s="319">
        <f t="shared" ref="AXI27" ca="1" si="8837">IF(AXA27&lt;&gt;"",VLOOKUP(AXA27,AWH4:AWN40,7,FALSE),"")</f>
        <v>1000</v>
      </c>
      <c r="AXJ27" s="319">
        <f t="shared" ref="AXJ27" ca="1" si="8838">IF(AXA27&lt;&gt;"",VLOOKUP(AXA27,AWH4:AWN40,5,FALSE),"")</f>
        <v>0</v>
      </c>
      <c r="AXK27" s="319">
        <f t="shared" ref="AXK27" ca="1" si="8839">IF(AXA27&lt;&gt;"",VLOOKUP(AXA27,AWH4:AWP40,9,FALSE),"")</f>
        <v>42</v>
      </c>
      <c r="AXL27" s="319">
        <f t="shared" ca="1" si="7777"/>
        <v>0</v>
      </c>
      <c r="AXM27" s="319">
        <f t="shared" ref="AXM27" ca="1" si="8840">IF(AXA27&lt;&gt;"",RANK(AXL27,AXL25:AXL29),"")</f>
        <v>1</v>
      </c>
      <c r="AXN27" s="319">
        <f t="shared" ref="AXN27" ca="1" si="8841">IF(AXA27&lt;&gt;"",SUMPRODUCT((AXL25:AXL29=AXL27)*(AXG25:AXG29&gt;AXG27)),"")</f>
        <v>0</v>
      </c>
      <c r="AXO27" s="319">
        <f t="shared" ref="AXO27" ca="1" si="8842">IF(AXA27&lt;&gt;"",SUMPRODUCT((AXL25:AXL29=AXL27)*(AXG25:AXG29=AXG27)*(AXE25:AXE29&gt;AXE27)),"")</f>
        <v>0</v>
      </c>
      <c r="AXP27" s="319">
        <f t="shared" ref="AXP27" ca="1" si="8843">IF(AXA27&lt;&gt;"",SUMPRODUCT((AXL25:AXL29=AXL27)*(AXG25:AXG29=AXG27)*(AXE25:AXE29=AXE27)*(AXI25:AXI29&gt;AXI27)),"")</f>
        <v>0</v>
      </c>
      <c r="AXQ27" s="319">
        <f t="shared" ref="AXQ27" ca="1" si="8844">IF(AXA27&lt;&gt;"",SUMPRODUCT((AXL25:AXL29=AXL27)*(AXG25:AXG29=AXG27)*(AXE25:AXE29=AXE27)*(AXI25:AXI29=AXI27)*(AXJ25:AXJ29&gt;AXJ27)),"")</f>
        <v>0</v>
      </c>
      <c r="AXR27" s="319">
        <f t="shared" ref="AXR27" ca="1" si="8845">IF(AXA27&lt;&gt;"",SUMPRODUCT((AXL25:AXL29=AXL27)*(AXG25:AXG29=AXG27)*(AXE25:AXE29=AXE27)*(AXI25:AXI29=AXI27)*(AXJ25:AXJ29=AXJ27)*(AXK25:AXK29&gt;AXK27)),"")</f>
        <v>1</v>
      </c>
      <c r="AXS27" s="319">
        <f ca="1">IF(AXA27&lt;&gt;"",IF(AXS67&lt;&gt;"",IF(AWZ64=3,AXS67,AXS67+AWZ64),SUM(AXM27:AXR27)),"")</f>
        <v>2</v>
      </c>
      <c r="AXT27" s="319" t="str">
        <f t="shared" ref="AXT27" ca="1" si="8846">IF(AXA27&lt;&gt;"",INDEX(AXA25:AXA29,MATCH(3,AXS25:AXS29,0),0),"")</f>
        <v>Austria</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Austria</v>
      </c>
      <c r="BAD27" s="319">
        <v>3</v>
      </c>
      <c r="BAE27" s="319">
        <v>25</v>
      </c>
      <c r="BAF27" s="319" t="str">
        <f t="shared" si="130"/>
        <v>Switzerland</v>
      </c>
      <c r="BAG27" s="322">
        <f ca="1">IF(OFFSET('Player Game Board'!P34,0,BAG1)&lt;&gt;"",OFFSET('Player Game Board'!P34,0,BAG1),0)</f>
        <v>0</v>
      </c>
      <c r="BAH27" s="322">
        <f ca="1">IF(OFFSET('Player Game Board'!Q34,0,BAG1)&lt;&gt;"",OFFSET('Player Game Board'!Q34,0,BAG1),0)</f>
        <v>0</v>
      </c>
      <c r="BAI27" s="319" t="str">
        <f t="shared" si="131"/>
        <v>Germany</v>
      </c>
      <c r="BAJ27" s="319" t="str">
        <f ca="1">IF(AND(OFFSET('Player Game Board'!P34,0,BAG1)&lt;&gt;"",OFFSET('Player Game Board'!Q34,0,BAG1)&lt;&gt;""),IF(BAG27&gt;BAH27,"W",IF(BAG27=BAH27,"D","L")),"")</f>
        <v/>
      </c>
      <c r="BAK27" s="319" t="str">
        <f t="shared" ca="1" si="5885"/>
        <v/>
      </c>
      <c r="BAL27" s="319"/>
      <c r="BAM27" s="319"/>
      <c r="BAN27" s="324" t="s">
        <v>103</v>
      </c>
      <c r="BAO27" s="325" t="s">
        <v>104</v>
      </c>
      <c r="BAP27" s="325" t="s">
        <v>105</v>
      </c>
      <c r="BAQ27" s="325" t="s">
        <v>106</v>
      </c>
      <c r="BAR27" s="324" t="s">
        <v>106</v>
      </c>
      <c r="BAS27" s="324" t="s">
        <v>105</v>
      </c>
      <c r="BAT27" s="324" t="s">
        <v>104</v>
      </c>
      <c r="BAU27" s="324" t="s">
        <v>103</v>
      </c>
      <c r="BAV27" s="325"/>
      <c r="BAW27" s="326">
        <f t="shared" ref="BAW27" ca="1" si="8883">IFERROR(MATCH(BAW12,BAN27:BAQ27,0),0)</f>
        <v>0</v>
      </c>
      <c r="BAX27" s="326">
        <f t="shared" ref="BAX27" ca="1" si="8884">IFERROR(MATCH(BAX12,BAN27:BAQ27,0),0)</f>
        <v>2</v>
      </c>
      <c r="BAY27" s="326">
        <f t="shared" ref="BAY27" ca="1" si="8885">IFERROR(MATCH(BAY12,BAN27:BAQ27,0),0)</f>
        <v>0</v>
      </c>
      <c r="BAZ27" s="326">
        <f t="shared" ref="BAZ27" ca="1" si="8886">IFERROR(MATCH(BAZ12,BAN27:BAQ27,0),0)</f>
        <v>1</v>
      </c>
      <c r="BBA27" s="326">
        <f t="shared" ca="1" si="4106"/>
        <v>3</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103</v>
      </c>
      <c r="BFM27" s="325" t="s">
        <v>104</v>
      </c>
      <c r="BFN27" s="325" t="s">
        <v>105</v>
      </c>
      <c r="BFO27" s="325" t="s">
        <v>106</v>
      </c>
      <c r="BFP27" s="324" t="s">
        <v>106</v>
      </c>
      <c r="BFQ27" s="324" t="s">
        <v>105</v>
      </c>
      <c r="BFR27" s="324" t="s">
        <v>104</v>
      </c>
      <c r="BFS27" s="324" t="s">
        <v>103</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ht="13.8" x14ac:dyDescent="0.3">
      <c r="A28" s="319">
        <f>VLOOKUP(B28,CW25:CX29,2,FALSE)</f>
        <v>2</v>
      </c>
      <c r="B28" s="319" t="str">
        <f>'Language Table'!C13</f>
        <v>France</v>
      </c>
      <c r="C28" s="319">
        <f>SUMPRODUCT((CZ3:CZ42=B28)*(DD3:DD42="W"))+SUMPRODUCT((DC3:DC42=B28)*(DE3:DE42="W"))</f>
        <v>1</v>
      </c>
      <c r="D28" s="319">
        <f>SUMPRODUCT((CZ3:CZ42=B28)*(DD3:DD42="D"))+SUMPRODUCT((DC3:DC42=B28)*(DE3:DE42="D"))</f>
        <v>0</v>
      </c>
      <c r="E28" s="319">
        <f>SUMPRODUCT((CZ3:CZ42=B28)*(DD3:DD42="L"))+SUMPRODUCT((DC3:DC42=B28)*(DE3:DE42="L"))</f>
        <v>0</v>
      </c>
      <c r="F28" s="319">
        <f>SUMIF(CZ3:CZ60,B28,DA3:DA60)+SUMIF(DC3:DC60,B28,DB3:DB60)</f>
        <v>1</v>
      </c>
      <c r="G28" s="319">
        <f>SUMIF(DC3:DC60,B28,DA3:DA60)+SUMIF(CZ3:CZ60,B28,DB3:DB60)</f>
        <v>0</v>
      </c>
      <c r="H28" s="319">
        <f t="shared" si="7443"/>
        <v>1001</v>
      </c>
      <c r="I28" s="319">
        <f t="shared" si="7444"/>
        <v>3</v>
      </c>
      <c r="J28" s="319">
        <v>52</v>
      </c>
      <c r="K28" s="319">
        <f>IF(COUNTIF(I25:I29,4)&lt;&gt;4,RANK(I28,I25:I29),I68)</f>
        <v>1</v>
      </c>
      <c r="L28" s="319"/>
      <c r="M28" s="319">
        <f>SUMPRODUCT((K25:K28=K28)*(J25:J28&lt;J28))+K28</f>
        <v>2</v>
      </c>
      <c r="N28" s="319" t="str">
        <f>INDEX(B25:B29,MATCH(4,M25:M29,0),0)</f>
        <v>Austria</v>
      </c>
      <c r="O28" s="319">
        <f>INDEX(K25:K29,MATCH(N28,B25:B29,0),0)</f>
        <v>3</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
      </c>
      <c r="AP28" s="319" t="str">
        <f>IF(AO28&lt;&gt;"",SUMPRODUCT((CZ3:CZ42=AO28)*(DC3:DC42=AO29)*(DD3:DD42="W"))+SUMPRODUCT((CZ3:CZ42=AO28)*(DC3:DC42=AO26)*(DD3:DD42="W"))+SUMPRODUCT((CZ3:CZ42=AO28)*(DC3:DC42=AO27)*(DD3:DD42="W"))+SUMPRODUCT((CZ3:CZ42=AO29)*(DC3:DC42=AO28)*(DE3:DE42="W"))+SUMPRODUCT((CZ3:CZ42=AO26)*(DC3:DC42=AO28)*(DE3:DE42="W"))+SUMPRODUCT((CZ3:CZ42=AO27)*(DC3:DC42=AO28)*(DE3:DE42="W")),"")</f>
        <v/>
      </c>
      <c r="AQ28" s="319" t="str">
        <f>IF(AO28&lt;&gt;"",SUMPRODUCT((CZ3:CZ42=AO28)*(DC3:DC42=AO29)*(DD3:DD42="D"))+SUMPRODUCT((CZ3:CZ42=AO28)*(DC3:DC42=AO26)*(DD3:DD42="D"))+SUMPRODUCT((CZ3:CZ42=AO28)*(DC3:DC42=AO27)*(DD3:DD42="D"))+SUMPRODUCT((CZ3:CZ42=AO29)*(DC3:DC42=AO28)*(DD3:DD42="D"))+SUMPRODUCT((CZ3:CZ42=AO26)*(DC3:DC42=AO28)*(DD3:DD42="D"))+SUMPRODUCT((CZ3:CZ42=AO27)*(DC3:DC42=AO28)*(DD3:DD42="D")),"")</f>
        <v/>
      </c>
      <c r="AR28" s="319" t="str">
        <f>IF(AO28&lt;&gt;"",SUMPRODUCT((CZ3:CZ42=AO28)*(DC3:DC42=AO29)*(DD3:DD42="L"))+SUMPRODUCT((CZ3:CZ42=AO28)*(DC3:DC42=AO26)*(DD3:DD42="L"))+SUMPRODUCT((CZ3:CZ42=AO28)*(DC3:DC42=AO27)*(DD3:DD42="L"))+SUMPRODUCT((CZ3:CZ42=AO29)*(DC3:DC42=AO28)*(DE3:DE42="L"))+SUMPRODUCT((CZ3:CZ42=AO26)*(DC3:DC42=AO28)*(DE3:DE42="L"))+SUMPRODUCT((CZ3:CZ42=AO27)*(DC3:DC42=AO28)*(DE3:DE42="L")),"")</f>
        <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t="str">
        <f t="shared" si="7834"/>
        <v/>
      </c>
      <c r="AW28" s="319" t="str">
        <f>IF(AO28&lt;&gt;"",VLOOKUP(AO28,B4:H40,7,FALSE),"")</f>
        <v/>
      </c>
      <c r="AX28" s="319" t="str">
        <f>IF(AO28&lt;&gt;"",VLOOKUP(AO28,B4:H40,5,FALSE),"")</f>
        <v/>
      </c>
      <c r="AY28" s="319" t="str">
        <f>IF(AO28&lt;&gt;"",VLOOKUP(AO28,B4:J40,9,FALSE),"")</f>
        <v/>
      </c>
      <c r="AZ28" s="319" t="str">
        <f t="shared" si="7835"/>
        <v/>
      </c>
      <c r="BA28" s="319" t="str">
        <f>IF(AO28&lt;&gt;"",RANK(AZ28,AZ25:AZ29),"")</f>
        <v/>
      </c>
      <c r="BB28" s="319" t="str">
        <f>IF(AO28&lt;&gt;"",SUMPRODUCT((AZ25:AZ29=AZ28)*(AU25:AU29&gt;AU28)),"")</f>
        <v/>
      </c>
      <c r="BC28" s="319" t="str">
        <f>IF(AO28&lt;&gt;"",SUMPRODUCT((AZ25:AZ29=AZ28)*(AU25:AU29=AU28)*(AS25:AS29&gt;AS28)),"")</f>
        <v/>
      </c>
      <c r="BD28" s="319" t="str">
        <f>IF(AO28&lt;&gt;"",SUMPRODUCT((AZ25:AZ29=AZ28)*(AU25:AU29=AU28)*(AS25:AS29=AS28)*(AW25:AW29&gt;AW28)),"")</f>
        <v/>
      </c>
      <c r="BE28" s="319" t="str">
        <f>IF(AO28&lt;&gt;"",SUMPRODUCT((AZ25:AZ29=AZ28)*(AU25:AU29=AU28)*(AS25:AS29=AS28)*(AW25:AW29=AW28)*(AX25:AX29&gt;AX28)),"")</f>
        <v/>
      </c>
      <c r="BF28" s="319" t="str">
        <f>IF(AO28&lt;&gt;"",SUMPRODUCT((AZ25:AZ29=AZ28)*(AU25:AU29=AU28)*(AS25:AS29=AS28)*(AW25:AW29=AW28)*(AX25:AX29=AX28)*(AY25:AY29&gt;AY28)),"")</f>
        <v/>
      </c>
      <c r="BG28" s="319" t="str">
        <f>IF(AO28&lt;&gt;"",IF(BG68&lt;&gt;"",IF(AN64=3,BG68,BG68+AN64),SUM(BA28:BF28)+1),"")</f>
        <v/>
      </c>
      <c r="BH28" s="319" t="str">
        <f>IF(AO28&lt;&gt;"",INDEX(AO26:AO29,MATCH(4,BG26:BG29,0),0),"")</f>
        <v/>
      </c>
      <c r="BI28" s="319" t="str">
        <f>IF(R26&lt;&gt;"",R26,"")</f>
        <v>Austria</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f t="shared" si="8330"/>
        <v>0</v>
      </c>
      <c r="BQ28" s="319">
        <f>IF(BI28&lt;&gt;"",VLOOKUP(BI28,B4:H40,7,FALSE),"")</f>
        <v>999</v>
      </c>
      <c r="BR28" s="319">
        <f>IF(BI28&lt;&gt;"",VLOOKUP(BI28,B4:H40,5,FALSE),"")</f>
        <v>0</v>
      </c>
      <c r="BS28" s="319">
        <f>IF(BI28&lt;&gt;"",VLOOKUP(BI28,B4:J40,9,FALSE),"")</f>
        <v>41</v>
      </c>
      <c r="BT28" s="319">
        <f t="shared" si="8331"/>
        <v>0</v>
      </c>
      <c r="BU28" s="319">
        <f>IF(BI28&lt;&gt;"",RANK(BT28,BT25:BT29),"")</f>
        <v>1</v>
      </c>
      <c r="BV28" s="319">
        <f>IF(BI28&lt;&gt;"",SUMPRODUCT((BT25:BT29=BT28)*(BO25:BO29&gt;BO28)),"")</f>
        <v>0</v>
      </c>
      <c r="BW28" s="319">
        <f>IF(BI28&lt;&gt;"",SUMPRODUCT((BT25:BT29=BT28)*(BO25:BO29=BO28)*(BM25:BM29&gt;BM28)),"")</f>
        <v>0</v>
      </c>
      <c r="BX28" s="319">
        <f>IF(BI28&lt;&gt;"",SUMPRODUCT((BT25:BT29=BT28)*(BO25:BO29=BO28)*(BM25:BM29=BM28)*(BQ25:BQ29&gt;BQ28)),"")</f>
        <v>0</v>
      </c>
      <c r="BY28" s="319">
        <f>IF(BI28&lt;&gt;"",SUMPRODUCT((BT25:BT29=BT28)*(BO25:BO29=BO28)*(BM25:BM29=BM28)*(BQ25:BQ29=BQ28)*(BR25:BR29&gt;BR28)),"")</f>
        <v>1</v>
      </c>
      <c r="BZ28" s="319">
        <f>IF(BI28&lt;&gt;"",SUMPRODUCT((BT25:BT29=BT28)*(BO25:BO29=BO28)*(BM25:BM29=BM28)*(BQ25:BQ29=BQ28)*(BR25:BR29=BR28)*(BS25:BS29&gt;BS28)),"")</f>
        <v>0</v>
      </c>
      <c r="CA28" s="319">
        <f>IF(BI28&lt;&gt;"",SUM(BU28:BZ28)+2,"")</f>
        <v>4</v>
      </c>
      <c r="CB28" s="319" t="str">
        <f>IF(BI28&lt;&gt;"",INDEX(BI27:BI29,MATCH(4,CA27:CA29,0),0),"")</f>
        <v>Austria</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Austria</v>
      </c>
      <c r="CX28" s="319">
        <v>4</v>
      </c>
      <c r="CY28" s="319">
        <v>26</v>
      </c>
      <c r="CZ28" s="319" t="str">
        <f>Matches!G33</f>
        <v>Scotland</v>
      </c>
      <c r="DA28" s="319">
        <f>IF(AND(Matches!H33&lt;&gt;"",Matches!I33&lt;&gt;""),Matches!H33,0)</f>
        <v>0</v>
      </c>
      <c r="DB28" s="319">
        <f>IF(AND(Matches!I33&lt;&gt;"",Matches!H33&lt;&gt;""),Matches!I33,0)</f>
        <v>0</v>
      </c>
      <c r="DC28" s="319" t="str">
        <f>Matches!J33</f>
        <v>Hungary</v>
      </c>
      <c r="DD28" s="319" t="str">
        <f>IF(AND(Matches!H33&lt;&gt;"",Matches!I33&lt;&gt;""),IF(DA28&gt;DB28,"W",IF(DA28=DB28,"D","L")),"")</f>
        <v/>
      </c>
      <c r="DE28" s="319" t="str">
        <f t="shared" si="162"/>
        <v/>
      </c>
      <c r="DF28" s="319"/>
      <c r="DG28" s="319"/>
      <c r="DH28" s="319"/>
      <c r="DI28" s="320"/>
      <c r="DJ28" s="320"/>
      <c r="DK28" s="320"/>
      <c r="DL28" s="320"/>
      <c r="DM28" s="320"/>
      <c r="DN28" s="320"/>
      <c r="DO28" s="320"/>
      <c r="DP28" s="319"/>
      <c r="DQ28" s="319"/>
      <c r="DR28" s="319"/>
      <c r="DS28" s="319"/>
      <c r="DT28" s="319"/>
      <c r="DU28" s="319"/>
      <c r="DV28" s="319" t="s">
        <v>104</v>
      </c>
      <c r="DW28" s="319" t="str">
        <f>VLOOKUP(1,A25:B28,2,FALSE)</f>
        <v>Netherlands</v>
      </c>
      <c r="DX28" s="319"/>
      <c r="DY28" s="319">
        <f ca="1">VLOOKUP(DZ28,HU25:HV29,2,FALSE)</f>
        <v>1</v>
      </c>
      <c r="DZ28" s="319" t="str">
        <f t="shared" si="7836"/>
        <v>France</v>
      </c>
      <c r="EA28" s="319">
        <f ca="1">SUMPRODUCT((HX3:HX42=DZ28)*(IB3:IB42="W"))+SUMPRODUCT((IA3:IA42=DZ28)*(IC3:IC42="W"))</f>
        <v>2</v>
      </c>
      <c r="EB28" s="319">
        <f ca="1">SUMPRODUCT((HX3:HX42=DZ28)*(IB3:IB42="D"))+SUMPRODUCT((IA3:IA42=DZ28)*(IC3:IC42="D"))</f>
        <v>1</v>
      </c>
      <c r="EC28" s="319">
        <f ca="1">SUMPRODUCT((HX3:HX42=DZ28)*(IB3:IB42="L"))+SUMPRODUCT((IA3:IA42=DZ28)*(IC3:IC42="L"))</f>
        <v>0</v>
      </c>
      <c r="ED28" s="319">
        <f ca="1">SUMIF(HX3:HX60,DZ28,HY3:HY60)+SUMIF(IA3:IA60,DZ28,HZ3:HZ60)</f>
        <v>9</v>
      </c>
      <c r="EE28" s="319">
        <f ca="1">SUMIF(IA3:IA60,DZ28,HY3:HY60)+SUMIF(HX3:HX60,DZ28,HZ3:HZ60)</f>
        <v>4</v>
      </c>
      <c r="EF28" s="319">
        <f t="shared" ca="1" si="7447"/>
        <v>1005</v>
      </c>
      <c r="EG28" s="319">
        <f t="shared" ca="1" si="7448"/>
        <v>7</v>
      </c>
      <c r="EH28" s="319">
        <f t="shared" si="609"/>
        <v>52</v>
      </c>
      <c r="EI28" s="319">
        <f ca="1">IF(COUNTIF(EG25:EG29,4)&lt;&gt;4,RANK(EG28,EG25:EG29),EG68)</f>
        <v>1</v>
      </c>
      <c r="EJ28" s="319"/>
      <c r="EK28" s="319">
        <f ca="1">SUMPRODUCT((EI25:EI28=EI28)*(EH25:EH28&lt;EH28))+EI28</f>
        <v>1</v>
      </c>
      <c r="EL28" s="319" t="str">
        <f ca="1">INDEX(DZ25:DZ29,MATCH(4,EK25:EK29,0),0)</f>
        <v>Poland</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Poland</v>
      </c>
      <c r="HV28" s="319">
        <v>4</v>
      </c>
      <c r="HW28" s="319">
        <v>26</v>
      </c>
      <c r="HX28" s="319" t="str">
        <f t="shared" si="164"/>
        <v>Scotland</v>
      </c>
      <c r="HY28" s="322">
        <f ca="1">IF(OFFSET('Player Game Board'!P35,0,HY1)&lt;&gt;"",OFFSET('Player Game Board'!P35,0,HY1),0)</f>
        <v>3</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104</v>
      </c>
      <c r="IU28" s="319" t="str">
        <f ca="1">VLOOKUP(1,DY25:DZ28,2,FALSE)</f>
        <v>France</v>
      </c>
      <c r="IV28" s="325">
        <f t="shared" ca="1" si="5047"/>
        <v>1</v>
      </c>
      <c r="IW28" s="319">
        <f ca="1">VLOOKUP(IX28,MS25:MT29,2,FALSE)</f>
        <v>1</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4</v>
      </c>
      <c r="JC28" s="319">
        <f ca="1">SUMIF(MY3:MY60,IX28,MW3:MW60)+SUMIF(MV3:MV60,IX28,MX3:MX60)</f>
        <v>1</v>
      </c>
      <c r="JD28" s="319">
        <f t="shared" ca="1" si="7451"/>
        <v>1003</v>
      </c>
      <c r="JE28" s="319">
        <f t="shared" ca="1" si="7452"/>
        <v>7</v>
      </c>
      <c r="JF28" s="319">
        <f t="shared" si="618"/>
        <v>52</v>
      </c>
      <c r="JG28" s="319">
        <f ca="1">IF(COUNTIF(JE25:JE29,4)&lt;&gt;4,RANK(JE28,JE25:JE29),JE68)</f>
        <v>1</v>
      </c>
      <c r="JH28" s="319"/>
      <c r="JI28" s="319">
        <f ca="1">SUMPRODUCT((JG25:JG28=JG28)*(JF25:JF28&lt;JF28))+JG28</f>
        <v>1</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1</v>
      </c>
      <c r="MX28" s="322">
        <f ca="1">IF(OFFSET('Player Game Board'!Q35,0,MW1)&lt;&gt;"",OFFSET('Player Game Board'!Q35,0,MW1),0)</f>
        <v>1</v>
      </c>
      <c r="MY28" s="319" t="str">
        <f t="shared" si="171"/>
        <v>Hungary</v>
      </c>
      <c r="MZ28" s="319" t="str">
        <f ca="1">IF(AND(OFFSET('Player Game Board'!P35,0,MW1)&lt;&gt;"",OFFSET('Player Game Board'!Q35,0,MW1)&lt;&gt;""),IF(MW28&gt;MX28,"W",IF(MW28=MX28,"D","L")),"")</f>
        <v>D</v>
      </c>
      <c r="NA28" s="319" t="str">
        <f t="shared" ca="1" si="172"/>
        <v>D</v>
      </c>
      <c r="NB28" s="319"/>
      <c r="NC28" s="319"/>
      <c r="ND28" s="319"/>
      <c r="NE28" s="320"/>
      <c r="NF28" s="320"/>
      <c r="NG28" s="320"/>
      <c r="NH28" s="320"/>
      <c r="NI28" s="320"/>
      <c r="NJ28" s="320"/>
      <c r="NK28" s="320"/>
      <c r="NL28" s="319"/>
      <c r="NM28" s="319"/>
      <c r="NN28" s="319"/>
      <c r="NO28" s="319"/>
      <c r="NP28" s="319"/>
      <c r="NQ28" s="319"/>
      <c r="NR28" s="319" t="s">
        <v>104</v>
      </c>
      <c r="NS28" s="319" t="str">
        <f ca="1">VLOOKUP(1,IW25:IX28,2,FALSE)</f>
        <v>France</v>
      </c>
      <c r="NT28" s="325">
        <f t="shared" ca="1" si="5052"/>
        <v>1</v>
      </c>
      <c r="NU28" s="319">
        <f t="shared" ref="NU28" ca="1" si="8963">VLOOKUP(NV28,RQ25:RR29,2,FALSE)</f>
        <v>1</v>
      </c>
      <c r="NV28" s="319" t="str">
        <f t="shared" si="7456"/>
        <v>France</v>
      </c>
      <c r="NW28" s="319">
        <f t="shared" ref="NW28" ca="1" si="8964">SUMPRODUCT((RT3:RT42=NV28)*(RX3:RX42="W"))+SUMPRODUCT((RW3:RW42=NV28)*(RY3:RY42="W"))</f>
        <v>3</v>
      </c>
      <c r="NX28" s="319">
        <f t="shared" ref="NX28" ca="1" si="8965">SUMPRODUCT((RT3:RT42=NV28)*(RX3:RX42="D"))+SUMPRODUCT((RW3:RW42=NV28)*(RY3:RY42="D"))</f>
        <v>0</v>
      </c>
      <c r="NY28" s="319">
        <f t="shared" ref="NY28" ca="1" si="8966">SUMPRODUCT((RT3:RT42=NV28)*(RX3:RX42="L"))+SUMPRODUCT((RW3:RW42=NV28)*(RY3:RY42="L"))</f>
        <v>0</v>
      </c>
      <c r="NZ28" s="319">
        <f t="shared" ref="NZ28" ca="1" si="8967">SUMIF(RT3:RT60,NV28,RU3:RU60)+SUMIF(RW3:RW60,NV28,RV3:RV60)</f>
        <v>6</v>
      </c>
      <c r="OA28" s="319">
        <f t="shared" ref="OA28" ca="1" si="8968">SUMIF(RW3:RW60,NV28,RU3:RU60)+SUMIF(RT3:RT60,NV28,RV3:RV60)</f>
        <v>2</v>
      </c>
      <c r="OB28" s="319">
        <f t="shared" ca="1" si="7462"/>
        <v>1004</v>
      </c>
      <c r="OC28" s="319">
        <f t="shared" ca="1" si="7463"/>
        <v>9</v>
      </c>
      <c r="OD28" s="319">
        <f t="shared" si="630"/>
        <v>52</v>
      </c>
      <c r="OE28" s="319">
        <f t="shared" ref="OE28" ca="1" si="8969">IF(COUNTIF(OC25:OC29,4)&lt;&gt;4,RANK(OC28,OC25:OC29),OC68)</f>
        <v>1</v>
      </c>
      <c r="OF28" s="319"/>
      <c r="OG28" s="319">
        <f t="shared" ref="OG28" ca="1" si="8970">SUMPRODUCT((OE25:OE28=OE28)*(OD25:OD28&lt;OD28))+OE28</f>
        <v>1</v>
      </c>
      <c r="OH28" s="319" t="str">
        <f t="shared" ref="OH28" ca="1" si="8971">INDEX(NV25:NV29,MATCH(4,OG25:OG29,0),0)</f>
        <v>Poland</v>
      </c>
      <c r="OI28" s="319">
        <f t="shared" ref="OI28" ca="1" si="8972">INDEX(OE25:OE29,MATCH(OH28,NV25:NV29,0),0)</f>
        <v>4</v>
      </c>
      <c r="OJ28" s="319" t="str">
        <f t="shared" ca="1" si="8346"/>
        <v/>
      </c>
      <c r="OK28" s="319" t="str">
        <f t="shared" ca="1" si="8347"/>
        <v/>
      </c>
      <c r="OL28" s="319"/>
      <c r="OM28" s="319"/>
      <c r="ON28" s="319"/>
      <c r="OO28" s="319" t="str">
        <f t="shared" ca="1" si="7472"/>
        <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t="str">
        <f t="shared" ca="1" si="7479"/>
        <v/>
      </c>
      <c r="OW28" s="319" t="str">
        <f t="shared" ref="OW28" ca="1" si="8978">IF(OO28&lt;&gt;"",VLOOKUP(OO28,NV4:OB40,7,FALSE),"")</f>
        <v/>
      </c>
      <c r="OX28" s="319" t="str">
        <f t="shared" ref="OX28" ca="1" si="8979">IF(OO28&lt;&gt;"",VLOOKUP(OO28,NV4:OB40,5,FALSE),"")</f>
        <v/>
      </c>
      <c r="OY28" s="319" t="str">
        <f t="shared" ref="OY28" ca="1" si="8980">IF(OO28&lt;&gt;"",VLOOKUP(OO28,NV4:OD40,9,FALSE),"")</f>
        <v/>
      </c>
      <c r="OZ28" s="319" t="str">
        <f t="shared" ca="1" si="7483"/>
        <v/>
      </c>
      <c r="PA28" s="319" t="str">
        <f t="shared" ref="PA28" ca="1" si="8981">IF(OO28&lt;&gt;"",RANK(OZ28,OZ25:OZ29),"")</f>
        <v/>
      </c>
      <c r="PB28" s="319" t="str">
        <f t="shared" ref="PB28" ca="1" si="8982">IF(OO28&lt;&gt;"",SUMPRODUCT((OZ25:OZ29=OZ28)*(OU25:OU29&gt;OU28)),"")</f>
        <v/>
      </c>
      <c r="PC28" s="319" t="str">
        <f t="shared" ref="PC28" ca="1" si="8983">IF(OO28&lt;&gt;"",SUMPRODUCT((OZ25:OZ29=OZ28)*(OU25:OU29=OU28)*(OS25:OS29&gt;OS28)),"")</f>
        <v/>
      </c>
      <c r="PD28" s="319" t="str">
        <f t="shared" ref="PD28" ca="1" si="8984">IF(OO28&lt;&gt;"",SUMPRODUCT((OZ25:OZ29=OZ28)*(OU25:OU29=OU28)*(OS25:OS29=OS28)*(OW25:OW29&gt;OW28)),"")</f>
        <v/>
      </c>
      <c r="PE28" s="319" t="str">
        <f t="shared" ref="PE28" ca="1" si="8985">IF(OO28&lt;&gt;"",SUMPRODUCT((OZ25:OZ29=OZ28)*(OU25:OU29=OU28)*(OS25:OS29=OS28)*(OW25:OW29=OW28)*(OX25:OX29&gt;OX28)),"")</f>
        <v/>
      </c>
      <c r="PF28" s="319" t="str">
        <f t="shared" ref="PF28" ca="1" si="8986">IF(OO28&lt;&gt;"",SUMPRODUCT((OZ25:OZ29=OZ28)*(OU25:OU29=OU28)*(OS25:OS29=OS28)*(OW25:OW29=OW28)*(OX25:OX29=OX28)*(OY25:OY29&gt;OY28)),"")</f>
        <v/>
      </c>
      <c r="PG28" s="319" t="str">
        <f ca="1">IF(OO28&lt;&gt;"",IF(PG68&lt;&gt;"",IF(ON64=3,PG68,PG68+ON64),SUM(PA28:PF28)),"")</f>
        <v/>
      </c>
      <c r="PH28" s="319" t="str">
        <f t="shared" ref="PH28" ca="1" si="8987">IF(OO28&lt;&gt;"",INDEX(OO25:OO29,MATCH(4,PG25:PG29,0),0),"")</f>
        <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0</v>
      </c>
      <c r="RV28" s="322">
        <f ca="1">IF(OFFSET('Player Game Board'!Q35,0,RU1)&lt;&gt;"",OFFSET('Player Game Board'!Q35,0,RU1),0)</f>
        <v>1</v>
      </c>
      <c r="RW28" s="319" t="str">
        <f t="shared" si="19"/>
        <v>Hungary</v>
      </c>
      <c r="RX28" s="319" t="str">
        <f ca="1">IF(AND(OFFSET('Player Game Board'!P35,0,RU1)&lt;&gt;"",OFFSET('Player Game Board'!Q35,0,RU1)&lt;&gt;""),IF(RU28&gt;RV28,"W",IF(RU28=RV28,"D","L")),"")</f>
        <v>L</v>
      </c>
      <c r="RY28" s="319" t="str">
        <f t="shared" ca="1" si="5500"/>
        <v>W</v>
      </c>
      <c r="RZ28" s="319"/>
      <c r="SA28" s="319"/>
      <c r="SB28" s="319"/>
      <c r="SC28" s="320"/>
      <c r="SD28" s="320"/>
      <c r="SE28" s="320"/>
      <c r="SF28" s="320"/>
      <c r="SG28" s="320"/>
      <c r="SH28" s="320"/>
      <c r="SI28" s="320"/>
      <c r="SJ28" s="319"/>
      <c r="SK28" s="319"/>
      <c r="SL28" s="319"/>
      <c r="SM28" s="319"/>
      <c r="SN28" s="319"/>
      <c r="SO28" s="319"/>
      <c r="SP28" s="319" t="s">
        <v>104</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3</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5</v>
      </c>
      <c r="SY28" s="319">
        <f t="shared" ref="SY28" ca="1" si="9045">SUMIF(WU3:WU60,ST28,WS3:WS60)+SUMIF(WR3:WR60,ST28,WT3:WT60)</f>
        <v>1</v>
      </c>
      <c r="SZ28" s="319">
        <f t="shared" ca="1" si="7504"/>
        <v>1004</v>
      </c>
      <c r="TA28" s="319">
        <f t="shared" ca="1" si="7505"/>
        <v>9</v>
      </c>
      <c r="TB28" s="319">
        <f t="shared" si="690"/>
        <v>52</v>
      </c>
      <c r="TC28" s="319">
        <f t="shared" ref="TC28" ca="1" si="9046">IF(COUNTIF(TA25:TA29,4)&lt;&gt;4,RANK(TA28,TA25:TA29),TA68)</f>
        <v>1</v>
      </c>
      <c r="TD28" s="319"/>
      <c r="TE28" s="319">
        <f t="shared" ref="TE28" ca="1" si="9047">SUMPRODUCT((TC25:TC28=TC28)*(TB25:TB28&lt;TB28))+TC28</f>
        <v>1</v>
      </c>
      <c r="TF28" s="319" t="str">
        <f t="shared" ref="TF28" ca="1" si="9048">INDEX(ST25:ST29,MATCH(4,TE25:TE29,0),0)</f>
        <v>Austria</v>
      </c>
      <c r="TG28" s="319">
        <f t="shared" ref="TG28" ca="1" si="9049">INDEX(TC25:TC29,MATCH(TF28,ST25:ST29,0),0)</f>
        <v>4</v>
      </c>
      <c r="TH28" s="319" t="str">
        <f t="shared" ca="1" si="8415"/>
        <v/>
      </c>
      <c r="TI28" s="319" t="str">
        <f t="shared" ca="1" si="8416"/>
        <v/>
      </c>
      <c r="TJ28" s="319"/>
      <c r="TK28" s="319"/>
      <c r="TL28" s="319"/>
      <c r="TM28" s="319" t="str">
        <f t="shared" ca="1" si="7514"/>
        <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t="str">
        <f t="shared" ca="1" si="7521"/>
        <v/>
      </c>
      <c r="TU28" s="319" t="str">
        <f t="shared" ref="TU28" ca="1" si="9055">IF(TM28&lt;&gt;"",VLOOKUP(TM28,ST4:SZ40,7,FALSE),"")</f>
        <v/>
      </c>
      <c r="TV28" s="319" t="str">
        <f t="shared" ref="TV28" ca="1" si="9056">IF(TM28&lt;&gt;"",VLOOKUP(TM28,ST4:SZ40,5,FALSE),"")</f>
        <v/>
      </c>
      <c r="TW28" s="319" t="str">
        <f t="shared" ref="TW28" ca="1" si="9057">IF(TM28&lt;&gt;"",VLOOKUP(TM28,ST4:TB40,9,FALSE),"")</f>
        <v/>
      </c>
      <c r="TX28" s="319" t="str">
        <f t="shared" ca="1" si="7525"/>
        <v/>
      </c>
      <c r="TY28" s="319" t="str">
        <f t="shared" ref="TY28" ca="1" si="9058">IF(TM28&lt;&gt;"",RANK(TX28,TX25:TX29),"")</f>
        <v/>
      </c>
      <c r="TZ28" s="319" t="str">
        <f t="shared" ref="TZ28" ca="1" si="9059">IF(TM28&lt;&gt;"",SUMPRODUCT((TX25:TX29=TX28)*(TS25:TS29&gt;TS28)),"")</f>
        <v/>
      </c>
      <c r="UA28" s="319" t="str">
        <f t="shared" ref="UA28" ca="1" si="9060">IF(TM28&lt;&gt;"",SUMPRODUCT((TX25:TX29=TX28)*(TS25:TS29=TS28)*(TQ25:TQ29&gt;TQ28)),"")</f>
        <v/>
      </c>
      <c r="UB28" s="319" t="str">
        <f t="shared" ref="UB28" ca="1" si="9061">IF(TM28&lt;&gt;"",SUMPRODUCT((TX25:TX29=TX28)*(TS25:TS29=TS28)*(TQ25:TQ29=TQ28)*(TU25:TU29&gt;TU28)),"")</f>
        <v/>
      </c>
      <c r="UC28" s="319" t="str">
        <f t="shared" ref="UC28" ca="1" si="9062">IF(TM28&lt;&gt;"",SUMPRODUCT((TX25:TX29=TX28)*(TS25:TS29=TS28)*(TQ25:TQ29=TQ28)*(TU25:TU29=TU28)*(TV25:TV29&gt;TV28)),"")</f>
        <v/>
      </c>
      <c r="UD28" s="319" t="str">
        <f t="shared" ref="UD28" ca="1" si="9063">IF(TM28&lt;&gt;"",SUMPRODUCT((TX25:TX29=TX28)*(TS25:TS29=TS28)*(TQ25:TQ29=TQ28)*(TU25:TU29=TU28)*(TV25:TV29=TV28)*(TW25:TW29&gt;TW28)),"")</f>
        <v/>
      </c>
      <c r="UE28" s="319" t="str">
        <f ca="1">IF(TM28&lt;&gt;"",IF(UE68&lt;&gt;"",IF(TL64=3,UE68,UE68+TL64),SUM(TY28:UD28)),"")</f>
        <v/>
      </c>
      <c r="UF28" s="319" t="str">
        <f t="shared" ref="UF28" ca="1" si="9064">IF(TM28&lt;&gt;"",INDEX(TM25:TM29,MATCH(4,UE25:UE29,0),0),"")</f>
        <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Austria</v>
      </c>
      <c r="WP28" s="319">
        <v>4</v>
      </c>
      <c r="WQ28" s="319">
        <v>26</v>
      </c>
      <c r="WR28" s="319" t="str">
        <f t="shared" si="34"/>
        <v>Scotland</v>
      </c>
      <c r="WS28" s="322">
        <f ca="1">IF(OFFSET('Player Game Board'!P35,0,WS1)&lt;&gt;"",OFFSET('Player Game Board'!P35,0,WS1),0)</f>
        <v>1</v>
      </c>
      <c r="WT28" s="322">
        <f ca="1">IF(OFFSET('Player Game Board'!Q35,0,WS1)&lt;&gt;"",OFFSET('Player Game Board'!Q35,0,WS1),0)</f>
        <v>0</v>
      </c>
      <c r="WU28" s="319" t="str">
        <f t="shared" si="35"/>
        <v>Hungary</v>
      </c>
      <c r="WV28" s="319" t="str">
        <f ca="1">IF(AND(OFFSET('Player Game Board'!P35,0,WS1)&lt;&gt;"",OFFSET('Player Game Board'!Q35,0,WS1)&lt;&gt;""),IF(WS28&gt;WT28,"W",IF(WS28=WT28,"D","L")),"")</f>
        <v>W</v>
      </c>
      <c r="WW28" s="319" t="str">
        <f t="shared" ca="1" si="5555"/>
        <v>L</v>
      </c>
      <c r="WX28" s="319"/>
      <c r="WY28" s="319"/>
      <c r="WZ28" s="319"/>
      <c r="XA28" s="320"/>
      <c r="XB28" s="320"/>
      <c r="XC28" s="320"/>
      <c r="XD28" s="320"/>
      <c r="XE28" s="320"/>
      <c r="XF28" s="320"/>
      <c r="XG28" s="320"/>
      <c r="XH28" s="319"/>
      <c r="XI28" s="319"/>
      <c r="XJ28" s="319"/>
      <c r="XK28" s="319"/>
      <c r="XL28" s="319"/>
      <c r="XM28" s="319"/>
      <c r="XN28" s="319" t="s">
        <v>104</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Poland</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Poland</v>
      </c>
      <c r="ABN28" s="319">
        <v>4</v>
      </c>
      <c r="ABO28" s="319">
        <v>26</v>
      </c>
      <c r="ABP28" s="319" t="str">
        <f t="shared" si="50"/>
        <v>Scotland</v>
      </c>
      <c r="ABQ28" s="322">
        <f ca="1">IF(OFFSET('Player Game Board'!P35,0,ABQ1)&lt;&gt;"",OFFSET('Player Game Board'!P35,0,ABQ1),0)</f>
        <v>2</v>
      </c>
      <c r="ABR28" s="322">
        <f ca="1">IF(OFFSET('Player Game Board'!Q35,0,ABQ1)&lt;&gt;"",OFFSET('Player Game Board'!Q35,0,ABQ1),0)</f>
        <v>1</v>
      </c>
      <c r="ABS28" s="319" t="str">
        <f t="shared" si="51"/>
        <v>Hungary</v>
      </c>
      <c r="ABT28" s="319" t="str">
        <f ca="1">IF(AND(OFFSET('Player Game Board'!P35,0,ABQ1)&lt;&gt;"",OFFSET('Player Game Board'!Q35,0,ABQ1)&lt;&gt;""),IF(ABQ28&gt;ABR28,"W",IF(ABQ28=ABR28,"D","L")),"")</f>
        <v>W</v>
      </c>
      <c r="ABU28" s="319" t="str">
        <f t="shared" ca="1" si="5610"/>
        <v>L</v>
      </c>
      <c r="ABV28" s="319"/>
      <c r="ABW28" s="319"/>
      <c r="ABX28" s="319"/>
      <c r="ABY28" s="320"/>
      <c r="ABZ28" s="320"/>
      <c r="ACA28" s="320"/>
      <c r="ACB28" s="320"/>
      <c r="ACC28" s="320"/>
      <c r="ACD28" s="320"/>
      <c r="ACE28" s="320"/>
      <c r="ACF28" s="319"/>
      <c r="ACG28" s="319"/>
      <c r="ACH28" s="319"/>
      <c r="ACI28" s="319"/>
      <c r="ACJ28" s="319"/>
      <c r="ACK28" s="319"/>
      <c r="ACL28" s="319" t="s">
        <v>104</v>
      </c>
      <c r="ACM28" s="319" t="str">
        <f t="shared" ref="ACM28" ca="1" si="9193">VLOOKUP(1,XQ25:XR28,2,FALSE)</f>
        <v>France</v>
      </c>
      <c r="ACN28" s="325">
        <f t="shared" ca="1" si="5181"/>
        <v>1</v>
      </c>
      <c r="ACO28" s="319">
        <f t="shared" ref="ACO28" ca="1" si="9194">VLOOKUP(ACP28,AGK25:AGL29,2,FALSE)</f>
        <v>2</v>
      </c>
      <c r="ACP28" s="319" t="str">
        <f t="shared" si="7582"/>
        <v>France</v>
      </c>
      <c r="ACQ28" s="319">
        <f t="shared" ref="ACQ28" ca="1" si="9195">SUMPRODUCT((AGN3:AGN42=ACP28)*(AGR3:AGR42="W"))+SUMPRODUCT((AGQ3:AGQ42=ACP28)*(AGS3:AGS42="W"))</f>
        <v>2</v>
      </c>
      <c r="ACR28" s="319">
        <f t="shared" ref="ACR28" ca="1" si="9196">SUMPRODUCT((AGN3:AGN42=ACP28)*(AGR3:AGR42="D"))+SUMPRODUCT((AGQ3:AGQ42=ACP28)*(AGS3:AGS42="D"))</f>
        <v>0</v>
      </c>
      <c r="ACS28" s="319">
        <f t="shared" ref="ACS28" ca="1" si="9197">SUMPRODUCT((AGN3:AGN42=ACP28)*(AGR3:AGR42="L"))+SUMPRODUCT((AGQ3:AGQ42=ACP28)*(AGS3:AGS42="L"))</f>
        <v>1</v>
      </c>
      <c r="ACT28" s="319">
        <f t="shared" ref="ACT28" ca="1" si="9198">SUMIF(AGN3:AGN60,ACP28,AGO3:AGO60)+SUMIF(AGQ3:AGQ60,ACP28,AGP3:AGP60)</f>
        <v>6</v>
      </c>
      <c r="ACU28" s="319">
        <f t="shared" ref="ACU28" ca="1" si="9199">SUMIF(AGQ3:AGQ60,ACP28,AGO3:AGO60)+SUMIF(AGN3:AGN60,ACP28,AGP3:AGP60)</f>
        <v>3</v>
      </c>
      <c r="ACV28" s="319">
        <f t="shared" ca="1" si="7588"/>
        <v>1003</v>
      </c>
      <c r="ACW28" s="319">
        <f t="shared" ca="1" si="7589"/>
        <v>6</v>
      </c>
      <c r="ACX28" s="319">
        <f t="shared" si="810"/>
        <v>52</v>
      </c>
      <c r="ACY28" s="319">
        <f t="shared" ref="ACY28" ca="1" si="9200">IF(COUNTIF(ACW25:ACW29,4)&lt;&gt;4,RANK(ACW28,ACW25:ACW29),ACW68)</f>
        <v>2</v>
      </c>
      <c r="ACZ28" s="319"/>
      <c r="ADA28" s="319">
        <f t="shared" ref="ADA28" ca="1" si="9201">SUMPRODUCT((ACY25:ACY28=ACY28)*(ACX25:ACX28&lt;ACX28))+ACY28</f>
        <v>2</v>
      </c>
      <c r="ADB28" s="319" t="str">
        <f t="shared" ref="ADB28" ca="1" si="9202">INDEX(ACP25:ACP29,MATCH(4,ADA25:ADA29,0),0)</f>
        <v>Poland</v>
      </c>
      <c r="ADC28" s="319">
        <f t="shared" ref="ADC28" ca="1" si="9203">INDEX(ACY25:ACY29,MATCH(ADB28,ACP25:ACP29,0),0)</f>
        <v>4</v>
      </c>
      <c r="ADD28" s="319" t="str">
        <f t="shared" ca="1" si="8553"/>
        <v/>
      </c>
      <c r="ADE28" s="319" t="str">
        <f t="shared" ca="1" si="8554"/>
        <v/>
      </c>
      <c r="ADF28" s="319"/>
      <c r="ADG28" s="319"/>
      <c r="ADH28" s="319"/>
      <c r="ADI28" s="319" t="str">
        <f t="shared" ca="1" si="7598"/>
        <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t="str">
        <f t="shared" ca="1" si="7605"/>
        <v/>
      </c>
      <c r="ADQ28" s="319" t="str">
        <f t="shared" ref="ADQ28" ca="1" si="9209">IF(ADI28&lt;&gt;"",VLOOKUP(ADI28,ACP4:ACV40,7,FALSE),"")</f>
        <v/>
      </c>
      <c r="ADR28" s="319" t="str">
        <f t="shared" ref="ADR28" ca="1" si="9210">IF(ADI28&lt;&gt;"",VLOOKUP(ADI28,ACP4:ACV40,5,FALSE),"")</f>
        <v/>
      </c>
      <c r="ADS28" s="319" t="str">
        <f t="shared" ref="ADS28" ca="1" si="9211">IF(ADI28&lt;&gt;"",VLOOKUP(ADI28,ACP4:ACX40,9,FALSE),"")</f>
        <v/>
      </c>
      <c r="ADT28" s="319" t="str">
        <f t="shared" ca="1" si="7609"/>
        <v/>
      </c>
      <c r="ADU28" s="319" t="str">
        <f t="shared" ref="ADU28" ca="1" si="9212">IF(ADI28&lt;&gt;"",RANK(ADT28,ADT25:ADT29),"")</f>
        <v/>
      </c>
      <c r="ADV28" s="319" t="str">
        <f t="shared" ref="ADV28" ca="1" si="9213">IF(ADI28&lt;&gt;"",SUMPRODUCT((ADT25:ADT29=ADT28)*(ADO25:ADO29&gt;ADO28)),"")</f>
        <v/>
      </c>
      <c r="ADW28" s="319" t="str">
        <f t="shared" ref="ADW28" ca="1" si="9214">IF(ADI28&lt;&gt;"",SUMPRODUCT((ADT25:ADT29=ADT28)*(ADO25:ADO29=ADO28)*(ADM25:ADM29&gt;ADM28)),"")</f>
        <v/>
      </c>
      <c r="ADX28" s="319" t="str">
        <f t="shared" ref="ADX28" ca="1" si="9215">IF(ADI28&lt;&gt;"",SUMPRODUCT((ADT25:ADT29=ADT28)*(ADO25:ADO29=ADO28)*(ADM25:ADM29=ADM28)*(ADQ25:ADQ29&gt;ADQ28)),"")</f>
        <v/>
      </c>
      <c r="ADY28" s="319" t="str">
        <f t="shared" ref="ADY28" ca="1" si="9216">IF(ADI28&lt;&gt;"",SUMPRODUCT((ADT25:ADT29=ADT28)*(ADO25:ADO29=ADO28)*(ADM25:ADM29=ADM28)*(ADQ25:ADQ29=ADQ28)*(ADR25:ADR29&gt;ADR28)),"")</f>
        <v/>
      </c>
      <c r="ADZ28" s="319" t="str">
        <f t="shared" ref="ADZ28" ca="1" si="9217">IF(ADI28&lt;&gt;"",SUMPRODUCT((ADT25:ADT29=ADT28)*(ADO25:ADO29=ADO28)*(ADM25:ADM29=ADM28)*(ADQ25:ADQ29=ADQ28)*(ADR25:ADR29=ADR28)*(ADS25:ADS29&gt;ADS28)),"")</f>
        <v/>
      </c>
      <c r="AEA28" s="319" t="str">
        <f ca="1">IF(ADI28&lt;&gt;"",IF(AEA68&lt;&gt;"",IF(ADH64=3,AEA68,AEA68+ADH64),SUM(ADU28:ADZ28)),"")</f>
        <v/>
      </c>
      <c r="AEB28" s="319" t="str">
        <f t="shared" ref="AEB28" ca="1" si="9218">IF(ADI28&lt;&gt;"",INDEX(ADI25:ADI29,MATCH(4,AEA25:AEA29,0),0),"")</f>
        <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Poland</v>
      </c>
      <c r="AGL28" s="319">
        <v>4</v>
      </c>
      <c r="AGM28" s="319">
        <v>26</v>
      </c>
      <c r="AGN28" s="319" t="str">
        <f t="shared" si="66"/>
        <v>Scotland</v>
      </c>
      <c r="AGO28" s="322">
        <f ca="1">IF(OFFSET('Player Game Board'!P35,0,AGO1)&lt;&gt;"",OFFSET('Player Game Board'!P35,0,AGO1),0)</f>
        <v>2</v>
      </c>
      <c r="AGP28" s="322">
        <f ca="1">IF(OFFSET('Player Game Board'!Q35,0,AGO1)&lt;&gt;"",OFFSET('Player Game Board'!Q35,0,AGO1),0)</f>
        <v>1</v>
      </c>
      <c r="AGQ28" s="319" t="str">
        <f t="shared" si="67"/>
        <v>Hungary</v>
      </c>
      <c r="AGR28" s="319" t="str">
        <f ca="1">IF(AND(OFFSET('Player Game Board'!P35,0,AGO1)&lt;&gt;"",OFFSET('Player Game Board'!Q35,0,AGO1)&lt;&gt;""),IF(AGO28&gt;AGP28,"W",IF(AGO28=AGP28,"D","L")),"")</f>
        <v>W</v>
      </c>
      <c r="AGS28" s="319" t="str">
        <f t="shared" ca="1" si="5665"/>
        <v>L</v>
      </c>
      <c r="AGT28" s="319"/>
      <c r="AGU28" s="319"/>
      <c r="AGV28" s="319"/>
      <c r="AGW28" s="320"/>
      <c r="AGX28" s="320"/>
      <c r="AGY28" s="320"/>
      <c r="AGZ28" s="320"/>
      <c r="AHA28" s="320"/>
      <c r="AHB28" s="320"/>
      <c r="AHC28" s="320"/>
      <c r="AHD28" s="319"/>
      <c r="AHE28" s="319"/>
      <c r="AHF28" s="319"/>
      <c r="AHG28" s="319"/>
      <c r="AHH28" s="319"/>
      <c r="AHI28" s="319"/>
      <c r="AHJ28" s="319" t="s">
        <v>104</v>
      </c>
      <c r="AHK28" s="319" t="str">
        <f t="shared" ref="AHK28" ca="1" si="9270">VLOOKUP(1,ACO25:ACP28,2,FALSE)</f>
        <v>Netherlands</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0</v>
      </c>
      <c r="AHP28" s="319">
        <f t="shared" ref="AHP28" ca="1" si="9273">SUMPRODUCT((ALL3:ALL42=AHN28)*(ALP3:ALP42="D"))+SUMPRODUCT((ALO3:ALO42=AHN28)*(ALQ3:ALQ42="D"))</f>
        <v>0</v>
      </c>
      <c r="AHQ28" s="319">
        <f t="shared" ref="AHQ28" ca="1" si="9274">SUMPRODUCT((ALL3:ALL42=AHN28)*(ALP3:ALP42="L"))+SUMPRODUCT((ALO3:ALO42=AHN28)*(ALQ3:ALQ42="L"))</f>
        <v>0</v>
      </c>
      <c r="AHR28" s="319">
        <f t="shared" ref="AHR28" ca="1" si="9275">SUMIF(ALL3:ALL60,AHN28,ALM3:ALM60)+SUMIF(ALO3:ALO60,AHN28,ALN3:ALN60)</f>
        <v>0</v>
      </c>
      <c r="AHS28" s="319">
        <f t="shared" ref="AHS28" ca="1" si="9276">SUMIF(ALO3:ALO60,AHN28,ALM3:ALM60)+SUMIF(ALL3:ALL60,AHN28,ALN3:ALN60)</f>
        <v>0</v>
      </c>
      <c r="AHT28" s="319">
        <f t="shared" ca="1" si="7630"/>
        <v>1000</v>
      </c>
      <c r="AHU28" s="319">
        <f t="shared" ca="1" si="7631"/>
        <v>0</v>
      </c>
      <c r="AHV28" s="319">
        <f t="shared" si="870"/>
        <v>52</v>
      </c>
      <c r="AHW28" s="319">
        <f t="shared" ref="AHW28" ca="1" si="9277">IF(COUNTIF(AHU25:AHU29,4)&lt;&gt;4,RANK(AHU28,AHU25:AHU29),AHU68)</f>
        <v>1</v>
      </c>
      <c r="AHX28" s="319"/>
      <c r="AHY28" s="319">
        <f t="shared" ref="AHY28" ca="1" si="9278">SUMPRODUCT((AHW25:AHW28=AHW28)*(AHV25:AHV28&lt;AHV28))+AHW28</f>
        <v>4</v>
      </c>
      <c r="AHZ28" s="319" t="str">
        <f t="shared" ref="AHZ28" ca="1" si="9279">INDEX(AHN25:AHN29,MATCH(4,AHY25:AHY29,0),0)</f>
        <v>France</v>
      </c>
      <c r="AIA28" s="319">
        <f t="shared" ref="AIA28" ca="1" si="9280">INDEX(AHW25:AHW29,MATCH(AHZ28,AHN25:AHN29,0),0)</f>
        <v>1</v>
      </c>
      <c r="AIB28" s="319" t="str">
        <f t="shared" ca="1" si="8622"/>
        <v>France</v>
      </c>
      <c r="AIC28" s="319" t="str">
        <f t="shared" ca="1" si="8623"/>
        <v/>
      </c>
      <c r="AID28" s="319"/>
      <c r="AIE28" s="319"/>
      <c r="AIF28" s="319"/>
      <c r="AIG28" s="319" t="str">
        <f t="shared" ca="1" si="7640"/>
        <v>France</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f t="shared" ca="1" si="7647"/>
        <v>0</v>
      </c>
      <c r="AIO28" s="319">
        <f t="shared" ref="AIO28" ca="1" si="9286">IF(AIG28&lt;&gt;"",VLOOKUP(AIG28,AHN4:AHT40,7,FALSE),"")</f>
        <v>1000</v>
      </c>
      <c r="AIP28" s="319">
        <f t="shared" ref="AIP28" ca="1" si="9287">IF(AIG28&lt;&gt;"",VLOOKUP(AIG28,AHN4:AHT40,5,FALSE),"")</f>
        <v>0</v>
      </c>
      <c r="AIQ28" s="319">
        <f t="shared" ref="AIQ28" ca="1" si="9288">IF(AIG28&lt;&gt;"",VLOOKUP(AIG28,AHN4:AHV40,9,FALSE),"")</f>
        <v>52</v>
      </c>
      <c r="AIR28" s="319">
        <f t="shared" ca="1" si="7651"/>
        <v>0</v>
      </c>
      <c r="AIS28" s="319">
        <f t="shared" ref="AIS28" ca="1" si="9289">IF(AIG28&lt;&gt;"",RANK(AIR28,AIR25:AIR29),"")</f>
        <v>1</v>
      </c>
      <c r="AIT28" s="319">
        <f t="shared" ref="AIT28" ca="1" si="9290">IF(AIG28&lt;&gt;"",SUMPRODUCT((AIR25:AIR29=AIR28)*(AIM25:AIM29&gt;AIM28)),"")</f>
        <v>0</v>
      </c>
      <c r="AIU28" s="319">
        <f t="shared" ref="AIU28" ca="1" si="9291">IF(AIG28&lt;&gt;"",SUMPRODUCT((AIR25:AIR29=AIR28)*(AIM25:AIM29=AIM28)*(AIK25:AIK29&gt;AIK28)),"")</f>
        <v>0</v>
      </c>
      <c r="AIV28" s="319">
        <f t="shared" ref="AIV28" ca="1" si="9292">IF(AIG28&lt;&gt;"",SUMPRODUCT((AIR25:AIR29=AIR28)*(AIM25:AIM29=AIM28)*(AIK25:AIK29=AIK28)*(AIO25:AIO29&gt;AIO28)),"")</f>
        <v>0</v>
      </c>
      <c r="AIW28" s="319">
        <f t="shared" ref="AIW28" ca="1" si="9293">IF(AIG28&lt;&gt;"",SUMPRODUCT((AIR25:AIR29=AIR28)*(AIM25:AIM29=AIM28)*(AIK25:AIK29=AIK28)*(AIO25:AIO29=AIO28)*(AIP25:AIP29&gt;AIP28)),"")</f>
        <v>0</v>
      </c>
      <c r="AIX28" s="319">
        <f t="shared" ref="AIX28" ca="1" si="9294">IF(AIG28&lt;&gt;"",SUMPRODUCT((AIR25:AIR29=AIR28)*(AIM25:AIM29=AIM28)*(AIK25:AIK29=AIK28)*(AIO25:AIO29=AIO28)*(AIP25:AIP29=AIP28)*(AIQ25:AIQ29&gt;AIQ28)),"")</f>
        <v>0</v>
      </c>
      <c r="AIY28" s="319">
        <f ca="1">IF(AIG28&lt;&gt;"",IF(AIY68&lt;&gt;"",IF(AIF64=3,AIY68,AIY68+AIF64),SUM(AIS28:AIX28)),"")</f>
        <v>1</v>
      </c>
      <c r="AIZ28" s="319" t="str">
        <f t="shared" ref="AIZ28" ca="1" si="9295">IF(AIG28&lt;&gt;"",INDEX(AIG25:AIG29,MATCH(4,AIY25:AIY29,0),0),"")</f>
        <v>Poland</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19">
        <f t="shared" ca="1" si="8661"/>
        <v>1000</v>
      </c>
      <c r="AKB28" s="319" t="str">
        <f t="shared" ca="1" si="8662"/>
        <v/>
      </c>
      <c r="AKC28" s="319" t="str">
        <f t="shared" ref="AKC28" ca="1" si="9316">IF(AJU28&lt;&gt;"",VLOOKUP(AJU28,AHN4:AHT40,7,FALSE),"")</f>
        <v/>
      </c>
      <c r="AKD28" s="319" t="str">
        <f t="shared" ref="AKD28" ca="1" si="9317">IF(AJU28&lt;&gt;"",VLOOKUP(AJU28,AHN4:AHT40,5,FALSE),"")</f>
        <v/>
      </c>
      <c r="AKE28" s="319" t="str">
        <f t="shared" ref="AKE28" ca="1" si="9318">IF(AJU28&lt;&gt;"",VLOOKUP(AJU28,AHN4:AHV40,9,FALSE),"")</f>
        <v/>
      </c>
      <c r="AKF28" s="319" t="str">
        <f t="shared" ca="1" si="8666"/>
        <v/>
      </c>
      <c r="AKG28" s="319" t="str">
        <f t="shared" ref="AKG28" ca="1" si="9319">IF(AJU28&lt;&gt;"",RANK(AKF28,AKF25:AKF29),"")</f>
        <v/>
      </c>
      <c r="AKH28" s="319" t="str">
        <f t="shared" ref="AKH28" ca="1" si="9320">IF(AJU28&lt;&gt;"",SUMPRODUCT((AKF25:AKF29=AKF28)*(AKA25:AKA29&gt;AKA28)),"")</f>
        <v/>
      </c>
      <c r="AKI28" s="319" t="str">
        <f t="shared" ref="AKI28" ca="1" si="9321">IF(AJU28&lt;&gt;"",SUMPRODUCT((AKF25:AKF29=AKF28)*(AKA25:AKA29=AKA28)*(AJY25:AJY29&gt;AJY28)),"")</f>
        <v/>
      </c>
      <c r="AKJ28" s="319" t="str">
        <f t="shared" ref="AKJ28" ca="1" si="9322">IF(AJU28&lt;&gt;"",SUMPRODUCT((AKF25:AKF29=AKF28)*(AKA25:AKA29=AKA28)*(AJY25:AJY29=AJY28)*(AKC25:AKC29&gt;AKC28)),"")</f>
        <v/>
      </c>
      <c r="AKK28" s="319" t="str">
        <f t="shared" ref="AKK28" ca="1" si="9323">IF(AJU28&lt;&gt;"",SUMPRODUCT((AKF25:AKF29=AKF28)*(AKA25:AKA29=AKA28)*(AJY25:AJY29=AJY28)*(AKC25:AKC29=AKC28)*(AKD25:AKD29&gt;AKD28)),"")</f>
        <v/>
      </c>
      <c r="AKL28" s="319" t="str">
        <f t="shared" ref="AKL28" ca="1" si="9324">IF(AJU28&lt;&gt;"",SUMPRODUCT((AKF25:AKF29=AKF28)*(AKA25:AKA29=AKA28)*(AJY25:AJY29=AJY28)*(AKC25:AKC29=AKC28)*(AKD25:AKD29=AKD28)*(AKE25:AKE29&gt;AKE28)),"")</f>
        <v/>
      </c>
      <c r="AKM28" s="319" t="str">
        <f t="shared" ca="1" si="8673"/>
        <v/>
      </c>
      <c r="AKN28" s="319" t="str">
        <f t="shared" ref="AKN28" ca="1" si="9325">IF(AJU28&lt;&gt;"",INDEX(AJU27:AJU29,MATCH(4,AKM27:AKM29,0),0),"")</f>
        <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Poland</v>
      </c>
      <c r="ALJ28" s="319">
        <v>4</v>
      </c>
      <c r="ALK28" s="319">
        <v>26</v>
      </c>
      <c r="ALL28" s="319" t="str">
        <f t="shared" si="82"/>
        <v>Scotland</v>
      </c>
      <c r="ALM28" s="322">
        <f ca="1">IF(OFFSET('Player Game Board'!P35,0,ALM1)&lt;&gt;"",OFFSET('Player Game Board'!P35,0,ALM1),0)</f>
        <v>0</v>
      </c>
      <c r="ALN28" s="322">
        <f ca="1">IF(OFFSET('Player Game Board'!Q35,0,ALM1)&lt;&gt;"",OFFSET('Player Game Board'!Q35,0,ALM1),0)</f>
        <v>0</v>
      </c>
      <c r="ALO28" s="319" t="str">
        <f t="shared" si="83"/>
        <v>Hungary</v>
      </c>
      <c r="ALP28" s="319" t="str">
        <f ca="1">IF(AND(OFFSET('Player Game Board'!P35,0,ALM1)&lt;&gt;"",OFFSET('Player Game Board'!Q35,0,ALM1)&lt;&gt;""),IF(ALM28&gt;ALN28,"W",IF(ALM28=ALN28,"D","L")),"")</f>
        <v/>
      </c>
      <c r="ALQ28" s="319" t="str">
        <f t="shared" ca="1" si="5720"/>
        <v/>
      </c>
      <c r="ALR28" s="319"/>
      <c r="ALS28" s="319"/>
      <c r="ALT28" s="319"/>
      <c r="ALU28" s="320"/>
      <c r="ALV28" s="320"/>
      <c r="ALW28" s="320"/>
      <c r="ALX28" s="320"/>
      <c r="ALY28" s="320"/>
      <c r="ALZ28" s="320"/>
      <c r="AMA28" s="320"/>
      <c r="AMB28" s="319"/>
      <c r="AMC28" s="319"/>
      <c r="AMD28" s="319"/>
      <c r="AME28" s="319"/>
      <c r="AMF28" s="319"/>
      <c r="AMG28" s="319"/>
      <c r="AMH28" s="319" t="s">
        <v>104</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0</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0</v>
      </c>
      <c r="AMQ28" s="319">
        <f t="shared" ref="AMQ28" ca="1" si="9353">SUMIF(AQM3:AQM60,AML28,AQK3:AQK60)+SUMIF(AQJ3:AQJ60,AML28,AQL3:AQL60)</f>
        <v>0</v>
      </c>
      <c r="AMR28" s="319">
        <f t="shared" ca="1" si="7672"/>
        <v>1000</v>
      </c>
      <c r="AMS28" s="319">
        <f t="shared" ca="1" si="7673"/>
        <v>0</v>
      </c>
      <c r="AMT28" s="319">
        <f t="shared" si="930"/>
        <v>52</v>
      </c>
      <c r="AMU28" s="319">
        <f t="shared" ref="AMU28" ca="1" si="9354">IF(COUNTIF(AMS25:AMS29,4)&lt;&gt;4,RANK(AMS28,AMS25:AMS29),AMS68)</f>
        <v>1</v>
      </c>
      <c r="AMV28" s="319"/>
      <c r="AMW28" s="319">
        <f t="shared" ref="AMW28" ca="1" si="9355">SUMPRODUCT((AMU25:AMU28=AMU28)*(AMT25:AMT28&lt;AMT28))+AMU28</f>
        <v>4</v>
      </c>
      <c r="AMX28" s="319" t="str">
        <f t="shared" ref="AMX28" ca="1" si="9356">INDEX(AML25:AML29,MATCH(4,AMW25:AMW29,0),0)</f>
        <v>France</v>
      </c>
      <c r="AMY28" s="319">
        <f t="shared" ref="AMY28" ca="1" si="9357">INDEX(AMU25:AMU29,MATCH(AMX28,AML25:AML29,0),0)</f>
        <v>1</v>
      </c>
      <c r="AMZ28" s="319" t="str">
        <f t="shared" ca="1" si="8691"/>
        <v>France</v>
      </c>
      <c r="ANA28" s="319" t="str">
        <f t="shared" ca="1" si="8692"/>
        <v/>
      </c>
      <c r="ANB28" s="319"/>
      <c r="ANC28" s="319"/>
      <c r="AND28" s="319"/>
      <c r="ANE28" s="319" t="str">
        <f t="shared" ca="1" si="7682"/>
        <v>France</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f t="shared" ca="1" si="7689"/>
        <v>0</v>
      </c>
      <c r="ANM28" s="319">
        <f t="shared" ref="ANM28" ca="1" si="9363">IF(ANE28&lt;&gt;"",VLOOKUP(ANE28,AML4:AMR40,7,FALSE),"")</f>
        <v>1000</v>
      </c>
      <c r="ANN28" s="319">
        <f t="shared" ref="ANN28" ca="1" si="9364">IF(ANE28&lt;&gt;"",VLOOKUP(ANE28,AML4:AMR40,5,FALSE),"")</f>
        <v>0</v>
      </c>
      <c r="ANO28" s="319">
        <f t="shared" ref="ANO28" ca="1" si="9365">IF(ANE28&lt;&gt;"",VLOOKUP(ANE28,AML4:AMT40,9,FALSE),"")</f>
        <v>52</v>
      </c>
      <c r="ANP28" s="319">
        <f t="shared" ca="1" si="7693"/>
        <v>0</v>
      </c>
      <c r="ANQ28" s="319">
        <f t="shared" ref="ANQ28" ca="1" si="9366">IF(ANE28&lt;&gt;"",RANK(ANP28,ANP25:ANP29),"")</f>
        <v>1</v>
      </c>
      <c r="ANR28" s="319">
        <f t="shared" ref="ANR28" ca="1" si="9367">IF(ANE28&lt;&gt;"",SUMPRODUCT((ANP25:ANP29=ANP28)*(ANK25:ANK29&gt;ANK28)),"")</f>
        <v>0</v>
      </c>
      <c r="ANS28" s="319">
        <f t="shared" ref="ANS28" ca="1" si="9368">IF(ANE28&lt;&gt;"",SUMPRODUCT((ANP25:ANP29=ANP28)*(ANK25:ANK29=ANK28)*(ANI25:ANI29&gt;ANI28)),"")</f>
        <v>0</v>
      </c>
      <c r="ANT28" s="319">
        <f t="shared" ref="ANT28" ca="1" si="9369">IF(ANE28&lt;&gt;"",SUMPRODUCT((ANP25:ANP29=ANP28)*(ANK25:ANK29=ANK28)*(ANI25:ANI29=ANI28)*(ANM25:ANM29&gt;ANM28)),"")</f>
        <v>0</v>
      </c>
      <c r="ANU28" s="319">
        <f t="shared" ref="ANU28" ca="1" si="9370">IF(ANE28&lt;&gt;"",SUMPRODUCT((ANP25:ANP29=ANP28)*(ANK25:ANK29=ANK28)*(ANI25:ANI29=ANI28)*(ANM25:ANM29=ANM28)*(ANN25:ANN29&gt;ANN28)),"")</f>
        <v>0</v>
      </c>
      <c r="ANV28" s="319">
        <f t="shared" ref="ANV28" ca="1" si="9371">IF(ANE28&lt;&gt;"",SUMPRODUCT((ANP25:ANP29=ANP28)*(ANK25:ANK29=ANK28)*(ANI25:ANI29=ANI28)*(ANM25:ANM29=ANM28)*(ANN25:ANN29=ANN28)*(ANO25:ANO29&gt;ANO28)),"")</f>
        <v>0</v>
      </c>
      <c r="ANW28" s="319">
        <f ca="1">IF(ANE28&lt;&gt;"",IF(ANW68&lt;&gt;"",IF(AND64=3,ANW68,ANW68+AND64),SUM(ANQ28:ANV28)),"")</f>
        <v>1</v>
      </c>
      <c r="ANX28" s="319" t="str">
        <f t="shared" ref="ANX28" ca="1" si="9372">IF(ANE28&lt;&gt;"",INDEX(ANE25:ANE29,MATCH(4,ANW25:ANW29,0),0),"")</f>
        <v>Poland</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0</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0</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0</v>
      </c>
      <c r="AOY28" s="319">
        <f t="shared" ca="1" si="8730"/>
        <v>1000</v>
      </c>
      <c r="AOZ28" s="319" t="str">
        <f t="shared" ca="1" si="8731"/>
        <v/>
      </c>
      <c r="APA28" s="319" t="str">
        <f t="shared" ref="APA28" ca="1" si="9393">IF(AOS28&lt;&gt;"",VLOOKUP(AOS28,AML4:AMR40,7,FALSE),"")</f>
        <v/>
      </c>
      <c r="APB28" s="319" t="str">
        <f t="shared" ref="APB28" ca="1" si="9394">IF(AOS28&lt;&gt;"",VLOOKUP(AOS28,AML4:AMR40,5,FALSE),"")</f>
        <v/>
      </c>
      <c r="APC28" s="319" t="str">
        <f t="shared" ref="APC28" ca="1" si="9395">IF(AOS28&lt;&gt;"",VLOOKUP(AOS28,AML4:AMT40,9,FALSE),"")</f>
        <v/>
      </c>
      <c r="APD28" s="319" t="str">
        <f t="shared" ca="1" si="8735"/>
        <v/>
      </c>
      <c r="APE28" s="319" t="str">
        <f t="shared" ref="APE28" ca="1" si="9396">IF(AOS28&lt;&gt;"",RANK(APD28,APD25:APD29),"")</f>
        <v/>
      </c>
      <c r="APF28" s="319" t="str">
        <f t="shared" ref="APF28" ca="1" si="9397">IF(AOS28&lt;&gt;"",SUMPRODUCT((APD25:APD29=APD28)*(AOY25:AOY29&gt;AOY28)),"")</f>
        <v/>
      </c>
      <c r="APG28" s="319" t="str">
        <f t="shared" ref="APG28" ca="1" si="9398">IF(AOS28&lt;&gt;"",SUMPRODUCT((APD25:APD29=APD28)*(AOY25:AOY29=AOY28)*(AOW25:AOW29&gt;AOW28)),"")</f>
        <v/>
      </c>
      <c r="APH28" s="319" t="str">
        <f t="shared" ref="APH28" ca="1" si="9399">IF(AOS28&lt;&gt;"",SUMPRODUCT((APD25:APD29=APD28)*(AOY25:AOY29=AOY28)*(AOW25:AOW29=AOW28)*(APA25:APA29&gt;APA28)),"")</f>
        <v/>
      </c>
      <c r="API28" s="319" t="str">
        <f t="shared" ref="API28" ca="1" si="9400">IF(AOS28&lt;&gt;"",SUMPRODUCT((APD25:APD29=APD28)*(AOY25:AOY29=AOY28)*(AOW25:AOW29=AOW28)*(APA25:APA29=APA28)*(APB25:APB29&gt;APB28)),"")</f>
        <v/>
      </c>
      <c r="APJ28" s="319" t="str">
        <f t="shared" ref="APJ28" ca="1" si="9401">IF(AOS28&lt;&gt;"",SUMPRODUCT((APD25:APD29=APD28)*(AOY25:AOY29=AOY28)*(AOW25:AOW29=AOW28)*(APA25:APA29=APA28)*(APB25:APB29=APB28)*(APC25:APC29&gt;APC28)),"")</f>
        <v/>
      </c>
      <c r="APK28" s="319" t="str">
        <f t="shared" ca="1" si="8742"/>
        <v/>
      </c>
      <c r="APL28" s="319" t="str">
        <f t="shared" ref="APL28" ca="1" si="9402">IF(AOS28&lt;&gt;"",INDEX(AOS27:AOS29,MATCH(4,APK27:APK29,0),0),"")</f>
        <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0</v>
      </c>
      <c r="AQL28" s="322">
        <f ca="1">IF(OFFSET('Player Game Board'!Q35,0,AQK1)&lt;&gt;"",OFFSET('Player Game Board'!Q35,0,AQK1),0)</f>
        <v>0</v>
      </c>
      <c r="AQM28" s="319" t="str">
        <f t="shared" si="99"/>
        <v>Hungary</v>
      </c>
      <c r="AQN28" s="319" t="str">
        <f ca="1">IF(AND(OFFSET('Player Game Board'!P35,0,AQK1)&lt;&gt;"",OFFSET('Player Game Board'!Q35,0,AQK1)&lt;&gt;""),IF(AQK28&gt;AQL28,"W",IF(AQK28=AQL28,"D","L")),"")</f>
        <v/>
      </c>
      <c r="AQO28" s="319" t="str">
        <f t="shared" ca="1" si="5775"/>
        <v/>
      </c>
      <c r="AQP28" s="319"/>
      <c r="AQQ28" s="319"/>
      <c r="AQR28" s="319"/>
      <c r="AQS28" s="320"/>
      <c r="AQT28" s="320"/>
      <c r="AQU28" s="320"/>
      <c r="AQV28" s="320"/>
      <c r="AQW28" s="320"/>
      <c r="AQX28" s="320"/>
      <c r="AQY28" s="320"/>
      <c r="AQZ28" s="319"/>
      <c r="ARA28" s="319"/>
      <c r="ARB28" s="319"/>
      <c r="ARC28" s="319"/>
      <c r="ARD28" s="319"/>
      <c r="ARE28" s="319"/>
      <c r="ARF28" s="319" t="s">
        <v>104</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0</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0</v>
      </c>
      <c r="ARO28" s="319">
        <f t="shared" ref="ARO28" ca="1" si="9430">SUMIF(AVK3:AVK60,ARJ28,AVI3:AVI60)+SUMIF(AVH3:AVH60,ARJ28,AVJ3:AVJ60)</f>
        <v>0</v>
      </c>
      <c r="ARP28" s="319">
        <f t="shared" ca="1" si="7714"/>
        <v>1000</v>
      </c>
      <c r="ARQ28" s="319">
        <f t="shared" ca="1" si="7715"/>
        <v>0</v>
      </c>
      <c r="ARR28" s="319">
        <f t="shared" si="990"/>
        <v>52</v>
      </c>
      <c r="ARS28" s="319">
        <f t="shared" ref="ARS28" ca="1" si="9431">IF(COUNTIF(ARQ25:ARQ29,4)&lt;&gt;4,RANK(ARQ28,ARQ25:ARQ29),ARQ68)</f>
        <v>1</v>
      </c>
      <c r="ART28" s="319"/>
      <c r="ARU28" s="319">
        <f t="shared" ref="ARU28" ca="1" si="9432">SUMPRODUCT((ARS25:ARS28=ARS28)*(ARR25:ARR28&lt;ARR28))+ARS28</f>
        <v>4</v>
      </c>
      <c r="ARV28" s="319" t="str">
        <f t="shared" ref="ARV28" ca="1" si="9433">INDEX(ARJ25:ARJ29,MATCH(4,ARU25:ARU29,0),0)</f>
        <v>France</v>
      </c>
      <c r="ARW28" s="319">
        <f t="shared" ref="ARW28" ca="1" si="9434">INDEX(ARS25:ARS29,MATCH(ARV28,ARJ25:ARJ29,0),0)</f>
        <v>1</v>
      </c>
      <c r="ARX28" s="319" t="str">
        <f t="shared" ca="1" si="8760"/>
        <v>France</v>
      </c>
      <c r="ARY28" s="319" t="str">
        <f t="shared" ca="1" si="8761"/>
        <v/>
      </c>
      <c r="ARZ28" s="319"/>
      <c r="ASA28" s="319"/>
      <c r="ASB28" s="319"/>
      <c r="ASC28" s="319" t="str">
        <f t="shared" ca="1" si="7724"/>
        <v>France</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f t="shared" ca="1" si="7731"/>
        <v>0</v>
      </c>
      <c r="ASK28" s="319">
        <f t="shared" ref="ASK28" ca="1" si="9440">IF(ASC28&lt;&gt;"",VLOOKUP(ASC28,ARJ4:ARP40,7,FALSE),"")</f>
        <v>1000</v>
      </c>
      <c r="ASL28" s="319">
        <f t="shared" ref="ASL28" ca="1" si="9441">IF(ASC28&lt;&gt;"",VLOOKUP(ASC28,ARJ4:ARP40,5,FALSE),"")</f>
        <v>0</v>
      </c>
      <c r="ASM28" s="319">
        <f t="shared" ref="ASM28" ca="1" si="9442">IF(ASC28&lt;&gt;"",VLOOKUP(ASC28,ARJ4:ARR40,9,FALSE),"")</f>
        <v>52</v>
      </c>
      <c r="ASN28" s="319">
        <f t="shared" ca="1" si="7735"/>
        <v>0</v>
      </c>
      <c r="ASO28" s="319">
        <f t="shared" ref="ASO28" ca="1" si="9443">IF(ASC28&lt;&gt;"",RANK(ASN28,ASN25:ASN29),"")</f>
        <v>1</v>
      </c>
      <c r="ASP28" s="319">
        <f t="shared" ref="ASP28" ca="1" si="9444">IF(ASC28&lt;&gt;"",SUMPRODUCT((ASN25:ASN29=ASN28)*(ASI25:ASI29&gt;ASI28)),"")</f>
        <v>0</v>
      </c>
      <c r="ASQ28" s="319">
        <f t="shared" ref="ASQ28" ca="1" si="9445">IF(ASC28&lt;&gt;"",SUMPRODUCT((ASN25:ASN29=ASN28)*(ASI25:ASI29=ASI28)*(ASG25:ASG29&gt;ASG28)),"")</f>
        <v>0</v>
      </c>
      <c r="ASR28" s="319">
        <f t="shared" ref="ASR28" ca="1" si="9446">IF(ASC28&lt;&gt;"",SUMPRODUCT((ASN25:ASN29=ASN28)*(ASI25:ASI29=ASI28)*(ASG25:ASG29=ASG28)*(ASK25:ASK29&gt;ASK28)),"")</f>
        <v>0</v>
      </c>
      <c r="ASS28" s="319">
        <f t="shared" ref="ASS28" ca="1" si="9447">IF(ASC28&lt;&gt;"",SUMPRODUCT((ASN25:ASN29=ASN28)*(ASI25:ASI29=ASI28)*(ASG25:ASG29=ASG28)*(ASK25:ASK29=ASK28)*(ASL25:ASL29&gt;ASL28)),"")</f>
        <v>0</v>
      </c>
      <c r="AST28" s="319">
        <f t="shared" ref="AST28" ca="1" si="9448">IF(ASC28&lt;&gt;"",SUMPRODUCT((ASN25:ASN29=ASN28)*(ASI25:ASI29=ASI28)*(ASG25:ASG29=ASG28)*(ASK25:ASK29=ASK28)*(ASL25:ASL29=ASL28)*(ASM25:ASM29&gt;ASM28)),"")</f>
        <v>0</v>
      </c>
      <c r="ASU28" s="319">
        <f ca="1">IF(ASC28&lt;&gt;"",IF(ASU68&lt;&gt;"",IF(ASB64=3,ASU68,ASU68+ASB64),SUM(ASO28:AST28)),"")</f>
        <v>1</v>
      </c>
      <c r="ASV28" s="319" t="str">
        <f t="shared" ref="ASV28" ca="1" si="9449">IF(ASC28&lt;&gt;"",INDEX(ASC25:ASC29,MATCH(4,ASU25:ASU29,0),0),"")</f>
        <v>Poland</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Poland</v>
      </c>
      <c r="AVF28" s="319">
        <v>4</v>
      </c>
      <c r="AVG28" s="319">
        <v>26</v>
      </c>
      <c r="AVH28" s="319" t="str">
        <f t="shared" si="114"/>
        <v>Scotland</v>
      </c>
      <c r="AVI28" s="322">
        <f ca="1">IF(OFFSET('Player Game Board'!P35,0,AVI1)&lt;&gt;"",OFFSET('Player Game Board'!P35,0,AVI1),0)</f>
        <v>0</v>
      </c>
      <c r="AVJ28" s="322">
        <f ca="1">IF(OFFSET('Player Game Board'!Q35,0,AVI1)&lt;&gt;"",OFFSET('Player Game Board'!Q35,0,AVI1),0)</f>
        <v>0</v>
      </c>
      <c r="AVK28" s="319" t="str">
        <f t="shared" si="115"/>
        <v>Hungary</v>
      </c>
      <c r="AVL28" s="319" t="str">
        <f ca="1">IF(AND(OFFSET('Player Game Board'!P35,0,AVI1)&lt;&gt;"",OFFSET('Player Game Board'!Q35,0,AVI1)&lt;&gt;""),IF(AVI28&gt;AVJ28,"W",IF(AVI28=AVJ28,"D","L")),"")</f>
        <v/>
      </c>
      <c r="AVM28" s="319" t="str">
        <f t="shared" ca="1" si="5830"/>
        <v/>
      </c>
      <c r="AVN28" s="319"/>
      <c r="AVO28" s="319"/>
      <c r="AVP28" s="319"/>
      <c r="AVQ28" s="320"/>
      <c r="AVR28" s="320"/>
      <c r="AVS28" s="320"/>
      <c r="AVT28" s="320"/>
      <c r="AVU28" s="320"/>
      <c r="AVV28" s="320"/>
      <c r="AVW28" s="320"/>
      <c r="AVX28" s="319"/>
      <c r="AVY28" s="319"/>
      <c r="AVZ28" s="319"/>
      <c r="AWA28" s="319"/>
      <c r="AWB28" s="319"/>
      <c r="AWC28" s="319"/>
      <c r="AWD28" s="319" t="s">
        <v>104</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0</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0</v>
      </c>
      <c r="AWM28" s="319">
        <f t="shared" ref="AWM28" ca="1" si="9507">SUMIF(BAI3:BAI60,AWH28,BAG3:BAG60)+SUMIF(BAF3:BAF60,AWH28,BAH3:BAH60)</f>
        <v>0</v>
      </c>
      <c r="AWN28" s="319">
        <f t="shared" ca="1" si="7756"/>
        <v>1000</v>
      </c>
      <c r="AWO28" s="319">
        <f t="shared" ca="1" si="7757"/>
        <v>0</v>
      </c>
      <c r="AWP28" s="319">
        <f t="shared" si="1050"/>
        <v>52</v>
      </c>
      <c r="AWQ28" s="319">
        <f t="shared" ref="AWQ28" ca="1" si="9508">IF(COUNTIF(AWO25:AWO29,4)&lt;&gt;4,RANK(AWO28,AWO25:AWO29),AWO68)</f>
        <v>1</v>
      </c>
      <c r="AWR28" s="319"/>
      <c r="AWS28" s="319">
        <f t="shared" ref="AWS28" ca="1" si="9509">SUMPRODUCT((AWQ25:AWQ28=AWQ28)*(AWP25:AWP28&lt;AWP28))+AWQ28</f>
        <v>4</v>
      </c>
      <c r="AWT28" s="319" t="str">
        <f t="shared" ref="AWT28" ca="1" si="9510">INDEX(AWH25:AWH29,MATCH(4,AWS25:AWS29,0),0)</f>
        <v>France</v>
      </c>
      <c r="AWU28" s="319">
        <f t="shared" ref="AWU28" ca="1" si="9511">INDEX(AWQ25:AWQ29,MATCH(AWT28,AWH25:AWH29,0),0)</f>
        <v>1</v>
      </c>
      <c r="AWV28" s="319" t="str">
        <f t="shared" ca="1" si="8829"/>
        <v>France</v>
      </c>
      <c r="AWW28" s="319" t="str">
        <f t="shared" ca="1" si="8830"/>
        <v/>
      </c>
      <c r="AWX28" s="319"/>
      <c r="AWY28" s="319"/>
      <c r="AWZ28" s="319"/>
      <c r="AXA28" s="319" t="str">
        <f t="shared" ca="1" si="7766"/>
        <v>France</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f t="shared" ca="1" si="7773"/>
        <v>0</v>
      </c>
      <c r="AXI28" s="319">
        <f t="shared" ref="AXI28" ca="1" si="9517">IF(AXA28&lt;&gt;"",VLOOKUP(AXA28,AWH4:AWN40,7,FALSE),"")</f>
        <v>1000</v>
      </c>
      <c r="AXJ28" s="319">
        <f t="shared" ref="AXJ28" ca="1" si="9518">IF(AXA28&lt;&gt;"",VLOOKUP(AXA28,AWH4:AWN40,5,FALSE),"")</f>
        <v>0</v>
      </c>
      <c r="AXK28" s="319">
        <f t="shared" ref="AXK28" ca="1" si="9519">IF(AXA28&lt;&gt;"",VLOOKUP(AXA28,AWH4:AWP40,9,FALSE),"")</f>
        <v>52</v>
      </c>
      <c r="AXL28" s="319">
        <f t="shared" ca="1" si="7777"/>
        <v>0</v>
      </c>
      <c r="AXM28" s="319">
        <f t="shared" ref="AXM28" ca="1" si="9520">IF(AXA28&lt;&gt;"",RANK(AXL28,AXL25:AXL29),"")</f>
        <v>1</v>
      </c>
      <c r="AXN28" s="319">
        <f t="shared" ref="AXN28" ca="1" si="9521">IF(AXA28&lt;&gt;"",SUMPRODUCT((AXL25:AXL29=AXL28)*(AXG25:AXG29&gt;AXG28)),"")</f>
        <v>0</v>
      </c>
      <c r="AXO28" s="319">
        <f t="shared" ref="AXO28" ca="1" si="9522">IF(AXA28&lt;&gt;"",SUMPRODUCT((AXL25:AXL29=AXL28)*(AXG25:AXG29=AXG28)*(AXE25:AXE29&gt;AXE28)),"")</f>
        <v>0</v>
      </c>
      <c r="AXP28" s="319">
        <f t="shared" ref="AXP28" ca="1" si="9523">IF(AXA28&lt;&gt;"",SUMPRODUCT((AXL25:AXL29=AXL28)*(AXG25:AXG29=AXG28)*(AXE25:AXE29=AXE28)*(AXI25:AXI29&gt;AXI28)),"")</f>
        <v>0</v>
      </c>
      <c r="AXQ28" s="319">
        <f t="shared" ref="AXQ28" ca="1" si="9524">IF(AXA28&lt;&gt;"",SUMPRODUCT((AXL25:AXL29=AXL28)*(AXG25:AXG29=AXG28)*(AXE25:AXE29=AXE28)*(AXI25:AXI29=AXI28)*(AXJ25:AXJ29&gt;AXJ28)),"")</f>
        <v>0</v>
      </c>
      <c r="AXR28" s="319">
        <f t="shared" ref="AXR28" ca="1" si="9525">IF(AXA28&lt;&gt;"",SUMPRODUCT((AXL25:AXL29=AXL28)*(AXG25:AXG29=AXG28)*(AXE25:AXE29=AXE28)*(AXI25:AXI29=AXI28)*(AXJ25:AXJ29=AXJ28)*(AXK25:AXK29&gt;AXK28)),"")</f>
        <v>0</v>
      </c>
      <c r="AXS28" s="319">
        <f ca="1">IF(AXA28&lt;&gt;"",IF(AXS68&lt;&gt;"",IF(AWZ64=3,AXS68,AXS68+AWZ64),SUM(AXM28:AXR28)),"")</f>
        <v>1</v>
      </c>
      <c r="AXT28" s="319" t="str">
        <f t="shared" ref="AXT28" ca="1" si="9526">IF(AXA28&lt;&gt;"",INDEX(AXA25:AXA29,MATCH(4,AXS25:AXS29,0),0),"")</f>
        <v>Poland</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Poland</v>
      </c>
      <c r="BAD28" s="319">
        <v>4</v>
      </c>
      <c r="BAE28" s="319">
        <v>26</v>
      </c>
      <c r="BAF28" s="319" t="str">
        <f t="shared" si="130"/>
        <v>Scotland</v>
      </c>
      <c r="BAG28" s="322">
        <f ca="1">IF(OFFSET('Player Game Board'!P35,0,BAG1)&lt;&gt;"",OFFSET('Player Game Board'!P35,0,BAG1),0)</f>
        <v>0</v>
      </c>
      <c r="BAH28" s="322">
        <f ca="1">IF(OFFSET('Player Game Board'!Q35,0,BAG1)&lt;&gt;"",OFFSET('Player Game Board'!Q35,0,BAG1),0)</f>
        <v>0</v>
      </c>
      <c r="BAI28" s="319" t="str">
        <f t="shared" si="131"/>
        <v>Hungary</v>
      </c>
      <c r="BAJ28" s="319" t="str">
        <f ca="1">IF(AND(OFFSET('Player Game Board'!P35,0,BAG1)&lt;&gt;"",OFFSET('Player Game Board'!Q35,0,BAG1)&lt;&gt;""),IF(BAG28&gt;BAH28,"W",IF(BAG28=BAH28,"D","L")),"")</f>
        <v/>
      </c>
      <c r="BAK28" s="319" t="str">
        <f t="shared" ca="1" si="5885"/>
        <v/>
      </c>
      <c r="BAL28" s="319"/>
      <c r="BAM28" s="319"/>
      <c r="BAN28" s="319"/>
      <c r="BAO28" s="320"/>
      <c r="BAP28" s="320"/>
      <c r="BAQ28" s="320"/>
      <c r="BAR28" s="320"/>
      <c r="BAS28" s="320"/>
      <c r="BAT28" s="320"/>
      <c r="BAU28" s="320"/>
      <c r="BAV28" s="319"/>
      <c r="BAW28" s="319"/>
      <c r="BAX28" s="319"/>
      <c r="BAY28" s="319"/>
      <c r="BAZ28" s="319"/>
      <c r="BBA28" s="319"/>
      <c r="BBB28" s="319" t="s">
        <v>104</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104</v>
      </c>
      <c r="BGA28" s="319" t="str">
        <f t="shared" ref="BGA28" ca="1" si="9655">VLOOKUP(1,BBE25:BBF28,2,FALSE)</f>
        <v>France</v>
      </c>
      <c r="BGB28" s="325">
        <f t="shared" ca="1" si="5439"/>
        <v>1</v>
      </c>
    </row>
    <row r="29" spans="1:1536" ht="13.8" x14ac:dyDescent="0.3">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0</v>
      </c>
      <c r="DC29" s="319" t="str">
        <f>Matches!J34</f>
        <v>Spain</v>
      </c>
      <c r="DD29" s="319" t="str">
        <f>IF(AND(Matches!H34&lt;&gt;"",Matches!I34&lt;&gt;""),IF(DA29&gt;DB29,"W",IF(DA29=DB29,"D","L")),"")</f>
        <v/>
      </c>
      <c r="DE29" s="319" t="str">
        <f t="shared" si="162"/>
        <v/>
      </c>
      <c r="DF29" s="319"/>
      <c r="DG29" s="319"/>
      <c r="DH29" s="319"/>
      <c r="DI29" s="320"/>
      <c r="DJ29" s="320"/>
      <c r="DK29" s="320"/>
      <c r="DL29" s="320"/>
      <c r="DM29" s="320"/>
      <c r="DN29" s="320"/>
      <c r="DO29" s="320"/>
      <c r="DP29" s="319"/>
      <c r="DQ29" s="319"/>
      <c r="DR29" s="319"/>
      <c r="DS29" s="319"/>
      <c r="DT29" s="319"/>
      <c r="DU29" s="319"/>
      <c r="DV29" s="319"/>
      <c r="DW29" s="319" t="str">
        <f>VLOOKUP(2,A25:B28,2,FALSE)</f>
        <v>France</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4</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2</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Poland</v>
      </c>
      <c r="NT29" s="325">
        <f t="shared" ca="1" si="5052"/>
        <v>1</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0</v>
      </c>
      <c r="RV29" s="322">
        <f ca="1">IF(OFFSET('Player Game Board'!Q36,0,RU1)&lt;&gt;"",OFFSET('Player Game Board'!Q36,0,RU1),0)</f>
        <v>2</v>
      </c>
      <c r="RW29" s="319" t="str">
        <f t="shared" si="19"/>
        <v>Spain</v>
      </c>
      <c r="RX29" s="319" t="str">
        <f ca="1">IF(AND(OFFSET('Player Game Board'!P36,0,RU1)&lt;&gt;"",OFFSET('Player Game Board'!Q36,0,RU1)&lt;&gt;""),IF(RU29&gt;RV29,"W",IF(RU29=RV29,"D","L")),"")</f>
        <v>L</v>
      </c>
      <c r="RY29" s="319" t="str">
        <f t="shared" ca="1" si="5500"/>
        <v>W</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0</v>
      </c>
      <c r="WT29" s="322">
        <f ca="1">IF(OFFSET('Player Game Board'!Q36,0,WS1)&lt;&gt;"",OFFSET('Player Game Board'!Q36,0,WS1),0)</f>
        <v>5</v>
      </c>
      <c r="WU29" s="319" t="str">
        <f t="shared" si="35"/>
        <v>Spain</v>
      </c>
      <c r="WV29" s="319" t="str">
        <f ca="1">IF(AND(OFFSET('Player Game Board'!P36,0,WS1)&lt;&gt;"",OFFSET('Player Game Board'!Q36,0,WS1)&lt;&gt;""),IF(WS29&gt;WT29,"W",IF(WS29=WT29,"D","L")),"")</f>
        <v>L</v>
      </c>
      <c r="WW29" s="319" t="str">
        <f t="shared" ca="1" si="5555"/>
        <v>W</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3</v>
      </c>
      <c r="AGQ29" s="319" t="str">
        <f t="shared" si="67"/>
        <v>Spain</v>
      </c>
      <c r="AGR29" s="319" t="str">
        <f ca="1">IF(AND(OFFSET('Player Game Board'!P36,0,AGO1)&lt;&gt;"",OFFSET('Player Game Board'!Q36,0,AGO1)&lt;&gt;""),IF(AGO29&gt;AGP29,"W",IF(AGO29=AGP29,"D","L")),"")</f>
        <v>L</v>
      </c>
      <c r="AGS29" s="319" t="str">
        <f t="shared" ca="1" si="5665"/>
        <v>W</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France</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0</v>
      </c>
      <c r="ALO29" s="319" t="str">
        <f t="shared" si="83"/>
        <v>Spain</v>
      </c>
      <c r="ALP29" s="319" t="str">
        <f ca="1">IF(AND(OFFSET('Player Game Board'!P36,0,ALM1)&lt;&gt;"",OFFSET('Player Game Board'!Q36,0,ALM1)&lt;&gt;""),IF(ALM29&gt;ALN29,"W",IF(ALM29=ALN29,"D","L")),"")</f>
        <v/>
      </c>
      <c r="ALQ29" s="319" t="str">
        <f t="shared" ca="1" si="5720"/>
        <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0</v>
      </c>
      <c r="AQM29" s="319" t="str">
        <f t="shared" si="99"/>
        <v>Spain</v>
      </c>
      <c r="AQN29" s="319" t="str">
        <f ca="1">IF(AND(OFFSET('Player Game Board'!P36,0,AQK1)&lt;&gt;"",OFFSET('Player Game Board'!Q36,0,AQK1)&lt;&gt;""),IF(AQK29&gt;AQL29,"W",IF(AQK29=AQL29,"D","L")),"")</f>
        <v/>
      </c>
      <c r="AQO29" s="319" t="str">
        <f t="shared" ca="1" si="5775"/>
        <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0</v>
      </c>
      <c r="AVJ29" s="322">
        <f ca="1">IF(OFFSET('Player Game Board'!Q36,0,AVI1)&lt;&gt;"",OFFSET('Player Game Board'!Q36,0,AVI1),0)</f>
        <v>0</v>
      </c>
      <c r="AVK29" s="319" t="str">
        <f t="shared" si="115"/>
        <v>Spain</v>
      </c>
      <c r="AVL29" s="319" t="str">
        <f ca="1">IF(AND(OFFSET('Player Game Board'!P36,0,AVI1)&lt;&gt;"",OFFSET('Player Game Board'!Q36,0,AVI1)&lt;&gt;""),IF(AVI29&gt;AVJ29,"W",IF(AVI29=AVJ29,"D","L")),"")</f>
        <v/>
      </c>
      <c r="AVM29" s="319" t="str">
        <f t="shared" ca="1" si="5830"/>
        <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0</v>
      </c>
      <c r="BAH29" s="322">
        <f ca="1">IF(OFFSET('Player Game Board'!Q36,0,BAG1)&lt;&gt;"",OFFSET('Player Game Board'!Q36,0,BAG1),0)</f>
        <v>0</v>
      </c>
      <c r="BAI29" s="319" t="str">
        <f t="shared" si="131"/>
        <v>Spain</v>
      </c>
      <c r="BAJ29" s="319" t="str">
        <f ca="1">IF(AND(OFFSET('Player Game Board'!P36,0,BAG1)&lt;&gt;"",OFFSET('Player Game Board'!Q36,0,BAG1)&lt;&gt;""),IF(BAG29&gt;BAH29,"W",IF(BAG29=BAH29,"D","L")),"")</f>
        <v/>
      </c>
      <c r="BAK29" s="319" t="str">
        <f t="shared" ca="1" si="5885"/>
        <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ht="13.8" x14ac:dyDescent="0.3">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0</v>
      </c>
      <c r="DB30" s="319">
        <f>IF(AND(Matches!I35&lt;&gt;"",Matches!H35&lt;&gt;""),Matches!I35,0)</f>
        <v>0</v>
      </c>
      <c r="DC30" s="319" t="str">
        <f>Matches!J35</f>
        <v>Italy</v>
      </c>
      <c r="DD30" s="319" t="str">
        <f>IF(AND(Matches!H35&lt;&gt;"",Matches!I35&lt;&gt;""),IF(DA30&gt;DB30,"W",IF(DA30=DB30,"D","L")),"")</f>
        <v/>
      </c>
      <c r="DE30" s="319" t="str">
        <f t="shared" si="162"/>
        <v/>
      </c>
      <c r="DF30" s="319"/>
      <c r="DG30" s="319"/>
      <c r="DH30" s="319"/>
      <c r="DI30" s="320"/>
      <c r="DJ30" s="320"/>
      <c r="DK30" s="320"/>
      <c r="DL30" s="320"/>
      <c r="DM30" s="320"/>
      <c r="DN30" s="320"/>
      <c r="DO30" s="320"/>
      <c r="DP30" s="319"/>
      <c r="DQ30" s="319"/>
      <c r="DR30" s="319"/>
      <c r="DS30" s="319"/>
      <c r="DT30" s="319"/>
      <c r="DU30" s="319"/>
      <c r="DV30" s="319" t="s">
        <v>105</v>
      </c>
      <c r="DW30" s="319" t="str">
        <f>VLOOKUP(1,A31:B34,2,FALSE)</f>
        <v>Romania</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2</v>
      </c>
      <c r="HZ30" s="322">
        <f ca="1">IF(OFFSET('Player Game Board'!Q37,0,HY1)&lt;&gt;"",OFFSET('Player Game Board'!Q37,0,HY1),0)</f>
        <v>3</v>
      </c>
      <c r="IA30" s="319" t="str">
        <f t="shared" si="165"/>
        <v>Italy</v>
      </c>
      <c r="IB30" s="319" t="str">
        <f ca="1">IF(AND(OFFSET('Player Game Board'!P37,0,HY1)&lt;&gt;"",OFFSET('Player Game Board'!Q37,0,HY1)&lt;&gt;""),IF(HY30&gt;HZ30,"W",IF(HY30=HZ30,"D","L")),"")</f>
        <v>L</v>
      </c>
      <c r="IC30" s="319" t="str">
        <f t="shared" ca="1" si="166"/>
        <v>W</v>
      </c>
      <c r="ID30" s="319"/>
      <c r="IE30" s="319"/>
      <c r="IF30" s="319"/>
      <c r="IG30" s="320"/>
      <c r="IH30" s="320"/>
      <c r="II30" s="320"/>
      <c r="IJ30" s="320"/>
      <c r="IK30" s="320"/>
      <c r="IL30" s="320"/>
      <c r="IM30" s="320"/>
      <c r="IN30" s="319"/>
      <c r="IO30" s="319"/>
      <c r="IP30" s="319"/>
      <c r="IQ30" s="319"/>
      <c r="IR30" s="319"/>
      <c r="IS30" s="319"/>
      <c r="IT30" s="319" t="s">
        <v>105</v>
      </c>
      <c r="IU30" s="319" t="str">
        <f ca="1">VLOOKUP(1,DY31:DZ34,2,FALSE)</f>
        <v>Belgium</v>
      </c>
      <c r="IV30" s="325">
        <f t="shared" ca="1" si="5047"/>
        <v>0</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2</v>
      </c>
      <c r="MX30" s="322">
        <f ca="1">IF(OFFSET('Player Game Board'!Q37,0,MW1)&lt;&gt;"",OFFSET('Player Game Board'!Q37,0,MW1),0)</f>
        <v>2</v>
      </c>
      <c r="MY30" s="319" t="str">
        <f t="shared" si="171"/>
        <v>Italy</v>
      </c>
      <c r="MZ30" s="319" t="str">
        <f ca="1">IF(AND(OFFSET('Player Game Board'!P37,0,MW1)&lt;&gt;"",OFFSET('Player Game Board'!Q37,0,MW1)&lt;&gt;""),IF(MW30&gt;MX30,"W",IF(MW30=MX30,"D","L")),"")</f>
        <v>D</v>
      </c>
      <c r="NA30" s="319" t="str">
        <f t="shared" ca="1" si="172"/>
        <v>D</v>
      </c>
      <c r="NB30" s="319"/>
      <c r="NC30" s="319"/>
      <c r="ND30" s="319"/>
      <c r="NE30" s="320"/>
      <c r="NF30" s="320"/>
      <c r="NG30" s="320"/>
      <c r="NH30" s="320"/>
      <c r="NI30" s="320"/>
      <c r="NJ30" s="320"/>
      <c r="NK30" s="320"/>
      <c r="NL30" s="319"/>
      <c r="NM30" s="319"/>
      <c r="NN30" s="319"/>
      <c r="NO30" s="319"/>
      <c r="NP30" s="319"/>
      <c r="NQ30" s="319"/>
      <c r="NR30" s="319" t="s">
        <v>105</v>
      </c>
      <c r="NS30" s="319" t="str">
        <f ca="1">VLOOKUP(1,IW31:IX34,2,FALSE)</f>
        <v>Belgium</v>
      </c>
      <c r="NT30" s="325">
        <f t="shared" ca="1" si="5052"/>
        <v>0</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1</v>
      </c>
      <c r="RV30" s="322">
        <f ca="1">IF(OFFSET('Player Game Board'!Q37,0,RU1)&lt;&gt;"",OFFSET('Player Game Board'!Q37,0,RU1),0)</f>
        <v>2</v>
      </c>
      <c r="RW30" s="319" t="str">
        <f t="shared" si="19"/>
        <v>Italy</v>
      </c>
      <c r="RX30" s="319" t="str">
        <f ca="1">IF(AND(OFFSET('Player Game Board'!P37,0,RU1)&lt;&gt;"",OFFSET('Player Game Board'!Q37,0,RU1)&lt;&gt;""),IF(RU30&gt;RV30,"W",IF(RU30=RV30,"D","L")),"")</f>
        <v>L</v>
      </c>
      <c r="RY30" s="319" t="str">
        <f t="shared" ca="1" si="5500"/>
        <v>W</v>
      </c>
      <c r="RZ30" s="319"/>
      <c r="SA30" s="319"/>
      <c r="SB30" s="319"/>
      <c r="SC30" s="320"/>
      <c r="SD30" s="320"/>
      <c r="SE30" s="320"/>
      <c r="SF30" s="320"/>
      <c r="SG30" s="320"/>
      <c r="SH30" s="320"/>
      <c r="SI30" s="320"/>
      <c r="SJ30" s="319"/>
      <c r="SK30" s="319"/>
      <c r="SL30" s="319"/>
      <c r="SM30" s="319"/>
      <c r="SN30" s="319"/>
      <c r="SO30" s="319"/>
      <c r="SP30" s="319" t="s">
        <v>105</v>
      </c>
      <c r="SQ30" s="319" t="str">
        <f t="shared" ref="SQ30" ca="1" si="9675">VLOOKUP(1,NU31:NV34,2,FALSE)</f>
        <v>Romania</v>
      </c>
      <c r="SR30" s="325">
        <f t="shared" ca="1" si="5095"/>
        <v>1</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1</v>
      </c>
      <c r="WT30" s="322">
        <f ca="1">IF(OFFSET('Player Game Board'!Q37,0,WS1)&lt;&gt;"",OFFSET('Player Game Board'!Q37,0,WS1),0)</f>
        <v>2</v>
      </c>
      <c r="WU30" s="319" t="str">
        <f t="shared" si="35"/>
        <v>Italy</v>
      </c>
      <c r="WV30" s="319" t="str">
        <f ca="1">IF(AND(OFFSET('Player Game Board'!P37,0,WS1)&lt;&gt;"",OFFSET('Player Game Board'!Q37,0,WS1)&lt;&gt;""),IF(WS30&gt;WT30,"W",IF(WS30=WT30,"D","L")),"")</f>
        <v>L</v>
      </c>
      <c r="WW30" s="319" t="str">
        <f t="shared" ca="1" si="5555"/>
        <v>W</v>
      </c>
      <c r="WX30" s="319"/>
      <c r="WY30" s="319"/>
      <c r="WZ30" s="319"/>
      <c r="XA30" s="320"/>
      <c r="XB30" s="320"/>
      <c r="XC30" s="320"/>
      <c r="XD30" s="320"/>
      <c r="XE30" s="320"/>
      <c r="XF30" s="320"/>
      <c r="XG30" s="320"/>
      <c r="XH30" s="319"/>
      <c r="XI30" s="319"/>
      <c r="XJ30" s="319"/>
      <c r="XK30" s="319"/>
      <c r="XL30" s="319"/>
      <c r="XM30" s="319"/>
      <c r="XN30" s="319" t="s">
        <v>105</v>
      </c>
      <c r="XO30" s="319" t="str">
        <f t="shared" ref="XO30" ca="1" si="9677">VLOOKUP(1,SS31:ST34,2,FALSE)</f>
        <v>Belgium</v>
      </c>
      <c r="XP30" s="325">
        <f t="shared" ca="1" si="5138"/>
        <v>0</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1</v>
      </c>
      <c r="ABR30" s="322">
        <f ca="1">IF(OFFSET('Player Game Board'!Q37,0,ABQ1)&lt;&gt;"",OFFSET('Player Game Board'!Q37,0,ABQ1),0)</f>
        <v>1</v>
      </c>
      <c r="ABS30" s="319" t="str">
        <f t="shared" si="51"/>
        <v>Italy</v>
      </c>
      <c r="ABT30" s="319" t="str">
        <f ca="1">IF(AND(OFFSET('Player Game Board'!P37,0,ABQ1)&lt;&gt;"",OFFSET('Player Game Board'!Q37,0,ABQ1)&lt;&gt;""),IF(ABQ30&gt;ABR30,"W",IF(ABQ30=ABR30,"D","L")),"")</f>
        <v>D</v>
      </c>
      <c r="ABU30" s="319" t="str">
        <f t="shared" ca="1" si="5610"/>
        <v>D</v>
      </c>
      <c r="ABV30" s="319"/>
      <c r="ABW30" s="319"/>
      <c r="ABX30" s="319"/>
      <c r="ABY30" s="320"/>
      <c r="ABZ30" s="320"/>
      <c r="ACA30" s="320"/>
      <c r="ACB30" s="320"/>
      <c r="ACC30" s="320"/>
      <c r="ACD30" s="320"/>
      <c r="ACE30" s="320"/>
      <c r="ACF30" s="319"/>
      <c r="ACG30" s="319"/>
      <c r="ACH30" s="319"/>
      <c r="ACI30" s="319"/>
      <c r="ACJ30" s="319"/>
      <c r="ACK30" s="319"/>
      <c r="ACL30" s="319" t="s">
        <v>105</v>
      </c>
      <c r="ACM30" s="319" t="str">
        <f t="shared" ref="ACM30" ca="1" si="9679">VLOOKUP(1,XQ31:XR34,2,FALSE)</f>
        <v>Belgium</v>
      </c>
      <c r="ACN30" s="325">
        <f t="shared" ca="1" si="5181"/>
        <v>0</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1</v>
      </c>
      <c r="AGP30" s="322">
        <f ca="1">IF(OFFSET('Player Game Board'!Q37,0,AGO1)&lt;&gt;"",OFFSET('Player Game Board'!Q37,0,AGO1),0)</f>
        <v>2</v>
      </c>
      <c r="AGQ30" s="319" t="str">
        <f t="shared" si="67"/>
        <v>Italy</v>
      </c>
      <c r="AGR30" s="319" t="str">
        <f ca="1">IF(AND(OFFSET('Player Game Board'!P37,0,AGO1)&lt;&gt;"",OFFSET('Player Game Board'!Q37,0,AGO1)&lt;&gt;""),IF(AGO30&gt;AGP30,"W",IF(AGO30=AGP30,"D","L")),"")</f>
        <v>L</v>
      </c>
      <c r="AGS30" s="319" t="str">
        <f t="shared" ca="1" si="5665"/>
        <v>W</v>
      </c>
      <c r="AGT30" s="319"/>
      <c r="AGU30" s="319"/>
      <c r="AGV30" s="319"/>
      <c r="AGW30" s="320"/>
      <c r="AGX30" s="320"/>
      <c r="AGY30" s="320"/>
      <c r="AGZ30" s="320"/>
      <c r="AHA30" s="320"/>
      <c r="AHB30" s="320"/>
      <c r="AHC30" s="320"/>
      <c r="AHD30" s="319"/>
      <c r="AHE30" s="319"/>
      <c r="AHF30" s="319"/>
      <c r="AHG30" s="319"/>
      <c r="AHH30" s="319"/>
      <c r="AHI30" s="319"/>
      <c r="AHJ30" s="319" t="s">
        <v>105</v>
      </c>
      <c r="AHK30" s="319" t="str">
        <f t="shared" ref="AHK30" ca="1" si="9681">VLOOKUP(1,ACO31:ACP34,2,FALSE)</f>
        <v>Belgium</v>
      </c>
      <c r="AHL30" s="325">
        <f t="shared" ca="1" si="5224"/>
        <v>0</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0</v>
      </c>
      <c r="ALN30" s="322">
        <f ca="1">IF(OFFSET('Player Game Board'!Q37,0,ALM1)&lt;&gt;"",OFFSET('Player Game Board'!Q37,0,ALM1),0)</f>
        <v>0</v>
      </c>
      <c r="ALO30" s="319" t="str">
        <f t="shared" si="83"/>
        <v>Italy</v>
      </c>
      <c r="ALP30" s="319" t="str">
        <f ca="1">IF(AND(OFFSET('Player Game Board'!P37,0,ALM1)&lt;&gt;"",OFFSET('Player Game Board'!Q37,0,ALM1)&lt;&gt;""),IF(ALM30&gt;ALN30,"W",IF(ALM30=ALN30,"D","L")),"")</f>
        <v/>
      </c>
      <c r="ALQ30" s="319" t="str">
        <f t="shared" ca="1" si="5720"/>
        <v/>
      </c>
      <c r="ALR30" s="319"/>
      <c r="ALS30" s="319"/>
      <c r="ALT30" s="319"/>
      <c r="ALU30" s="320"/>
      <c r="ALV30" s="320"/>
      <c r="ALW30" s="320"/>
      <c r="ALX30" s="320"/>
      <c r="ALY30" s="320"/>
      <c r="ALZ30" s="320"/>
      <c r="AMA30" s="320"/>
      <c r="AMB30" s="319"/>
      <c r="AMC30" s="319"/>
      <c r="AMD30" s="319"/>
      <c r="AME30" s="319"/>
      <c r="AMF30" s="319"/>
      <c r="AMG30" s="319"/>
      <c r="AMH30" s="319" t="s">
        <v>105</v>
      </c>
      <c r="AMI30" s="319" t="str">
        <f t="shared" ref="AMI30" ca="1" si="9683">VLOOKUP(1,AHM31:AHN34,2,FALSE)</f>
        <v>Belgium</v>
      </c>
      <c r="AMJ30" s="325">
        <f t="shared" ca="1" si="5267"/>
        <v>0</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0</v>
      </c>
      <c r="AQL30" s="322">
        <f ca="1">IF(OFFSET('Player Game Board'!Q37,0,AQK1)&lt;&gt;"",OFFSET('Player Game Board'!Q37,0,AQK1),0)</f>
        <v>0</v>
      </c>
      <c r="AQM30" s="319" t="str">
        <f t="shared" si="99"/>
        <v>Italy</v>
      </c>
      <c r="AQN30" s="319" t="str">
        <f ca="1">IF(AND(OFFSET('Player Game Board'!P37,0,AQK1)&lt;&gt;"",OFFSET('Player Game Board'!Q37,0,AQK1)&lt;&gt;""),IF(AQK30&gt;AQL30,"W",IF(AQK30=AQL30,"D","L")),"")</f>
        <v/>
      </c>
      <c r="AQO30" s="319" t="str">
        <f t="shared" ca="1" si="5775"/>
        <v/>
      </c>
      <c r="AQP30" s="319"/>
      <c r="AQQ30" s="319"/>
      <c r="AQR30" s="319"/>
      <c r="AQS30" s="320"/>
      <c r="AQT30" s="320"/>
      <c r="AQU30" s="320"/>
      <c r="AQV30" s="320"/>
      <c r="AQW30" s="320"/>
      <c r="AQX30" s="320"/>
      <c r="AQY30" s="320"/>
      <c r="AQZ30" s="319"/>
      <c r="ARA30" s="319"/>
      <c r="ARB30" s="319"/>
      <c r="ARC30" s="319"/>
      <c r="ARD30" s="319"/>
      <c r="ARE30" s="319"/>
      <c r="ARF30" s="319" t="s">
        <v>105</v>
      </c>
      <c r="ARG30" s="319" t="str">
        <f t="shared" ref="ARG30" ca="1" si="9685">VLOOKUP(1,AMK31:AML34,2,FALSE)</f>
        <v>Belgium</v>
      </c>
      <c r="ARH30" s="325">
        <f t="shared" ca="1" si="5310"/>
        <v>0</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0</v>
      </c>
      <c r="AVJ30" s="322">
        <f ca="1">IF(OFFSET('Player Game Board'!Q37,0,AVI1)&lt;&gt;"",OFFSET('Player Game Board'!Q37,0,AVI1),0)</f>
        <v>0</v>
      </c>
      <c r="AVK30" s="319" t="str">
        <f t="shared" si="115"/>
        <v>Italy</v>
      </c>
      <c r="AVL30" s="319" t="str">
        <f ca="1">IF(AND(OFFSET('Player Game Board'!P37,0,AVI1)&lt;&gt;"",OFFSET('Player Game Board'!Q37,0,AVI1)&lt;&gt;""),IF(AVI30&gt;AVJ30,"W",IF(AVI30=AVJ30,"D","L")),"")</f>
        <v/>
      </c>
      <c r="AVM30" s="319" t="str">
        <f t="shared" ca="1" si="5830"/>
        <v/>
      </c>
      <c r="AVN30" s="319"/>
      <c r="AVO30" s="319"/>
      <c r="AVP30" s="319"/>
      <c r="AVQ30" s="320"/>
      <c r="AVR30" s="320"/>
      <c r="AVS30" s="320"/>
      <c r="AVT30" s="320"/>
      <c r="AVU30" s="320"/>
      <c r="AVV30" s="320"/>
      <c r="AVW30" s="320"/>
      <c r="AVX30" s="319"/>
      <c r="AVY30" s="319"/>
      <c r="AVZ30" s="319"/>
      <c r="AWA30" s="319"/>
      <c r="AWB30" s="319"/>
      <c r="AWC30" s="319"/>
      <c r="AWD30" s="319" t="s">
        <v>105</v>
      </c>
      <c r="AWE30" s="319" t="str">
        <f t="shared" ref="AWE30" ca="1" si="9687">VLOOKUP(1,ARI31:ARJ34,2,FALSE)</f>
        <v>Belgium</v>
      </c>
      <c r="AWF30" s="325">
        <f t="shared" ca="1" si="5353"/>
        <v>0</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0</v>
      </c>
      <c r="BAH30" s="322">
        <f ca="1">IF(OFFSET('Player Game Board'!Q37,0,BAG1)&lt;&gt;"",OFFSET('Player Game Board'!Q37,0,BAG1),0)</f>
        <v>0</v>
      </c>
      <c r="BAI30" s="319" t="str">
        <f t="shared" si="131"/>
        <v>Italy</v>
      </c>
      <c r="BAJ30" s="319" t="str">
        <f ca="1">IF(AND(OFFSET('Player Game Board'!P37,0,BAG1)&lt;&gt;"",OFFSET('Player Game Board'!Q37,0,BAG1)&lt;&gt;""),IF(BAG30&gt;BAH30,"W",IF(BAG30=BAH30,"D","L")),"")</f>
        <v/>
      </c>
      <c r="BAK30" s="319" t="str">
        <f t="shared" ca="1" si="5885"/>
        <v/>
      </c>
      <c r="BAL30" s="319"/>
      <c r="BAM30" s="319"/>
      <c r="BAN30" s="319"/>
      <c r="BAO30" s="320"/>
      <c r="BAP30" s="320"/>
      <c r="BAQ30" s="320"/>
      <c r="BAR30" s="320"/>
      <c r="BAS30" s="320"/>
      <c r="BAT30" s="320"/>
      <c r="BAU30" s="320"/>
      <c r="BAV30" s="319"/>
      <c r="BAW30" s="319"/>
      <c r="BAX30" s="319"/>
      <c r="BAY30" s="319"/>
      <c r="BAZ30" s="319"/>
      <c r="BBA30" s="319"/>
      <c r="BBB30" s="319" t="s">
        <v>105</v>
      </c>
      <c r="BBC30" s="319" t="str">
        <f t="shared" ref="BBC30" ca="1" si="9689">VLOOKUP(1,AWG31:AWH34,2,FALSE)</f>
        <v>Belgium</v>
      </c>
      <c r="BBD30" s="325">
        <f t="shared" ca="1" si="5396"/>
        <v>0</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105</v>
      </c>
      <c r="BGA30" s="319" t="str">
        <f t="shared" ref="BGA30" ca="1" si="9691">VLOOKUP(1,BBE31:BBF34,2,FALSE)</f>
        <v>Belgium</v>
      </c>
      <c r="BGB30" s="325">
        <f t="shared" ca="1" si="5439"/>
        <v>0</v>
      </c>
    </row>
    <row r="31" spans="1:1536" ht="13.8" x14ac:dyDescent="0.3">
      <c r="A31" s="319">
        <f>VLOOKUP(B31,CW31:CX35,2,FALSE)</f>
        <v>3</v>
      </c>
      <c r="B31" s="319" t="str">
        <f>'Language Table'!C8</f>
        <v>Belgium</v>
      </c>
      <c r="C31" s="319">
        <f>SUMPRODUCT((CZ3:CZ42=B31)*(DD3:DD42="W"))+SUMPRODUCT((DC3:DC42=B31)*(DE3:DE42="W"))</f>
        <v>0</v>
      </c>
      <c r="D31" s="319">
        <f>SUMPRODUCT((CZ3:CZ42=B31)*(DD3:DD42="D"))+SUMPRODUCT((DC3:DC42=B31)*(DE3:DE42="D"))</f>
        <v>0</v>
      </c>
      <c r="E31" s="319">
        <f>SUMPRODUCT((CZ3:CZ42=B31)*(DD3:DD42="L"))+SUMPRODUCT((DC3:DC42=B31)*(DE3:DE42="L"))</f>
        <v>1</v>
      </c>
      <c r="F31" s="319">
        <f>SUMIF(CZ3:CZ60,B31,DA3:DA60)+SUMIF(DC3:DC60,B31,DB3:DB60)</f>
        <v>0</v>
      </c>
      <c r="G31" s="319">
        <f>SUMIF(DC3:DC60,B31,DA3:DA60)+SUMIF(CZ3:CZ60,B31,DB3:DB60)</f>
        <v>1</v>
      </c>
      <c r="H31" s="319">
        <f t="shared" ref="H31:H34" si="9692">F31-G31+1000</f>
        <v>999</v>
      </c>
      <c r="I31" s="319">
        <f t="shared" ref="I31:I34" si="9693">C31*3+D31*1</f>
        <v>0</v>
      </c>
      <c r="J31" s="319">
        <v>50</v>
      </c>
      <c r="K31" s="319">
        <f>IF(COUNTIF(I31:I35,4)&lt;&gt;4,RANK(I31,I31:I35),I71)</f>
        <v>3</v>
      </c>
      <c r="L31" s="319"/>
      <c r="M31" s="319">
        <f>SUMPRODUCT((K31:K34=K31)*(J31:J34&lt;J31))+K31</f>
        <v>4</v>
      </c>
      <c r="N31" s="319" t="str">
        <f>INDEX(B31:B35,MATCH(1,M31:M35,0),0)</f>
        <v>Slovakia</v>
      </c>
      <c r="O31" s="319">
        <f>INDEX(K31:K35,MATCH(N31,B31:B35,0),0)</f>
        <v>1</v>
      </c>
      <c r="P31" s="319" t="str">
        <f>IF(O32=1,N31,"")</f>
        <v>Slovakia</v>
      </c>
      <c r="Q31" s="319" t="str">
        <f>IF(O33=2,N32,"")</f>
        <v/>
      </c>
      <c r="R31" s="319" t="str">
        <f>IF(O34=3,N33,"")</f>
        <v>Ukraine</v>
      </c>
      <c r="S31" s="319" t="str">
        <f>IF(O35=4,N34,"")</f>
        <v/>
      </c>
      <c r="T31" s="319"/>
      <c r="U31" s="319" t="str">
        <f>IF(P31&lt;&gt;"",P31,"")</f>
        <v>Slovakia</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0</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0</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0</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0</v>
      </c>
      <c r="AA31" s="319">
        <f>Y31-Z31+1000</f>
        <v>1000</v>
      </c>
      <c r="AB31" s="319">
        <f t="shared" ref="AB31:AB34" si="9694">IF(U31&lt;&gt;"",V31*3+W31*1,"")</f>
        <v>0</v>
      </c>
      <c r="AC31" s="319">
        <f>IF(U31&lt;&gt;"",VLOOKUP(U31,B4:H40,7,FALSE),"")</f>
        <v>1001</v>
      </c>
      <c r="AD31" s="319">
        <f>IF(U31&lt;&gt;"",VLOOKUP(U31,B4:H40,5,FALSE),"")</f>
        <v>1</v>
      </c>
      <c r="AE31" s="319">
        <f>IF(U31&lt;&gt;"",VLOOKUP(U31,B4:J40,9,FALSE),"")</f>
        <v>38</v>
      </c>
      <c r="AF31" s="319">
        <f t="shared" ref="AF31:AF34" si="9695">AB31</f>
        <v>0</v>
      </c>
      <c r="AG31" s="319">
        <f>IF(U31&lt;&gt;"",RANK(AF31,AF31:AF35),"")</f>
        <v>1</v>
      </c>
      <c r="AH31" s="319">
        <f>IF(U31&lt;&gt;"",SUMPRODUCT((AF31:AF35=AF31)*(AA31:AA35&gt;AA31)),"")</f>
        <v>0</v>
      </c>
      <c r="AI31" s="319">
        <f>IF(U31&lt;&gt;"",SUMPRODUCT((AF31:AF35=AF31)*(AA31:AA35=AA31)*(Y31:Y35&gt;Y31)),"")</f>
        <v>0</v>
      </c>
      <c r="AJ31" s="319">
        <f>IF(U31&lt;&gt;"",SUMPRODUCT((AF31:AF35=AF31)*(AA31:AA35=AA31)*(Y31:Y35=Y31)*(AC31:AC35&gt;AC31)),"")</f>
        <v>1</v>
      </c>
      <c r="AK31" s="319">
        <f>IF(U31&lt;&gt;"",SUMPRODUCT((AF31:AF35=AF31)*(AA31:AA35=AA31)*(Y31:Y35=Y31)*(AC31:AC35=AC31)*(AD31:AD35&gt;AD31)),"")</f>
        <v>0</v>
      </c>
      <c r="AL31" s="319">
        <f>IF(U31&lt;&gt;"",SUMPRODUCT((AF31:AF35=AF31)*(AA31:AA35=AA31)*(Y31:Y35=Y31)*(AC31:AC35=AC31)*(AD31:AD35=AD31)*(AE31:AE35&gt;AE31)),"")</f>
        <v>0</v>
      </c>
      <c r="AM31" s="319">
        <f>IF(U31&lt;&gt;"",IF(AM71&lt;&gt;"",IF(T70=3,AM71,AM71+T70),SUM(AG31:AL31)),"")</f>
        <v>2</v>
      </c>
      <c r="AN31" s="319" t="str">
        <f>IF(U31&lt;&gt;"",INDEX(U31:U35,MATCH(1,AM31:AM35,0),0),"")</f>
        <v>Romania</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Romania</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
      </c>
      <c r="DE31" s="319" t="str">
        <f t="shared" si="162"/>
        <v/>
      </c>
      <c r="DF31" s="319"/>
      <c r="DG31" s="319"/>
      <c r="DH31" s="319"/>
      <c r="DI31" s="320"/>
      <c r="DJ31" s="320"/>
      <c r="DK31" s="320"/>
      <c r="DL31" s="320"/>
      <c r="DM31" s="320"/>
      <c r="DN31" s="320"/>
      <c r="DO31" s="320"/>
      <c r="DP31" s="319"/>
      <c r="DQ31" s="319"/>
      <c r="DR31" s="319"/>
      <c r="DS31" s="319"/>
      <c r="DT31" s="319"/>
      <c r="DU31" s="319"/>
      <c r="DV31" s="319"/>
      <c r="DW31" s="319" t="str">
        <f>VLOOKUP(2,A31:B34,2,FALSE)</f>
        <v>Slovakia</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10</v>
      </c>
      <c r="EE31" s="319">
        <f ca="1">SUMIF(IA3:IA60,DZ31,HY3:HY60)+SUMIF(HX3:HX60,DZ31,HZ3:HZ60)</f>
        <v>2</v>
      </c>
      <c r="EF31" s="319">
        <f t="shared" ref="EF31:EF34" ca="1" si="9696">ED31-EE31+1000</f>
        <v>1008</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Ukraine</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3</v>
      </c>
      <c r="HZ31" s="322">
        <f ca="1">IF(OFFSET('Player Game Board'!Q38,0,HY1)&lt;&gt;"",OFFSET('Player Game Board'!Q38,0,HY1),0)</f>
        <v>0</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Slovakia</v>
      </c>
      <c r="IV31" s="325">
        <f t="shared" ca="1" si="5047"/>
        <v>1</v>
      </c>
      <c r="IW31" s="319">
        <f ca="1">VLOOKUP(IX31,MS31:MT35,2,FALSE)</f>
        <v>1</v>
      </c>
      <c r="IX31" s="319" t="str">
        <f>DZ31</f>
        <v>Belgium</v>
      </c>
      <c r="IY31" s="319">
        <f ca="1">SUMPRODUCT((MV3:MV42=IX31)*(MZ3:MZ42="W"))+SUMPRODUCT((MY3:MY42=IX31)*(NA3:NA42="W"))</f>
        <v>2</v>
      </c>
      <c r="IZ31" s="319">
        <f ca="1">SUMPRODUCT((MV3:MV42=IX31)*(MZ3:MZ42="D"))+SUMPRODUCT((MY3:MY42=IX31)*(NA3:NA42="D"))</f>
        <v>1</v>
      </c>
      <c r="JA31" s="319">
        <f ca="1">SUMPRODUCT((MV3:MV42=IX31)*(MZ3:MZ42="L"))+SUMPRODUCT((MY3:MY42=IX31)*(NA3:NA42="L"))</f>
        <v>0</v>
      </c>
      <c r="JB31" s="319">
        <f ca="1">SUMIF(MV3:MV60,IX31,MW3:MW60)+SUMIF(MY3:MY60,IX31,MX3:MX60)</f>
        <v>5</v>
      </c>
      <c r="JC31" s="319">
        <f ca="1">SUMIF(MY3:MY60,IX31,MW3:MW60)+SUMIF(MV3:MV60,IX31,MX3:MX60)</f>
        <v>3</v>
      </c>
      <c r="JD31" s="319">
        <f t="shared" ref="JD31:JD34" ca="1" si="9700">JB31-JC31+1000</f>
        <v>1002</v>
      </c>
      <c r="JE31" s="319">
        <f t="shared" ref="JE31:JE34" ca="1" si="9701">IY31*3+IZ31*1</f>
        <v>7</v>
      </c>
      <c r="JF31" s="319">
        <f t="shared" si="618"/>
        <v>50</v>
      </c>
      <c r="JG31" s="319">
        <f ca="1">IF(COUNTIF(JE31:JE35,4)&lt;&gt;4,RANK(JE31,JE31:JE35),JE71)</f>
        <v>1</v>
      </c>
      <c r="JH31" s="319"/>
      <c r="JI31" s="319">
        <f ca="1">SUMPRODUCT((JG31:JG34=JG31)*(JF31:JF34&lt;JF31))+JG31</f>
        <v>1</v>
      </c>
      <c r="JJ31" s="319" t="str">
        <f ca="1">INDEX(IX31:IX35,MATCH(1,JI31:JI35,0),0)</f>
        <v>Belgium</v>
      </c>
      <c r="JK31" s="319">
        <f ca="1">INDEX(JG31:JG35,MATCH(JJ31,IX31:IX35,0),0)</f>
        <v>1</v>
      </c>
      <c r="JL31" s="319" t="str">
        <f ca="1">IF(JK32=1,JJ31,"")</f>
        <v/>
      </c>
      <c r="JM31" s="319" t="str">
        <f ca="1">IF(JK33=2,JJ32,"")</f>
        <v/>
      </c>
      <c r="JN31" s="319" t="str">
        <f ca="1">IF(JK34=3,JJ33,"")</f>
        <v>Slovakia</v>
      </c>
      <c r="JO31" s="319" t="str">
        <f>IF(JK35=4,JJ34,"")</f>
        <v/>
      </c>
      <c r="JP31" s="319"/>
      <c r="JQ31" s="319" t="str">
        <f ca="1">IF(JL31&lt;&gt;"",JL31,"")</f>
        <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19">
        <f ca="1">JU31-JV31+1000</f>
        <v>1000</v>
      </c>
      <c r="JX31" s="319" t="str">
        <f t="shared" ref="JX31:JX34" ca="1" si="9702">IF(JQ31&lt;&gt;"",JR31*3+JS31*1,"")</f>
        <v/>
      </c>
      <c r="JY31" s="319" t="str">
        <f ca="1">IF(JQ31&lt;&gt;"",VLOOKUP(JQ31,IX4:JD40,7,FALSE),"")</f>
        <v/>
      </c>
      <c r="JZ31" s="319" t="str">
        <f ca="1">IF(JQ31&lt;&gt;"",VLOOKUP(JQ31,IX4:JD40,5,FALSE),"")</f>
        <v/>
      </c>
      <c r="KA31" s="319" t="str">
        <f ca="1">IF(JQ31&lt;&gt;"",VLOOKUP(JQ31,IX4:JF40,9,FALSE),"")</f>
        <v/>
      </c>
      <c r="KB31" s="319" t="str">
        <f t="shared" ref="KB31:KB34" ca="1" si="9703">JX31</f>
        <v/>
      </c>
      <c r="KC31" s="319" t="str">
        <f ca="1">IF(JQ31&lt;&gt;"",RANK(KB31,KB31:KB35),"")</f>
        <v/>
      </c>
      <c r="KD31" s="319" t="str">
        <f ca="1">IF(JQ31&lt;&gt;"",SUMPRODUCT((KB31:KB35=KB31)*(JW31:JW35&gt;JW31)),"")</f>
        <v/>
      </c>
      <c r="KE31" s="319" t="str">
        <f ca="1">IF(JQ31&lt;&gt;"",SUMPRODUCT((KB31:KB35=KB31)*(JW31:JW35=JW31)*(JU31:JU35&gt;JU31)),"")</f>
        <v/>
      </c>
      <c r="KF31" s="319" t="str">
        <f ca="1">IF(JQ31&lt;&gt;"",SUMPRODUCT((KB31:KB35=KB31)*(JW31:JW35=JW31)*(JU31:JU35=JU31)*(JY31:JY35&gt;JY31)),"")</f>
        <v/>
      </c>
      <c r="KG31" s="319" t="str">
        <f ca="1">IF(JQ31&lt;&gt;"",SUMPRODUCT((KB31:KB35=KB31)*(JW31:JW35=JW31)*(JU31:JU35=JU31)*(JY31:JY35=JY31)*(JZ31:JZ35&gt;JZ31)),"")</f>
        <v/>
      </c>
      <c r="KH31" s="319" t="str">
        <f ca="1">IF(JQ31&lt;&gt;"",SUMPRODUCT((KB31:KB35=KB31)*(JW31:JW35=JW31)*(JU31:JU35=JU31)*(JY31:JY35=JY31)*(JZ31:JZ35=JZ31)*(KA31:KA35&gt;KA31)),"")</f>
        <v/>
      </c>
      <c r="KI31" s="319" t="str">
        <f ca="1">IF(JQ31&lt;&gt;"",IF(KI71&lt;&gt;"",IF(JP70=3,KI71,KI71+JP70),SUM(KC31:KH31)),"")</f>
        <v/>
      </c>
      <c r="KJ31" s="319" t="str">
        <f ca="1">IF(JQ31&lt;&gt;"",INDEX(JQ31:JQ35,MATCH(1,KI31:KI35,0),0),"")</f>
        <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1</v>
      </c>
      <c r="MX31" s="322">
        <f ca="1">IF(OFFSET('Player Game Board'!Q38,0,MW1)&lt;&gt;"",OFFSET('Player Game Board'!Q38,0,MW1),0)</f>
        <v>0</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0</v>
      </c>
      <c r="NU31" s="319">
        <f t="shared" ref="NU31" ca="1" si="9704">VLOOKUP(NV31,RQ31:RR35,2,FALSE)</f>
        <v>3</v>
      </c>
      <c r="NV31" s="319" t="str">
        <f t="shared" ref="NV31:NV34" si="9705">IX31</f>
        <v>Belgium</v>
      </c>
      <c r="NW31" s="319">
        <f t="shared" ref="NW31" ca="1" si="9706">SUMPRODUCT((RT3:RT42=NV31)*(RX3:RX42="W"))+SUMPRODUCT((RW3:RW42=NV31)*(RY3:RY42="W"))</f>
        <v>0</v>
      </c>
      <c r="NX31" s="319">
        <f t="shared" ref="NX31" ca="1" si="9707">SUMPRODUCT((RT3:RT42=NV31)*(RX3:RX42="D"))+SUMPRODUCT((RW3:RW42=NV31)*(RY3:RY42="D"))</f>
        <v>2</v>
      </c>
      <c r="NY31" s="319">
        <f t="shared" ref="NY31" ca="1" si="9708">SUMPRODUCT((RT3:RT42=NV31)*(RX3:RX42="L"))+SUMPRODUCT((RW3:RW42=NV31)*(RY3:RY42="L"))</f>
        <v>1</v>
      </c>
      <c r="NZ31" s="319">
        <f t="shared" ref="NZ31" ca="1" si="9709">SUMIF(RT3:RT60,NV31,RU3:RU60)+SUMIF(RW3:RW60,NV31,RV3:RV60)</f>
        <v>0</v>
      </c>
      <c r="OA31" s="319">
        <f t="shared" ref="OA31" ca="1" si="9710">SUMIF(RW3:RW60,NV31,RU3:RU60)+SUMIF(RT3:RT60,NV31,RV3:RV60)</f>
        <v>1</v>
      </c>
      <c r="OB31" s="319">
        <f t="shared" ref="OB31:OB34" ca="1" si="9711">NZ31-OA31+1000</f>
        <v>999</v>
      </c>
      <c r="OC31" s="319">
        <f t="shared" ref="OC31:OC34" ca="1" si="9712">NW31*3+NX31*1</f>
        <v>2</v>
      </c>
      <c r="OD31" s="319">
        <f t="shared" si="630"/>
        <v>50</v>
      </c>
      <c r="OE31" s="319">
        <f t="shared" ref="OE31" ca="1" si="9713">IF(COUNTIF(OC31:OC35,4)&lt;&gt;4,RANK(OC31,OC31:OC35),OC71)</f>
        <v>3</v>
      </c>
      <c r="OF31" s="319"/>
      <c r="OG31" s="319">
        <f t="shared" ref="OG31" ca="1" si="9714">SUMPRODUCT((OE31:OE34=OE31)*(OD31:OD34&lt;OD31))+OE31</f>
        <v>3</v>
      </c>
      <c r="OH31" s="319" t="str">
        <f t="shared" ref="OH31" ca="1" si="9715">INDEX(NV31:NV35,MATCH(1,OG31:OG35,0),0)</f>
        <v>Romania</v>
      </c>
      <c r="OI31" s="319">
        <f t="shared" ref="OI31" ca="1" si="9716">INDEX(OE31:OE35,MATCH(OH31,NV31:NV35,0),0)</f>
        <v>1</v>
      </c>
      <c r="OJ31" s="319" t="str">
        <f t="shared" ref="OJ31" ca="1" si="9717">IF(OI32=1,OH31,"")</f>
        <v/>
      </c>
      <c r="OK31" s="319" t="str">
        <f t="shared" ref="OK31" ca="1" si="9718">IF(OI33=2,OH32,"")</f>
        <v/>
      </c>
      <c r="OL31" s="319" t="str">
        <f t="shared" ref="OL31" ca="1" si="9719">IF(OI34=3,OH33,"")</f>
        <v/>
      </c>
      <c r="OM31" s="319" t="str">
        <f t="shared" ref="OM31" si="9720">IF(OI35=4,OH34,"")</f>
        <v/>
      </c>
      <c r="ON31" s="319"/>
      <c r="OO31" s="319" t="str">
        <f t="shared" ref="OO31:OO34" ca="1" si="9721">IF(OJ31&lt;&gt;"",OJ31,"")</f>
        <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t="str">
        <f t="shared" ref="OV31:OV34" ca="1" si="9728">IF(OO31&lt;&gt;"",OP31*3+OQ31*1,"")</f>
        <v/>
      </c>
      <c r="OW31" s="319" t="str">
        <f t="shared" ref="OW31" ca="1" si="9729">IF(OO31&lt;&gt;"",VLOOKUP(OO31,NV4:OB40,7,FALSE),"")</f>
        <v/>
      </c>
      <c r="OX31" s="319" t="str">
        <f t="shared" ref="OX31" ca="1" si="9730">IF(OO31&lt;&gt;"",VLOOKUP(OO31,NV4:OB40,5,FALSE),"")</f>
        <v/>
      </c>
      <c r="OY31" s="319" t="str">
        <f t="shared" ref="OY31" ca="1" si="9731">IF(OO31&lt;&gt;"",VLOOKUP(OO31,NV4:OD40,9,FALSE),"")</f>
        <v/>
      </c>
      <c r="OZ31" s="319" t="str">
        <f t="shared" ref="OZ31:OZ34" ca="1" si="9732">OV31</f>
        <v/>
      </c>
      <c r="PA31" s="319" t="str">
        <f t="shared" ref="PA31" ca="1" si="9733">IF(OO31&lt;&gt;"",RANK(OZ31,OZ31:OZ35),"")</f>
        <v/>
      </c>
      <c r="PB31" s="319" t="str">
        <f t="shared" ref="PB31" ca="1" si="9734">IF(OO31&lt;&gt;"",SUMPRODUCT((OZ31:OZ35=OZ31)*(OU31:OU35&gt;OU31)),"")</f>
        <v/>
      </c>
      <c r="PC31" s="319" t="str">
        <f t="shared" ref="PC31" ca="1" si="9735">IF(OO31&lt;&gt;"",SUMPRODUCT((OZ31:OZ35=OZ31)*(OU31:OU35=OU31)*(OS31:OS35&gt;OS31)),"")</f>
        <v/>
      </c>
      <c r="PD31" s="319" t="str">
        <f t="shared" ref="PD31" ca="1" si="9736">IF(OO31&lt;&gt;"",SUMPRODUCT((OZ31:OZ35=OZ31)*(OU31:OU35=OU31)*(OS31:OS35=OS31)*(OW31:OW35&gt;OW31)),"")</f>
        <v/>
      </c>
      <c r="PE31" s="319" t="str">
        <f t="shared" ref="PE31" ca="1" si="9737">IF(OO31&lt;&gt;"",SUMPRODUCT((OZ31:OZ35=OZ31)*(OU31:OU35=OU31)*(OS31:OS35=OS31)*(OW31:OW35=OW31)*(OX31:OX35&gt;OX31)),"")</f>
        <v/>
      </c>
      <c r="PF31" s="319" t="str">
        <f t="shared" ref="PF31" ca="1" si="9738">IF(OO31&lt;&gt;"",SUMPRODUCT((OZ31:OZ35=OZ31)*(OU31:OU35=OU31)*(OS31:OS35=OS31)*(OW31:OW35=OW31)*(OX31:OX35=OX31)*(OY31:OY35&gt;OY31)),"")</f>
        <v/>
      </c>
      <c r="PG31" s="319" t="str">
        <f ca="1">IF(OO31&lt;&gt;"",IF(PG71&lt;&gt;"",IF(ON70=3,PG71,PG71+ON70),SUM(PA31:PF31)),"")</f>
        <v/>
      </c>
      <c r="PH31" s="319" t="str">
        <f t="shared" ref="PH31" ca="1" si="9739">IF(OO31&lt;&gt;"",INDEX(OO31:OO35,MATCH(1,PG31:PG35,0),0),"")</f>
        <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Romania</v>
      </c>
      <c r="RR31" s="319">
        <v>1</v>
      </c>
      <c r="RS31" s="319">
        <v>29</v>
      </c>
      <c r="RT31" s="319" t="str">
        <f t="shared" si="18"/>
        <v>England</v>
      </c>
      <c r="RU31" s="322">
        <f ca="1">IF(OFFSET('Player Game Board'!P38,0,RU1)&lt;&gt;"",OFFSET('Player Game Board'!P38,0,RU1),0)</f>
        <v>2</v>
      </c>
      <c r="RV31" s="322">
        <f ca="1">IF(OFFSET('Player Game Board'!Q38,0,RU1)&lt;&gt;"",OFFSET('Player Game Board'!Q38,0,RU1),0)</f>
        <v>1</v>
      </c>
      <c r="RW31" s="319" t="str">
        <f t="shared" si="19"/>
        <v>Slovenia</v>
      </c>
      <c r="RX31" s="319" t="str">
        <f ca="1">IF(AND(OFFSET('Player Game Board'!P38,0,RU1)&lt;&gt;"",OFFSET('Player Game Board'!Q38,0,RU1)&lt;&gt;""),IF(RU31&gt;RV31,"W",IF(RU31=RV31,"D","L")),"")</f>
        <v>W</v>
      </c>
      <c r="RY31" s="319" t="str">
        <f t="shared" ca="1" si="5500"/>
        <v>L</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Ukraine</v>
      </c>
      <c r="SR31" s="325">
        <f t="shared" ca="1" si="5095"/>
        <v>0</v>
      </c>
      <c r="SS31" s="319">
        <f t="shared" ref="SS31" ca="1" si="9742">VLOOKUP(ST31,WO31:WP35,2,FALSE)</f>
        <v>1</v>
      </c>
      <c r="ST31" s="319" t="str">
        <f t="shared" ref="ST31:ST34" si="9743">NV31</f>
        <v>Belgium</v>
      </c>
      <c r="SU31" s="319">
        <f t="shared" ref="SU31" ca="1" si="9744">SUMPRODUCT((WR3:WR42=ST31)*(WV3:WV42="W"))+SUMPRODUCT((WU3:WU42=ST31)*(WW3:WW42="W"))</f>
        <v>3</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8</v>
      </c>
      <c r="SY31" s="319">
        <f t="shared" ref="SY31" ca="1" si="9748">SUMIF(WU3:WU60,ST31,WS3:WS60)+SUMIF(WR3:WR60,ST31,WT3:WT60)</f>
        <v>2</v>
      </c>
      <c r="SZ31" s="319">
        <f t="shared" ref="SZ31:SZ34" ca="1" si="9749">SX31-SY31+1000</f>
        <v>1006</v>
      </c>
      <c r="TA31" s="319">
        <f t="shared" ref="TA31:TA34" ca="1" si="9750">SU31*3+SV31*1</f>
        <v>9</v>
      </c>
      <c r="TB31" s="319">
        <f t="shared" si="690"/>
        <v>50</v>
      </c>
      <c r="TC31" s="319">
        <f t="shared" ref="TC31" ca="1" si="9751">IF(COUNTIF(TA31:TA35,4)&lt;&gt;4,RANK(TA31,TA31:TA35),TA71)</f>
        <v>1</v>
      </c>
      <c r="TD31" s="319"/>
      <c r="TE31" s="319">
        <f t="shared" ref="TE31" ca="1" si="9752">SUMPRODUCT((TC31:TC34=TC31)*(TB31:TB34&lt;TB31))+TC31</f>
        <v>1</v>
      </c>
      <c r="TF31" s="319" t="str">
        <f t="shared" ref="TF31" ca="1" si="9753">INDEX(ST31:ST35,MATCH(1,TE31:TE35,0),0)</f>
        <v>Belgium</v>
      </c>
      <c r="TG31" s="319">
        <f t="shared" ref="TG31" ca="1" si="9754">INDEX(TC31:TC35,MATCH(TF31,ST31:ST35,0),0)</f>
        <v>1</v>
      </c>
      <c r="TH31" s="319" t="str">
        <f t="shared" ref="TH31" ca="1" si="9755">IF(TG32=1,TF31,"")</f>
        <v/>
      </c>
      <c r="TI31" s="319" t="str">
        <f t="shared" ref="TI31" ca="1" si="9756">IF(TG33=2,TF32,"")</f>
        <v>Ukraine</v>
      </c>
      <c r="TJ31" s="319" t="str">
        <f t="shared" ref="TJ31" ca="1" si="9757">IF(TG34=3,TF33,"")</f>
        <v/>
      </c>
      <c r="TK31" s="319" t="str">
        <f t="shared" ref="TK31" si="9758">IF(TG35=4,TF34,"")</f>
        <v/>
      </c>
      <c r="TL31" s="319"/>
      <c r="TM31" s="319" t="str">
        <f t="shared" ref="TM31:TM34" ca="1" si="9759">IF(TH31&lt;&gt;"",TH31,"")</f>
        <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t="str">
        <f t="shared" ref="TT31:TT34" ca="1" si="9766">IF(TM31&lt;&gt;"",TN31*3+TO31*1,"")</f>
        <v/>
      </c>
      <c r="TU31" s="319" t="str">
        <f t="shared" ref="TU31" ca="1" si="9767">IF(TM31&lt;&gt;"",VLOOKUP(TM31,ST4:SZ40,7,FALSE),"")</f>
        <v/>
      </c>
      <c r="TV31" s="319" t="str">
        <f t="shared" ref="TV31" ca="1" si="9768">IF(TM31&lt;&gt;"",VLOOKUP(TM31,ST4:SZ40,5,FALSE),"")</f>
        <v/>
      </c>
      <c r="TW31" s="319" t="str">
        <f t="shared" ref="TW31" ca="1" si="9769">IF(TM31&lt;&gt;"",VLOOKUP(TM31,ST4:TB40,9,FALSE),"")</f>
        <v/>
      </c>
      <c r="TX31" s="319" t="str">
        <f t="shared" ref="TX31:TX34" ca="1" si="9770">TT31</f>
        <v/>
      </c>
      <c r="TY31" s="319" t="str">
        <f t="shared" ref="TY31" ca="1" si="9771">IF(TM31&lt;&gt;"",RANK(TX31,TX31:TX35),"")</f>
        <v/>
      </c>
      <c r="TZ31" s="319" t="str">
        <f t="shared" ref="TZ31" ca="1" si="9772">IF(TM31&lt;&gt;"",SUMPRODUCT((TX31:TX35=TX31)*(TS31:TS35&gt;TS31)),"")</f>
        <v/>
      </c>
      <c r="UA31" s="319" t="str">
        <f t="shared" ref="UA31" ca="1" si="9773">IF(TM31&lt;&gt;"",SUMPRODUCT((TX31:TX35=TX31)*(TS31:TS35=TS31)*(TQ31:TQ35&gt;TQ31)),"")</f>
        <v/>
      </c>
      <c r="UB31" s="319" t="str">
        <f t="shared" ref="UB31" ca="1" si="9774">IF(TM31&lt;&gt;"",SUMPRODUCT((TX31:TX35=TX31)*(TS31:TS35=TS31)*(TQ31:TQ35=TQ31)*(TU31:TU35&gt;TU31)),"")</f>
        <v/>
      </c>
      <c r="UC31" s="319" t="str">
        <f t="shared" ref="UC31" ca="1" si="9775">IF(TM31&lt;&gt;"",SUMPRODUCT((TX31:TX35=TX31)*(TS31:TS35=TS31)*(TQ31:TQ35=TQ31)*(TU31:TU35=TU31)*(TV31:TV35&gt;TV31)),"")</f>
        <v/>
      </c>
      <c r="UD31" s="319" t="str">
        <f t="shared" ref="UD31" ca="1" si="9776">IF(TM31&lt;&gt;"",SUMPRODUCT((TX31:TX35=TX31)*(TS31:TS35=TS31)*(TQ31:TQ35=TQ31)*(TU31:TU35=TU31)*(TV31:TV35=TV31)*(TW31:TW35&gt;TW31)),"")</f>
        <v/>
      </c>
      <c r="UE31" s="319" t="str">
        <f ca="1">IF(TM31&lt;&gt;"",IF(UE71&lt;&gt;"",IF(TL70=3,UE71,UE71+TL70),SUM(TY31:UD31)),"")</f>
        <v/>
      </c>
      <c r="UF31" s="319" t="str">
        <f t="shared" ref="UF31" ca="1" si="9777">IF(TM31&lt;&gt;"",INDEX(TM31:TM35,MATCH(1,UE31:UE35,0),0),"")</f>
        <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3</v>
      </c>
      <c r="WT31" s="322">
        <f ca="1">IF(OFFSET('Player Game Board'!Q38,0,WS1)&lt;&gt;"",OFFSET('Player Game Board'!Q38,0,WS1),0)</f>
        <v>1</v>
      </c>
      <c r="WU31" s="319" t="str">
        <f t="shared" si="35"/>
        <v>Slovenia</v>
      </c>
      <c r="WV31" s="319" t="str">
        <f ca="1">IF(AND(OFFSET('Player Game Board'!P38,0,WS1)&lt;&gt;"",OFFSET('Player Game Board'!Q38,0,WS1)&lt;&gt;""),IF(WS31&gt;WT31,"W",IF(WS31=WT31,"D","L")),"")</f>
        <v>W</v>
      </c>
      <c r="WW31" s="319" t="str">
        <f t="shared" ca="1" si="5555"/>
        <v>L</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Romania</v>
      </c>
      <c r="XP31" s="325">
        <f t="shared" ca="1" si="5138"/>
        <v>1</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9</v>
      </c>
      <c r="XW31" s="319">
        <f t="shared" ref="XW31" ca="1" si="9786">SUMIF(ABS3:ABS60,XR31,ABQ3:ABQ60)+SUMIF(ABP3:ABP60,XR31,ABR3:ABR60)</f>
        <v>2</v>
      </c>
      <c r="XX31" s="319">
        <f t="shared" ref="XX31:XX34" ca="1" si="9787">XV31-XW31+1000</f>
        <v>1007</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2</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0</v>
      </c>
      <c r="ACO31" s="319">
        <f t="shared" ref="ACO31" ca="1" si="9818">VLOOKUP(ACP31,AGK31:AGL35,2,FALSE)</f>
        <v>1</v>
      </c>
      <c r="ACP31" s="319" t="str">
        <f t="shared" ref="ACP31:ACP34" si="9819">XR31</f>
        <v>Belgium</v>
      </c>
      <c r="ACQ31" s="319">
        <f t="shared" ref="ACQ31" ca="1" si="9820">SUMPRODUCT((AGN3:AGN42=ACP31)*(AGR3:AGR42="W"))+SUMPRODUCT((AGQ3:AGQ42=ACP31)*(AGS3:AGS42="W"))</f>
        <v>3</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8</v>
      </c>
      <c r="ACU31" s="319">
        <f t="shared" ref="ACU31" ca="1" si="9824">SUMIF(AGQ3:AGQ60,ACP31,AGO3:AGO60)+SUMIF(AGN3:AGN60,ACP31,AGP3:AGP60)</f>
        <v>2</v>
      </c>
      <c r="ACV31" s="319">
        <f t="shared" ref="ACV31:ACV34" ca="1" si="9825">ACT31-ACU31+1000</f>
        <v>1006</v>
      </c>
      <c r="ACW31" s="319">
        <f t="shared" ref="ACW31:ACW34" ca="1" si="9826">ACQ31*3+ACR31*1</f>
        <v>9</v>
      </c>
      <c r="ACX31" s="319">
        <f t="shared" si="810"/>
        <v>50</v>
      </c>
      <c r="ACY31" s="319">
        <f t="shared" ref="ACY31" ca="1" si="9827">IF(COUNTIF(ACW31:ACW35,4)&lt;&gt;4,RANK(ACW31,ACW31:ACW35),ACW71)</f>
        <v>1</v>
      </c>
      <c r="ACZ31" s="319"/>
      <c r="ADA31" s="319">
        <f t="shared" ref="ADA31" ca="1" si="9828">SUMPRODUCT((ACY31:ACY34=ACY31)*(ACX31:ACX34&lt;ACX31))+ACY31</f>
        <v>1</v>
      </c>
      <c r="ADB31" s="319" t="str">
        <f t="shared" ref="ADB31" ca="1" si="9829">INDEX(ACP31:ACP35,MATCH(1,ADA31:ADA35,0),0)</f>
        <v>Belgium</v>
      </c>
      <c r="ADC31" s="319">
        <f t="shared" ref="ADC31" ca="1" si="9830">INDEX(ACY31:ACY35,MATCH(ADB31,ACP31:ACP35,0),0)</f>
        <v>1</v>
      </c>
      <c r="ADD31" s="319" t="str">
        <f t="shared" ref="ADD31" ca="1" si="9831">IF(ADC32=1,ADB31,"")</f>
        <v/>
      </c>
      <c r="ADE31" s="319" t="str">
        <f t="shared" ref="ADE31" ca="1" si="9832">IF(ADC33=2,ADB32,"")</f>
        <v/>
      </c>
      <c r="ADF31" s="319" t="str">
        <f t="shared" ref="ADF31" ca="1" si="9833">IF(ADC34=3,ADB33,"")</f>
        <v>Slovakia</v>
      </c>
      <c r="ADG31" s="319" t="str">
        <f t="shared" ref="ADG31" si="9834">IF(ADC35=4,ADB34,"")</f>
        <v/>
      </c>
      <c r="ADH31" s="319"/>
      <c r="ADI31" s="319" t="str">
        <f t="shared" ref="ADI31:ADI34" ca="1" si="9835">IF(ADD31&lt;&gt;"",ADD31,"")</f>
        <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t="str">
        <f t="shared" ref="ADP31:ADP34" ca="1" si="9842">IF(ADI31&lt;&gt;"",ADJ31*3+ADK31*1,"")</f>
        <v/>
      </c>
      <c r="ADQ31" s="319" t="str">
        <f t="shared" ref="ADQ31" ca="1" si="9843">IF(ADI31&lt;&gt;"",VLOOKUP(ADI31,ACP4:ACV40,7,FALSE),"")</f>
        <v/>
      </c>
      <c r="ADR31" s="319" t="str">
        <f t="shared" ref="ADR31" ca="1" si="9844">IF(ADI31&lt;&gt;"",VLOOKUP(ADI31,ACP4:ACV40,5,FALSE),"")</f>
        <v/>
      </c>
      <c r="ADS31" s="319" t="str">
        <f t="shared" ref="ADS31" ca="1" si="9845">IF(ADI31&lt;&gt;"",VLOOKUP(ADI31,ACP4:ACX40,9,FALSE),"")</f>
        <v/>
      </c>
      <c r="ADT31" s="319" t="str">
        <f t="shared" ref="ADT31:ADT34" ca="1" si="9846">ADP31</f>
        <v/>
      </c>
      <c r="ADU31" s="319" t="str">
        <f t="shared" ref="ADU31" ca="1" si="9847">IF(ADI31&lt;&gt;"",RANK(ADT31,ADT31:ADT35),"")</f>
        <v/>
      </c>
      <c r="ADV31" s="319" t="str">
        <f t="shared" ref="ADV31" ca="1" si="9848">IF(ADI31&lt;&gt;"",SUMPRODUCT((ADT31:ADT35=ADT31)*(ADO31:ADO35&gt;ADO31)),"")</f>
        <v/>
      </c>
      <c r="ADW31" s="319" t="str">
        <f t="shared" ref="ADW31" ca="1" si="9849">IF(ADI31&lt;&gt;"",SUMPRODUCT((ADT31:ADT35=ADT31)*(ADO31:ADO35=ADO31)*(ADM31:ADM35&gt;ADM31)),"")</f>
        <v/>
      </c>
      <c r="ADX31" s="319" t="str">
        <f t="shared" ref="ADX31" ca="1" si="9850">IF(ADI31&lt;&gt;"",SUMPRODUCT((ADT31:ADT35=ADT31)*(ADO31:ADO35=ADO31)*(ADM31:ADM35=ADM31)*(ADQ31:ADQ35&gt;ADQ31)),"")</f>
        <v/>
      </c>
      <c r="ADY31" s="319" t="str">
        <f t="shared" ref="ADY31" ca="1" si="9851">IF(ADI31&lt;&gt;"",SUMPRODUCT((ADT31:ADT35=ADT31)*(ADO31:ADO35=ADO31)*(ADM31:ADM35=ADM31)*(ADQ31:ADQ35=ADQ31)*(ADR31:ADR35&gt;ADR31)),"")</f>
        <v/>
      </c>
      <c r="ADZ31" s="319" t="str">
        <f t="shared" ref="ADZ31" ca="1" si="9852">IF(ADI31&lt;&gt;"",SUMPRODUCT((ADT31:ADT35=ADT31)*(ADO31:ADO35=ADO31)*(ADM31:ADM35=ADM31)*(ADQ31:ADQ35=ADQ31)*(ADR31:ADR35=ADR31)*(ADS31:ADS35&gt;ADS31)),"")</f>
        <v/>
      </c>
      <c r="AEA31" s="319" t="str">
        <f ca="1">IF(ADI31&lt;&gt;"",IF(AEA71&lt;&gt;"",IF(ADH70=3,AEA71,AEA71+ADH70),SUM(ADU31:ADZ31)),"")</f>
        <v/>
      </c>
      <c r="AEB31" s="319" t="str">
        <f t="shared" ref="AEB31" ca="1" si="9853">IF(ADI31&lt;&gt;"",INDEX(ADI31:ADI35,MATCH(1,AEA31:AEA35,0),0),"")</f>
        <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3</v>
      </c>
      <c r="AGP31" s="322">
        <f ca="1">IF(OFFSET('Player Game Board'!Q38,0,AGO1)&lt;&gt;"",OFFSET('Player Game Board'!Q38,0,AGO1),0)</f>
        <v>0</v>
      </c>
      <c r="AGQ31" s="319" t="str">
        <f t="shared" si="67"/>
        <v>Slovenia</v>
      </c>
      <c r="AGR31" s="319" t="str">
        <f ca="1">IF(AND(OFFSET('Player Game Board'!P38,0,AGO1)&lt;&gt;"",OFFSET('Player Game Board'!Q38,0,AGO1)&lt;&gt;""),IF(AGO31&gt;AGP31,"W",IF(AGO31=AGP31,"D","L")),"")</f>
        <v>W</v>
      </c>
      <c r="AGS31" s="319" t="str">
        <f t="shared" ca="1" si="5665"/>
        <v>L</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Ukraine</v>
      </c>
      <c r="AHL31" s="325">
        <f t="shared" ca="1" si="5224"/>
        <v>0</v>
      </c>
      <c r="AHM31" s="319">
        <f t="shared" ref="AHM31" ca="1" si="9856">VLOOKUP(AHN31,ALI31:ALJ35,2,FALSE)</f>
        <v>1</v>
      </c>
      <c r="AHN31" s="319" t="str">
        <f t="shared" ref="AHN31:AHN34" si="9857">ACP31</f>
        <v>Belgium</v>
      </c>
      <c r="AHO31" s="319">
        <f t="shared" ref="AHO31" ca="1" si="9858">SUMPRODUCT((ALL3:ALL42=AHN31)*(ALP3:ALP42="W"))+SUMPRODUCT((ALO3:ALO42=AHN31)*(ALQ3:ALQ42="W"))</f>
        <v>0</v>
      </c>
      <c r="AHP31" s="319">
        <f t="shared" ref="AHP31" ca="1" si="9859">SUMPRODUCT((ALL3:ALL42=AHN31)*(ALP3:ALP42="D"))+SUMPRODUCT((ALO3:ALO42=AHN31)*(ALQ3:ALQ42="D"))</f>
        <v>0</v>
      </c>
      <c r="AHQ31" s="319">
        <f t="shared" ref="AHQ31" ca="1" si="9860">SUMPRODUCT((ALL3:ALL42=AHN31)*(ALP3:ALP42="L"))+SUMPRODUCT((ALO3:ALO42=AHN31)*(ALQ3:ALQ42="L"))</f>
        <v>0</v>
      </c>
      <c r="AHR31" s="319">
        <f t="shared" ref="AHR31" ca="1" si="9861">SUMIF(ALL3:ALL60,AHN31,ALM3:ALM60)+SUMIF(ALO3:ALO60,AHN31,ALN3:ALN60)</f>
        <v>0</v>
      </c>
      <c r="AHS31" s="319">
        <f t="shared" ref="AHS31" ca="1" si="9862">SUMIF(ALO3:ALO60,AHN31,ALM3:ALM60)+SUMIF(ALL3:ALL60,AHN31,ALN3:ALN60)</f>
        <v>0</v>
      </c>
      <c r="AHT31" s="319">
        <f t="shared" ref="AHT31:AHT34" ca="1" si="9863">AHR31-AHS31+1000</f>
        <v>1000</v>
      </c>
      <c r="AHU31" s="319">
        <f t="shared" ref="AHU31:AHU34" ca="1" si="9864">AHO31*3+AHP31*1</f>
        <v>0</v>
      </c>
      <c r="AHV31" s="319">
        <f t="shared" si="870"/>
        <v>50</v>
      </c>
      <c r="AHW31" s="319">
        <f t="shared" ref="AHW31" ca="1" si="9865">IF(COUNTIF(AHU31:AHU35,4)&lt;&gt;4,RANK(AHU31,AHU31:AHU35),AHU71)</f>
        <v>1</v>
      </c>
      <c r="AHX31" s="319"/>
      <c r="AHY31" s="319">
        <f t="shared" ref="AHY31" ca="1" si="9866">SUMPRODUCT((AHW31:AHW34=AHW31)*(AHV31:AHV34&lt;AHV31))+AHW31</f>
        <v>4</v>
      </c>
      <c r="AHZ31" s="319" t="str">
        <f t="shared" ref="AHZ31" ca="1" si="9867">INDEX(AHN31:AHN35,MATCH(1,AHY31:AHY35,0),0)</f>
        <v>Ukraine</v>
      </c>
      <c r="AIA31" s="319">
        <f t="shared" ref="AIA31" ca="1" si="9868">INDEX(AHW31:AHW35,MATCH(AHZ31,AHN31:AHN35,0),0)</f>
        <v>1</v>
      </c>
      <c r="AIB31" s="319" t="str">
        <f t="shared" ref="AIB31" ca="1" si="9869">IF(AIA32=1,AHZ31,"")</f>
        <v>Ukraine</v>
      </c>
      <c r="AIC31" s="319" t="str">
        <f t="shared" ref="AIC31" ca="1" si="9870">IF(AIA33=2,AHZ32,"")</f>
        <v/>
      </c>
      <c r="AID31" s="319" t="str">
        <f t="shared" ref="AID31" ca="1" si="9871">IF(AIA34=3,AHZ33,"")</f>
        <v/>
      </c>
      <c r="AIE31" s="319" t="str">
        <f t="shared" ref="AIE31" si="9872">IF(AIA35=4,AHZ34,"")</f>
        <v/>
      </c>
      <c r="AIF31" s="319"/>
      <c r="AIG31" s="319" t="str">
        <f t="shared" ref="AIG31:AIG34" ca="1" si="9873">IF(AIB31&lt;&gt;"",AIB31,"")</f>
        <v>Ukraine</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f t="shared" ref="AIN31:AIN34" ca="1" si="9880">IF(AIG31&lt;&gt;"",AIH31*3+AII31*1,"")</f>
        <v>0</v>
      </c>
      <c r="AIO31" s="319">
        <f t="shared" ref="AIO31" ca="1" si="9881">IF(AIG31&lt;&gt;"",VLOOKUP(AIG31,AHN4:AHT40,7,FALSE),"")</f>
        <v>1000</v>
      </c>
      <c r="AIP31" s="319">
        <f t="shared" ref="AIP31" ca="1" si="9882">IF(AIG31&lt;&gt;"",VLOOKUP(AIG31,AHN4:AHT40,5,FALSE),"")</f>
        <v>0</v>
      </c>
      <c r="AIQ31" s="319">
        <f t="shared" ref="AIQ31" ca="1" si="9883">IF(AIG31&lt;&gt;"",VLOOKUP(AIG31,AHN4:AHV40,9,FALSE),"")</f>
        <v>0</v>
      </c>
      <c r="AIR31" s="319">
        <f t="shared" ref="AIR31:AIR34" ca="1" si="9884">AIN31</f>
        <v>0</v>
      </c>
      <c r="AIS31" s="319">
        <f t="shared" ref="AIS31" ca="1" si="9885">IF(AIG31&lt;&gt;"",RANK(AIR31,AIR31:AIR35),"")</f>
        <v>1</v>
      </c>
      <c r="AIT31" s="319">
        <f t="shared" ref="AIT31" ca="1" si="9886">IF(AIG31&lt;&gt;"",SUMPRODUCT((AIR31:AIR35=AIR31)*(AIM31:AIM35&gt;AIM31)),"")</f>
        <v>0</v>
      </c>
      <c r="AIU31" s="319">
        <f t="shared" ref="AIU31" ca="1" si="9887">IF(AIG31&lt;&gt;"",SUMPRODUCT((AIR31:AIR35=AIR31)*(AIM31:AIM35=AIM31)*(AIK31:AIK35&gt;AIK31)),"")</f>
        <v>0</v>
      </c>
      <c r="AIV31" s="319">
        <f t="shared" ref="AIV31" ca="1" si="9888">IF(AIG31&lt;&gt;"",SUMPRODUCT((AIR31:AIR35=AIR31)*(AIM31:AIM35=AIM31)*(AIK31:AIK35=AIK31)*(AIO31:AIO35&gt;AIO31)),"")</f>
        <v>0</v>
      </c>
      <c r="AIW31" s="319">
        <f t="shared" ref="AIW31" ca="1" si="9889">IF(AIG31&lt;&gt;"",SUMPRODUCT((AIR31:AIR35=AIR31)*(AIM31:AIM35=AIM31)*(AIK31:AIK35=AIK31)*(AIO31:AIO35=AIO31)*(AIP31:AIP35&gt;AIP31)),"")</f>
        <v>0</v>
      </c>
      <c r="AIX31" s="319">
        <f t="shared" ref="AIX31" ca="1" si="9890">IF(AIG31&lt;&gt;"",SUMPRODUCT((AIR31:AIR35=AIR31)*(AIM31:AIM35=AIM31)*(AIK31:AIK35=AIK31)*(AIO31:AIO35=AIO31)*(AIP31:AIP35=AIP31)*(AIQ31:AIQ35&gt;AIQ31)),"")</f>
        <v>3</v>
      </c>
      <c r="AIY31" s="319">
        <f ca="1">IF(AIG31&lt;&gt;"",IF(AIY71&lt;&gt;"",IF(AIF70=3,AIY71,AIY71+AIF70),SUM(AIS31:AIX31)),"")</f>
        <v>4</v>
      </c>
      <c r="AIZ31" s="319" t="str">
        <f t="shared" ref="AIZ31" ca="1" si="9891">IF(AIG31&lt;&gt;"",INDEX(AIG31:AIG35,MATCH(1,AIY31:AIY35,0),0),"")</f>
        <v>Belgium</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0</v>
      </c>
      <c r="ALN31" s="322">
        <f ca="1">IF(OFFSET('Player Game Board'!Q38,0,ALM1)&lt;&gt;"",OFFSET('Player Game Board'!Q38,0,ALM1),0)</f>
        <v>0</v>
      </c>
      <c r="ALO31" s="319" t="str">
        <f t="shared" si="83"/>
        <v>Slovenia</v>
      </c>
      <c r="ALP31" s="319" t="str">
        <f ca="1">IF(AND(OFFSET('Player Game Board'!P38,0,ALM1)&lt;&gt;"",OFFSET('Player Game Board'!Q38,0,ALM1)&lt;&gt;""),IF(ALM31&gt;ALN31,"W",IF(ALM31=ALN31,"D","L")),"")</f>
        <v/>
      </c>
      <c r="ALQ31" s="319" t="str">
        <f t="shared" ca="1" si="5720"/>
        <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Romania</v>
      </c>
      <c r="AMJ31" s="325">
        <f t="shared" ca="1" si="5267"/>
        <v>1</v>
      </c>
      <c r="AMK31" s="319">
        <f t="shared" ref="AMK31" ca="1" si="9894">VLOOKUP(AML31,AQG31:AQH35,2,FALSE)</f>
        <v>1</v>
      </c>
      <c r="AML31" s="319" t="str">
        <f t="shared" ref="AML31:AML34" si="9895">AHN31</f>
        <v>Belgium</v>
      </c>
      <c r="AMM31" s="319">
        <f t="shared" ref="AMM31" ca="1" si="9896">SUMPRODUCT((AQJ3:AQJ42=AML31)*(AQN3:AQN42="W"))+SUMPRODUCT((AQM3:AQM42=AML31)*(AQO3:AQO42="W"))</f>
        <v>0</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0</v>
      </c>
      <c r="AMQ31" s="319">
        <f t="shared" ref="AMQ31" ca="1" si="9900">SUMIF(AQM3:AQM60,AML31,AQK3:AQK60)+SUMIF(AQJ3:AQJ60,AML31,AQL3:AQL60)</f>
        <v>0</v>
      </c>
      <c r="AMR31" s="319">
        <f t="shared" ref="AMR31:AMR34" ca="1" si="9901">AMP31-AMQ31+1000</f>
        <v>1000</v>
      </c>
      <c r="AMS31" s="319">
        <f t="shared" ref="AMS31:AMS34" ca="1" si="9902">AMM31*3+AMN31*1</f>
        <v>0</v>
      </c>
      <c r="AMT31" s="319">
        <f t="shared" si="930"/>
        <v>50</v>
      </c>
      <c r="AMU31" s="319">
        <f t="shared" ref="AMU31" ca="1" si="9903">IF(COUNTIF(AMS31:AMS35,4)&lt;&gt;4,RANK(AMS31,AMS31:AMS35),AMS71)</f>
        <v>1</v>
      </c>
      <c r="AMV31" s="319"/>
      <c r="AMW31" s="319">
        <f t="shared" ref="AMW31" ca="1" si="9904">SUMPRODUCT((AMU31:AMU34=AMU31)*(AMT31:AMT34&lt;AMT31))+AMU31</f>
        <v>4</v>
      </c>
      <c r="AMX31" s="319" t="str">
        <f t="shared" ref="AMX31" ca="1" si="9905">INDEX(AML31:AML35,MATCH(1,AMW31:AMW35,0),0)</f>
        <v>Ukraine</v>
      </c>
      <c r="AMY31" s="319">
        <f t="shared" ref="AMY31" ca="1" si="9906">INDEX(AMU31:AMU35,MATCH(AMX31,AML31:AML35,0),0)</f>
        <v>1</v>
      </c>
      <c r="AMZ31" s="319" t="str">
        <f t="shared" ref="AMZ31" ca="1" si="9907">IF(AMY32=1,AMX31,"")</f>
        <v>Ukraine</v>
      </c>
      <c r="ANA31" s="319" t="str">
        <f t="shared" ref="ANA31" ca="1" si="9908">IF(AMY33=2,AMX32,"")</f>
        <v/>
      </c>
      <c r="ANB31" s="319" t="str">
        <f t="shared" ref="ANB31" ca="1" si="9909">IF(AMY34=3,AMX33,"")</f>
        <v/>
      </c>
      <c r="ANC31" s="319" t="str">
        <f t="shared" ref="ANC31" si="9910">IF(AMY35=4,AMX34,"")</f>
        <v/>
      </c>
      <c r="AND31" s="319"/>
      <c r="ANE31" s="319" t="str">
        <f t="shared" ref="ANE31:ANE34" ca="1" si="9911">IF(AMZ31&lt;&gt;"",AMZ31,"")</f>
        <v>Ukraine</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f t="shared" ref="ANL31:ANL34" ca="1" si="9918">IF(ANE31&lt;&gt;"",ANF31*3+ANG31*1,"")</f>
        <v>0</v>
      </c>
      <c r="ANM31" s="319">
        <f t="shared" ref="ANM31" ca="1" si="9919">IF(ANE31&lt;&gt;"",VLOOKUP(ANE31,AML4:AMR40,7,FALSE),"")</f>
        <v>1000</v>
      </c>
      <c r="ANN31" s="319">
        <f t="shared" ref="ANN31" ca="1" si="9920">IF(ANE31&lt;&gt;"",VLOOKUP(ANE31,AML4:AMR40,5,FALSE),"")</f>
        <v>0</v>
      </c>
      <c r="ANO31" s="319">
        <f t="shared" ref="ANO31" ca="1" si="9921">IF(ANE31&lt;&gt;"",VLOOKUP(ANE31,AML4:AMT40,9,FALSE),"")</f>
        <v>0</v>
      </c>
      <c r="ANP31" s="319">
        <f t="shared" ref="ANP31:ANP34" ca="1" si="9922">ANL31</f>
        <v>0</v>
      </c>
      <c r="ANQ31" s="319">
        <f t="shared" ref="ANQ31" ca="1" si="9923">IF(ANE31&lt;&gt;"",RANK(ANP31,ANP31:ANP35),"")</f>
        <v>1</v>
      </c>
      <c r="ANR31" s="319">
        <f t="shared" ref="ANR31" ca="1" si="9924">IF(ANE31&lt;&gt;"",SUMPRODUCT((ANP31:ANP35=ANP31)*(ANK31:ANK35&gt;ANK31)),"")</f>
        <v>0</v>
      </c>
      <c r="ANS31" s="319">
        <f t="shared" ref="ANS31" ca="1" si="9925">IF(ANE31&lt;&gt;"",SUMPRODUCT((ANP31:ANP35=ANP31)*(ANK31:ANK35=ANK31)*(ANI31:ANI35&gt;ANI31)),"")</f>
        <v>0</v>
      </c>
      <c r="ANT31" s="319">
        <f t="shared" ref="ANT31" ca="1" si="9926">IF(ANE31&lt;&gt;"",SUMPRODUCT((ANP31:ANP35=ANP31)*(ANK31:ANK35=ANK31)*(ANI31:ANI35=ANI31)*(ANM31:ANM35&gt;ANM31)),"")</f>
        <v>0</v>
      </c>
      <c r="ANU31" s="319">
        <f t="shared" ref="ANU31" ca="1" si="9927">IF(ANE31&lt;&gt;"",SUMPRODUCT((ANP31:ANP35=ANP31)*(ANK31:ANK35=ANK31)*(ANI31:ANI35=ANI31)*(ANM31:ANM35=ANM31)*(ANN31:ANN35&gt;ANN31)),"")</f>
        <v>0</v>
      </c>
      <c r="ANV31" s="319">
        <f t="shared" ref="ANV31" ca="1" si="9928">IF(ANE31&lt;&gt;"",SUMPRODUCT((ANP31:ANP35=ANP31)*(ANK31:ANK35=ANK31)*(ANI31:ANI35=ANI31)*(ANM31:ANM35=ANM31)*(ANN31:ANN35=ANN31)*(ANO31:ANO35&gt;ANO31)),"")</f>
        <v>3</v>
      </c>
      <c r="ANW31" s="319">
        <f ca="1">IF(ANE31&lt;&gt;"",IF(ANW71&lt;&gt;"",IF(AND70=3,ANW71,ANW71+AND70),SUM(ANQ31:ANV31)),"")</f>
        <v>4</v>
      </c>
      <c r="ANX31" s="319" t="str">
        <f t="shared" ref="ANX31" ca="1" si="9929">IF(ANE31&lt;&gt;"",INDEX(ANE31:ANE35,MATCH(1,ANW31:ANW35,0),0),"")</f>
        <v>Belgium</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0</v>
      </c>
      <c r="AQL31" s="322">
        <f ca="1">IF(OFFSET('Player Game Board'!Q38,0,AQK1)&lt;&gt;"",OFFSET('Player Game Board'!Q38,0,AQK1),0)</f>
        <v>0</v>
      </c>
      <c r="AQM31" s="319" t="str">
        <f t="shared" si="99"/>
        <v>Slovenia</v>
      </c>
      <c r="AQN31" s="319" t="str">
        <f ca="1">IF(AND(OFFSET('Player Game Board'!P38,0,AQK1)&lt;&gt;"",OFFSET('Player Game Board'!Q38,0,AQK1)&lt;&gt;""),IF(AQK31&gt;AQL31,"W",IF(AQK31=AQL31,"D","L")),"")</f>
        <v/>
      </c>
      <c r="AQO31" s="319" t="str">
        <f t="shared" ca="1" si="5775"/>
        <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Romania</v>
      </c>
      <c r="ARH31" s="325">
        <f t="shared" ca="1" si="5310"/>
        <v>1</v>
      </c>
      <c r="ARI31" s="319">
        <f t="shared" ref="ARI31" ca="1" si="9932">VLOOKUP(ARJ31,AVE31:AVF35,2,FALSE)</f>
        <v>1</v>
      </c>
      <c r="ARJ31" s="319" t="str">
        <f t="shared" ref="ARJ31:ARJ34" si="9933">AML31</f>
        <v>Belgium</v>
      </c>
      <c r="ARK31" s="319">
        <f t="shared" ref="ARK31" ca="1" si="9934">SUMPRODUCT((AVH3:AVH42=ARJ31)*(AVL3:AVL42="W"))+SUMPRODUCT((AVK3:AVK42=ARJ31)*(AVM3:AVM42="W"))</f>
        <v>0</v>
      </c>
      <c r="ARL31" s="319">
        <f t="shared" ref="ARL31" ca="1" si="9935">SUMPRODUCT((AVH3:AVH42=ARJ31)*(AVL3:AVL42="D"))+SUMPRODUCT((AVK3:AVK42=ARJ31)*(AVM3:AVM42="D"))</f>
        <v>0</v>
      </c>
      <c r="ARM31" s="319">
        <f t="shared" ref="ARM31" ca="1" si="9936">SUMPRODUCT((AVH3:AVH42=ARJ31)*(AVL3:AVL42="L"))+SUMPRODUCT((AVK3:AVK42=ARJ31)*(AVM3:AVM42="L"))</f>
        <v>0</v>
      </c>
      <c r="ARN31" s="319">
        <f t="shared" ref="ARN31" ca="1" si="9937">SUMIF(AVH3:AVH60,ARJ31,AVI3:AVI60)+SUMIF(AVK3:AVK60,ARJ31,AVJ3:AVJ60)</f>
        <v>0</v>
      </c>
      <c r="ARO31" s="319">
        <f t="shared" ref="ARO31" ca="1" si="9938">SUMIF(AVK3:AVK60,ARJ31,AVI3:AVI60)+SUMIF(AVH3:AVH60,ARJ31,AVJ3:AVJ60)</f>
        <v>0</v>
      </c>
      <c r="ARP31" s="319">
        <f t="shared" ref="ARP31:ARP34" ca="1" si="9939">ARN31-ARO31+1000</f>
        <v>1000</v>
      </c>
      <c r="ARQ31" s="319">
        <f t="shared" ref="ARQ31:ARQ34" ca="1" si="9940">ARK31*3+ARL31*1</f>
        <v>0</v>
      </c>
      <c r="ARR31" s="319">
        <f t="shared" si="990"/>
        <v>50</v>
      </c>
      <c r="ARS31" s="319">
        <f t="shared" ref="ARS31" ca="1" si="9941">IF(COUNTIF(ARQ31:ARQ35,4)&lt;&gt;4,RANK(ARQ31,ARQ31:ARQ35),ARQ71)</f>
        <v>1</v>
      </c>
      <c r="ART31" s="319"/>
      <c r="ARU31" s="319">
        <f t="shared" ref="ARU31" ca="1" si="9942">SUMPRODUCT((ARS31:ARS34=ARS31)*(ARR31:ARR34&lt;ARR31))+ARS31</f>
        <v>4</v>
      </c>
      <c r="ARV31" s="319" t="str">
        <f t="shared" ref="ARV31" ca="1" si="9943">INDEX(ARJ31:ARJ35,MATCH(1,ARU31:ARU35,0),0)</f>
        <v>Ukraine</v>
      </c>
      <c r="ARW31" s="319">
        <f t="shared" ref="ARW31" ca="1" si="9944">INDEX(ARS31:ARS35,MATCH(ARV31,ARJ31:ARJ35,0),0)</f>
        <v>1</v>
      </c>
      <c r="ARX31" s="319" t="str">
        <f t="shared" ref="ARX31" ca="1" si="9945">IF(ARW32=1,ARV31,"")</f>
        <v>Ukraine</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Ukraine</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f t="shared" ref="ASJ31:ASJ34" ca="1" si="9956">IF(ASC31&lt;&gt;"",ASD31*3+ASE31*1,"")</f>
        <v>0</v>
      </c>
      <c r="ASK31" s="319">
        <f t="shared" ref="ASK31" ca="1" si="9957">IF(ASC31&lt;&gt;"",VLOOKUP(ASC31,ARJ4:ARP40,7,FALSE),"")</f>
        <v>1000</v>
      </c>
      <c r="ASL31" s="319">
        <f t="shared" ref="ASL31" ca="1" si="9958">IF(ASC31&lt;&gt;"",VLOOKUP(ASC31,ARJ4:ARP40,5,FALSE),"")</f>
        <v>0</v>
      </c>
      <c r="ASM31" s="319">
        <f t="shared" ref="ASM31" ca="1" si="9959">IF(ASC31&lt;&gt;"",VLOOKUP(ASC31,ARJ4:ARR40,9,FALSE),"")</f>
        <v>0</v>
      </c>
      <c r="ASN31" s="319">
        <f t="shared" ref="ASN31:ASN34" ca="1" si="9960">ASJ31</f>
        <v>0</v>
      </c>
      <c r="ASO31" s="319">
        <f t="shared" ref="ASO31" ca="1" si="9961">IF(ASC31&lt;&gt;"",RANK(ASN31,ASN31:ASN35),"")</f>
        <v>1</v>
      </c>
      <c r="ASP31" s="319">
        <f t="shared" ref="ASP31" ca="1" si="9962">IF(ASC31&lt;&gt;"",SUMPRODUCT((ASN31:ASN35=ASN31)*(ASI31:ASI35&gt;ASI31)),"")</f>
        <v>0</v>
      </c>
      <c r="ASQ31" s="319">
        <f t="shared" ref="ASQ31" ca="1" si="9963">IF(ASC31&lt;&gt;"",SUMPRODUCT((ASN31:ASN35=ASN31)*(ASI31:ASI35=ASI31)*(ASG31:ASG35&gt;ASG31)),"")</f>
        <v>0</v>
      </c>
      <c r="ASR31" s="319">
        <f t="shared" ref="ASR31" ca="1" si="9964">IF(ASC31&lt;&gt;"",SUMPRODUCT((ASN31:ASN35=ASN31)*(ASI31:ASI35=ASI31)*(ASG31:ASG35=ASG31)*(ASK31:ASK35&gt;ASK31)),"")</f>
        <v>0</v>
      </c>
      <c r="ASS31" s="319">
        <f t="shared" ref="ASS31" ca="1" si="9965">IF(ASC31&lt;&gt;"",SUMPRODUCT((ASN31:ASN35=ASN31)*(ASI31:ASI35=ASI31)*(ASG31:ASG35=ASG31)*(ASK31:ASK35=ASK31)*(ASL31:ASL35&gt;ASL31)),"")</f>
        <v>0</v>
      </c>
      <c r="AST31" s="319">
        <f t="shared" ref="AST31" ca="1" si="9966">IF(ASC31&lt;&gt;"",SUMPRODUCT((ASN31:ASN35=ASN31)*(ASI31:ASI35=ASI31)*(ASG31:ASG35=ASG31)*(ASK31:ASK35=ASK31)*(ASL31:ASL35=ASL31)*(ASM31:ASM35&gt;ASM31)),"")</f>
        <v>3</v>
      </c>
      <c r="ASU31" s="319">
        <f ca="1">IF(ASC31&lt;&gt;"",IF(ASU71&lt;&gt;"",IF(ASB70=3,ASU71,ASU71+ASB70),SUM(ASO31:AST31)),"")</f>
        <v>4</v>
      </c>
      <c r="ASV31" s="319" t="str">
        <f t="shared" ref="ASV31" ca="1" si="9967">IF(ASC31&lt;&gt;"",INDEX(ASC31:ASC35,MATCH(1,ASU31:ASU35,0),0),"")</f>
        <v>Belgium</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Belgium</v>
      </c>
      <c r="AVF31" s="319">
        <v>1</v>
      </c>
      <c r="AVG31" s="319">
        <v>29</v>
      </c>
      <c r="AVH31" s="319" t="str">
        <f t="shared" si="114"/>
        <v>England</v>
      </c>
      <c r="AVI31" s="322">
        <f ca="1">IF(OFFSET('Player Game Board'!P38,0,AVI1)&lt;&gt;"",OFFSET('Player Game Board'!P38,0,AVI1),0)</f>
        <v>0</v>
      </c>
      <c r="AVJ31" s="322">
        <f ca="1">IF(OFFSET('Player Game Board'!Q38,0,AVI1)&lt;&gt;"",OFFSET('Player Game Board'!Q38,0,AVI1),0)</f>
        <v>0</v>
      </c>
      <c r="AVK31" s="319" t="str">
        <f t="shared" si="115"/>
        <v>Slovenia</v>
      </c>
      <c r="AVL31" s="319" t="str">
        <f ca="1">IF(AND(OFFSET('Player Game Board'!P38,0,AVI1)&lt;&gt;"",OFFSET('Player Game Board'!Q38,0,AVI1)&lt;&gt;""),IF(AVI31&gt;AVJ31,"W",IF(AVI31=AVJ31,"D","L")),"")</f>
        <v/>
      </c>
      <c r="AVM31" s="319" t="str">
        <f t="shared" ca="1" si="5830"/>
        <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Romania</v>
      </c>
      <c r="AWF31" s="325">
        <f t="shared" ca="1" si="5353"/>
        <v>1</v>
      </c>
      <c r="AWG31" s="319">
        <f t="shared" ref="AWG31" ca="1" si="9970">VLOOKUP(AWH31,BAC31:BAD35,2,FALSE)</f>
        <v>1</v>
      </c>
      <c r="AWH31" s="319" t="str">
        <f t="shared" ref="AWH31:AWH34" si="9971">ARJ31</f>
        <v>Belgium</v>
      </c>
      <c r="AWI31" s="319">
        <f t="shared" ref="AWI31" ca="1" si="9972">SUMPRODUCT((BAF3:BAF42=AWH31)*(BAJ3:BAJ42="W"))+SUMPRODUCT((BAI3:BAI42=AWH31)*(BAK3:BAK42="W"))</f>
        <v>0</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0</v>
      </c>
      <c r="AWM31" s="319">
        <f t="shared" ref="AWM31" ca="1" si="9976">SUMIF(BAI3:BAI60,AWH31,BAG3:BAG60)+SUMIF(BAF3:BAF60,AWH31,BAH3:BAH60)</f>
        <v>0</v>
      </c>
      <c r="AWN31" s="319">
        <f t="shared" ref="AWN31:AWN34" ca="1" si="9977">AWL31-AWM31+1000</f>
        <v>1000</v>
      </c>
      <c r="AWO31" s="319">
        <f t="shared" ref="AWO31:AWO34" ca="1" si="9978">AWI31*3+AWJ31*1</f>
        <v>0</v>
      </c>
      <c r="AWP31" s="319">
        <f t="shared" si="1050"/>
        <v>50</v>
      </c>
      <c r="AWQ31" s="319">
        <f t="shared" ref="AWQ31" ca="1" si="9979">IF(COUNTIF(AWO31:AWO35,4)&lt;&gt;4,RANK(AWO31,AWO31:AWO35),AWO71)</f>
        <v>1</v>
      </c>
      <c r="AWR31" s="319"/>
      <c r="AWS31" s="319">
        <f t="shared" ref="AWS31" ca="1" si="9980">SUMPRODUCT((AWQ31:AWQ34=AWQ31)*(AWP31:AWP34&lt;AWP31))+AWQ31</f>
        <v>4</v>
      </c>
      <c r="AWT31" s="319" t="str">
        <f t="shared" ref="AWT31" ca="1" si="9981">INDEX(AWH31:AWH35,MATCH(1,AWS31:AWS35,0),0)</f>
        <v>Ukraine</v>
      </c>
      <c r="AWU31" s="319">
        <f t="shared" ref="AWU31" ca="1" si="9982">INDEX(AWQ31:AWQ35,MATCH(AWT31,AWH31:AWH35,0),0)</f>
        <v>1</v>
      </c>
      <c r="AWV31" s="319" t="str">
        <f t="shared" ref="AWV31" ca="1" si="9983">IF(AWU32=1,AWT31,"")</f>
        <v>Ukraine</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Ukraine</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f t="shared" ref="AXH31:AXH34" ca="1" si="9994">IF(AXA31&lt;&gt;"",AXB31*3+AXC31*1,"")</f>
        <v>0</v>
      </c>
      <c r="AXI31" s="319">
        <f t="shared" ref="AXI31" ca="1" si="9995">IF(AXA31&lt;&gt;"",VLOOKUP(AXA31,AWH4:AWN40,7,FALSE),"")</f>
        <v>1000</v>
      </c>
      <c r="AXJ31" s="319">
        <f t="shared" ref="AXJ31" ca="1" si="9996">IF(AXA31&lt;&gt;"",VLOOKUP(AXA31,AWH4:AWN40,5,FALSE),"")</f>
        <v>0</v>
      </c>
      <c r="AXK31" s="319">
        <f t="shared" ref="AXK31" ca="1" si="9997">IF(AXA31&lt;&gt;"",VLOOKUP(AXA31,AWH4:AWP40,9,FALSE),"")</f>
        <v>0</v>
      </c>
      <c r="AXL31" s="319">
        <f t="shared" ref="AXL31:AXL34" ca="1" si="9998">AXH31</f>
        <v>0</v>
      </c>
      <c r="AXM31" s="319">
        <f t="shared" ref="AXM31" ca="1" si="9999">IF(AXA31&lt;&gt;"",RANK(AXL31,AXL31:AXL35),"")</f>
        <v>1</v>
      </c>
      <c r="AXN31" s="319">
        <f t="shared" ref="AXN31" ca="1" si="10000">IF(AXA31&lt;&gt;"",SUMPRODUCT((AXL31:AXL35=AXL31)*(AXG31:AXG35&gt;AXG31)),"")</f>
        <v>0</v>
      </c>
      <c r="AXO31" s="319">
        <f t="shared" ref="AXO31" ca="1" si="10001">IF(AXA31&lt;&gt;"",SUMPRODUCT((AXL31:AXL35=AXL31)*(AXG31:AXG35=AXG31)*(AXE31:AXE35&gt;AXE31)),"")</f>
        <v>0</v>
      </c>
      <c r="AXP31" s="319">
        <f t="shared" ref="AXP31" ca="1" si="10002">IF(AXA31&lt;&gt;"",SUMPRODUCT((AXL31:AXL35=AXL31)*(AXG31:AXG35=AXG31)*(AXE31:AXE35=AXE31)*(AXI31:AXI35&gt;AXI31)),"")</f>
        <v>0</v>
      </c>
      <c r="AXQ31" s="319">
        <f t="shared" ref="AXQ31" ca="1" si="10003">IF(AXA31&lt;&gt;"",SUMPRODUCT((AXL31:AXL35=AXL31)*(AXG31:AXG35=AXG31)*(AXE31:AXE35=AXE31)*(AXI31:AXI35=AXI31)*(AXJ31:AXJ35&gt;AXJ31)),"")</f>
        <v>0</v>
      </c>
      <c r="AXR31" s="319">
        <f t="shared" ref="AXR31" ca="1" si="10004">IF(AXA31&lt;&gt;"",SUMPRODUCT((AXL31:AXL35=AXL31)*(AXG31:AXG35=AXG31)*(AXE31:AXE35=AXE31)*(AXI31:AXI35=AXI31)*(AXJ31:AXJ35=AXJ31)*(AXK31:AXK35&gt;AXK31)),"")</f>
        <v>3</v>
      </c>
      <c r="AXS31" s="319">
        <f ca="1">IF(AXA31&lt;&gt;"",IF(AXS71&lt;&gt;"",IF(AWZ70=3,AXS71,AXS71+AWZ70),SUM(AXM31:AXR31)),"")</f>
        <v>4</v>
      </c>
      <c r="AXT31" s="319" t="str">
        <f t="shared" ref="AXT31" ca="1" si="10005">IF(AXA31&lt;&gt;"",INDEX(AXA31:AXA35,MATCH(1,AXS31:AXS35,0),0),"")</f>
        <v>Belgium</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0</v>
      </c>
      <c r="BAH31" s="322">
        <f ca="1">IF(OFFSET('Player Game Board'!Q38,0,BAG1)&lt;&gt;"",OFFSET('Player Game Board'!Q38,0,BAG1),0)</f>
        <v>0</v>
      </c>
      <c r="BAI31" s="319" t="str">
        <f t="shared" si="131"/>
        <v>Slovenia</v>
      </c>
      <c r="BAJ31" s="319" t="str">
        <f ca="1">IF(AND(OFFSET('Player Game Board'!P38,0,BAG1)&lt;&gt;"",OFFSET('Player Game Board'!Q38,0,BAG1)&lt;&gt;""),IF(BAG31&gt;BAH31,"W",IF(BAG31=BAH31,"D","L")),"")</f>
        <v/>
      </c>
      <c r="BAK31" s="319" t="str">
        <f t="shared" ca="1" si="5885"/>
        <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Romania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ht="13.8" x14ac:dyDescent="0.3">
      <c r="A32" s="319">
        <f>VLOOKUP(B32,CW31:CX35,2,FALSE)</f>
        <v>2</v>
      </c>
      <c r="B32" s="319" t="str">
        <f>'Language Table'!C22</f>
        <v>Slovakia</v>
      </c>
      <c r="C32" s="319">
        <f>SUMPRODUCT((CZ3:CZ42=B32)*(DD3:DD42="W"))+SUMPRODUCT((DC3:DC42=B32)*(DE3:DE42="W"))</f>
        <v>1</v>
      </c>
      <c r="D32" s="319">
        <f>SUMPRODUCT((CZ3:CZ42=B32)*(DD3:DD42="D"))+SUMPRODUCT((DC3:DC42=B32)*(DE3:DE42="D"))</f>
        <v>0</v>
      </c>
      <c r="E32" s="319">
        <f>SUMPRODUCT((CZ3:CZ42=B32)*(DD3:DD42="L"))+SUMPRODUCT((DC3:DC42=B32)*(DE3:DE42="L"))</f>
        <v>0</v>
      </c>
      <c r="F32" s="319">
        <f>SUMIF(CZ3:CZ60,B32,DA3:DA60)+SUMIF(DC3:DC60,B32,DB3:DB60)</f>
        <v>1</v>
      </c>
      <c r="G32" s="319">
        <f>SUMIF(DC3:DC60,B32,DA3:DA60)+SUMIF(CZ3:CZ60,B32,DB3:DB60)</f>
        <v>0</v>
      </c>
      <c r="H32" s="319">
        <f t="shared" si="9692"/>
        <v>1001</v>
      </c>
      <c r="I32" s="319">
        <f t="shared" si="9693"/>
        <v>3</v>
      </c>
      <c r="J32" s="319">
        <v>38</v>
      </c>
      <c r="K32" s="319">
        <f>IF(COUNTIF(I31:I35,4)&lt;&gt;4,RANK(I32,I31:I35),I72)</f>
        <v>1</v>
      </c>
      <c r="L32" s="319"/>
      <c r="M32" s="319">
        <f>SUMPRODUCT((K31:K34=K32)*(J31:J34&lt;J32))+K32</f>
        <v>1</v>
      </c>
      <c r="N32" s="319" t="str">
        <f>INDEX(B31:B35,MATCH(2,M31:M35,0),0)</f>
        <v>Romania</v>
      </c>
      <c r="O32" s="319">
        <f>INDEX(K31:K35,MATCH(N32,B31:B35,0),0)</f>
        <v>1</v>
      </c>
      <c r="P32" s="319" t="str">
        <f>IF(P31&lt;&gt;"",N32,"")</f>
        <v>Romania</v>
      </c>
      <c r="Q32" s="319" t="str">
        <f>IF(Q31&lt;&gt;"",N33,"")</f>
        <v/>
      </c>
      <c r="R32" s="319" t="str">
        <f>IF(R31&lt;&gt;"",N34,"")</f>
        <v>Belgium</v>
      </c>
      <c r="S32" s="319" t="str">
        <f>IF(S31&lt;&gt;"",N35,"")</f>
        <v/>
      </c>
      <c r="T32" s="319"/>
      <c r="U32" s="319" t="str">
        <f t="shared" ref="U32:U34" si="10046">IF(P32&lt;&gt;"",P32,"")</f>
        <v>Romania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0</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0</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0</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0</v>
      </c>
      <c r="AA32" s="319">
        <f>Y32-Z32+1000</f>
        <v>1000</v>
      </c>
      <c r="AB32" s="319">
        <f t="shared" si="9694"/>
        <v>0</v>
      </c>
      <c r="AC32" s="319">
        <f>IF(U32&lt;&gt;"",VLOOKUP(U32,B4:H40,7,FALSE),"")</f>
        <v>1003</v>
      </c>
      <c r="AD32" s="319">
        <f>IF(U32&lt;&gt;"",VLOOKUP(U32,B4:H40,5,FALSE),"")</f>
        <v>3</v>
      </c>
      <c r="AE32" s="319">
        <f>IF(U32&lt;&gt;"",VLOOKUP(U32,B4:J40,9,FALSE),"")</f>
        <v>46</v>
      </c>
      <c r="AF32" s="319">
        <f t="shared" si="9695"/>
        <v>0</v>
      </c>
      <c r="AG32" s="319">
        <f>IF(U32&lt;&gt;"",RANK(AF32,AF31:AF35),"")</f>
        <v>1</v>
      </c>
      <c r="AH32" s="319">
        <f>IF(U32&lt;&gt;"",SUMPRODUCT((AF31:AF35=AF32)*(AA31:AA35&gt;AA32)),"")</f>
        <v>0</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0</v>
      </c>
      <c r="AM32" s="319">
        <f>IF(U32&lt;&gt;"",IF(AM72&lt;&gt;"",IF(T70=3,AM72,AM72+T70),SUM(AG32:AL32)),"")</f>
        <v>1</v>
      </c>
      <c r="AN32" s="319" t="str">
        <f>IF(U32&lt;&gt;"",INDEX(U31:U35,MATCH(2,AM31:AM35,0),0),"")</f>
        <v>Slovakia</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Slovakia</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
      </c>
      <c r="DE32" s="319" t="str">
        <f t="shared" si="162"/>
        <v/>
      </c>
      <c r="DF32" s="319"/>
      <c r="DG32" s="319"/>
      <c r="DH32" s="319"/>
      <c r="DI32" s="320"/>
      <c r="DJ32" s="320"/>
      <c r="DK32" s="320"/>
      <c r="DL32" s="320"/>
      <c r="DM32" s="320"/>
      <c r="DN32" s="320"/>
      <c r="DO32" s="320"/>
      <c r="DP32" s="319"/>
      <c r="DQ32" s="319"/>
      <c r="DR32" s="319"/>
      <c r="DS32" s="319"/>
      <c r="DT32" s="319"/>
      <c r="DU32" s="319"/>
      <c r="DV32" s="319" t="s">
        <v>106</v>
      </c>
      <c r="DW32" s="319" t="str">
        <f>VLOOKUP(1,A37:B40,2,FALSE)</f>
        <v>Türkiye</v>
      </c>
      <c r="DX32" s="319"/>
      <c r="DY32" s="319">
        <f ca="1">VLOOKUP(DZ32,HU31:HV35,2,FALSE)</f>
        <v>2</v>
      </c>
      <c r="DZ32" s="319" t="str">
        <f t="shared" ref="DZ32:DZ34" si="10049">B32</f>
        <v>Slovakia</v>
      </c>
      <c r="EA32" s="319">
        <f ca="1">SUMPRODUCT((HX3:HX42=DZ32)*(IB3:IB42="W"))+SUMPRODUCT((IA3:IA42=DZ32)*(IC3:IC42="W"))</f>
        <v>0</v>
      </c>
      <c r="EB32" s="319">
        <f ca="1">SUMPRODUCT((HX3:HX42=DZ32)*(IB3:IB42="D"))+SUMPRODUCT((IA3:IA42=DZ32)*(IC3:IC42="D"))</f>
        <v>2</v>
      </c>
      <c r="EC32" s="319">
        <f ca="1">SUMPRODUCT((HX3:HX42=DZ32)*(IB3:IB42="L"))+SUMPRODUCT((IA3:IA42=DZ32)*(IC3:IC42="L"))</f>
        <v>1</v>
      </c>
      <c r="ED32" s="319">
        <f ca="1">SUMIF(HX3:HX60,DZ32,HY3:HY60)+SUMIF(IA3:IA60,DZ32,HZ3:HZ60)</f>
        <v>3</v>
      </c>
      <c r="EE32" s="319">
        <f ca="1">SUMIF(IA3:IA60,DZ32,HY3:HY60)+SUMIF(HX3:HX60,DZ32,HZ3:HZ60)</f>
        <v>4</v>
      </c>
      <c r="EF32" s="319">
        <f t="shared" ca="1" si="9696"/>
        <v>999</v>
      </c>
      <c r="EG32" s="319">
        <f t="shared" ca="1" si="9697"/>
        <v>2</v>
      </c>
      <c r="EH32" s="319">
        <f t="shared" si="609"/>
        <v>38</v>
      </c>
      <c r="EI32" s="319">
        <f ca="1">IF(COUNTIF(EG31:EG35,4)&lt;&gt;4,RANK(EG32,EG31:EG35),EG72)</f>
        <v>2</v>
      </c>
      <c r="EJ32" s="319"/>
      <c r="EK32" s="319">
        <f ca="1">SUMPRODUCT((EI31:EI34=EI32)*(EH31:EH34&lt;EH32))+EI32</f>
        <v>3</v>
      </c>
      <c r="EL32" s="319" t="str">
        <f ca="1">INDEX(DZ31:DZ35,MATCH(2,EK31:EK35,0),0)</f>
        <v>Ukraine</v>
      </c>
      <c r="EM32" s="319">
        <f ca="1">INDEX(EI31:EI35,MATCH(EL32,DZ31:DZ35,0),0)</f>
        <v>2</v>
      </c>
      <c r="EN32" s="319" t="str">
        <f ca="1">IF(EN31&lt;&gt;"",EL32,"")</f>
        <v/>
      </c>
      <c r="EO32" s="319" t="str">
        <f ca="1">IF(EO31&lt;&gt;"",EL33,"")</f>
        <v>Slovakia</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Ukraine</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2</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2</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2</v>
      </c>
      <c r="FS32" s="319">
        <f ca="1">FQ32-FR32+1000</f>
        <v>1000</v>
      </c>
      <c r="FT32" s="319">
        <f t="shared" ref="FT32:FT34" ca="1" si="10051">IF(FM32&lt;&gt;"",FN32*3+FO32*1,"")</f>
        <v>2</v>
      </c>
      <c r="FU32" s="319">
        <f ca="1">IF(FM32&lt;&gt;"",VLOOKUP(FM32,DZ4:EF40,7,FALSE),"")</f>
        <v>997</v>
      </c>
      <c r="FV32" s="319">
        <f ca="1">IF(FM32&lt;&gt;"",VLOOKUP(FM32,DZ4:EF40,5,FALSE),"")</f>
        <v>2</v>
      </c>
      <c r="FW32" s="319">
        <f ca="1">IF(FM32&lt;&gt;"",VLOOKUP(FM32,DZ4:EH40,9,FALSE),"")</f>
        <v>0</v>
      </c>
      <c r="FX32" s="319">
        <f t="shared" ref="FX32:FX34" ca="1" si="10052">FT32</f>
        <v>2</v>
      </c>
      <c r="FY32" s="319">
        <f ca="1">IF(FM32&lt;&gt;"",RANK(FX32,FX31:FX35),"")</f>
        <v>1</v>
      </c>
      <c r="FZ32" s="319">
        <f ca="1">IF(FM32&lt;&gt;"",SUMPRODUCT((FX31:FX35=FX32)*(FS31:FS35&gt;FS32)),"")</f>
        <v>0</v>
      </c>
      <c r="GA32" s="319">
        <f ca="1">IF(FM32&lt;&gt;"",SUMPRODUCT((FX31:FX35=FX32)*(FS31:FS35=FS32)*(FQ31:FQ35&gt;FQ32)),"")</f>
        <v>0</v>
      </c>
      <c r="GB32" s="319">
        <f ca="1">IF(FM32&lt;&gt;"",SUMPRODUCT((FX31:FX35=FX32)*(FS31:FS35=FS32)*(FQ31:FQ35=FQ32)*(FU31:FU35&gt;FU32)),"")</f>
        <v>1</v>
      </c>
      <c r="GC32" s="319">
        <f ca="1">IF(FM32&lt;&gt;"",SUMPRODUCT((FX31:FX35=FX32)*(FS31:FS35=FS32)*(FQ31:FQ35=FQ32)*(FU31:FU35=FU32)*(FV31:FV35&gt;FV32)),"")</f>
        <v>0</v>
      </c>
      <c r="GD32" s="319">
        <f ca="1">IF(FM32&lt;&gt;"",SUMPRODUCT((FX31:FX35=FX32)*(FS31:FS35=FS32)*(FQ31:FQ35=FQ32)*(FU31:FU35=FU32)*(FV31:FV35=FV32)*(FW31:FW35&gt;FW32)),"")</f>
        <v>0</v>
      </c>
      <c r="GE32" s="319">
        <f ca="1">IF(FM32&lt;&gt;"",IF(GE72&lt;&gt;"",IF(FL70=3,GE72,GE72+FL70),SUM(FY32:GD32)+1),"")</f>
        <v>3</v>
      </c>
      <c r="GF32" s="319" t="str">
        <f ca="1">IF(FM32&lt;&gt;"",INDEX(FM32:FM35,MATCH(2,GE32:GE35,0),0),"")</f>
        <v>Slovakia</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Slovakia</v>
      </c>
      <c r="HV32" s="319">
        <v>2</v>
      </c>
      <c r="HW32" s="319">
        <v>30</v>
      </c>
      <c r="HX32" s="319" t="str">
        <f t="shared" si="164"/>
        <v>Denmark</v>
      </c>
      <c r="HY32" s="322">
        <f ca="1">IF(OFFSET('Player Game Board'!P39,0,HY1)&lt;&gt;"",OFFSET('Player Game Board'!P39,0,HY1),0)</f>
        <v>3</v>
      </c>
      <c r="HZ32" s="322">
        <f ca="1">IF(OFFSET('Player Game Board'!Q39,0,HY1)&lt;&gt;"",OFFSET('Player Game Board'!Q39,0,HY1),0)</f>
        <v>0</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106</v>
      </c>
      <c r="IU32" s="319" t="str">
        <f ca="1">VLOOKUP(1,DY37:DZ40,2,FALSE)</f>
        <v>Portugal</v>
      </c>
      <c r="IV32" s="325">
        <f t="shared" ca="1" si="5047"/>
        <v>1</v>
      </c>
      <c r="IW32" s="319">
        <f ca="1">VLOOKUP(IX32,MS31:MT35,2,FALSE)</f>
        <v>4</v>
      </c>
      <c r="IX32" s="319" t="str">
        <f t="shared" ref="IX32:IX34" si="10053">DZ32</f>
        <v>Slovakia</v>
      </c>
      <c r="IY32" s="319">
        <f ca="1">SUMPRODUCT((MV3:MV42=IX32)*(MZ3:MZ42="W"))+SUMPRODUCT((MY3:MY42=IX32)*(NA3:NA42="W"))</f>
        <v>0</v>
      </c>
      <c r="IZ32" s="319">
        <f ca="1">SUMPRODUCT((MV3:MV42=IX32)*(MZ3:MZ42="D"))+SUMPRODUCT((MY3:MY42=IX32)*(NA3:NA42="D"))</f>
        <v>2</v>
      </c>
      <c r="JA32" s="319">
        <f ca="1">SUMPRODUCT((MV3:MV42=IX32)*(MZ3:MZ42="L"))+SUMPRODUCT((MY3:MY42=IX32)*(NA3:NA42="L"))</f>
        <v>1</v>
      </c>
      <c r="JB32" s="319">
        <f ca="1">SUMIF(MV3:MV60,IX32,MW3:MW60)+SUMIF(MY3:MY60,IX32,MX3:MX60)</f>
        <v>2</v>
      </c>
      <c r="JC32" s="319">
        <f ca="1">SUMIF(MY3:MY60,IX32,MW3:MW60)+SUMIF(MV3:MV60,IX32,MX3:MX60)</f>
        <v>3</v>
      </c>
      <c r="JD32" s="319">
        <f t="shared" ca="1" si="9700"/>
        <v>999</v>
      </c>
      <c r="JE32" s="319">
        <f t="shared" ca="1" si="9701"/>
        <v>2</v>
      </c>
      <c r="JF32" s="319">
        <f t="shared" si="618"/>
        <v>38</v>
      </c>
      <c r="JG32" s="319">
        <f ca="1">IF(COUNTIF(JE31:JE35,4)&lt;&gt;4,RANK(JE32,JE31:JE35),JE72)</f>
        <v>3</v>
      </c>
      <c r="JH32" s="319"/>
      <c r="JI32" s="319">
        <f ca="1">SUMPRODUCT((JG31:JG34=JG32)*(JF31:JF34&lt;JF32))+JG32</f>
        <v>3</v>
      </c>
      <c r="JJ32" s="319" t="str">
        <f ca="1">INDEX(IX31:IX35,MATCH(2,JI31:JI35,0),0)</f>
        <v>Ukraine</v>
      </c>
      <c r="JK32" s="319">
        <f ca="1">INDEX(JG31:JG35,MATCH(JJ32,IX31:IX35,0),0)</f>
        <v>2</v>
      </c>
      <c r="JL32" s="319" t="str">
        <f ca="1">IF(JL31&lt;&gt;"",JJ32,"")</f>
        <v/>
      </c>
      <c r="JM32" s="319" t="str">
        <f ca="1">IF(JM31&lt;&gt;"",JJ33,"")</f>
        <v/>
      </c>
      <c r="JN32" s="319" t="str">
        <f ca="1">IF(JN31&lt;&gt;"",JJ34,"")</f>
        <v>Romania</v>
      </c>
      <c r="JO32" s="319" t="str">
        <f>IF(JO31&lt;&gt;"",JJ35,"")</f>
        <v/>
      </c>
      <c r="JP32" s="319"/>
      <c r="JQ32" s="319" t="str">
        <f t="shared" ref="JQ32:JQ34" ca="1" si="10054">IF(JL32&lt;&gt;"",JL32,"")</f>
        <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19">
        <f ca="1">JU32-JV32+1000</f>
        <v>1000</v>
      </c>
      <c r="JX32" s="319" t="str">
        <f t="shared" ca="1" si="9702"/>
        <v/>
      </c>
      <c r="JY32" s="319" t="str">
        <f ca="1">IF(JQ32&lt;&gt;"",VLOOKUP(JQ32,IX4:JD40,7,FALSE),"")</f>
        <v/>
      </c>
      <c r="JZ32" s="319" t="str">
        <f ca="1">IF(JQ32&lt;&gt;"",VLOOKUP(JQ32,IX4:JD40,5,FALSE),"")</f>
        <v/>
      </c>
      <c r="KA32" s="319" t="str">
        <f ca="1">IF(JQ32&lt;&gt;"",VLOOKUP(JQ32,IX4:JF40,9,FALSE),"")</f>
        <v/>
      </c>
      <c r="KB32" s="319" t="str">
        <f t="shared" ca="1" si="9703"/>
        <v/>
      </c>
      <c r="KC32" s="319" t="str">
        <f ca="1">IF(JQ32&lt;&gt;"",RANK(KB32,KB31:KB35),"")</f>
        <v/>
      </c>
      <c r="KD32" s="319" t="str">
        <f ca="1">IF(JQ32&lt;&gt;"",SUMPRODUCT((KB31:KB35=KB32)*(JW31:JW35&gt;JW32)),"")</f>
        <v/>
      </c>
      <c r="KE32" s="319" t="str">
        <f ca="1">IF(JQ32&lt;&gt;"",SUMPRODUCT((KB31:KB35=KB32)*(JW31:JW35=JW32)*(JU31:JU35&gt;JU32)),"")</f>
        <v/>
      </c>
      <c r="KF32" s="319" t="str">
        <f ca="1">IF(JQ32&lt;&gt;"",SUMPRODUCT((KB31:KB35=KB32)*(JW31:JW35=JW32)*(JU31:JU35=JU32)*(JY31:JY35&gt;JY32)),"")</f>
        <v/>
      </c>
      <c r="KG32" s="319" t="str">
        <f ca="1">IF(JQ32&lt;&gt;"",SUMPRODUCT((KB31:KB35=KB32)*(JW31:JW35=JW32)*(JU31:JU35=JU32)*(JY31:JY35=JY32)*(JZ31:JZ35&gt;JZ32)),"")</f>
        <v/>
      </c>
      <c r="KH32" s="319" t="str">
        <f ca="1">IF(JQ32&lt;&gt;"",SUMPRODUCT((KB31:KB35=KB32)*(JW31:JW35=JW32)*(JU31:JU35=JU32)*(JY31:JY35=JY32)*(JZ31:JZ35=JZ32)*(KA31:KA35&gt;KA32)),"")</f>
        <v/>
      </c>
      <c r="KI32" s="319" t="str">
        <f ca="1">IF(JQ32&lt;&gt;"",IF(KI72&lt;&gt;"",IF(JP70=3,KI72,KI72+JP70),SUM(KC32:KH32)),"")</f>
        <v/>
      </c>
      <c r="KJ32" s="319" t="str">
        <f ca="1">IF(JQ32&lt;&gt;"",INDEX(JQ31:JQ35,MATCH(2,KI31:KI35,0),0),"")</f>
        <v/>
      </c>
      <c r="KK32" s="319" t="str">
        <f ca="1">IF(JM31&lt;&gt;"",JM31,"")</f>
        <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0</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0</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0</v>
      </c>
      <c r="KQ32" s="319">
        <f ca="1">KO32-KP32+1000</f>
        <v>1000</v>
      </c>
      <c r="KR32" s="319" t="str">
        <f t="shared" ref="KR32:KR34" ca="1" si="10055">IF(KK32&lt;&gt;"",KL32*3+KM32*1,"")</f>
        <v/>
      </c>
      <c r="KS32" s="319" t="str">
        <f ca="1">IF(KK32&lt;&gt;"",VLOOKUP(KK32,IX4:JD40,7,FALSE),"")</f>
        <v/>
      </c>
      <c r="KT32" s="319" t="str">
        <f ca="1">IF(KK32&lt;&gt;"",VLOOKUP(KK32,IX4:JD40,5,FALSE),"")</f>
        <v/>
      </c>
      <c r="KU32" s="319" t="str">
        <f ca="1">IF(KK32&lt;&gt;"",VLOOKUP(KK32,IX4:JF40,9,FALSE),"")</f>
        <v/>
      </c>
      <c r="KV32" s="319" t="str">
        <f t="shared" ref="KV32:KV34" ca="1" si="10056">KR32</f>
        <v/>
      </c>
      <c r="KW32" s="319" t="str">
        <f ca="1">IF(KK32&lt;&gt;"",RANK(KV32,KV31:KV35),"")</f>
        <v/>
      </c>
      <c r="KX32" s="319" t="str">
        <f ca="1">IF(KK32&lt;&gt;"",SUMPRODUCT((KV31:KV35=KV32)*(KQ31:KQ35&gt;KQ32)),"")</f>
        <v/>
      </c>
      <c r="KY32" s="319" t="str">
        <f ca="1">IF(KK32&lt;&gt;"",SUMPRODUCT((KV31:KV35=KV32)*(KQ31:KQ35=KQ32)*(KO31:KO35&gt;KO32)),"")</f>
        <v/>
      </c>
      <c r="KZ32" s="319" t="str">
        <f ca="1">IF(KK32&lt;&gt;"",SUMPRODUCT((KV31:KV35=KV32)*(KQ31:KQ35=KQ32)*(KO31:KO35=KO32)*(KS31:KS35&gt;KS32)),"")</f>
        <v/>
      </c>
      <c r="LA32" s="319" t="str">
        <f ca="1">IF(KK32&lt;&gt;"",SUMPRODUCT((KV31:KV35=KV32)*(KQ31:KQ35=KQ32)*(KO31:KO35=KO32)*(KS31:KS35=KS32)*(KT31:KT35&gt;KT32)),"")</f>
        <v/>
      </c>
      <c r="LB32" s="319" t="str">
        <f ca="1">IF(KK32&lt;&gt;"",SUMPRODUCT((KV31:KV35=KV32)*(KQ31:KQ35=KQ32)*(KO31:KO35=KO32)*(KS31:KS35=KS32)*(KT31:KT35=KT32)*(KU31:KU35&gt;KU32)),"")</f>
        <v/>
      </c>
      <c r="LC32" s="319" t="str">
        <f ca="1">IF(KK32&lt;&gt;"",IF(LC72&lt;&gt;"",IF(KJ70=3,LC72,LC72+KJ70),SUM(KW32:LB32)+1),"")</f>
        <v/>
      </c>
      <c r="LD32" s="319" t="str">
        <f ca="1">IF(KK32&lt;&gt;"",INDEX(KK32:KK35,MATCH(2,LC32:LC35,0),0),"")</f>
        <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1</v>
      </c>
      <c r="MX32" s="322">
        <f ca="1">IF(OFFSET('Player Game Board'!Q39,0,MW1)&lt;&gt;"",OFFSET('Player Game Board'!Q39,0,MW1),0)</f>
        <v>1</v>
      </c>
      <c r="MY32" s="319" t="str">
        <f t="shared" si="171"/>
        <v>Serbia</v>
      </c>
      <c r="MZ32" s="319" t="str">
        <f ca="1">IF(AND(OFFSET('Player Game Board'!P39,0,MW1)&lt;&gt;"",OFFSET('Player Game Board'!Q39,0,MW1)&lt;&gt;""),IF(MW32&gt;MX32,"W",IF(MW32=MX32,"D","L")),"")</f>
        <v>D</v>
      </c>
      <c r="NA32" s="319" t="str">
        <f t="shared" ca="1" si="172"/>
        <v>D</v>
      </c>
      <c r="NB32" s="319"/>
      <c r="NC32" s="319"/>
      <c r="ND32" s="319"/>
      <c r="NE32" s="320"/>
      <c r="NF32" s="320"/>
      <c r="NG32" s="320"/>
      <c r="NH32" s="320"/>
      <c r="NI32" s="320"/>
      <c r="NJ32" s="320"/>
      <c r="NK32" s="320"/>
      <c r="NL32" s="319"/>
      <c r="NM32" s="319"/>
      <c r="NN32" s="319"/>
      <c r="NO32" s="319"/>
      <c r="NP32" s="319"/>
      <c r="NQ32" s="319"/>
      <c r="NR32" s="319" t="s">
        <v>106</v>
      </c>
      <c r="NS32" s="319" t="str">
        <f ca="1">VLOOKUP(1,IW37:IX40,2,FALSE)</f>
        <v>Czechia</v>
      </c>
      <c r="NT32" s="325">
        <f t="shared" ca="1" si="5052"/>
        <v>1</v>
      </c>
      <c r="NU32" s="319">
        <f t="shared" ref="NU32" ca="1" si="10057">VLOOKUP(NV32,RQ31:RR35,2,FALSE)</f>
        <v>4</v>
      </c>
      <c r="NV32" s="319" t="str">
        <f t="shared" si="9705"/>
        <v>Slovakia</v>
      </c>
      <c r="NW32" s="319">
        <f t="shared" ref="NW32" ca="1" si="10058">SUMPRODUCT((RT3:RT42=NV32)*(RX3:RX42="W"))+SUMPRODUCT((RW3:RW42=NV32)*(RY3:RY42="W"))</f>
        <v>0</v>
      </c>
      <c r="NX32" s="319">
        <f t="shared" ref="NX32" ca="1" si="10059">SUMPRODUCT((RT3:RT42=NV32)*(RX3:RX42="D"))+SUMPRODUCT((RW3:RW42=NV32)*(RY3:RY42="D"))</f>
        <v>1</v>
      </c>
      <c r="NY32" s="319">
        <f t="shared" ref="NY32" ca="1" si="10060">SUMPRODUCT((RT3:RT42=NV32)*(RX3:RX42="L"))+SUMPRODUCT((RW3:RW42=NV32)*(RY3:RY42="L"))</f>
        <v>2</v>
      </c>
      <c r="NZ32" s="319">
        <f t="shared" ref="NZ32" ca="1" si="10061">SUMIF(RT3:RT60,NV32,RU3:RU60)+SUMIF(RW3:RW60,NV32,RV3:RV60)</f>
        <v>0</v>
      </c>
      <c r="OA32" s="319">
        <f t="shared" ref="OA32" ca="1" si="10062">SUMIF(RW3:RW60,NV32,RU3:RU60)+SUMIF(RT3:RT60,NV32,RV3:RV60)</f>
        <v>2</v>
      </c>
      <c r="OB32" s="319">
        <f t="shared" ca="1" si="9711"/>
        <v>998</v>
      </c>
      <c r="OC32" s="319">
        <f t="shared" ca="1" si="9712"/>
        <v>1</v>
      </c>
      <c r="OD32" s="319">
        <f t="shared" si="630"/>
        <v>38</v>
      </c>
      <c r="OE32" s="319">
        <f t="shared" ref="OE32" ca="1" si="10063">IF(COUNTIF(OC31:OC35,4)&lt;&gt;4,RANK(OC32,OC31:OC35),OC72)</f>
        <v>4</v>
      </c>
      <c r="OF32" s="319"/>
      <c r="OG32" s="319">
        <f t="shared" ref="OG32" ca="1" si="10064">SUMPRODUCT((OE31:OE34=OE32)*(OD31:OD34&lt;OD32))+OE32</f>
        <v>4</v>
      </c>
      <c r="OH32" s="319" t="str">
        <f t="shared" ref="OH32" ca="1" si="10065">INDEX(NV31:NV35,MATCH(2,OG31:OG35,0),0)</f>
        <v>Ukraine</v>
      </c>
      <c r="OI32" s="319">
        <f t="shared" ref="OI32" ca="1" si="10066">INDEX(OE31:OE35,MATCH(OH32,NV31:NV35,0),0)</f>
        <v>2</v>
      </c>
      <c r="OJ32" s="319" t="str">
        <f t="shared" ref="OJ32" ca="1" si="10067">IF(OJ31&lt;&gt;"",OH32,"")</f>
        <v/>
      </c>
      <c r="OK32" s="319" t="str">
        <f t="shared" ref="OK32" ca="1" si="10068">IF(OK31&lt;&gt;"",OH33,"")</f>
        <v/>
      </c>
      <c r="OL32" s="319" t="str">
        <f t="shared" ref="OL32" ca="1" si="10069">IF(OL31&lt;&gt;"",OH34,"")</f>
        <v/>
      </c>
      <c r="OM32" s="319" t="str">
        <f t="shared" ref="OM32" si="10070">IF(OM31&lt;&gt;"",OH35,"")</f>
        <v/>
      </c>
      <c r="ON32" s="319"/>
      <c r="OO32" s="319" t="str">
        <f t="shared" ca="1" si="9721"/>
        <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t="str">
        <f t="shared" ca="1" si="9728"/>
        <v/>
      </c>
      <c r="OW32" s="319" t="str">
        <f t="shared" ref="OW32" ca="1" si="10076">IF(OO32&lt;&gt;"",VLOOKUP(OO32,NV4:OB40,7,FALSE),"")</f>
        <v/>
      </c>
      <c r="OX32" s="319" t="str">
        <f t="shared" ref="OX32" ca="1" si="10077">IF(OO32&lt;&gt;"",VLOOKUP(OO32,NV4:OB40,5,FALSE),"")</f>
        <v/>
      </c>
      <c r="OY32" s="319" t="str">
        <f t="shared" ref="OY32" ca="1" si="10078">IF(OO32&lt;&gt;"",VLOOKUP(OO32,NV4:OD40,9,FALSE),"")</f>
        <v/>
      </c>
      <c r="OZ32" s="319" t="str">
        <f t="shared" ca="1" si="9732"/>
        <v/>
      </c>
      <c r="PA32" s="319" t="str">
        <f t="shared" ref="PA32" ca="1" si="10079">IF(OO32&lt;&gt;"",RANK(OZ32,OZ31:OZ35),"")</f>
        <v/>
      </c>
      <c r="PB32" s="319" t="str">
        <f t="shared" ref="PB32" ca="1" si="10080">IF(OO32&lt;&gt;"",SUMPRODUCT((OZ31:OZ35=OZ32)*(OU31:OU35&gt;OU32)),"")</f>
        <v/>
      </c>
      <c r="PC32" s="319" t="str">
        <f t="shared" ref="PC32" ca="1" si="10081">IF(OO32&lt;&gt;"",SUMPRODUCT((OZ31:OZ35=OZ32)*(OU31:OU35=OU32)*(OS31:OS35&gt;OS32)),"")</f>
        <v/>
      </c>
      <c r="PD32" s="319" t="str">
        <f t="shared" ref="PD32" ca="1" si="10082">IF(OO32&lt;&gt;"",SUMPRODUCT((OZ31:OZ35=OZ32)*(OU31:OU35=OU32)*(OS31:OS35=OS32)*(OW31:OW35&gt;OW32)),"")</f>
        <v/>
      </c>
      <c r="PE32" s="319" t="str">
        <f t="shared" ref="PE32" ca="1" si="10083">IF(OO32&lt;&gt;"",SUMPRODUCT((OZ31:OZ35=OZ32)*(OU31:OU35=OU32)*(OS31:OS35=OS32)*(OW31:OW35=OW32)*(OX31:OX35&gt;OX32)),"")</f>
        <v/>
      </c>
      <c r="PF32" s="319" t="str">
        <f t="shared" ref="PF32" ca="1" si="10084">IF(OO32&lt;&gt;"",SUMPRODUCT((OZ31:OZ35=OZ32)*(OU31:OU35=OU32)*(OS31:OS35=OS32)*(OW31:OW35=OW32)*(OX31:OX35=OX32)*(OY31:OY35&gt;OY32)),"")</f>
        <v/>
      </c>
      <c r="PG32" s="319" t="str">
        <f ca="1">IF(OO32&lt;&gt;"",IF(PG72&lt;&gt;"",IF(ON70=3,PG72,PG72+ON70),SUM(PA32:PF32)),"")</f>
        <v/>
      </c>
      <c r="PH32" s="319" t="str">
        <f t="shared" ref="PH32" ca="1" si="10085">IF(OO32&lt;&gt;"",INDEX(OO31:OO35,MATCH(2,PG31:PG35,0),0),"")</f>
        <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Ukraine</v>
      </c>
      <c r="RR32" s="319">
        <v>2</v>
      </c>
      <c r="RS32" s="319">
        <v>30</v>
      </c>
      <c r="RT32" s="319" t="str">
        <f t="shared" si="18"/>
        <v>Denmark</v>
      </c>
      <c r="RU32" s="322">
        <f ca="1">IF(OFFSET('Player Game Board'!P39,0,RU1)&lt;&gt;"",OFFSET('Player Game Board'!P39,0,RU1),0)</f>
        <v>0</v>
      </c>
      <c r="RV32" s="322">
        <f ca="1">IF(OFFSET('Player Game Board'!Q39,0,RU1)&lt;&gt;"",OFFSET('Player Game Board'!Q39,0,RU1),0)</f>
        <v>0</v>
      </c>
      <c r="RW32" s="319" t="str">
        <f t="shared" si="19"/>
        <v>Serbia</v>
      </c>
      <c r="RX32" s="319" t="str">
        <f ca="1">IF(AND(OFFSET('Player Game Board'!P39,0,RU1)&lt;&gt;"",OFFSET('Player Game Board'!Q39,0,RU1)&lt;&gt;""),IF(RU32&gt;RV32,"W",IF(RU32=RV32,"D","L")),"")</f>
        <v>D</v>
      </c>
      <c r="RY32" s="319" t="str">
        <f t="shared" ca="1" si="5500"/>
        <v>D</v>
      </c>
      <c r="RZ32" s="319"/>
      <c r="SA32" s="319"/>
      <c r="SB32" s="319"/>
      <c r="SC32" s="320"/>
      <c r="SD32" s="320"/>
      <c r="SE32" s="320"/>
      <c r="SF32" s="320"/>
      <c r="SG32" s="320"/>
      <c r="SH32" s="320"/>
      <c r="SI32" s="320"/>
      <c r="SJ32" s="319"/>
      <c r="SK32" s="319"/>
      <c r="SL32" s="319"/>
      <c r="SM32" s="319"/>
      <c r="SN32" s="319"/>
      <c r="SO32" s="319"/>
      <c r="SP32" s="319" t="s">
        <v>106</v>
      </c>
      <c r="SQ32" s="319" t="str">
        <f t="shared" ref="SQ32" ca="1" si="10106">VLOOKUP(1,NU37:NV40,2,FALSE)</f>
        <v>Türkiye</v>
      </c>
      <c r="SR32" s="325">
        <f t="shared" ca="1" si="5095"/>
        <v>1</v>
      </c>
      <c r="SS32" s="319">
        <f t="shared" ref="SS32" ca="1" si="10107">VLOOKUP(ST32,WO31:WP35,2,FALSE)</f>
        <v>4</v>
      </c>
      <c r="ST32" s="319" t="str">
        <f t="shared" si="9743"/>
        <v>Slovakia</v>
      </c>
      <c r="SU32" s="319">
        <f t="shared" ref="SU32" ca="1" si="10108">SUMPRODUCT((WR3:WR42=ST32)*(WV3:WV42="W"))+SUMPRODUCT((WU3:WU42=ST32)*(WW3:WW42="W"))</f>
        <v>0</v>
      </c>
      <c r="SV32" s="319">
        <f t="shared" ref="SV32" ca="1" si="10109">SUMPRODUCT((WR3:WR42=ST32)*(WV3:WV42="D"))+SUMPRODUCT((WU3:WU42=ST32)*(WW3:WW42="D"))</f>
        <v>0</v>
      </c>
      <c r="SW32" s="319">
        <f t="shared" ref="SW32" ca="1" si="10110">SUMPRODUCT((WR3:WR42=ST32)*(WV3:WV42="L"))+SUMPRODUCT((WU3:WU42=ST32)*(WW3:WW42="L"))</f>
        <v>3</v>
      </c>
      <c r="SX32" s="319">
        <f t="shared" ref="SX32" ca="1" si="10111">SUMIF(WR3:WR60,ST32,WS3:WS60)+SUMIF(WU3:WU60,ST32,WT3:WT60)</f>
        <v>1</v>
      </c>
      <c r="SY32" s="319">
        <f t="shared" ref="SY32" ca="1" si="10112">SUMIF(WU3:WU60,ST32,WS3:WS60)+SUMIF(WR3:WR60,ST32,WT3:WT60)</f>
        <v>5</v>
      </c>
      <c r="SZ32" s="319">
        <f t="shared" ca="1" si="9749"/>
        <v>996</v>
      </c>
      <c r="TA32" s="319">
        <f t="shared" ca="1" si="9750"/>
        <v>0</v>
      </c>
      <c r="TB32" s="319">
        <f t="shared" si="690"/>
        <v>38</v>
      </c>
      <c r="TC32" s="319">
        <f t="shared" ref="TC32" ca="1" si="10113">IF(COUNTIF(TA31:TA35,4)&lt;&gt;4,RANK(TA32,TA31:TA35),TA72)</f>
        <v>4</v>
      </c>
      <c r="TD32" s="319"/>
      <c r="TE32" s="319">
        <f t="shared" ref="TE32" ca="1" si="10114">SUMPRODUCT((TC31:TC34=TC32)*(TB31:TB34&lt;TB32))+TC32</f>
        <v>4</v>
      </c>
      <c r="TF32" s="319" t="str">
        <f t="shared" ref="TF32" ca="1" si="10115">INDEX(ST31:ST35,MATCH(2,TE31:TE35,0),0)</f>
        <v>Ukraine</v>
      </c>
      <c r="TG32" s="319">
        <f t="shared" ref="TG32" ca="1" si="10116">INDEX(TC31:TC35,MATCH(TF32,ST31:ST35,0),0)</f>
        <v>2</v>
      </c>
      <c r="TH32" s="319" t="str">
        <f t="shared" ref="TH32" ca="1" si="10117">IF(TH31&lt;&gt;"",TF32,"")</f>
        <v/>
      </c>
      <c r="TI32" s="319" t="str">
        <f t="shared" ref="TI32" ca="1" si="10118">IF(TI31&lt;&gt;"",TF33,"")</f>
        <v>Romania</v>
      </c>
      <c r="TJ32" s="319" t="str">
        <f t="shared" ref="TJ32" ca="1" si="10119">IF(TJ31&lt;&gt;"",TF34,"")</f>
        <v/>
      </c>
      <c r="TK32" s="319" t="str">
        <f t="shared" ref="TK32" si="10120">IF(TK31&lt;&gt;"",TF35,"")</f>
        <v/>
      </c>
      <c r="TL32" s="319"/>
      <c r="TM32" s="319" t="str">
        <f t="shared" ca="1" si="9759"/>
        <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t="str">
        <f t="shared" ca="1" si="9766"/>
        <v/>
      </c>
      <c r="TU32" s="319" t="str">
        <f t="shared" ref="TU32" ca="1" si="10126">IF(TM32&lt;&gt;"",VLOOKUP(TM32,ST4:SZ40,7,FALSE),"")</f>
        <v/>
      </c>
      <c r="TV32" s="319" t="str">
        <f t="shared" ref="TV32" ca="1" si="10127">IF(TM32&lt;&gt;"",VLOOKUP(TM32,ST4:SZ40,5,FALSE),"")</f>
        <v/>
      </c>
      <c r="TW32" s="319" t="str">
        <f t="shared" ref="TW32" ca="1" si="10128">IF(TM32&lt;&gt;"",VLOOKUP(TM32,ST4:TB40,9,FALSE),"")</f>
        <v/>
      </c>
      <c r="TX32" s="319" t="str">
        <f t="shared" ca="1" si="9770"/>
        <v/>
      </c>
      <c r="TY32" s="319" t="str">
        <f t="shared" ref="TY32" ca="1" si="10129">IF(TM32&lt;&gt;"",RANK(TX32,TX31:TX35),"")</f>
        <v/>
      </c>
      <c r="TZ32" s="319" t="str">
        <f t="shared" ref="TZ32" ca="1" si="10130">IF(TM32&lt;&gt;"",SUMPRODUCT((TX31:TX35=TX32)*(TS31:TS35&gt;TS32)),"")</f>
        <v/>
      </c>
      <c r="UA32" s="319" t="str">
        <f t="shared" ref="UA32" ca="1" si="10131">IF(TM32&lt;&gt;"",SUMPRODUCT((TX31:TX35=TX32)*(TS31:TS35=TS32)*(TQ31:TQ35&gt;TQ32)),"")</f>
        <v/>
      </c>
      <c r="UB32" s="319" t="str">
        <f t="shared" ref="UB32" ca="1" si="10132">IF(TM32&lt;&gt;"",SUMPRODUCT((TX31:TX35=TX32)*(TS31:TS35=TS32)*(TQ31:TQ35=TQ32)*(TU31:TU35&gt;TU32)),"")</f>
        <v/>
      </c>
      <c r="UC32" s="319" t="str">
        <f t="shared" ref="UC32" ca="1" si="10133">IF(TM32&lt;&gt;"",SUMPRODUCT((TX31:TX35=TX32)*(TS31:TS35=TS32)*(TQ31:TQ35=TQ32)*(TU31:TU35=TU32)*(TV31:TV35&gt;TV32)),"")</f>
        <v/>
      </c>
      <c r="UD32" s="319" t="str">
        <f t="shared" ref="UD32" ca="1" si="10134">IF(TM32&lt;&gt;"",SUMPRODUCT((TX31:TX35=TX32)*(TS31:TS35=TS32)*(TQ31:TQ35=TQ32)*(TU31:TU35=TU32)*(TV31:TV35=TV32)*(TW31:TW35&gt;TW32)),"")</f>
        <v/>
      </c>
      <c r="UE32" s="319" t="str">
        <f ca="1">IF(TM32&lt;&gt;"",IF(UE72&lt;&gt;"",IF(TL70=3,UE72,UE72+TL70),SUM(TY32:UD32)),"")</f>
        <v/>
      </c>
      <c r="UF32" s="319" t="str">
        <f t="shared" ref="UF32" ca="1" si="10135">IF(TM32&lt;&gt;"",INDEX(TM31:TM35,MATCH(2,UE31:UE35,0),0),"")</f>
        <v/>
      </c>
      <c r="UG32" s="319" t="str">
        <f t="shared" ref="UG32:UG34" ca="1" si="10136">IF(TI31&lt;&gt;"",TI31,"")</f>
        <v>Ukraine</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1</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f t="shared" ref="UN32:UN34" ca="1" si="10143">IF(UG32&lt;&gt;"",UH32*3+UI32*1,"")</f>
        <v>1</v>
      </c>
      <c r="UO32" s="319">
        <f t="shared" ref="UO32" ca="1" si="10144">IF(UG32&lt;&gt;"",VLOOKUP(UG32,ST4:SZ40,7,FALSE),"")</f>
        <v>999</v>
      </c>
      <c r="UP32" s="319">
        <f t="shared" ref="UP32" ca="1" si="10145">IF(UG32&lt;&gt;"",VLOOKUP(UG32,ST4:SZ40,5,FALSE),"")</f>
        <v>1</v>
      </c>
      <c r="UQ32" s="319">
        <f t="shared" ref="UQ32" ca="1" si="10146">IF(UG32&lt;&gt;"",VLOOKUP(UG32,ST4:TB40,9,FALSE),"")</f>
        <v>0</v>
      </c>
      <c r="UR32" s="319">
        <f t="shared" ref="UR32:UR34" ca="1" si="10147">UN32</f>
        <v>1</v>
      </c>
      <c r="US32" s="319">
        <f t="shared" ref="US32" ca="1" si="10148">IF(UG32&lt;&gt;"",RANK(UR32,UR31:UR35),"")</f>
        <v>1</v>
      </c>
      <c r="UT32" s="319">
        <f t="shared" ref="UT32" ca="1" si="10149">IF(UG32&lt;&gt;"",SUMPRODUCT((UR31:UR35=UR32)*(UM31:UM35&gt;UM32)),"")</f>
        <v>0</v>
      </c>
      <c r="UU32" s="319">
        <f t="shared" ref="UU32" ca="1" si="10150">IF(UG32&lt;&gt;"",SUMPRODUCT((UR31:UR35=UR32)*(UM31:UM35=UM32)*(UK31:UK35&gt;UK32)),"")</f>
        <v>0</v>
      </c>
      <c r="UV32" s="319">
        <f t="shared" ref="UV32" ca="1" si="10151">IF(UG32&lt;&gt;"",SUMPRODUCT((UR31:UR35=UR32)*(UM31:UM35=UM32)*(UK31:UK35=UK32)*(UO31:UO35&gt;UO32)),"")</f>
        <v>0</v>
      </c>
      <c r="UW32" s="319">
        <f t="shared" ref="UW32" ca="1" si="10152">IF(UG32&lt;&gt;"",SUMPRODUCT((UR31:UR35=UR32)*(UM31:UM35=UM32)*(UK31:UK35=UK32)*(UO31:UO35=UO32)*(UP31:UP35&gt;UP32)),"")</f>
        <v>1</v>
      </c>
      <c r="UX32" s="319">
        <f t="shared" ref="UX32" ca="1" si="10153">IF(UG32&lt;&gt;"",SUMPRODUCT((UR31:UR35=UR32)*(UM31:UM35=UM32)*(UK31:UK35=UK32)*(UO31:UO35=UO32)*(UP31:UP35=UP32)*(UQ31:UQ35&gt;UQ32)),"")</f>
        <v>0</v>
      </c>
      <c r="UY32" s="319">
        <f ca="1">IF(UG32&lt;&gt;"",IF(UY72&lt;&gt;"",IF(UF70=3,UY72,UY72+UF70),SUM(US32:UX32)+1),"")</f>
        <v>3</v>
      </c>
      <c r="UZ32" s="319" t="str">
        <f t="shared" ref="UZ32" ca="1" si="10154">IF(UG32&lt;&gt;"",INDEX(UG32:UG35,MATCH(2,UY32:UY35,0),0),"")</f>
        <v>Romania</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Romania</v>
      </c>
      <c r="WP32" s="319">
        <v>2</v>
      </c>
      <c r="WQ32" s="319">
        <v>30</v>
      </c>
      <c r="WR32" s="319" t="str">
        <f t="shared" si="34"/>
        <v>Denmark</v>
      </c>
      <c r="WS32" s="322">
        <f ca="1">IF(OFFSET('Player Game Board'!P39,0,WS1)&lt;&gt;"",OFFSET('Player Game Board'!P39,0,WS1),0)</f>
        <v>1</v>
      </c>
      <c r="WT32" s="322">
        <f ca="1">IF(OFFSET('Player Game Board'!Q39,0,WS1)&lt;&gt;"",OFFSET('Player Game Board'!Q39,0,WS1),0)</f>
        <v>0</v>
      </c>
      <c r="WU32" s="319" t="str">
        <f t="shared" si="35"/>
        <v>Serbia</v>
      </c>
      <c r="WV32" s="319" t="str">
        <f ca="1">IF(AND(OFFSET('Player Game Board'!P39,0,WS1)&lt;&gt;"",OFFSET('Player Game Board'!Q39,0,WS1)&lt;&gt;""),IF(WS32&gt;WT32,"W",IF(WS32=WT32,"D","L")),"")</f>
        <v>W</v>
      </c>
      <c r="WW32" s="319" t="str">
        <f t="shared" ca="1" si="5555"/>
        <v>L</v>
      </c>
      <c r="WX32" s="319"/>
      <c r="WY32" s="319"/>
      <c r="WZ32" s="319"/>
      <c r="XA32" s="320"/>
      <c r="XB32" s="320"/>
      <c r="XC32" s="320"/>
      <c r="XD32" s="320"/>
      <c r="XE32" s="320"/>
      <c r="XF32" s="320"/>
      <c r="XG32" s="320"/>
      <c r="XH32" s="319"/>
      <c r="XI32" s="319"/>
      <c r="XJ32" s="319"/>
      <c r="XK32" s="319"/>
      <c r="XL32" s="319"/>
      <c r="XM32" s="319"/>
      <c r="XN32" s="319" t="s">
        <v>106</v>
      </c>
      <c r="XO32" s="319" t="str">
        <f t="shared" ref="XO32" ca="1" si="10156">VLOOKUP(1,SS37:ST40,2,FALSE)</f>
        <v>Portugal</v>
      </c>
      <c r="XP32" s="325">
        <f t="shared" ca="1" si="5138"/>
        <v>1</v>
      </c>
      <c r="XQ32" s="319">
        <f t="shared" ref="XQ32" ca="1" si="10157">VLOOKUP(XR32,ABM31:ABN35,2,FALSE)</f>
        <v>4</v>
      </c>
      <c r="XR32" s="319" t="str">
        <f t="shared" si="9781"/>
        <v>Slovakia</v>
      </c>
      <c r="XS32" s="319">
        <f t="shared" ref="XS32" ca="1" si="10158">SUMPRODUCT((ABP3:ABP42=XR32)*(ABT3:ABT42="W"))+SUMPRODUCT((ABS3:ABS42=XR32)*(ABU3:ABU42="W"))</f>
        <v>0</v>
      </c>
      <c r="XT32" s="319">
        <f t="shared" ref="XT32" ca="1" si="10159">SUMPRODUCT((ABP3:ABP42=XR32)*(ABT3:ABT42="D"))+SUMPRODUCT((ABS3:ABS42=XR32)*(ABU3:ABU42="D"))</f>
        <v>1</v>
      </c>
      <c r="XU32" s="319">
        <f t="shared" ref="XU32" ca="1" si="10160">SUMPRODUCT((ABP3:ABP42=XR32)*(ABT3:ABT42="L"))+SUMPRODUCT((ABS3:ABS42=XR32)*(ABU3:ABU42="L"))</f>
        <v>2</v>
      </c>
      <c r="XV32" s="319">
        <f t="shared" ref="XV32" ca="1" si="10161">SUMIF(ABP3:ABP60,XR32,ABQ3:ABQ60)+SUMIF(ABS3:ABS60,XR32,ABR3:ABR60)</f>
        <v>1</v>
      </c>
      <c r="XW32" s="319">
        <f t="shared" ref="XW32" ca="1" si="10162">SUMIF(ABS3:ABS60,XR32,ABQ3:ABQ60)+SUMIF(ABP3:ABP60,XR32,ABR3:ABR60)</f>
        <v>3</v>
      </c>
      <c r="XX32" s="319">
        <f t="shared" ca="1" si="9787"/>
        <v>998</v>
      </c>
      <c r="XY32" s="319">
        <f t="shared" ca="1" si="9788"/>
        <v>1</v>
      </c>
      <c r="XZ32" s="319">
        <f t="shared" si="750"/>
        <v>38</v>
      </c>
      <c r="YA32" s="319">
        <f t="shared" ref="YA32" ca="1" si="10163">IF(COUNTIF(XY31:XY35,4)&lt;&gt;4,RANK(XY32,XY31:XY35),XY72)</f>
        <v>4</v>
      </c>
      <c r="YB32" s="319"/>
      <c r="YC32" s="319">
        <f t="shared" ref="YC32" ca="1" si="10164">SUMPRODUCT((YA31:YA34=YA32)*(XZ31:XZ34&lt;XZ32))+YA32</f>
        <v>4</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2</v>
      </c>
      <c r="ABR32" s="322">
        <f ca="1">IF(OFFSET('Player Game Board'!Q39,0,ABQ1)&lt;&gt;"",OFFSET('Player Game Board'!Q39,0,ABQ1),0)</f>
        <v>1</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106</v>
      </c>
      <c r="ACM32" s="319" t="str">
        <f t="shared" ref="ACM32" ca="1" si="10206">VLOOKUP(1,XQ37:XR40,2,FALSE)</f>
        <v>Portugal</v>
      </c>
      <c r="ACN32" s="325">
        <f t="shared" ca="1" si="5181"/>
        <v>1</v>
      </c>
      <c r="ACO32" s="319">
        <f t="shared" ref="ACO32" ca="1" si="10207">VLOOKUP(ACP32,AGK31:AGL35,2,FALSE)</f>
        <v>4</v>
      </c>
      <c r="ACP32" s="319" t="str">
        <f t="shared" si="9819"/>
        <v>Slovakia</v>
      </c>
      <c r="ACQ32" s="319">
        <f t="shared" ref="ACQ32" ca="1" si="10208">SUMPRODUCT((AGN3:AGN42=ACP32)*(AGR3:AGR42="W"))+SUMPRODUCT((AGQ3:AGQ42=ACP32)*(AGS3:AGS42="W"))</f>
        <v>0</v>
      </c>
      <c r="ACR32" s="319">
        <f t="shared" ref="ACR32" ca="1" si="10209">SUMPRODUCT((AGN3:AGN42=ACP32)*(AGR3:AGR42="D"))+SUMPRODUCT((AGQ3:AGQ42=ACP32)*(AGS3:AGS42="D"))</f>
        <v>1</v>
      </c>
      <c r="ACS32" s="319">
        <f t="shared" ref="ACS32" ca="1" si="10210">SUMPRODUCT((AGN3:AGN42=ACP32)*(AGR3:AGR42="L"))+SUMPRODUCT((AGQ3:AGQ42=ACP32)*(AGS3:AGS42="L"))</f>
        <v>2</v>
      </c>
      <c r="ACT32" s="319">
        <f t="shared" ref="ACT32" ca="1" si="10211">SUMIF(AGN3:AGN60,ACP32,AGO3:AGO60)+SUMIF(AGQ3:AGQ60,ACP32,AGP3:AGP60)</f>
        <v>2</v>
      </c>
      <c r="ACU32" s="319">
        <f t="shared" ref="ACU32" ca="1" si="10212">SUMIF(AGQ3:AGQ60,ACP32,AGO3:AGO60)+SUMIF(AGN3:AGN60,ACP32,AGP3:AGP60)</f>
        <v>6</v>
      </c>
      <c r="ACV32" s="319">
        <f t="shared" ca="1" si="9825"/>
        <v>996</v>
      </c>
      <c r="ACW32" s="319">
        <f t="shared" ca="1" si="9826"/>
        <v>1</v>
      </c>
      <c r="ACX32" s="319">
        <f t="shared" si="810"/>
        <v>38</v>
      </c>
      <c r="ACY32" s="319">
        <f t="shared" ref="ACY32" ca="1" si="10213">IF(COUNTIF(ACW31:ACW35,4)&lt;&gt;4,RANK(ACW32,ACW31:ACW35),ACW72)</f>
        <v>3</v>
      </c>
      <c r="ACZ32" s="319"/>
      <c r="ADA32" s="319">
        <f t="shared" ref="ADA32" ca="1" si="10214">SUMPRODUCT((ACY31:ACY34=ACY32)*(ACX31:ACX34&lt;ACX32))+ACY32</f>
        <v>3</v>
      </c>
      <c r="ADB32" s="319" t="str">
        <f t="shared" ref="ADB32" ca="1" si="10215">INDEX(ACP31:ACP35,MATCH(2,ADA31:ADA35,0),0)</f>
        <v>Ukraine</v>
      </c>
      <c r="ADC32" s="319">
        <f t="shared" ref="ADC32" ca="1" si="10216">INDEX(ACY31:ACY35,MATCH(ADB32,ACP31:ACP35,0),0)</f>
        <v>2</v>
      </c>
      <c r="ADD32" s="319" t="str">
        <f t="shared" ref="ADD32" ca="1" si="10217">IF(ADD31&lt;&gt;"",ADB32,"")</f>
        <v/>
      </c>
      <c r="ADE32" s="319" t="str">
        <f t="shared" ref="ADE32" ca="1" si="10218">IF(ADE31&lt;&gt;"",ADB33,"")</f>
        <v/>
      </c>
      <c r="ADF32" s="319" t="str">
        <f t="shared" ref="ADF32" ca="1" si="10219">IF(ADF31&lt;&gt;"",ADB34,"")</f>
        <v>Romania</v>
      </c>
      <c r="ADG32" s="319" t="str">
        <f t="shared" ref="ADG32" si="10220">IF(ADG31&lt;&gt;"",ADB35,"")</f>
        <v/>
      </c>
      <c r="ADH32" s="319"/>
      <c r="ADI32" s="319" t="str">
        <f t="shared" ca="1" si="9835"/>
        <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t="str">
        <f t="shared" ca="1" si="9842"/>
        <v/>
      </c>
      <c r="ADQ32" s="319" t="str">
        <f t="shared" ref="ADQ32" ca="1" si="10226">IF(ADI32&lt;&gt;"",VLOOKUP(ADI32,ACP4:ACV40,7,FALSE),"")</f>
        <v/>
      </c>
      <c r="ADR32" s="319" t="str">
        <f t="shared" ref="ADR32" ca="1" si="10227">IF(ADI32&lt;&gt;"",VLOOKUP(ADI32,ACP4:ACV40,5,FALSE),"")</f>
        <v/>
      </c>
      <c r="ADS32" s="319" t="str">
        <f t="shared" ref="ADS32" ca="1" si="10228">IF(ADI32&lt;&gt;"",VLOOKUP(ADI32,ACP4:ACX40,9,FALSE),"")</f>
        <v/>
      </c>
      <c r="ADT32" s="319" t="str">
        <f t="shared" ca="1" si="9846"/>
        <v/>
      </c>
      <c r="ADU32" s="319" t="str">
        <f t="shared" ref="ADU32" ca="1" si="10229">IF(ADI32&lt;&gt;"",RANK(ADT32,ADT31:ADT35),"")</f>
        <v/>
      </c>
      <c r="ADV32" s="319" t="str">
        <f t="shared" ref="ADV32" ca="1" si="10230">IF(ADI32&lt;&gt;"",SUMPRODUCT((ADT31:ADT35=ADT32)*(ADO31:ADO35&gt;ADO32)),"")</f>
        <v/>
      </c>
      <c r="ADW32" s="319" t="str">
        <f t="shared" ref="ADW32" ca="1" si="10231">IF(ADI32&lt;&gt;"",SUMPRODUCT((ADT31:ADT35=ADT32)*(ADO31:ADO35=ADO32)*(ADM31:ADM35&gt;ADM32)),"")</f>
        <v/>
      </c>
      <c r="ADX32" s="319" t="str">
        <f t="shared" ref="ADX32" ca="1" si="10232">IF(ADI32&lt;&gt;"",SUMPRODUCT((ADT31:ADT35=ADT32)*(ADO31:ADO35=ADO32)*(ADM31:ADM35=ADM32)*(ADQ31:ADQ35&gt;ADQ32)),"")</f>
        <v/>
      </c>
      <c r="ADY32" s="319" t="str">
        <f t="shared" ref="ADY32" ca="1" si="10233">IF(ADI32&lt;&gt;"",SUMPRODUCT((ADT31:ADT35=ADT32)*(ADO31:ADO35=ADO32)*(ADM31:ADM35=ADM32)*(ADQ31:ADQ35=ADQ32)*(ADR31:ADR35&gt;ADR32)),"")</f>
        <v/>
      </c>
      <c r="ADZ32" s="319" t="str">
        <f t="shared" ref="ADZ32" ca="1" si="10234">IF(ADI32&lt;&gt;"",SUMPRODUCT((ADT31:ADT35=ADT32)*(ADO31:ADO35=ADO32)*(ADM31:ADM35=ADM32)*(ADQ31:ADQ35=ADQ32)*(ADR31:ADR35=ADR32)*(ADS31:ADS35&gt;ADS32)),"")</f>
        <v/>
      </c>
      <c r="AEA32" s="319" t="str">
        <f ca="1">IF(ADI32&lt;&gt;"",IF(AEA72&lt;&gt;"",IF(ADH70=3,AEA72,AEA72+ADH70),SUM(ADU32:ADZ32)),"")</f>
        <v/>
      </c>
      <c r="AEB32" s="319" t="str">
        <f t="shared" ref="AEB32" ca="1" si="10235">IF(ADI32&lt;&gt;"",INDEX(ADI31:ADI35,MATCH(2,AEA31:AEA35,0),0),"")</f>
        <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Ukraine</v>
      </c>
      <c r="AGL32" s="319">
        <v>2</v>
      </c>
      <c r="AGM32" s="319">
        <v>30</v>
      </c>
      <c r="AGN32" s="319" t="str">
        <f t="shared" si="66"/>
        <v>Denmark</v>
      </c>
      <c r="AGO32" s="322">
        <f ca="1">IF(OFFSET('Player Game Board'!P39,0,AGO1)&lt;&gt;"",OFFSET('Player Game Board'!P39,0,AGO1),0)</f>
        <v>2</v>
      </c>
      <c r="AGP32" s="322">
        <f ca="1">IF(OFFSET('Player Game Board'!Q39,0,AGO1)&lt;&gt;"",OFFSET('Player Game Board'!Q39,0,AGO1),0)</f>
        <v>1</v>
      </c>
      <c r="AGQ32" s="319" t="str">
        <f t="shared" si="67"/>
        <v>Serbia</v>
      </c>
      <c r="AGR32" s="319" t="str">
        <f ca="1">IF(AND(OFFSET('Player Game Board'!P39,0,AGO1)&lt;&gt;"",OFFSET('Player Game Board'!Q39,0,AGO1)&lt;&gt;""),IF(AGO32&gt;AGP32,"W",IF(AGO32=AGP32,"D","L")),"")</f>
        <v>W</v>
      </c>
      <c r="AGS32" s="319" t="str">
        <f t="shared" ca="1" si="5665"/>
        <v>L</v>
      </c>
      <c r="AGT32" s="319"/>
      <c r="AGU32" s="319"/>
      <c r="AGV32" s="319"/>
      <c r="AGW32" s="320"/>
      <c r="AGX32" s="320"/>
      <c r="AGY32" s="320"/>
      <c r="AGZ32" s="320"/>
      <c r="AHA32" s="320"/>
      <c r="AHB32" s="320"/>
      <c r="AHC32" s="320"/>
      <c r="AHD32" s="319"/>
      <c r="AHE32" s="319"/>
      <c r="AHF32" s="319"/>
      <c r="AHG32" s="319"/>
      <c r="AHH32" s="319"/>
      <c r="AHI32" s="319"/>
      <c r="AHJ32" s="319" t="s">
        <v>106</v>
      </c>
      <c r="AHK32" s="319" t="str">
        <f t="shared" ref="AHK32" ca="1" si="10256">VLOOKUP(1,ACO37:ACP40,2,FALSE)</f>
        <v>Portugal</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0</v>
      </c>
      <c r="AHQ32" s="319">
        <f t="shared" ref="AHQ32" ca="1" si="10260">SUMPRODUCT((ALL3:ALL42=AHN32)*(ALP3:ALP42="L"))+SUMPRODUCT((ALO3:ALO42=AHN32)*(ALQ3:ALQ42="L"))</f>
        <v>0</v>
      </c>
      <c r="AHR32" s="319">
        <f t="shared" ref="AHR32" ca="1" si="10261">SUMIF(ALL3:ALL60,AHN32,ALM3:ALM60)+SUMIF(ALO3:ALO60,AHN32,ALN3:ALN60)</f>
        <v>0</v>
      </c>
      <c r="AHS32" s="319">
        <f t="shared" ref="AHS32" ca="1" si="10262">SUMIF(ALO3:ALO60,AHN32,ALM3:ALM60)+SUMIF(ALL3:ALL60,AHN32,ALN3:ALN60)</f>
        <v>0</v>
      </c>
      <c r="AHT32" s="319">
        <f t="shared" ca="1" si="9863"/>
        <v>1000</v>
      </c>
      <c r="AHU32" s="319">
        <f t="shared" ca="1" si="9864"/>
        <v>0</v>
      </c>
      <c r="AHV32" s="319">
        <f t="shared" si="870"/>
        <v>38</v>
      </c>
      <c r="AHW32" s="319">
        <f t="shared" ref="AHW32" ca="1" si="10263">IF(COUNTIF(AHU31:AHU35,4)&lt;&gt;4,RANK(AHU32,AHU31:AHU35),AHU72)</f>
        <v>1</v>
      </c>
      <c r="AHX32" s="319"/>
      <c r="AHY32" s="319">
        <f t="shared" ref="AHY32" ca="1" si="10264">SUMPRODUCT((AHW31:AHW34=AHW32)*(AHV31:AHV34&lt;AHV32))+AHW32</f>
        <v>2</v>
      </c>
      <c r="AHZ32" s="319" t="str">
        <f t="shared" ref="AHZ32" ca="1" si="10265">INDEX(AHN31:AHN35,MATCH(2,AHY31:AHY35,0),0)</f>
        <v>Slovakia</v>
      </c>
      <c r="AIA32" s="319">
        <f t="shared" ref="AIA32" ca="1" si="10266">INDEX(AHW31:AHW35,MATCH(AHZ32,AHN31:AHN35,0),0)</f>
        <v>1</v>
      </c>
      <c r="AIB32" s="319" t="str">
        <f t="shared" ref="AIB32" ca="1" si="10267">IF(AIB31&lt;&gt;"",AHZ32,"")</f>
        <v>Slovakia</v>
      </c>
      <c r="AIC32" s="319" t="str">
        <f t="shared" ref="AIC32" ca="1" si="10268">IF(AIC31&lt;&gt;"",AHZ33,"")</f>
        <v/>
      </c>
      <c r="AID32" s="319" t="str">
        <f t="shared" ref="AID32" ca="1" si="10269">IF(AID31&lt;&gt;"",AHZ34,"")</f>
        <v/>
      </c>
      <c r="AIE32" s="319" t="str">
        <f t="shared" ref="AIE32" si="10270">IF(AIE31&lt;&gt;"",AHZ35,"")</f>
        <v/>
      </c>
      <c r="AIF32" s="319"/>
      <c r="AIG32" s="319" t="str">
        <f t="shared" ca="1" si="9873"/>
        <v>Slovakia</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f t="shared" ca="1" si="9880"/>
        <v>0</v>
      </c>
      <c r="AIO32" s="319">
        <f t="shared" ref="AIO32" ca="1" si="10276">IF(AIG32&lt;&gt;"",VLOOKUP(AIG32,AHN4:AHT40,7,FALSE),"")</f>
        <v>1000</v>
      </c>
      <c r="AIP32" s="319">
        <f t="shared" ref="AIP32" ca="1" si="10277">IF(AIG32&lt;&gt;"",VLOOKUP(AIG32,AHN4:AHT40,5,FALSE),"")</f>
        <v>0</v>
      </c>
      <c r="AIQ32" s="319">
        <f t="shared" ref="AIQ32" ca="1" si="10278">IF(AIG32&lt;&gt;"",VLOOKUP(AIG32,AHN4:AHV40,9,FALSE),"")</f>
        <v>38</v>
      </c>
      <c r="AIR32" s="319">
        <f t="shared" ca="1" si="9884"/>
        <v>0</v>
      </c>
      <c r="AIS32" s="319">
        <f t="shared" ref="AIS32" ca="1" si="10279">IF(AIG32&lt;&gt;"",RANK(AIR32,AIR31:AIR35),"")</f>
        <v>1</v>
      </c>
      <c r="AIT32" s="319">
        <f t="shared" ref="AIT32" ca="1" si="10280">IF(AIG32&lt;&gt;"",SUMPRODUCT((AIR31:AIR35=AIR32)*(AIM31:AIM35&gt;AIM32)),"")</f>
        <v>0</v>
      </c>
      <c r="AIU32" s="319">
        <f t="shared" ref="AIU32" ca="1" si="10281">IF(AIG32&lt;&gt;"",SUMPRODUCT((AIR31:AIR35=AIR32)*(AIM31:AIM35=AIM32)*(AIK31:AIK35&gt;AIK32)),"")</f>
        <v>0</v>
      </c>
      <c r="AIV32" s="319">
        <f t="shared" ref="AIV32" ca="1" si="10282">IF(AIG32&lt;&gt;"",SUMPRODUCT((AIR31:AIR35=AIR32)*(AIM31:AIM35=AIM32)*(AIK31:AIK35=AIK32)*(AIO31:AIO35&gt;AIO32)),"")</f>
        <v>0</v>
      </c>
      <c r="AIW32" s="319">
        <f t="shared" ref="AIW32" ca="1" si="10283">IF(AIG32&lt;&gt;"",SUMPRODUCT((AIR31:AIR35=AIR32)*(AIM31:AIM35=AIM32)*(AIK31:AIK35=AIK32)*(AIO31:AIO35=AIO32)*(AIP31:AIP35&gt;AIP32)),"")</f>
        <v>0</v>
      </c>
      <c r="AIX32" s="319">
        <f t="shared" ref="AIX32" ca="1" si="10284">IF(AIG32&lt;&gt;"",SUMPRODUCT((AIR31:AIR35=AIR32)*(AIM31:AIM35=AIM32)*(AIK31:AIK35=AIK32)*(AIO31:AIO35=AIO32)*(AIP31:AIP35=AIP32)*(AIQ31:AIQ35&gt;AIQ32)),"")</f>
        <v>2</v>
      </c>
      <c r="AIY32" s="319">
        <f ca="1">IF(AIG32&lt;&gt;"",IF(AIY72&lt;&gt;"",IF(AIF70=3,AIY72,AIY72+AIF70),SUM(AIS32:AIX32)),"")</f>
        <v>3</v>
      </c>
      <c r="AIZ32" s="319" t="str">
        <f t="shared" ref="AIZ32" ca="1" si="10285">IF(AIG32&lt;&gt;"",INDEX(AIG31:AIG35,MATCH(2,AIY31:AIY35,0),0),"")</f>
        <v>Romania</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Romania</v>
      </c>
      <c r="ALJ32" s="319">
        <v>2</v>
      </c>
      <c r="ALK32" s="319">
        <v>30</v>
      </c>
      <c r="ALL32" s="319" t="str">
        <f t="shared" si="82"/>
        <v>Denmark</v>
      </c>
      <c r="ALM32" s="322">
        <f ca="1">IF(OFFSET('Player Game Board'!P39,0,ALM1)&lt;&gt;"",OFFSET('Player Game Board'!P39,0,ALM1),0)</f>
        <v>0</v>
      </c>
      <c r="ALN32" s="322">
        <f ca="1">IF(OFFSET('Player Game Board'!Q39,0,ALM1)&lt;&gt;"",OFFSET('Player Game Board'!Q39,0,ALM1),0)</f>
        <v>0</v>
      </c>
      <c r="ALO32" s="319" t="str">
        <f t="shared" si="83"/>
        <v>Serbia</v>
      </c>
      <c r="ALP32" s="319" t="str">
        <f ca="1">IF(AND(OFFSET('Player Game Board'!P39,0,ALM1)&lt;&gt;"",OFFSET('Player Game Board'!Q39,0,ALM1)&lt;&gt;""),IF(ALM32&gt;ALN32,"W",IF(ALM32=ALN32,"D","L")),"")</f>
        <v/>
      </c>
      <c r="ALQ32" s="319" t="str">
        <f t="shared" ca="1" si="5720"/>
        <v/>
      </c>
      <c r="ALR32" s="319"/>
      <c r="ALS32" s="319"/>
      <c r="ALT32" s="319"/>
      <c r="ALU32" s="320"/>
      <c r="ALV32" s="320"/>
      <c r="ALW32" s="320"/>
      <c r="ALX32" s="320"/>
      <c r="ALY32" s="320"/>
      <c r="ALZ32" s="320"/>
      <c r="AMA32" s="320"/>
      <c r="AMB32" s="319"/>
      <c r="AMC32" s="319"/>
      <c r="AMD32" s="319"/>
      <c r="AME32" s="319"/>
      <c r="AMF32" s="319"/>
      <c r="AMG32" s="319"/>
      <c r="AMH32" s="319" t="s">
        <v>106</v>
      </c>
      <c r="AMI32" s="319" t="str">
        <f t="shared" ref="AMI32" ca="1" si="10306">VLOOKUP(1,AHM37:AHN40,2,FALSE)</f>
        <v>Portugal</v>
      </c>
      <c r="AMJ32" s="325">
        <f t="shared" ca="1" si="5267"/>
        <v>1</v>
      </c>
      <c r="AMK32" s="319">
        <f t="shared" ref="AMK32" ca="1" si="10307">VLOOKUP(AML32,AQG31:AQH35,2,FALSE)</f>
        <v>3</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0</v>
      </c>
      <c r="AMO32" s="319">
        <f t="shared" ref="AMO32" ca="1" si="10310">SUMPRODUCT((AQJ3:AQJ42=AML32)*(AQN3:AQN42="L"))+SUMPRODUCT((AQM3:AQM42=AML32)*(AQO3:AQO42="L"))</f>
        <v>0</v>
      </c>
      <c r="AMP32" s="319">
        <f t="shared" ref="AMP32" ca="1" si="10311">SUMIF(AQJ3:AQJ60,AML32,AQK3:AQK60)+SUMIF(AQM3:AQM60,AML32,AQL3:AQL60)</f>
        <v>0</v>
      </c>
      <c r="AMQ32" s="319">
        <f t="shared" ref="AMQ32" ca="1" si="10312">SUMIF(AQM3:AQM60,AML32,AQK3:AQK60)+SUMIF(AQJ3:AQJ60,AML32,AQL3:AQL60)</f>
        <v>0</v>
      </c>
      <c r="AMR32" s="319">
        <f t="shared" ca="1" si="9901"/>
        <v>1000</v>
      </c>
      <c r="AMS32" s="319">
        <f t="shared" ca="1" si="9902"/>
        <v>0</v>
      </c>
      <c r="AMT32" s="319">
        <f t="shared" si="930"/>
        <v>38</v>
      </c>
      <c r="AMU32" s="319">
        <f t="shared" ref="AMU32" ca="1" si="10313">IF(COUNTIF(AMS31:AMS35,4)&lt;&gt;4,RANK(AMS32,AMS31:AMS35),AMS72)</f>
        <v>1</v>
      </c>
      <c r="AMV32" s="319"/>
      <c r="AMW32" s="319">
        <f t="shared" ref="AMW32" ca="1" si="10314">SUMPRODUCT((AMU31:AMU34=AMU32)*(AMT31:AMT34&lt;AMT32))+AMU32</f>
        <v>2</v>
      </c>
      <c r="AMX32" s="319" t="str">
        <f t="shared" ref="AMX32" ca="1" si="10315">INDEX(AML31:AML35,MATCH(2,AMW31:AMW35,0),0)</f>
        <v>Slovakia</v>
      </c>
      <c r="AMY32" s="319">
        <f t="shared" ref="AMY32" ca="1" si="10316">INDEX(AMU31:AMU35,MATCH(AMX32,AML31:AML35,0),0)</f>
        <v>1</v>
      </c>
      <c r="AMZ32" s="319" t="str">
        <f t="shared" ref="AMZ32" ca="1" si="10317">IF(AMZ31&lt;&gt;"",AMX32,"")</f>
        <v>Slovakia</v>
      </c>
      <c r="ANA32" s="319" t="str">
        <f t="shared" ref="ANA32" ca="1" si="10318">IF(ANA31&lt;&gt;"",AMX33,"")</f>
        <v/>
      </c>
      <c r="ANB32" s="319" t="str">
        <f t="shared" ref="ANB32" ca="1" si="10319">IF(ANB31&lt;&gt;"",AMX34,"")</f>
        <v/>
      </c>
      <c r="ANC32" s="319" t="str">
        <f t="shared" ref="ANC32" si="10320">IF(ANC31&lt;&gt;"",AMX35,"")</f>
        <v/>
      </c>
      <c r="AND32" s="319"/>
      <c r="ANE32" s="319" t="str">
        <f t="shared" ca="1" si="9911"/>
        <v>Slovakia</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f t="shared" ca="1" si="9918"/>
        <v>0</v>
      </c>
      <c r="ANM32" s="319">
        <f t="shared" ref="ANM32" ca="1" si="10326">IF(ANE32&lt;&gt;"",VLOOKUP(ANE32,AML4:AMR40,7,FALSE),"")</f>
        <v>1000</v>
      </c>
      <c r="ANN32" s="319">
        <f t="shared" ref="ANN32" ca="1" si="10327">IF(ANE32&lt;&gt;"",VLOOKUP(ANE32,AML4:AMR40,5,FALSE),"")</f>
        <v>0</v>
      </c>
      <c r="ANO32" s="319">
        <f t="shared" ref="ANO32" ca="1" si="10328">IF(ANE32&lt;&gt;"",VLOOKUP(ANE32,AML4:AMT40,9,FALSE),"")</f>
        <v>38</v>
      </c>
      <c r="ANP32" s="319">
        <f t="shared" ca="1" si="9922"/>
        <v>0</v>
      </c>
      <c r="ANQ32" s="319">
        <f t="shared" ref="ANQ32" ca="1" si="10329">IF(ANE32&lt;&gt;"",RANK(ANP32,ANP31:ANP35),"")</f>
        <v>1</v>
      </c>
      <c r="ANR32" s="319">
        <f t="shared" ref="ANR32" ca="1" si="10330">IF(ANE32&lt;&gt;"",SUMPRODUCT((ANP31:ANP35=ANP32)*(ANK31:ANK35&gt;ANK32)),"")</f>
        <v>0</v>
      </c>
      <c r="ANS32" s="319">
        <f t="shared" ref="ANS32" ca="1" si="10331">IF(ANE32&lt;&gt;"",SUMPRODUCT((ANP31:ANP35=ANP32)*(ANK31:ANK35=ANK32)*(ANI31:ANI35&gt;ANI32)),"")</f>
        <v>0</v>
      </c>
      <c r="ANT32" s="319">
        <f t="shared" ref="ANT32" ca="1" si="10332">IF(ANE32&lt;&gt;"",SUMPRODUCT((ANP31:ANP35=ANP32)*(ANK31:ANK35=ANK32)*(ANI31:ANI35=ANI32)*(ANM31:ANM35&gt;ANM32)),"")</f>
        <v>0</v>
      </c>
      <c r="ANU32" s="319">
        <f t="shared" ref="ANU32" ca="1" si="10333">IF(ANE32&lt;&gt;"",SUMPRODUCT((ANP31:ANP35=ANP32)*(ANK31:ANK35=ANK32)*(ANI31:ANI35=ANI32)*(ANM31:ANM35=ANM32)*(ANN31:ANN35&gt;ANN32)),"")</f>
        <v>0</v>
      </c>
      <c r="ANV32" s="319">
        <f t="shared" ref="ANV32" ca="1" si="10334">IF(ANE32&lt;&gt;"",SUMPRODUCT((ANP31:ANP35=ANP32)*(ANK31:ANK35=ANK32)*(ANI31:ANI35=ANI32)*(ANM31:ANM35=ANM32)*(ANN31:ANN35=ANN32)*(ANO31:ANO35&gt;ANO32)),"")</f>
        <v>2</v>
      </c>
      <c r="ANW32" s="319">
        <f ca="1">IF(ANE32&lt;&gt;"",IF(ANW72&lt;&gt;"",IF(AND70=3,ANW72,ANW72+AND70),SUM(ANQ32:ANV32)),"")</f>
        <v>3</v>
      </c>
      <c r="ANX32" s="319" t="str">
        <f t="shared" ref="ANX32" ca="1" si="10335">IF(ANE32&lt;&gt;"",INDEX(ANE31:ANE35,MATCH(2,ANW31:ANW35,0),0),"")</f>
        <v>Romania</v>
      </c>
      <c r="ANY32" s="319" t="str">
        <f t="shared" ref="ANY32:ANY34" ca="1" si="10336">IF(ANA31&lt;&gt;"",ANA31,"")</f>
        <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0</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0</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0</v>
      </c>
      <c r="AOE32" s="319">
        <f t="shared" ref="AOE32:AOE34" ca="1" si="10342">AOC32-AOD32+1000</f>
        <v>1000</v>
      </c>
      <c r="AOF32" s="319" t="str">
        <f t="shared" ref="AOF32:AOF34" ca="1" si="10343">IF(ANY32&lt;&gt;"",ANZ32*3+AOA32*1,"")</f>
        <v/>
      </c>
      <c r="AOG32" s="319" t="str">
        <f t="shared" ref="AOG32" ca="1" si="10344">IF(ANY32&lt;&gt;"",VLOOKUP(ANY32,AML4:AMR40,7,FALSE),"")</f>
        <v/>
      </c>
      <c r="AOH32" s="319" t="str">
        <f t="shared" ref="AOH32" ca="1" si="10345">IF(ANY32&lt;&gt;"",VLOOKUP(ANY32,AML4:AMR40,5,FALSE),"")</f>
        <v/>
      </c>
      <c r="AOI32" s="319" t="str">
        <f t="shared" ref="AOI32" ca="1" si="10346">IF(ANY32&lt;&gt;"",VLOOKUP(ANY32,AML4:AMT40,9,FALSE),"")</f>
        <v/>
      </c>
      <c r="AOJ32" s="319" t="str">
        <f t="shared" ref="AOJ32:AOJ34" ca="1" si="10347">AOF32</f>
        <v/>
      </c>
      <c r="AOK32" s="319" t="str">
        <f t="shared" ref="AOK32" ca="1" si="10348">IF(ANY32&lt;&gt;"",RANK(AOJ32,AOJ31:AOJ35),"")</f>
        <v/>
      </c>
      <c r="AOL32" s="319" t="str">
        <f t="shared" ref="AOL32" ca="1" si="10349">IF(ANY32&lt;&gt;"",SUMPRODUCT((AOJ31:AOJ35=AOJ32)*(AOE31:AOE35&gt;AOE32)),"")</f>
        <v/>
      </c>
      <c r="AOM32" s="319" t="str">
        <f t="shared" ref="AOM32" ca="1" si="10350">IF(ANY32&lt;&gt;"",SUMPRODUCT((AOJ31:AOJ35=AOJ32)*(AOE31:AOE35=AOE32)*(AOC31:AOC35&gt;AOC32)),"")</f>
        <v/>
      </c>
      <c r="AON32" s="319" t="str">
        <f t="shared" ref="AON32" ca="1" si="10351">IF(ANY32&lt;&gt;"",SUMPRODUCT((AOJ31:AOJ35=AOJ32)*(AOE31:AOE35=AOE32)*(AOC31:AOC35=AOC32)*(AOG31:AOG35&gt;AOG32)),"")</f>
        <v/>
      </c>
      <c r="AOO32" s="319" t="str">
        <f t="shared" ref="AOO32" ca="1" si="10352">IF(ANY32&lt;&gt;"",SUMPRODUCT((AOJ31:AOJ35=AOJ32)*(AOE31:AOE35=AOE32)*(AOC31:AOC35=AOC32)*(AOG31:AOG35=AOG32)*(AOH31:AOH35&gt;AOH32)),"")</f>
        <v/>
      </c>
      <c r="AOP32" s="319" t="str">
        <f t="shared" ref="AOP32" ca="1" si="10353">IF(ANY32&lt;&gt;"",SUMPRODUCT((AOJ31:AOJ35=AOJ32)*(AOE31:AOE35=AOE32)*(AOC31:AOC35=AOC32)*(AOG31:AOG35=AOG32)*(AOH31:AOH35=AOH32)*(AOI31:AOI35&gt;AOI32)),"")</f>
        <v/>
      </c>
      <c r="AOQ32" s="319" t="str">
        <f ca="1">IF(ANY32&lt;&gt;"",IF(AOQ72&lt;&gt;"",IF(ANX70=3,AOQ72,AOQ72+ANX70),SUM(AOK32:AOP32)+1),"")</f>
        <v/>
      </c>
      <c r="AOR32" s="319" t="str">
        <f t="shared" ref="AOR32" ca="1" si="10354">IF(ANY32&lt;&gt;"",INDEX(ANY32:ANY35,MATCH(2,AOQ32:AOQ35,0),0),"")</f>
        <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Romania</v>
      </c>
      <c r="AQH32" s="319">
        <v>2</v>
      </c>
      <c r="AQI32" s="319">
        <v>30</v>
      </c>
      <c r="AQJ32" s="319" t="str">
        <f t="shared" si="98"/>
        <v>Denmark</v>
      </c>
      <c r="AQK32" s="322">
        <f ca="1">IF(OFFSET('Player Game Board'!P39,0,AQK1)&lt;&gt;"",OFFSET('Player Game Board'!P39,0,AQK1),0)</f>
        <v>0</v>
      </c>
      <c r="AQL32" s="322">
        <f ca="1">IF(OFFSET('Player Game Board'!Q39,0,AQK1)&lt;&gt;"",OFFSET('Player Game Board'!Q39,0,AQK1),0)</f>
        <v>0</v>
      </c>
      <c r="AQM32" s="319" t="str">
        <f t="shared" si="99"/>
        <v>Serbia</v>
      </c>
      <c r="AQN32" s="319" t="str">
        <f ca="1">IF(AND(OFFSET('Player Game Board'!P39,0,AQK1)&lt;&gt;"",OFFSET('Player Game Board'!Q39,0,AQK1)&lt;&gt;""),IF(AQK32&gt;AQL32,"W",IF(AQK32=AQL32,"D","L")),"")</f>
        <v/>
      </c>
      <c r="AQO32" s="319" t="str">
        <f t="shared" ca="1" si="5775"/>
        <v/>
      </c>
      <c r="AQP32" s="319"/>
      <c r="AQQ32" s="319"/>
      <c r="AQR32" s="319"/>
      <c r="AQS32" s="320"/>
      <c r="AQT32" s="320"/>
      <c r="AQU32" s="320"/>
      <c r="AQV32" s="320"/>
      <c r="AQW32" s="320"/>
      <c r="AQX32" s="320"/>
      <c r="AQY32" s="320"/>
      <c r="AQZ32" s="319"/>
      <c r="ARA32" s="319"/>
      <c r="ARB32" s="319"/>
      <c r="ARC32" s="319"/>
      <c r="ARD32" s="319"/>
      <c r="ARE32" s="319"/>
      <c r="ARF32" s="319" t="s">
        <v>106</v>
      </c>
      <c r="ARG32" s="319" t="str">
        <f t="shared" ref="ARG32" ca="1" si="10356">VLOOKUP(1,AMK37:AML40,2,FALSE)</f>
        <v>Portugal</v>
      </c>
      <c r="ARH32" s="325">
        <f t="shared" ca="1" si="5310"/>
        <v>1</v>
      </c>
      <c r="ARI32" s="319">
        <f t="shared" ref="ARI32" ca="1" si="10357">VLOOKUP(ARJ32,AVE31:AVF35,2,FALSE)</f>
        <v>3</v>
      </c>
      <c r="ARJ32" s="319" t="str">
        <f t="shared" si="9933"/>
        <v>Slovakia</v>
      </c>
      <c r="ARK32" s="319">
        <f t="shared" ref="ARK32" ca="1" si="10358">SUMPRODUCT((AVH3:AVH42=ARJ32)*(AVL3:AVL42="W"))+SUMPRODUCT((AVK3:AVK42=ARJ32)*(AVM3:AVM42="W"))</f>
        <v>0</v>
      </c>
      <c r="ARL32" s="319">
        <f t="shared" ref="ARL32" ca="1" si="10359">SUMPRODUCT((AVH3:AVH42=ARJ32)*(AVL3:AVL42="D"))+SUMPRODUCT((AVK3:AVK42=ARJ32)*(AVM3:AVM42="D"))</f>
        <v>0</v>
      </c>
      <c r="ARM32" s="319">
        <f t="shared" ref="ARM32" ca="1" si="10360">SUMPRODUCT((AVH3:AVH42=ARJ32)*(AVL3:AVL42="L"))+SUMPRODUCT((AVK3:AVK42=ARJ32)*(AVM3:AVM42="L"))</f>
        <v>0</v>
      </c>
      <c r="ARN32" s="319">
        <f t="shared" ref="ARN32" ca="1" si="10361">SUMIF(AVH3:AVH60,ARJ32,AVI3:AVI60)+SUMIF(AVK3:AVK60,ARJ32,AVJ3:AVJ60)</f>
        <v>0</v>
      </c>
      <c r="ARO32" s="319">
        <f t="shared" ref="ARO32" ca="1" si="10362">SUMIF(AVK3:AVK60,ARJ32,AVI3:AVI60)+SUMIF(AVH3:AVH60,ARJ32,AVJ3:AVJ60)</f>
        <v>0</v>
      </c>
      <c r="ARP32" s="319">
        <f t="shared" ca="1" si="9939"/>
        <v>1000</v>
      </c>
      <c r="ARQ32" s="319">
        <f t="shared" ca="1" si="9940"/>
        <v>0</v>
      </c>
      <c r="ARR32" s="319">
        <f t="shared" si="990"/>
        <v>38</v>
      </c>
      <c r="ARS32" s="319">
        <f t="shared" ref="ARS32" ca="1" si="10363">IF(COUNTIF(ARQ31:ARQ35,4)&lt;&gt;4,RANK(ARQ32,ARQ31:ARQ35),ARQ72)</f>
        <v>1</v>
      </c>
      <c r="ART32" s="319"/>
      <c r="ARU32" s="319">
        <f t="shared" ref="ARU32" ca="1" si="10364">SUMPRODUCT((ARS31:ARS34=ARS32)*(ARR31:ARR34&lt;ARR32))+ARS32</f>
        <v>2</v>
      </c>
      <c r="ARV32" s="319" t="str">
        <f t="shared" ref="ARV32" ca="1" si="10365">INDEX(ARJ31:ARJ35,MATCH(2,ARU31:ARU35,0),0)</f>
        <v>Slovakia</v>
      </c>
      <c r="ARW32" s="319">
        <f t="shared" ref="ARW32" ca="1" si="10366">INDEX(ARS31:ARS35,MATCH(ARV32,ARJ31:ARJ35,0),0)</f>
        <v>1</v>
      </c>
      <c r="ARX32" s="319" t="str">
        <f t="shared" ref="ARX32" ca="1" si="10367">IF(ARX31&lt;&gt;"",ARV32,"")</f>
        <v>Slovakia</v>
      </c>
      <c r="ARY32" s="319" t="str">
        <f t="shared" ref="ARY32" ca="1" si="10368">IF(ARY31&lt;&gt;"",ARV33,"")</f>
        <v/>
      </c>
      <c r="ARZ32" s="319" t="str">
        <f t="shared" ref="ARZ32" ca="1" si="10369">IF(ARZ31&lt;&gt;"",ARV34,"")</f>
        <v/>
      </c>
      <c r="ASA32" s="319" t="str">
        <f t="shared" ref="ASA32" si="10370">IF(ASA31&lt;&gt;"",ARV35,"")</f>
        <v/>
      </c>
      <c r="ASB32" s="319"/>
      <c r="ASC32" s="319" t="str">
        <f t="shared" ca="1" si="9949"/>
        <v>Slovakia</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f t="shared" ca="1" si="9956"/>
        <v>0</v>
      </c>
      <c r="ASK32" s="319">
        <f t="shared" ref="ASK32" ca="1" si="10376">IF(ASC32&lt;&gt;"",VLOOKUP(ASC32,ARJ4:ARP40,7,FALSE),"")</f>
        <v>1000</v>
      </c>
      <c r="ASL32" s="319">
        <f t="shared" ref="ASL32" ca="1" si="10377">IF(ASC32&lt;&gt;"",VLOOKUP(ASC32,ARJ4:ARP40,5,FALSE),"")</f>
        <v>0</v>
      </c>
      <c r="ASM32" s="319">
        <f t="shared" ref="ASM32" ca="1" si="10378">IF(ASC32&lt;&gt;"",VLOOKUP(ASC32,ARJ4:ARR40,9,FALSE),"")</f>
        <v>38</v>
      </c>
      <c r="ASN32" s="319">
        <f t="shared" ca="1" si="9960"/>
        <v>0</v>
      </c>
      <c r="ASO32" s="319">
        <f t="shared" ref="ASO32" ca="1" si="10379">IF(ASC32&lt;&gt;"",RANK(ASN32,ASN31:ASN35),"")</f>
        <v>1</v>
      </c>
      <c r="ASP32" s="319">
        <f t="shared" ref="ASP32" ca="1" si="10380">IF(ASC32&lt;&gt;"",SUMPRODUCT((ASN31:ASN35=ASN32)*(ASI31:ASI35&gt;ASI32)),"")</f>
        <v>0</v>
      </c>
      <c r="ASQ32" s="319">
        <f t="shared" ref="ASQ32" ca="1" si="10381">IF(ASC32&lt;&gt;"",SUMPRODUCT((ASN31:ASN35=ASN32)*(ASI31:ASI35=ASI32)*(ASG31:ASG35&gt;ASG32)),"")</f>
        <v>0</v>
      </c>
      <c r="ASR32" s="319">
        <f t="shared" ref="ASR32" ca="1" si="10382">IF(ASC32&lt;&gt;"",SUMPRODUCT((ASN31:ASN35=ASN32)*(ASI31:ASI35=ASI32)*(ASG31:ASG35=ASG32)*(ASK31:ASK35&gt;ASK32)),"")</f>
        <v>0</v>
      </c>
      <c r="ASS32" s="319">
        <f t="shared" ref="ASS32" ca="1" si="10383">IF(ASC32&lt;&gt;"",SUMPRODUCT((ASN31:ASN35=ASN32)*(ASI31:ASI35=ASI32)*(ASG31:ASG35=ASG32)*(ASK31:ASK35=ASK32)*(ASL31:ASL35&gt;ASL32)),"")</f>
        <v>0</v>
      </c>
      <c r="AST32" s="319">
        <f t="shared" ref="AST32" ca="1" si="10384">IF(ASC32&lt;&gt;"",SUMPRODUCT((ASN31:ASN35=ASN32)*(ASI31:ASI35=ASI32)*(ASG31:ASG35=ASG32)*(ASK31:ASK35=ASK32)*(ASL31:ASL35=ASL32)*(ASM31:ASM35&gt;ASM32)),"")</f>
        <v>2</v>
      </c>
      <c r="ASU32" s="319">
        <f ca="1">IF(ASC32&lt;&gt;"",IF(ASU72&lt;&gt;"",IF(ASB70=3,ASU72,ASU72+ASB70),SUM(ASO32:AST32)),"")</f>
        <v>3</v>
      </c>
      <c r="ASV32" s="319" t="str">
        <f t="shared" ref="ASV32" ca="1" si="10385">IF(ASC32&lt;&gt;"",INDEX(ASC31:ASC35,MATCH(2,ASU31:ASU35,0),0),"")</f>
        <v>Romania</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Romania</v>
      </c>
      <c r="AVF32" s="319">
        <v>2</v>
      </c>
      <c r="AVG32" s="319">
        <v>30</v>
      </c>
      <c r="AVH32" s="319" t="str">
        <f t="shared" si="114"/>
        <v>Denmark</v>
      </c>
      <c r="AVI32" s="322">
        <f ca="1">IF(OFFSET('Player Game Board'!P39,0,AVI1)&lt;&gt;"",OFFSET('Player Game Board'!P39,0,AVI1),0)</f>
        <v>0</v>
      </c>
      <c r="AVJ32" s="322">
        <f ca="1">IF(OFFSET('Player Game Board'!Q39,0,AVI1)&lt;&gt;"",OFFSET('Player Game Board'!Q39,0,AVI1),0)</f>
        <v>0</v>
      </c>
      <c r="AVK32" s="319" t="str">
        <f t="shared" si="115"/>
        <v>Serbia</v>
      </c>
      <c r="AVL32" s="319" t="str">
        <f ca="1">IF(AND(OFFSET('Player Game Board'!P39,0,AVI1)&lt;&gt;"",OFFSET('Player Game Board'!Q39,0,AVI1)&lt;&gt;""),IF(AVI32&gt;AVJ32,"W",IF(AVI32=AVJ32,"D","L")),"")</f>
        <v/>
      </c>
      <c r="AVM32" s="319" t="str">
        <f t="shared" ca="1" si="5830"/>
        <v/>
      </c>
      <c r="AVN32" s="319"/>
      <c r="AVO32" s="319"/>
      <c r="AVP32" s="319"/>
      <c r="AVQ32" s="320"/>
      <c r="AVR32" s="320"/>
      <c r="AVS32" s="320"/>
      <c r="AVT32" s="320"/>
      <c r="AVU32" s="320"/>
      <c r="AVV32" s="320"/>
      <c r="AVW32" s="320"/>
      <c r="AVX32" s="319"/>
      <c r="AVY32" s="319"/>
      <c r="AVZ32" s="319"/>
      <c r="AWA32" s="319"/>
      <c r="AWB32" s="319"/>
      <c r="AWC32" s="319"/>
      <c r="AWD32" s="319" t="s">
        <v>106</v>
      </c>
      <c r="AWE32" s="319" t="str">
        <f t="shared" ref="AWE32" ca="1" si="10406">VLOOKUP(1,ARI37:ARJ40,2,FALSE)</f>
        <v>Portugal</v>
      </c>
      <c r="AWF32" s="325">
        <f t="shared" ca="1" si="5353"/>
        <v>1</v>
      </c>
      <c r="AWG32" s="319">
        <f t="shared" ref="AWG32" ca="1" si="10407">VLOOKUP(AWH32,BAC31:BAD35,2,FALSE)</f>
        <v>3</v>
      </c>
      <c r="AWH32" s="319" t="str">
        <f t="shared" si="9971"/>
        <v>Slovakia</v>
      </c>
      <c r="AWI32" s="319">
        <f t="shared" ref="AWI32" ca="1" si="10408">SUMPRODUCT((BAF3:BAF42=AWH32)*(BAJ3:BAJ42="W"))+SUMPRODUCT((BAI3:BAI42=AWH32)*(BAK3:BAK42="W"))</f>
        <v>0</v>
      </c>
      <c r="AWJ32" s="319">
        <f t="shared" ref="AWJ32" ca="1" si="10409">SUMPRODUCT((BAF3:BAF42=AWH32)*(BAJ3:BAJ42="D"))+SUMPRODUCT((BAI3:BAI42=AWH32)*(BAK3:BAK42="D"))</f>
        <v>0</v>
      </c>
      <c r="AWK32" s="319">
        <f t="shared" ref="AWK32" ca="1" si="10410">SUMPRODUCT((BAF3:BAF42=AWH32)*(BAJ3:BAJ42="L"))+SUMPRODUCT((BAI3:BAI42=AWH32)*(BAK3:BAK42="L"))</f>
        <v>0</v>
      </c>
      <c r="AWL32" s="319">
        <f t="shared" ref="AWL32" ca="1" si="10411">SUMIF(BAF3:BAF60,AWH32,BAG3:BAG60)+SUMIF(BAI3:BAI60,AWH32,BAH3:BAH60)</f>
        <v>0</v>
      </c>
      <c r="AWM32" s="319">
        <f t="shared" ref="AWM32" ca="1" si="10412">SUMIF(BAI3:BAI60,AWH32,BAG3:BAG60)+SUMIF(BAF3:BAF60,AWH32,BAH3:BAH60)</f>
        <v>0</v>
      </c>
      <c r="AWN32" s="319">
        <f t="shared" ca="1" si="9977"/>
        <v>1000</v>
      </c>
      <c r="AWO32" s="319">
        <f t="shared" ca="1" si="9978"/>
        <v>0</v>
      </c>
      <c r="AWP32" s="319">
        <f t="shared" si="1050"/>
        <v>38</v>
      </c>
      <c r="AWQ32" s="319">
        <f t="shared" ref="AWQ32" ca="1" si="10413">IF(COUNTIF(AWO31:AWO35,4)&lt;&gt;4,RANK(AWO32,AWO31:AWO35),AWO72)</f>
        <v>1</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1</v>
      </c>
      <c r="AWV32" s="319" t="str">
        <f t="shared" ref="AWV32" ca="1" si="10417">IF(AWV31&lt;&gt;"",AWT32,"")</f>
        <v>Slovakia</v>
      </c>
      <c r="AWW32" s="319" t="str">
        <f t="shared" ref="AWW32" ca="1" si="10418">IF(AWW31&lt;&gt;"",AWT33,"")</f>
        <v/>
      </c>
      <c r="AWX32" s="319" t="str">
        <f t="shared" ref="AWX32" ca="1" si="10419">IF(AWX31&lt;&gt;"",AWT34,"")</f>
        <v/>
      </c>
      <c r="AWY32" s="319" t="str">
        <f t="shared" ref="AWY32" si="10420">IF(AWY31&lt;&gt;"",AWT35,"")</f>
        <v/>
      </c>
      <c r="AWZ32" s="319"/>
      <c r="AXA32" s="319" t="str">
        <f t="shared" ca="1" si="9987"/>
        <v>Slovakia</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f t="shared" ca="1" si="9994"/>
        <v>0</v>
      </c>
      <c r="AXI32" s="319">
        <f t="shared" ref="AXI32" ca="1" si="10426">IF(AXA32&lt;&gt;"",VLOOKUP(AXA32,AWH4:AWN40,7,FALSE),"")</f>
        <v>1000</v>
      </c>
      <c r="AXJ32" s="319">
        <f t="shared" ref="AXJ32" ca="1" si="10427">IF(AXA32&lt;&gt;"",VLOOKUP(AXA32,AWH4:AWN40,5,FALSE),"")</f>
        <v>0</v>
      </c>
      <c r="AXK32" s="319">
        <f t="shared" ref="AXK32" ca="1" si="10428">IF(AXA32&lt;&gt;"",VLOOKUP(AXA32,AWH4:AWP40,9,FALSE),"")</f>
        <v>38</v>
      </c>
      <c r="AXL32" s="319">
        <f t="shared" ca="1" si="9998"/>
        <v>0</v>
      </c>
      <c r="AXM32" s="319">
        <f t="shared" ref="AXM32" ca="1" si="10429">IF(AXA32&lt;&gt;"",RANK(AXL32,AXL31:AXL35),"")</f>
        <v>1</v>
      </c>
      <c r="AXN32" s="319">
        <f t="shared" ref="AXN32" ca="1" si="10430">IF(AXA32&lt;&gt;"",SUMPRODUCT((AXL31:AXL35=AXL32)*(AXG31:AXG35&gt;AXG32)),"")</f>
        <v>0</v>
      </c>
      <c r="AXO32" s="319">
        <f t="shared" ref="AXO32" ca="1" si="10431">IF(AXA32&lt;&gt;"",SUMPRODUCT((AXL31:AXL35=AXL32)*(AXG31:AXG35=AXG32)*(AXE31:AXE35&gt;AXE32)),"")</f>
        <v>0</v>
      </c>
      <c r="AXP32" s="319">
        <f t="shared" ref="AXP32" ca="1" si="10432">IF(AXA32&lt;&gt;"",SUMPRODUCT((AXL31:AXL35=AXL32)*(AXG31:AXG35=AXG32)*(AXE31:AXE35=AXE32)*(AXI31:AXI35&gt;AXI32)),"")</f>
        <v>0</v>
      </c>
      <c r="AXQ32" s="319">
        <f t="shared" ref="AXQ32" ca="1" si="10433">IF(AXA32&lt;&gt;"",SUMPRODUCT((AXL31:AXL35=AXL32)*(AXG31:AXG35=AXG32)*(AXE31:AXE35=AXE32)*(AXI31:AXI35=AXI32)*(AXJ31:AXJ35&gt;AXJ32)),"")</f>
        <v>0</v>
      </c>
      <c r="AXR32" s="319">
        <f t="shared" ref="AXR32" ca="1" si="10434">IF(AXA32&lt;&gt;"",SUMPRODUCT((AXL31:AXL35=AXL32)*(AXG31:AXG35=AXG32)*(AXE31:AXE35=AXE32)*(AXI31:AXI35=AXI32)*(AXJ31:AXJ35=AXJ32)*(AXK31:AXK35&gt;AXK32)),"")</f>
        <v>2</v>
      </c>
      <c r="AXS32" s="319">
        <f ca="1">IF(AXA32&lt;&gt;"",IF(AXS72&lt;&gt;"",IF(AWZ70=3,AXS72,AXS72+AWZ70),SUM(AXM32:AXR32)),"")</f>
        <v>3</v>
      </c>
      <c r="AXT32" s="319" t="str">
        <f t="shared" ref="AXT32" ca="1" si="10435">IF(AXA32&lt;&gt;"",INDEX(AXA31:AXA35,MATCH(2,AXS31:AXS35,0),0),"")</f>
        <v>Romania</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Romania</v>
      </c>
      <c r="BAD32" s="319">
        <v>2</v>
      </c>
      <c r="BAE32" s="319">
        <v>30</v>
      </c>
      <c r="BAF32" s="319" t="str">
        <f t="shared" si="130"/>
        <v>Denmark</v>
      </c>
      <c r="BAG32" s="322">
        <f ca="1">IF(OFFSET('Player Game Board'!P39,0,BAG1)&lt;&gt;"",OFFSET('Player Game Board'!P39,0,BAG1),0)</f>
        <v>0</v>
      </c>
      <c r="BAH32" s="322">
        <f ca="1">IF(OFFSET('Player Game Board'!Q39,0,BAG1)&lt;&gt;"",OFFSET('Player Game Board'!Q39,0,BAG1),0)</f>
        <v>0</v>
      </c>
      <c r="BAI32" s="319" t="str">
        <f t="shared" si="131"/>
        <v>Serbia</v>
      </c>
      <c r="BAJ32" s="319" t="str">
        <f ca="1">IF(AND(OFFSET('Player Game Board'!P39,0,BAG1)&lt;&gt;"",OFFSET('Player Game Board'!Q39,0,BAG1)&lt;&gt;""),IF(BAG32&gt;BAH32,"W",IF(BAG32=BAH32,"D","L")),"")</f>
        <v/>
      </c>
      <c r="BAK32" s="319" t="str">
        <f t="shared" ca="1" si="5885"/>
        <v/>
      </c>
      <c r="BAL32" s="319"/>
      <c r="BAM32" s="319"/>
      <c r="BAN32" s="319"/>
      <c r="BAO32" s="320"/>
      <c r="BAP32" s="320"/>
      <c r="BAQ32" s="320"/>
      <c r="BAR32" s="320"/>
      <c r="BAS32" s="320"/>
      <c r="BAT32" s="320"/>
      <c r="BAU32" s="320"/>
      <c r="BAV32" s="319"/>
      <c r="BAW32" s="319"/>
      <c r="BAX32" s="319"/>
      <c r="BAY32" s="319"/>
      <c r="BAZ32" s="319"/>
      <c r="BBA32" s="319"/>
      <c r="BBB32" s="319" t="s">
        <v>106</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106</v>
      </c>
      <c r="BGA32" s="319" t="str">
        <f t="shared" ref="BGA32" ca="1" si="10506">VLOOKUP(1,BBE37:BBF40,2,FALSE)</f>
        <v>Portugal</v>
      </c>
      <c r="BGB32" s="325">
        <f t="shared" ca="1" si="5439"/>
        <v>1</v>
      </c>
    </row>
    <row r="33" spans="1:1536" ht="13.8" x14ac:dyDescent="0.3">
      <c r="A33" s="319">
        <f>VLOOKUP(B33,CW31:CX35,2,FALSE)</f>
        <v>1</v>
      </c>
      <c r="B33" s="319" t="str">
        <f>'Language Table'!C19</f>
        <v>Romania</v>
      </c>
      <c r="C33" s="319">
        <f>SUMPRODUCT((CZ3:CZ42=B33)*(DD3:DD42="W"))+SUMPRODUCT((DC3:DC42=B33)*(DE3:DE42="W"))</f>
        <v>1</v>
      </c>
      <c r="D33" s="319">
        <f>SUMPRODUCT((CZ3:CZ42=B33)*(DD3:DD42="D"))+SUMPRODUCT((DC3:DC42=B33)*(DE3:DE42="D"))</f>
        <v>0</v>
      </c>
      <c r="E33" s="319">
        <f>SUMPRODUCT((CZ3:CZ42=B33)*(DD3:DD42="L"))+SUMPRODUCT((DC3:DC42=B33)*(DE3:DE42="L"))</f>
        <v>0</v>
      </c>
      <c r="F33" s="319">
        <f>SUMIF(CZ3:CZ60,B33,DA3:DA60)+SUMIF(DC3:DC60,B33,DB3:DB60)</f>
        <v>3</v>
      </c>
      <c r="G33" s="319">
        <f>SUMIF(DC3:DC60,B33,DA3:DA60)+SUMIF(CZ3:CZ60,B33,DB3:DB60)</f>
        <v>0</v>
      </c>
      <c r="H33" s="319">
        <f t="shared" si="9692"/>
        <v>1003</v>
      </c>
      <c r="I33" s="319">
        <f t="shared" si="9693"/>
        <v>3</v>
      </c>
      <c r="J33" s="319">
        <v>46</v>
      </c>
      <c r="K33" s="319">
        <f>IF(COUNTIF(I31:I35,4)&lt;&gt;4,RANK(I33,I31:I35),I73)</f>
        <v>1</v>
      </c>
      <c r="L33" s="319"/>
      <c r="M33" s="319">
        <f>SUMPRODUCT((K31:K34=K33)*(J31:J34&lt;J33))+K33</f>
        <v>2</v>
      </c>
      <c r="N33" s="319" t="str">
        <f>INDEX(B31:B35,MATCH(3,M31:M35,0),0)</f>
        <v>Ukraine</v>
      </c>
      <c r="O33" s="319">
        <f>INDEX(K31:K35,MATCH(N33,B31:B35,0),0)</f>
        <v>3</v>
      </c>
      <c r="P33" s="319" t="str">
        <f>IF(AND(P32&lt;&gt;"",O33=1),N33,"")</f>
        <v/>
      </c>
      <c r="Q33" s="319" t="str">
        <f>IF(AND(Q32&lt;&gt;"",O34=2),N34,"")</f>
        <v/>
      </c>
      <c r="R33" s="319" t="str">
        <f>IF(AND(R32&lt;&gt;"",O35=3),N35,"")</f>
        <v/>
      </c>
      <c r="S33" s="319"/>
      <c r="T33" s="319"/>
      <c r="U33" s="319" t="str">
        <f t="shared" si="10046"/>
        <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0</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0</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0</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0</v>
      </c>
      <c r="AA33" s="319">
        <f>Y33-Z33+1000</f>
        <v>1000</v>
      </c>
      <c r="AB33" s="319" t="str">
        <f t="shared" si="9694"/>
        <v/>
      </c>
      <c r="AC33" s="319" t="str">
        <f>IF(U33&lt;&gt;"",VLOOKUP(U33,B4:H40,7,FALSE),"")</f>
        <v/>
      </c>
      <c r="AD33" s="319" t="str">
        <f>IF(U33&lt;&gt;"",VLOOKUP(U33,B4:H40,5,FALSE),"")</f>
        <v/>
      </c>
      <c r="AE33" s="319" t="str">
        <f>IF(U33&lt;&gt;"",VLOOKUP(U33,B4:J40,9,FALSE),"")</f>
        <v/>
      </c>
      <c r="AF33" s="319" t="str">
        <f t="shared" si="9695"/>
        <v/>
      </c>
      <c r="AG33" s="319" t="str">
        <f>IF(U33&lt;&gt;"",RANK(AF33,AF31:AF35),"")</f>
        <v/>
      </c>
      <c r="AH33" s="319" t="str">
        <f>IF(U33&lt;&gt;"",SUMPRODUCT((AF31:AF35=AF33)*(AA31:AA35&gt;AA33)),"")</f>
        <v/>
      </c>
      <c r="AI33" s="319" t="str">
        <f>IF(U33&lt;&gt;"",SUMPRODUCT((AF31:AF35=AF33)*(AA31:AA35=AA33)*(Y31:Y35&gt;Y33)),"")</f>
        <v/>
      </c>
      <c r="AJ33" s="319" t="str">
        <f>IF(U33&lt;&gt;"",SUMPRODUCT((AF31:AF35=AF33)*(AA31:AA35=AA33)*(Y31:Y35=Y33)*(AC31:AC35&gt;AC33)),"")</f>
        <v/>
      </c>
      <c r="AK33" s="319" t="str">
        <f>IF(U33&lt;&gt;"",SUMPRODUCT((AF31:AF35=AF33)*(AA31:AA35=AA33)*(Y31:Y35=Y33)*(AC31:AC35=AC33)*(AD31:AD35&gt;AD33)),"")</f>
        <v/>
      </c>
      <c r="AL33" s="319" t="str">
        <f>IF(U33&lt;&gt;"",SUMPRODUCT((AF31:AF35=AF33)*(AA31:AA35=AA33)*(Y31:Y35=Y33)*(AC31:AC35=AC33)*(AD31:AD35=AD33)*(AE31:AE35&gt;AE33)),"")</f>
        <v/>
      </c>
      <c r="AM33" s="319" t="str">
        <f>IF(U33&lt;&gt;"",IF(AM73&lt;&gt;"",IF(T70=3,AM73,AM73+T70),SUM(AG33:AL33)),"")</f>
        <v/>
      </c>
      <c r="AN33" s="319" t="str">
        <f>IF(U33&lt;&gt;"",INDEX(U31:U35,MATCH(3,AM31:AM35,0),0),"")</f>
        <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Ukraine</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f t="shared" ref="BP33:BP34" si="10507">IF(BI33&lt;&gt;"",BJ33*3+BK33*1,"")</f>
        <v>0</v>
      </c>
      <c r="BQ33" s="319">
        <f>IF(BI33&lt;&gt;"",VLOOKUP(BI33,B4:H40,7,FALSE),"")</f>
        <v>997</v>
      </c>
      <c r="BR33" s="319">
        <f>IF(BI33&lt;&gt;"",VLOOKUP(BI33,B4:H40,5,FALSE),"")</f>
        <v>0</v>
      </c>
      <c r="BS33" s="319">
        <f>IF(BI33&lt;&gt;"",VLOOKUP(BI33,B4:J40,9,FALSE),"")</f>
        <v>0</v>
      </c>
      <c r="BT33" s="319">
        <f t="shared" ref="BT33:BT34" si="10508">BP33</f>
        <v>0</v>
      </c>
      <c r="BU33" s="319">
        <f>IF(BI33&lt;&gt;"",RANK(BT33,BT32:BT35),"")</f>
        <v>1</v>
      </c>
      <c r="BV33" s="319">
        <f>IF(BI33&lt;&gt;"",SUMPRODUCT((BT31:BT35=BT33)*(BO31:BO35&gt;BO33)),"")</f>
        <v>0</v>
      </c>
      <c r="BW33" s="319">
        <f>IF(BI33&lt;&gt;"",SUMPRODUCT((BT31:BT35=BT33)*(BO31:BO35=BO33)*(BM31:BM35&gt;BM33)),"")</f>
        <v>0</v>
      </c>
      <c r="BX33" s="319">
        <f>IF(BI33&lt;&gt;"",SUMPRODUCT((BT31:BT35=BT33)*(BO31:BO35=BO33)*(BM31:BM35=BM33)*(BQ31:BQ35&gt;BQ33)),"")</f>
        <v>1</v>
      </c>
      <c r="BY33" s="319">
        <f>IF(BI33&lt;&gt;"",SUMPRODUCT((BT31:BT35=BT33)*(BO31:BO35=BO33)*(BM31:BM35=BM33)*(BQ31:BQ35=BQ33)*(BR31:BR35&gt;BR33)),"")</f>
        <v>0</v>
      </c>
      <c r="BZ33" s="319">
        <f>IF(BI33&lt;&gt;"",SUMPRODUCT((BT31:BT35=BT33)*(BO31:BO35=BO33)*(BM31:BM35=BM33)*(BQ31:BQ35=BQ33)*(BR31:BR35=BR33)*(BS31:BS35&gt;BS33)),"")</f>
        <v>0</v>
      </c>
      <c r="CA33" s="319">
        <f>IF(BI33&lt;&gt;"",SUM(BU33:BZ33)+2,"")</f>
        <v>4</v>
      </c>
      <c r="CB33" s="319" t="str">
        <f>IF(BI33&lt;&gt;"",INDEX(BI33:BI35,MATCH(3,CA33:CA35,0),0),"")</f>
        <v>Belgium</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Belgium</v>
      </c>
      <c r="CX33" s="319">
        <v>3</v>
      </c>
      <c r="CY33" s="319">
        <v>31</v>
      </c>
      <c r="CZ33" s="319" t="str">
        <f>Matches!G38</f>
        <v>Netherlands</v>
      </c>
      <c r="DA33" s="319">
        <f>IF(AND(Matches!H38&lt;&gt;"",Matches!I38&lt;&gt;""),Matches!H38,0)</f>
        <v>0</v>
      </c>
      <c r="DB33" s="319">
        <f>IF(AND(Matches!I38&lt;&gt;"",Matches!H38&lt;&gt;""),Matches!I38,0)</f>
        <v>0</v>
      </c>
      <c r="DC33" s="319" t="str">
        <f>Matches!J38</f>
        <v>Austria</v>
      </c>
      <c r="DD33" s="319" t="str">
        <f>IF(AND(Matches!H38&lt;&gt;"",Matches!I38&lt;&gt;""),IF(DA33&gt;DB33,"W",IF(DA33=DB33,"D","L")),"")</f>
        <v/>
      </c>
      <c r="DE33" s="319" t="str">
        <f t="shared" si="162"/>
        <v/>
      </c>
      <c r="DF33" s="319"/>
      <c r="DG33" s="319"/>
      <c r="DH33" s="319"/>
      <c r="DI33" s="320"/>
      <c r="DJ33" s="320"/>
      <c r="DK33" s="320"/>
      <c r="DL33" s="320"/>
      <c r="DM33" s="320"/>
      <c r="DN33" s="320"/>
      <c r="DO33" s="320"/>
      <c r="DP33" s="319"/>
      <c r="DQ33" s="319"/>
      <c r="DR33" s="319"/>
      <c r="DS33" s="319"/>
      <c r="DT33" s="319"/>
      <c r="DU33" s="319"/>
      <c r="DV33" s="319"/>
      <c r="DW33" s="319" t="str">
        <f>VLOOKUP(2,A37:B40,2,FALSE)</f>
        <v>Portugal</v>
      </c>
      <c r="DX33" s="319"/>
      <c r="DY33" s="319">
        <f ca="1">VLOOKUP(DZ33,HU31:HV35,2,FALSE)</f>
        <v>4</v>
      </c>
      <c r="DZ33" s="319" t="str">
        <f t="shared" si="10049"/>
        <v>Romania</v>
      </c>
      <c r="EA33" s="319">
        <f ca="1">SUMPRODUCT((HX3:HX42=DZ33)*(IB3:IB42="W"))+SUMPRODUCT((IA3:IA42=DZ33)*(IC3:IC42="W"))</f>
        <v>0</v>
      </c>
      <c r="EB33" s="319">
        <f ca="1">SUMPRODUCT((HX3:HX42=DZ33)*(IB3:IB42="D"))+SUMPRODUCT((IA3:IA42=DZ33)*(IC3:IC42="D"))</f>
        <v>2</v>
      </c>
      <c r="EC33" s="319">
        <f ca="1">SUMPRODUCT((HX3:HX42=DZ33)*(IB3:IB42="L"))+SUMPRODUCT((IA3:IA42=DZ33)*(IC3:IC42="L"))</f>
        <v>1</v>
      </c>
      <c r="ED33" s="319">
        <f ca="1">SUMIF(HX3:HX60,DZ33,HY3:HY60)+SUMIF(IA3:IA60,DZ33,HZ3:HZ60)</f>
        <v>3</v>
      </c>
      <c r="EE33" s="319">
        <f ca="1">SUMIF(IA3:IA60,DZ33,HY3:HY60)+SUMIF(HX3:HX60,DZ33,HZ3:HZ60)</f>
        <v>7</v>
      </c>
      <c r="EF33" s="319">
        <f t="shared" ca="1" si="9696"/>
        <v>996</v>
      </c>
      <c r="EG33" s="319">
        <f t="shared" ca="1" si="9697"/>
        <v>2</v>
      </c>
      <c r="EH33" s="319">
        <f t="shared" si="609"/>
        <v>46</v>
      </c>
      <c r="EI33" s="319">
        <f ca="1">IF(COUNTIF(EG31:EG35,4)&lt;&gt;4,RANK(EG33,EG31:EG35),EG73)</f>
        <v>2</v>
      </c>
      <c r="EJ33" s="319"/>
      <c r="EK33" s="319">
        <f ca="1">SUMPRODUCT((EI31:EI34=EI33)*(EH31:EH34&lt;EH33))+EI33</f>
        <v>4</v>
      </c>
      <c r="EL33" s="319" t="str">
        <f ca="1">INDEX(DZ31:DZ35,MATCH(3,EK31:EK35,0),0)</f>
        <v>Slovakia</v>
      </c>
      <c r="EM33" s="319">
        <f ca="1">INDEX(EI31:EI35,MATCH(EL33,DZ31:DZ35,0),0)</f>
        <v>2</v>
      </c>
      <c r="EN33" s="319" t="str">
        <f ca="1">IF(AND(EN32&lt;&gt;"",EM33=1),EL33,"")</f>
        <v/>
      </c>
      <c r="EO33" s="319" t="str">
        <f ca="1">IF(AND(EO32&lt;&gt;"",EM34=2),EL34,"")</f>
        <v>Romania</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Slovakia</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2</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2</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2</v>
      </c>
      <c r="FS33" s="319">
        <f ca="1">FQ33-FR33+1000</f>
        <v>1000</v>
      </c>
      <c r="FT33" s="319">
        <f t="shared" ca="1" si="10051"/>
        <v>2</v>
      </c>
      <c r="FU33" s="319">
        <f ca="1">IF(FM33&lt;&gt;"",VLOOKUP(FM33,DZ4:EF40,7,FALSE),"")</f>
        <v>999</v>
      </c>
      <c r="FV33" s="319">
        <f ca="1">IF(FM33&lt;&gt;"",VLOOKUP(FM33,DZ4:EF40,5,FALSE),"")</f>
        <v>3</v>
      </c>
      <c r="FW33" s="319">
        <f ca="1">IF(FM33&lt;&gt;"",VLOOKUP(FM33,DZ4:EH40,9,FALSE),"")</f>
        <v>38</v>
      </c>
      <c r="FX33" s="319">
        <f t="shared" ca="1" si="10052"/>
        <v>2</v>
      </c>
      <c r="FY33" s="319">
        <f ca="1">IF(FM33&lt;&gt;"",RANK(FX33,FX31:FX35),"")</f>
        <v>1</v>
      </c>
      <c r="FZ33" s="319">
        <f ca="1">IF(FM33&lt;&gt;"",SUMPRODUCT((FX31:FX35=FX33)*(FS31:FS35&gt;FS33)),"")</f>
        <v>0</v>
      </c>
      <c r="GA33" s="319">
        <f ca="1">IF(FM33&lt;&gt;"",SUMPRODUCT((FX31:FX35=FX33)*(FS31:FS35=FS33)*(FQ31:FQ35&gt;FQ33)),"")</f>
        <v>0</v>
      </c>
      <c r="GB33" s="319">
        <f ca="1">IF(FM33&lt;&gt;"",SUMPRODUCT((FX31:FX35=FX33)*(FS31:FS35=FS33)*(FQ31:FQ35=FQ33)*(FU31:FU35&gt;FU33)),"")</f>
        <v>0</v>
      </c>
      <c r="GC33" s="319">
        <f ca="1">IF(FM33&lt;&gt;"",SUMPRODUCT((FX31:FX35=FX33)*(FS31:FS35=FS33)*(FQ31:FQ35=FQ33)*(FU31:FU35=FU33)*(FV31:FV35&gt;FV33)),"")</f>
        <v>0</v>
      </c>
      <c r="GD33" s="319">
        <f ca="1">IF(FM33&lt;&gt;"",SUMPRODUCT((FX31:FX35=FX33)*(FS31:FS35=FS33)*(FQ31:FQ35=FQ33)*(FU31:FU35=FU33)*(FV31:FV35=FV33)*(FW31:FW35&gt;FW33)),"")</f>
        <v>0</v>
      </c>
      <c r="GE33" s="319">
        <f ca="1">IF(FM33&lt;&gt;"",IF(GE73&lt;&gt;"",IF(FL70=3,GE73,GE73+FL70),SUM(FY33:GD33)+1),"")</f>
        <v>2</v>
      </c>
      <c r="GF33" s="319" t="str">
        <f ca="1">IF(FM33&lt;&gt;"",INDEX(FM32:FM35,MATCH(3,GE32:GE35,0),0),"")</f>
        <v>Ukraine</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Ukraine</v>
      </c>
      <c r="HV33" s="319">
        <v>3</v>
      </c>
      <c r="HW33" s="319">
        <v>31</v>
      </c>
      <c r="HX33" s="319" t="str">
        <f t="shared" si="164"/>
        <v>Netherlands</v>
      </c>
      <c r="HY33" s="322">
        <f ca="1">IF(OFFSET('Player Game Board'!P40,0,HY1)&lt;&gt;"",OFFSET('Player Game Board'!P40,0,HY1),0)</f>
        <v>3</v>
      </c>
      <c r="HZ33" s="322">
        <f ca="1">IF(OFFSET('Player Game Board'!Q40,0,HY1)&lt;&gt;"",OFFSET('Player Game Board'!Q40,0,HY1),0)</f>
        <v>1</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3</v>
      </c>
      <c r="IX33" s="319" t="str">
        <f t="shared" si="10053"/>
        <v>Romania</v>
      </c>
      <c r="IY33" s="319">
        <f ca="1">SUMPRODUCT((MV3:MV42=IX33)*(MZ3:MZ42="W"))+SUMPRODUCT((MY3:MY42=IX33)*(NA3:NA42="W"))</f>
        <v>0</v>
      </c>
      <c r="IZ33" s="319">
        <f ca="1">SUMPRODUCT((MV3:MV42=IX33)*(MZ3:MZ42="D"))+SUMPRODUCT((MY3:MY42=IX33)*(NA3:NA42="D"))</f>
        <v>2</v>
      </c>
      <c r="JA33" s="319">
        <f ca="1">SUMPRODUCT((MV3:MV42=IX33)*(MZ3:MZ42="L"))+SUMPRODUCT((MY3:MY42=IX33)*(NA3:NA42="L"))</f>
        <v>1</v>
      </c>
      <c r="JB33" s="319">
        <f ca="1">SUMIF(MV3:MV60,IX33,MW3:MW60)+SUMIF(MY3:MY60,IX33,MX3:MX60)</f>
        <v>4</v>
      </c>
      <c r="JC33" s="319">
        <f ca="1">SUMIF(MY3:MY60,IX33,MW3:MW60)+SUMIF(MV3:MV60,IX33,MX3:MX60)</f>
        <v>5</v>
      </c>
      <c r="JD33" s="319">
        <f t="shared" ca="1" si="9700"/>
        <v>999</v>
      </c>
      <c r="JE33" s="319">
        <f t="shared" ca="1" si="9701"/>
        <v>2</v>
      </c>
      <c r="JF33" s="319">
        <f t="shared" si="618"/>
        <v>46</v>
      </c>
      <c r="JG33" s="319">
        <f ca="1">IF(COUNTIF(JE31:JE35,4)&lt;&gt;4,RANK(JE33,JE31:JE35),JE73)</f>
        <v>3</v>
      </c>
      <c r="JH33" s="319"/>
      <c r="JI33" s="319">
        <f ca="1">SUMPRODUCT((JG31:JG34=JG33)*(JF31:JF34&lt;JF33))+JG33</f>
        <v>4</v>
      </c>
      <c r="JJ33" s="319" t="str">
        <f ca="1">INDEX(IX31:IX35,MATCH(3,JI31:JI35,0),0)</f>
        <v>Slovakia</v>
      </c>
      <c r="JK33" s="319">
        <f ca="1">INDEX(JG31:JG35,MATCH(JJ33,IX31:IX35,0),0)</f>
        <v>3</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0</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0</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0</v>
      </c>
      <c r="KQ33" s="319">
        <f ca="1">KO33-KP33+1000</f>
        <v>1000</v>
      </c>
      <c r="KR33" s="319" t="str">
        <f t="shared" ca="1" si="10055"/>
        <v/>
      </c>
      <c r="KS33" s="319" t="str">
        <f ca="1">IF(KK33&lt;&gt;"",VLOOKUP(KK33,IX4:JD40,7,FALSE),"")</f>
        <v/>
      </c>
      <c r="KT33" s="319" t="str">
        <f ca="1">IF(KK33&lt;&gt;"",VLOOKUP(KK33,IX4:JD40,5,FALSE),"")</f>
        <v/>
      </c>
      <c r="KU33" s="319" t="str">
        <f ca="1">IF(KK33&lt;&gt;"",VLOOKUP(KK33,IX4:JF40,9,FALSE),"")</f>
        <v/>
      </c>
      <c r="KV33" s="319" t="str">
        <f t="shared" ca="1" si="10056"/>
        <v/>
      </c>
      <c r="KW33" s="319" t="str">
        <f ca="1">IF(KK33&lt;&gt;"",RANK(KV33,KV31:KV35),"")</f>
        <v/>
      </c>
      <c r="KX33" s="319" t="str">
        <f ca="1">IF(KK33&lt;&gt;"",SUMPRODUCT((KV31:KV35=KV33)*(KQ31:KQ35&gt;KQ33)),"")</f>
        <v/>
      </c>
      <c r="KY33" s="319" t="str">
        <f ca="1">IF(KK33&lt;&gt;"",SUMPRODUCT((KV31:KV35=KV33)*(KQ31:KQ35=KQ33)*(KO31:KO35&gt;KO33)),"")</f>
        <v/>
      </c>
      <c r="KZ33" s="319" t="str">
        <f ca="1">IF(KK33&lt;&gt;"",SUMPRODUCT((KV31:KV35=KV33)*(KQ31:KQ35=KQ33)*(KO31:KO35=KO33)*(KS31:KS35&gt;KS33)),"")</f>
        <v/>
      </c>
      <c r="LA33" s="319" t="str">
        <f ca="1">IF(KK33&lt;&gt;"",SUMPRODUCT((KV31:KV35=KV33)*(KQ31:KQ35=KQ33)*(KO31:KO35=KO33)*(KS31:KS35=KS33)*(KT31:KT35&gt;KT33)),"")</f>
        <v/>
      </c>
      <c r="LB33" s="319" t="str">
        <f ca="1">IF(KK33&lt;&gt;"",SUMPRODUCT((KV31:KV35=KV33)*(KQ31:KQ35=KQ33)*(KO31:KO35=KO33)*(KS31:KS35=KS33)*(KT31:KT35=KT33)*(KU31:KU35&gt;KU33)),"")</f>
        <v/>
      </c>
      <c r="LC33" s="319" t="str">
        <f ca="1">IF(KK33&lt;&gt;"",IF(LC73&lt;&gt;"",IF(KJ70=3,LC73,LC73+KJ70),SUM(KW33:LB33)+1),"")</f>
        <v/>
      </c>
      <c r="LD33" s="319" t="str">
        <f ca="1">IF(KK33&lt;&gt;"",INDEX(KK32:KK35,MATCH(3,LC32:LC35,0),0),"")</f>
        <v/>
      </c>
      <c r="LE33" s="319" t="str">
        <f ca="1">IF(JN31&lt;&gt;"",JN31,"")</f>
        <v>Slovakia</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1</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1</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1</v>
      </c>
      <c r="LK33" s="319">
        <f ca="1">LI33-LJ33+1000</f>
        <v>1000</v>
      </c>
      <c r="LL33" s="319">
        <f t="shared" ref="LL33:LL34" ca="1" si="10511">IF(LE33&lt;&gt;"",LF33*3+LG33*1,"")</f>
        <v>1</v>
      </c>
      <c r="LM33" s="319">
        <f ca="1">IF(LE33&lt;&gt;"",VLOOKUP(LE33,IX4:JD40,7,FALSE),"")</f>
        <v>999</v>
      </c>
      <c r="LN33" s="319">
        <f ca="1">IF(LE33&lt;&gt;"",VLOOKUP(LE33,IX4:JD40,5,FALSE),"")</f>
        <v>2</v>
      </c>
      <c r="LO33" s="319">
        <f ca="1">IF(LE33&lt;&gt;"",VLOOKUP(LE33,IX4:JF40,9,FALSE),"")</f>
        <v>38</v>
      </c>
      <c r="LP33" s="319">
        <f t="shared" ref="LP33:LP34" ca="1" si="10512">LL33</f>
        <v>1</v>
      </c>
      <c r="LQ33" s="319">
        <f ca="1">IF(LE33&lt;&gt;"",RANK(LP33,LP32:LP35),"")</f>
        <v>1</v>
      </c>
      <c r="LR33" s="319">
        <f ca="1">IF(LE33&lt;&gt;"",SUMPRODUCT((LP31:LP35=LP33)*(LK31:LK35&gt;LK33)),"")</f>
        <v>0</v>
      </c>
      <c r="LS33" s="319">
        <f ca="1">IF(LE33&lt;&gt;"",SUMPRODUCT((LP31:LP35=LP33)*(LK31:LK35=LK33)*(LI31:LI35&gt;LI33)),"")</f>
        <v>0</v>
      </c>
      <c r="LT33" s="319">
        <f ca="1">IF(LE33&lt;&gt;"",SUMPRODUCT((LP31:LP35=LP33)*(LK31:LK35=LK33)*(LI31:LI35=LI33)*(LM31:LM35&gt;LM33)),"")</f>
        <v>0</v>
      </c>
      <c r="LU33" s="319">
        <f ca="1">IF(LE33&lt;&gt;"",SUMPRODUCT((LP31:LP35=LP33)*(LK31:LK35=LK33)*(LI31:LI35=LI33)*(LM31:LM35=LM33)*(LN31:LN35&gt;LN33)),"")</f>
        <v>1</v>
      </c>
      <c r="LV33" s="319">
        <f ca="1">IF(LE33&lt;&gt;"",SUMPRODUCT((LP31:LP35=LP33)*(LK31:LK35=LK33)*(LI31:LI35=LI33)*(LM31:LM35=LM33)*(LN31:LN35=LN33)*(LO31:LO35&gt;LO33)),"")</f>
        <v>0</v>
      </c>
      <c r="LW33" s="319">
        <f ca="1">IF(LE33&lt;&gt;"",SUM(LQ33:LV33)+2,"")</f>
        <v>4</v>
      </c>
      <c r="LX33" s="319" t="str">
        <f ca="1">IF(LE33&lt;&gt;"",INDEX(LE33:LE35,MATCH(3,LW33:LW35,0),0),"")</f>
        <v>Romania</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Romania</v>
      </c>
      <c r="MT33" s="319">
        <v>3</v>
      </c>
      <c r="MU33" s="319">
        <v>31</v>
      </c>
      <c r="MV33" s="319" t="str">
        <f t="shared" si="170"/>
        <v>Netherlands</v>
      </c>
      <c r="MW33" s="322">
        <f ca="1">IF(OFFSET('Player Game Board'!P40,0,MW1)&lt;&gt;"",OFFSET('Player Game Board'!P40,0,MW1),0)</f>
        <v>1</v>
      </c>
      <c r="MX33" s="322">
        <f ca="1">IF(OFFSET('Player Game Board'!Q40,0,MW1)&lt;&gt;"",OFFSET('Player Game Board'!Q40,0,MW1),0)</f>
        <v>1</v>
      </c>
      <c r="MY33" s="319" t="str">
        <f t="shared" si="171"/>
        <v>Austria</v>
      </c>
      <c r="MZ33" s="319" t="str">
        <f ca="1">IF(AND(OFFSET('Player Game Board'!P40,0,MW1)&lt;&gt;"",OFFSET('Player Game Board'!Q40,0,MW1)&lt;&gt;""),IF(MW33&gt;MX33,"W",IF(MW33=MX33,"D","L")),"")</f>
        <v>D</v>
      </c>
      <c r="NA33" s="319" t="str">
        <f t="shared" ca="1" si="172"/>
        <v>D</v>
      </c>
      <c r="NB33" s="319"/>
      <c r="NC33" s="319"/>
      <c r="ND33" s="319"/>
      <c r="NE33" s="320"/>
      <c r="NF33" s="320"/>
      <c r="NG33" s="320"/>
      <c r="NH33" s="320"/>
      <c r="NI33" s="320"/>
      <c r="NJ33" s="320"/>
      <c r="NK33" s="320"/>
      <c r="NL33" s="319"/>
      <c r="NM33" s="319"/>
      <c r="NN33" s="319"/>
      <c r="NO33" s="319"/>
      <c r="NP33" s="319"/>
      <c r="NQ33" s="319"/>
      <c r="NR33" s="319"/>
      <c r="NS33" s="319" t="str">
        <f ca="1">VLOOKUP(2,IW37:IX40,2,FALSE)</f>
        <v>Portugal</v>
      </c>
      <c r="NT33" s="325">
        <f t="shared" ca="1" si="5052"/>
        <v>1</v>
      </c>
      <c r="NU33" s="319">
        <f t="shared" ref="NU33" ca="1" si="10513">VLOOKUP(NV33,RQ31:RR35,2,FALSE)</f>
        <v>1</v>
      </c>
      <c r="NV33" s="319" t="str">
        <f t="shared" si="9705"/>
        <v>Romania</v>
      </c>
      <c r="NW33" s="319">
        <f t="shared" ref="NW33" ca="1" si="10514">SUMPRODUCT((RT3:RT42=NV33)*(RX3:RX42="W"))+SUMPRODUCT((RW3:RW42=NV33)*(RY3:RY42="W"))</f>
        <v>2</v>
      </c>
      <c r="NX33" s="319">
        <f t="shared" ref="NX33" ca="1" si="10515">SUMPRODUCT((RT3:RT42=NV33)*(RX3:RX42="D"))+SUMPRODUCT((RW3:RW42=NV33)*(RY3:RY42="D"))</f>
        <v>1</v>
      </c>
      <c r="NY33" s="319">
        <f t="shared" ref="NY33" ca="1" si="10516">SUMPRODUCT((RT3:RT42=NV33)*(RX3:RX42="L"))+SUMPRODUCT((RW3:RW42=NV33)*(RY3:RY42="L"))</f>
        <v>0</v>
      </c>
      <c r="NZ33" s="319">
        <f t="shared" ref="NZ33" ca="1" si="10517">SUMIF(RT3:RT60,NV33,RU3:RU60)+SUMIF(RW3:RW60,NV33,RV3:RV60)</f>
        <v>3</v>
      </c>
      <c r="OA33" s="319">
        <f t="shared" ref="OA33" ca="1" si="10518">SUMIF(RW3:RW60,NV33,RU3:RU60)+SUMIF(RT3:RT60,NV33,RV3:RV60)</f>
        <v>1</v>
      </c>
      <c r="OB33" s="319">
        <f t="shared" ca="1" si="9711"/>
        <v>1002</v>
      </c>
      <c r="OC33" s="319">
        <f t="shared" ca="1" si="9712"/>
        <v>7</v>
      </c>
      <c r="OD33" s="319">
        <f t="shared" si="630"/>
        <v>46</v>
      </c>
      <c r="OE33" s="319">
        <f t="shared" ref="OE33" ca="1" si="10519">IF(COUNTIF(OC31:OC35,4)&lt;&gt;4,RANK(OC33,OC31:OC35),OC73)</f>
        <v>1</v>
      </c>
      <c r="OF33" s="319"/>
      <c r="OG33" s="319">
        <f t="shared" ref="OG33" ca="1" si="10520">SUMPRODUCT((OE31:OE34=OE33)*(OD31:OD34&lt;OD33))+OE33</f>
        <v>1</v>
      </c>
      <c r="OH33" s="319" t="str">
        <f t="shared" ref="OH33" ca="1" si="10521">INDEX(NV31:NV35,MATCH(3,OG31:OG35,0),0)</f>
        <v>Belgium</v>
      </c>
      <c r="OI33" s="319">
        <f t="shared" ref="OI33" ca="1" si="10522">INDEX(OE31:OE35,MATCH(OH33,NV31:NV35,0),0)</f>
        <v>3</v>
      </c>
      <c r="OJ33" s="319" t="str">
        <f t="shared" ref="OJ33:OJ34" ca="1" si="10523">IF(AND(OJ32&lt;&gt;"",OI33=1),OH33,"")</f>
        <v/>
      </c>
      <c r="OK33" s="319" t="str">
        <f t="shared" ref="OK33:OK34" ca="1" si="10524">IF(AND(OK32&lt;&gt;"",OI34=2),OH34,"")</f>
        <v/>
      </c>
      <c r="OL33" s="319" t="str">
        <f t="shared" ref="OL33" ca="1" si="10525">IF(AND(OL32&lt;&gt;"",OI35=3),OH35,"")</f>
        <v/>
      </c>
      <c r="OM33" s="319"/>
      <c r="ON33" s="319"/>
      <c r="OO33" s="319" t="str">
        <f t="shared" ca="1" si="9721"/>
        <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t="str">
        <f t="shared" ca="1" si="9728"/>
        <v/>
      </c>
      <c r="OW33" s="319" t="str">
        <f t="shared" ref="OW33" ca="1" si="10531">IF(OO33&lt;&gt;"",VLOOKUP(OO33,NV4:OB40,7,FALSE),"")</f>
        <v/>
      </c>
      <c r="OX33" s="319" t="str">
        <f t="shared" ref="OX33" ca="1" si="10532">IF(OO33&lt;&gt;"",VLOOKUP(OO33,NV4:OB40,5,FALSE),"")</f>
        <v/>
      </c>
      <c r="OY33" s="319" t="str">
        <f t="shared" ref="OY33" ca="1" si="10533">IF(OO33&lt;&gt;"",VLOOKUP(OO33,NV4:OD40,9,FALSE),"")</f>
        <v/>
      </c>
      <c r="OZ33" s="319" t="str">
        <f t="shared" ca="1" si="9732"/>
        <v/>
      </c>
      <c r="PA33" s="319" t="str">
        <f t="shared" ref="PA33" ca="1" si="10534">IF(OO33&lt;&gt;"",RANK(OZ33,OZ31:OZ35),"")</f>
        <v/>
      </c>
      <c r="PB33" s="319" t="str">
        <f t="shared" ref="PB33" ca="1" si="10535">IF(OO33&lt;&gt;"",SUMPRODUCT((OZ31:OZ35=OZ33)*(OU31:OU35&gt;OU33)),"")</f>
        <v/>
      </c>
      <c r="PC33" s="319" t="str">
        <f t="shared" ref="PC33" ca="1" si="10536">IF(OO33&lt;&gt;"",SUMPRODUCT((OZ31:OZ35=OZ33)*(OU31:OU35=OU33)*(OS31:OS35&gt;OS33)),"")</f>
        <v/>
      </c>
      <c r="PD33" s="319" t="str">
        <f t="shared" ref="PD33" ca="1" si="10537">IF(OO33&lt;&gt;"",SUMPRODUCT((OZ31:OZ35=OZ33)*(OU31:OU35=OU33)*(OS31:OS35=OS33)*(OW31:OW35&gt;OW33)),"")</f>
        <v/>
      </c>
      <c r="PE33" s="319" t="str">
        <f t="shared" ref="PE33" ca="1" si="10538">IF(OO33&lt;&gt;"",SUMPRODUCT((OZ31:OZ35=OZ33)*(OU31:OU35=OU33)*(OS31:OS35=OS33)*(OW31:OW35=OW33)*(OX31:OX35&gt;OX33)),"")</f>
        <v/>
      </c>
      <c r="PF33" s="319" t="str">
        <f t="shared" ref="PF33" ca="1" si="10539">IF(OO33&lt;&gt;"",SUMPRODUCT((OZ31:OZ35=OZ33)*(OU31:OU35=OU33)*(OS31:OS35=OS33)*(OW31:OW35=OW33)*(OX31:OX35=OX33)*(OY31:OY35&gt;OY33)),"")</f>
        <v/>
      </c>
      <c r="PG33" s="319" t="str">
        <f ca="1">IF(OO33&lt;&gt;"",IF(PG73&lt;&gt;"",IF(ON70=3,PG73,PG73+ON70),SUM(PA33:PF33)),"")</f>
        <v/>
      </c>
      <c r="PH33" s="319" t="str">
        <f t="shared" ref="PH33" ca="1" si="10540">IF(OO33&lt;&gt;"",INDEX(OO31:OO35,MATCH(3,PG31:PG35,0),0),"")</f>
        <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Belgium</v>
      </c>
      <c r="RR33" s="319">
        <v>3</v>
      </c>
      <c r="RS33" s="319">
        <v>31</v>
      </c>
      <c r="RT33" s="319" t="str">
        <f t="shared" si="18"/>
        <v>Netherlands</v>
      </c>
      <c r="RU33" s="322">
        <f ca="1">IF(OFFSET('Player Game Board'!P40,0,RU1)&lt;&gt;"",OFFSET('Player Game Board'!P40,0,RU1),0)</f>
        <v>1</v>
      </c>
      <c r="RV33" s="322">
        <f ca="1">IF(OFFSET('Player Game Board'!Q40,0,RU1)&lt;&gt;"",OFFSET('Player Game Board'!Q40,0,RU1),0)</f>
        <v>1</v>
      </c>
      <c r="RW33" s="319" t="str">
        <f t="shared" si="19"/>
        <v>Austria</v>
      </c>
      <c r="RX33" s="319" t="str">
        <f ca="1">IF(AND(OFFSET('Player Game Board'!P40,0,RU1)&lt;&gt;"",OFFSET('Player Game Board'!Q40,0,RU1)&lt;&gt;""),IF(RU33&gt;RV33,"W",IF(RU33=RV33,"D","L")),"")</f>
        <v>D</v>
      </c>
      <c r="RY33" s="319" t="str">
        <f t="shared" ca="1" si="5500"/>
        <v>D</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Portugal</v>
      </c>
      <c r="SR33" s="325">
        <f t="shared" ca="1" si="5095"/>
        <v>1</v>
      </c>
      <c r="SS33" s="319">
        <f t="shared" ref="SS33" ca="1" si="10578">VLOOKUP(ST33,WO31:WP35,2,FALSE)</f>
        <v>2</v>
      </c>
      <c r="ST33" s="319" t="str">
        <f t="shared" si="9743"/>
        <v>Romania</v>
      </c>
      <c r="SU33" s="319">
        <f t="shared" ref="SU33" ca="1" si="10579">SUMPRODUCT((WR3:WR42=ST33)*(WV3:WV42="W"))+SUMPRODUCT((WU3:WU42=ST33)*(WW3:WW42="W"))</f>
        <v>1</v>
      </c>
      <c r="SV33" s="319">
        <f t="shared" ref="SV33" ca="1" si="10580">SUMPRODUCT((WR3:WR42=ST33)*(WV3:WV42="D"))+SUMPRODUCT((WU3:WU42=ST33)*(WW3:WW42="D"))</f>
        <v>1</v>
      </c>
      <c r="SW33" s="319">
        <f t="shared" ref="SW33" ca="1" si="10581">SUMPRODUCT((WR3:WR42=ST33)*(WV3:WV42="L"))+SUMPRODUCT((WU3:WU42=ST33)*(WW3:WW42="L"))</f>
        <v>1</v>
      </c>
      <c r="SX33" s="319">
        <f t="shared" ref="SX33" ca="1" si="10582">SUMIF(WR3:WR60,ST33,WS3:WS60)+SUMIF(WU3:WU60,ST33,WT3:WT60)</f>
        <v>2</v>
      </c>
      <c r="SY33" s="319">
        <f t="shared" ref="SY33" ca="1" si="10583">SUMIF(WU3:WU60,ST33,WS3:WS60)+SUMIF(WR3:WR60,ST33,WT3:WT60)</f>
        <v>3</v>
      </c>
      <c r="SZ33" s="319">
        <f t="shared" ca="1" si="9749"/>
        <v>999</v>
      </c>
      <c r="TA33" s="319">
        <f t="shared" ca="1" si="9750"/>
        <v>4</v>
      </c>
      <c r="TB33" s="319">
        <f t="shared" si="690"/>
        <v>46</v>
      </c>
      <c r="TC33" s="319">
        <f t="shared" ref="TC33" ca="1" si="10584">IF(COUNTIF(TA31:TA35,4)&lt;&gt;4,RANK(TA33,TA31:TA35),TA73)</f>
        <v>2</v>
      </c>
      <c r="TD33" s="319"/>
      <c r="TE33" s="319">
        <f t="shared" ref="TE33" ca="1" si="10585">SUMPRODUCT((TC31:TC34=TC33)*(TB31:TB34&lt;TB33))+TC33</f>
        <v>3</v>
      </c>
      <c r="TF33" s="319" t="str">
        <f t="shared" ref="TF33" ca="1" si="10586">INDEX(ST31:ST35,MATCH(3,TE31:TE35,0),0)</f>
        <v>Romania</v>
      </c>
      <c r="TG33" s="319">
        <f t="shared" ref="TG33" ca="1" si="10587">INDEX(TC31:TC35,MATCH(TF33,ST31:ST35,0),0)</f>
        <v>2</v>
      </c>
      <c r="TH33" s="319" t="str">
        <f t="shared" ref="TH33:TH34" ca="1" si="10588">IF(AND(TH32&lt;&gt;"",TG33=1),TF33,"")</f>
        <v/>
      </c>
      <c r="TI33" s="319" t="str">
        <f t="shared" ref="TI33:TI34" ca="1" si="10589">IF(AND(TI32&lt;&gt;"",TG34=2),TF34,"")</f>
        <v/>
      </c>
      <c r="TJ33" s="319" t="str">
        <f t="shared" ref="TJ33" ca="1" si="10590">IF(AND(TJ32&lt;&gt;"",TG35=3),TF35,"")</f>
        <v/>
      </c>
      <c r="TK33" s="319"/>
      <c r="TL33" s="319"/>
      <c r="TM33" s="319" t="str">
        <f t="shared" ca="1" si="9759"/>
        <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t="str">
        <f t="shared" ca="1" si="9766"/>
        <v/>
      </c>
      <c r="TU33" s="319" t="str">
        <f t="shared" ref="TU33" ca="1" si="10596">IF(TM33&lt;&gt;"",VLOOKUP(TM33,ST4:SZ40,7,FALSE),"")</f>
        <v/>
      </c>
      <c r="TV33" s="319" t="str">
        <f t="shared" ref="TV33" ca="1" si="10597">IF(TM33&lt;&gt;"",VLOOKUP(TM33,ST4:SZ40,5,FALSE),"")</f>
        <v/>
      </c>
      <c r="TW33" s="319" t="str">
        <f t="shared" ref="TW33" ca="1" si="10598">IF(TM33&lt;&gt;"",VLOOKUP(TM33,ST4:TB40,9,FALSE),"")</f>
        <v/>
      </c>
      <c r="TX33" s="319" t="str">
        <f t="shared" ca="1" si="9770"/>
        <v/>
      </c>
      <c r="TY33" s="319" t="str">
        <f t="shared" ref="TY33" ca="1" si="10599">IF(TM33&lt;&gt;"",RANK(TX33,TX31:TX35),"")</f>
        <v/>
      </c>
      <c r="TZ33" s="319" t="str">
        <f t="shared" ref="TZ33" ca="1" si="10600">IF(TM33&lt;&gt;"",SUMPRODUCT((TX31:TX35=TX33)*(TS31:TS35&gt;TS33)),"")</f>
        <v/>
      </c>
      <c r="UA33" s="319" t="str">
        <f t="shared" ref="UA33" ca="1" si="10601">IF(TM33&lt;&gt;"",SUMPRODUCT((TX31:TX35=TX33)*(TS31:TS35=TS33)*(TQ31:TQ35&gt;TQ33)),"")</f>
        <v/>
      </c>
      <c r="UB33" s="319" t="str">
        <f t="shared" ref="UB33" ca="1" si="10602">IF(TM33&lt;&gt;"",SUMPRODUCT((TX31:TX35=TX33)*(TS31:TS35=TS33)*(TQ31:TQ35=TQ33)*(TU31:TU35&gt;TU33)),"")</f>
        <v/>
      </c>
      <c r="UC33" s="319" t="str">
        <f t="shared" ref="UC33" ca="1" si="10603">IF(TM33&lt;&gt;"",SUMPRODUCT((TX31:TX35=TX33)*(TS31:TS35=TS33)*(TQ31:TQ35=TQ33)*(TU31:TU35=TU33)*(TV31:TV35&gt;TV33)),"")</f>
        <v/>
      </c>
      <c r="UD33" s="319" t="str">
        <f t="shared" ref="UD33" ca="1" si="10604">IF(TM33&lt;&gt;"",SUMPRODUCT((TX31:TX35=TX33)*(TS31:TS35=TS33)*(TQ31:TQ35=TQ33)*(TU31:TU35=TU33)*(TV31:TV35=TV33)*(TW31:TW35&gt;TW33)),"")</f>
        <v/>
      </c>
      <c r="UE33" s="319" t="str">
        <f ca="1">IF(TM33&lt;&gt;"",IF(UE73&lt;&gt;"",IF(TL70=3,UE73,UE73+TL70),SUM(TY33:UD33)),"")</f>
        <v/>
      </c>
      <c r="UF33" s="319" t="str">
        <f t="shared" ref="UF33" ca="1" si="10605">IF(TM33&lt;&gt;"",INDEX(TM31:TM35,MATCH(3,UE31:UE35,0),0),"")</f>
        <v/>
      </c>
      <c r="UG33" s="319" t="str">
        <f t="shared" ca="1" si="10136"/>
        <v>Romania</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1</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f t="shared" ca="1" si="10143"/>
        <v>1</v>
      </c>
      <c r="UO33" s="319">
        <f t="shared" ref="UO33" ca="1" si="10611">IF(UG33&lt;&gt;"",VLOOKUP(UG33,ST4:SZ40,7,FALSE),"")</f>
        <v>999</v>
      </c>
      <c r="UP33" s="319">
        <f t="shared" ref="UP33" ca="1" si="10612">IF(UG33&lt;&gt;"",VLOOKUP(UG33,ST4:SZ40,5,FALSE),"")</f>
        <v>2</v>
      </c>
      <c r="UQ33" s="319">
        <f t="shared" ref="UQ33" ca="1" si="10613">IF(UG33&lt;&gt;"",VLOOKUP(UG33,ST4:TB40,9,FALSE),"")</f>
        <v>46</v>
      </c>
      <c r="UR33" s="319">
        <f t="shared" ca="1" si="10147"/>
        <v>1</v>
      </c>
      <c r="US33" s="319">
        <f t="shared" ref="US33" ca="1" si="10614">IF(UG33&lt;&gt;"",RANK(UR33,UR31:UR35),"")</f>
        <v>1</v>
      </c>
      <c r="UT33" s="319">
        <f t="shared" ref="UT33" ca="1" si="10615">IF(UG33&lt;&gt;"",SUMPRODUCT((UR31:UR35=UR33)*(UM31:UM35&gt;UM33)),"")</f>
        <v>0</v>
      </c>
      <c r="UU33" s="319">
        <f t="shared" ref="UU33" ca="1" si="10616">IF(UG33&lt;&gt;"",SUMPRODUCT((UR31:UR35=UR33)*(UM31:UM35=UM33)*(UK31:UK35&gt;UK33)),"")</f>
        <v>0</v>
      </c>
      <c r="UV33" s="319">
        <f t="shared" ref="UV33" ca="1" si="10617">IF(UG33&lt;&gt;"",SUMPRODUCT((UR31:UR35=UR33)*(UM31:UM35=UM33)*(UK31:UK35=UK33)*(UO31:UO35&gt;UO33)),"")</f>
        <v>0</v>
      </c>
      <c r="UW33" s="319">
        <f t="shared" ref="UW33" ca="1" si="10618">IF(UG33&lt;&gt;"",SUMPRODUCT((UR31:UR35=UR33)*(UM31:UM35=UM33)*(UK31:UK35=UK33)*(UO31:UO35=UO33)*(UP31:UP35&gt;UP33)),"")</f>
        <v>0</v>
      </c>
      <c r="UX33" s="319">
        <f t="shared" ref="UX33" ca="1" si="10619">IF(UG33&lt;&gt;"",SUMPRODUCT((UR31:UR35=UR33)*(UM31:UM35=UM33)*(UK31:UK35=UK33)*(UO31:UO35=UO33)*(UP31:UP35=UP33)*(UQ31:UQ35&gt;UQ33)),"")</f>
        <v>0</v>
      </c>
      <c r="UY33" s="319">
        <f ca="1">IF(UG33&lt;&gt;"",IF(UY73&lt;&gt;"",IF(UF70=3,UY73,UY73+UF70),SUM(US33:UX33)+1),"")</f>
        <v>2</v>
      </c>
      <c r="UZ33" s="319" t="str">
        <f t="shared" ref="UZ33" ca="1" si="10620">IF(UG33&lt;&gt;"",INDEX(UG32:UG35,MATCH(3,UY32:UY35,0),0),"")</f>
        <v>Ukraine</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Ukraine</v>
      </c>
      <c r="WP33" s="319">
        <v>3</v>
      </c>
      <c r="WQ33" s="319">
        <v>31</v>
      </c>
      <c r="WR33" s="319" t="str">
        <f t="shared" si="34"/>
        <v>Netherlands</v>
      </c>
      <c r="WS33" s="322">
        <f ca="1">IF(OFFSET('Player Game Board'!P40,0,WS1)&lt;&gt;"",OFFSET('Player Game Board'!P40,0,WS1),0)</f>
        <v>1</v>
      </c>
      <c r="WT33" s="322">
        <f ca="1">IF(OFFSET('Player Game Board'!Q40,0,WS1)&lt;&gt;"",OFFSET('Player Game Board'!Q40,0,WS1),0)</f>
        <v>0</v>
      </c>
      <c r="WU33" s="319" t="str">
        <f t="shared" si="35"/>
        <v>Austria</v>
      </c>
      <c r="WV33" s="319" t="str">
        <f ca="1">IF(AND(OFFSET('Player Game Board'!P40,0,WS1)&lt;&gt;"",OFFSET('Player Game Board'!Q40,0,WS1)&lt;&gt;""),IF(WS33&gt;WT33,"W",IF(WS33=WT33,"D","L")),"")</f>
        <v>W</v>
      </c>
      <c r="WW33" s="319" t="str">
        <f t="shared" ca="1" si="5555"/>
        <v>L</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Türkiye</v>
      </c>
      <c r="XP33" s="325">
        <f t="shared" ca="1" si="5138"/>
        <v>1</v>
      </c>
      <c r="XQ33" s="319">
        <f t="shared" ref="XQ33" ca="1" si="10643">VLOOKUP(XR33,ABM31:ABN35,2,FALSE)</f>
        <v>3</v>
      </c>
      <c r="XR33" s="319" t="str">
        <f t="shared" si="9781"/>
        <v>Romania</v>
      </c>
      <c r="XS33" s="319">
        <f t="shared" ref="XS33" ca="1" si="10644">SUMPRODUCT((ABP3:ABP42=XR33)*(ABT3:ABT42="W"))+SUMPRODUCT((ABS3:ABS42=XR33)*(ABU3:ABU42="W"))</f>
        <v>0</v>
      </c>
      <c r="XT33" s="319">
        <f t="shared" ref="XT33" ca="1" si="10645">SUMPRODUCT((ABP3:ABP42=XR33)*(ABT3:ABT42="D"))+SUMPRODUCT((ABS3:ABS42=XR33)*(ABU3:ABU42="D"))</f>
        <v>2</v>
      </c>
      <c r="XU33" s="319">
        <f t="shared" ref="XU33" ca="1" si="10646">SUMPRODUCT((ABP3:ABP42=XR33)*(ABT3:ABT42="L"))+SUMPRODUCT((ABS3:ABS42=XR33)*(ABU3:ABU42="L"))</f>
        <v>1</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2</v>
      </c>
      <c r="XZ33" s="319">
        <f t="shared" si="750"/>
        <v>46</v>
      </c>
      <c r="YA33" s="319">
        <f t="shared" ref="YA33" ca="1" si="10649">IF(COUNTIF(XY31:XY35,4)&lt;&gt;4,RANK(XY33,XY31:XY35),XY73)</f>
        <v>3</v>
      </c>
      <c r="YB33" s="319"/>
      <c r="YC33" s="319">
        <f t="shared" ref="YC33" ca="1" si="10650">SUMPRODUCT((YA31:YA34=YA33)*(XZ31:XZ34&lt;XZ33))+YA33</f>
        <v>3</v>
      </c>
      <c r="YD33" s="319" t="str">
        <f t="shared" ref="YD33" ca="1" si="10651">INDEX(XR31:XR35,MATCH(3,YC31:YC35,0),0)</f>
        <v>Romania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Romania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Türkiye</v>
      </c>
      <c r="ACN33" s="325">
        <f t="shared" ca="1" si="5181"/>
        <v>1</v>
      </c>
      <c r="ACO33" s="319">
        <f t="shared" ref="ACO33" ca="1" si="10708">VLOOKUP(ACP33,AGK31:AGL35,2,FALSE)</f>
        <v>3</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1</v>
      </c>
      <c r="ACS33" s="319">
        <f t="shared" ref="ACS33" ca="1" si="10711">SUMPRODUCT((AGN3:AGN42=ACP33)*(AGR3:AGR42="L"))+SUMPRODUCT((AGQ3:AGQ42=ACP33)*(AGS3:AGS42="L"))</f>
        <v>2</v>
      </c>
      <c r="ACT33" s="319">
        <f t="shared" ref="ACT33" ca="1" si="10712">SUMIF(AGN3:AGN60,ACP33,AGO3:AGO60)+SUMIF(AGQ3:AGQ60,ACP33,AGP3:AGP60)</f>
        <v>2</v>
      </c>
      <c r="ACU33" s="319">
        <f t="shared" ref="ACU33" ca="1" si="10713">SUMIF(AGQ3:AGQ60,ACP33,AGO3:AGO60)+SUMIF(AGN3:AGN60,ACP33,AGP3:AGP60)</f>
        <v>5</v>
      </c>
      <c r="ACV33" s="319">
        <f t="shared" ca="1" si="9825"/>
        <v>997</v>
      </c>
      <c r="ACW33" s="319">
        <f t="shared" ca="1" si="9826"/>
        <v>1</v>
      </c>
      <c r="ACX33" s="319">
        <f t="shared" si="810"/>
        <v>46</v>
      </c>
      <c r="ACY33" s="319">
        <f t="shared" ref="ACY33" ca="1" si="10714">IF(COUNTIF(ACW31:ACW35,4)&lt;&gt;4,RANK(ACW33,ACW31:ACW35),ACW73)</f>
        <v>3</v>
      </c>
      <c r="ACZ33" s="319"/>
      <c r="ADA33" s="319">
        <f t="shared" ref="ADA33" ca="1" si="10715">SUMPRODUCT((ACY31:ACY34=ACY33)*(ACX31:ACX34&lt;ACX33))+ACY33</f>
        <v>4</v>
      </c>
      <c r="ADB33" s="319" t="str">
        <f t="shared" ref="ADB33" ca="1" si="10716">INDEX(ACP31:ACP35,MATCH(3,ADA31:ADA35,0),0)</f>
        <v>Slovakia</v>
      </c>
      <c r="ADC33" s="319">
        <f t="shared" ref="ADC33" ca="1" si="10717">INDEX(ACY31:ACY35,MATCH(ADB33,ACP31:ACP35,0),0)</f>
        <v>3</v>
      </c>
      <c r="ADD33" s="319" t="str">
        <f t="shared" ref="ADD33:ADD34" ca="1" si="10718">IF(AND(ADD32&lt;&gt;"",ADC33=1),ADB33,"")</f>
        <v/>
      </c>
      <c r="ADE33" s="319" t="str">
        <f t="shared" ref="ADE33:ADE34" ca="1" si="10719">IF(AND(ADE32&lt;&gt;"",ADC34=2),ADB34,"")</f>
        <v/>
      </c>
      <c r="ADF33" s="319" t="str">
        <f t="shared" ref="ADF33" ca="1" si="10720">IF(AND(ADF32&lt;&gt;"",ADC35=3),ADB35,"")</f>
        <v/>
      </c>
      <c r="ADG33" s="319"/>
      <c r="ADH33" s="319"/>
      <c r="ADI33" s="319" t="str">
        <f t="shared" ca="1" si="9835"/>
        <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t="str">
        <f t="shared" ca="1" si="9842"/>
        <v/>
      </c>
      <c r="ADQ33" s="319" t="str">
        <f t="shared" ref="ADQ33" ca="1" si="10726">IF(ADI33&lt;&gt;"",VLOOKUP(ADI33,ACP4:ACV40,7,FALSE),"")</f>
        <v/>
      </c>
      <c r="ADR33" s="319" t="str">
        <f t="shared" ref="ADR33" ca="1" si="10727">IF(ADI33&lt;&gt;"",VLOOKUP(ADI33,ACP4:ACV40,5,FALSE),"")</f>
        <v/>
      </c>
      <c r="ADS33" s="319" t="str">
        <f t="shared" ref="ADS33" ca="1" si="10728">IF(ADI33&lt;&gt;"",VLOOKUP(ADI33,ACP4:ACX40,9,FALSE),"")</f>
        <v/>
      </c>
      <c r="ADT33" s="319" t="str">
        <f t="shared" ca="1" si="9846"/>
        <v/>
      </c>
      <c r="ADU33" s="319" t="str">
        <f t="shared" ref="ADU33" ca="1" si="10729">IF(ADI33&lt;&gt;"",RANK(ADT33,ADT31:ADT35),"")</f>
        <v/>
      </c>
      <c r="ADV33" s="319" t="str">
        <f t="shared" ref="ADV33" ca="1" si="10730">IF(ADI33&lt;&gt;"",SUMPRODUCT((ADT31:ADT35=ADT33)*(ADO31:ADO35&gt;ADO33)),"")</f>
        <v/>
      </c>
      <c r="ADW33" s="319" t="str">
        <f t="shared" ref="ADW33" ca="1" si="10731">IF(ADI33&lt;&gt;"",SUMPRODUCT((ADT31:ADT35=ADT33)*(ADO31:ADO35=ADO33)*(ADM31:ADM35&gt;ADM33)),"")</f>
        <v/>
      </c>
      <c r="ADX33" s="319" t="str">
        <f t="shared" ref="ADX33" ca="1" si="10732">IF(ADI33&lt;&gt;"",SUMPRODUCT((ADT31:ADT35=ADT33)*(ADO31:ADO35=ADO33)*(ADM31:ADM35=ADM33)*(ADQ31:ADQ35&gt;ADQ33)),"")</f>
        <v/>
      </c>
      <c r="ADY33" s="319" t="str">
        <f t="shared" ref="ADY33" ca="1" si="10733">IF(ADI33&lt;&gt;"",SUMPRODUCT((ADT31:ADT35=ADT33)*(ADO31:ADO35=ADO33)*(ADM31:ADM35=ADM33)*(ADQ31:ADQ35=ADQ33)*(ADR31:ADR35&gt;ADR33)),"")</f>
        <v/>
      </c>
      <c r="ADZ33" s="319" t="str">
        <f t="shared" ref="ADZ33" ca="1" si="10734">IF(ADI33&lt;&gt;"",SUMPRODUCT((ADT31:ADT35=ADT33)*(ADO31:ADO35=ADO33)*(ADM31:ADM35=ADM33)*(ADQ31:ADQ35=ADQ33)*(ADR31:ADR35=ADR33)*(ADS31:ADS35&gt;ADS33)),"")</f>
        <v/>
      </c>
      <c r="AEA33" s="319" t="str">
        <f ca="1">IF(ADI33&lt;&gt;"",IF(AEA73&lt;&gt;"",IF(ADH70=3,AEA73,AEA73+ADH70),SUM(ADU33:ADZ33)),"")</f>
        <v/>
      </c>
      <c r="AEB33" s="319" t="str">
        <f t="shared" ref="AEB33" ca="1" si="10735">IF(ADI33&lt;&gt;"",INDEX(ADI31:ADI35,MATCH(3,AEA31:AEA35,0),0),"")</f>
        <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Slovakia</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1</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1</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1</v>
      </c>
      <c r="AFC33" s="319">
        <f t="shared" ref="AFC33:AFC34" ca="1" si="10757">AFA33-AFB33+1000</f>
        <v>1000</v>
      </c>
      <c r="AFD33" s="319">
        <f t="shared" ref="AFD33:AFD34" ca="1" si="10758">IF(AEW33&lt;&gt;"",AEX33*3+AEY33*1,"")</f>
        <v>1</v>
      </c>
      <c r="AFE33" s="319">
        <f t="shared" ref="AFE33" ca="1" si="10759">IF(AEW33&lt;&gt;"",VLOOKUP(AEW33,ACP4:ACV40,7,FALSE),"")</f>
        <v>996</v>
      </c>
      <c r="AFF33" s="319">
        <f t="shared" ref="AFF33" ca="1" si="10760">IF(AEW33&lt;&gt;"",VLOOKUP(AEW33,ACP4:ACV40,5,FALSE),"")</f>
        <v>2</v>
      </c>
      <c r="AFG33" s="319">
        <f t="shared" ref="AFG33" ca="1" si="10761">IF(AEW33&lt;&gt;"",VLOOKUP(AEW33,ACP4:ACX40,9,FALSE),"")</f>
        <v>38</v>
      </c>
      <c r="AFH33" s="319">
        <f t="shared" ref="AFH33:AFH34" ca="1" si="10762">AFD33</f>
        <v>1</v>
      </c>
      <c r="AFI33" s="319">
        <f t="shared" ref="AFI33" ca="1" si="10763">IF(AEW33&lt;&gt;"",RANK(AFH33,AFH32:AFH35),"")</f>
        <v>1</v>
      </c>
      <c r="AFJ33" s="319">
        <f t="shared" ref="AFJ33" ca="1" si="10764">IF(AEW33&lt;&gt;"",SUMPRODUCT((AFH31:AFH35=AFH33)*(AFC31:AFC35&gt;AFC33)),"")</f>
        <v>0</v>
      </c>
      <c r="AFK33" s="319">
        <f t="shared" ref="AFK33" ca="1" si="10765">IF(AEW33&lt;&gt;"",SUMPRODUCT((AFH31:AFH35=AFH33)*(AFC31:AFC35=AFC33)*(AFA31:AFA35&gt;AFA33)),"")</f>
        <v>0</v>
      </c>
      <c r="AFL33" s="319">
        <f t="shared" ref="AFL33" ca="1" si="10766">IF(AEW33&lt;&gt;"",SUMPRODUCT((AFH31:AFH35=AFH33)*(AFC31:AFC35=AFC33)*(AFA31:AFA35=AFA33)*(AFE31:AFE35&gt;AFE33)),"")</f>
        <v>1</v>
      </c>
      <c r="AFM33" s="319">
        <f t="shared" ref="AFM33" ca="1" si="10767">IF(AEW33&lt;&gt;"",SUMPRODUCT((AFH31:AFH35=AFH33)*(AFC31:AFC35=AFC33)*(AFA31:AFA35=AFA33)*(AFE31:AFE35=AFE33)*(AFF31:AFF35&gt;AFF33)),"")</f>
        <v>0</v>
      </c>
      <c r="AFN33" s="319">
        <f t="shared" ref="AFN33" ca="1" si="10768">IF(AEW33&lt;&gt;"",SUMPRODUCT((AFH31:AFH35=AFH33)*(AFC31:AFC35=AFC33)*(AFA31:AFA35=AFA33)*(AFE31:AFE35=AFE33)*(AFF31:AFF35=AFF33)*(AFG31:AFG35&gt;AFG33)),"")</f>
        <v>0</v>
      </c>
      <c r="AFO33" s="319">
        <f t="shared" ref="AFO33:AFO34" ca="1" si="10769">IF(AEW33&lt;&gt;"",SUM(AFI33:AFN33)+2,"")</f>
        <v>4</v>
      </c>
      <c r="AFP33" s="319" t="str">
        <f t="shared" ref="AFP33" ca="1" si="10770">IF(AEW33&lt;&gt;"",INDEX(AEW33:AEW35,MATCH(3,AFO33:AFO35,0),0),"")</f>
        <v>Romania</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Romania</v>
      </c>
      <c r="AGL33" s="319">
        <v>3</v>
      </c>
      <c r="AGM33" s="319">
        <v>31</v>
      </c>
      <c r="AGN33" s="319" t="str">
        <f t="shared" si="66"/>
        <v>Netherlands</v>
      </c>
      <c r="AGO33" s="322">
        <f ca="1">IF(OFFSET('Player Game Board'!P40,0,AGO1)&lt;&gt;"",OFFSET('Player Game Board'!P40,0,AGO1),0)</f>
        <v>1</v>
      </c>
      <c r="AGP33" s="322">
        <f ca="1">IF(OFFSET('Player Game Board'!Q40,0,AGO1)&lt;&gt;"",OFFSET('Player Game Board'!Q40,0,AGO1),0)</f>
        <v>1</v>
      </c>
      <c r="AGQ33" s="319" t="str">
        <f t="shared" si="67"/>
        <v>Austria</v>
      </c>
      <c r="AGR33" s="319" t="str">
        <f ca="1">IF(AND(OFFSET('Player Game Board'!P40,0,AGO1)&lt;&gt;"",OFFSET('Player Game Board'!Q40,0,AGO1)&lt;&gt;""),IF(AGO33&gt;AGP33,"W",IF(AGO33=AGP33,"D","L")),"")</f>
        <v>D</v>
      </c>
      <c r="AGS33" s="319" t="str">
        <f t="shared" ca="1" si="5665"/>
        <v>D</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Czechia</v>
      </c>
      <c r="AHL33" s="325">
        <f t="shared" ca="1" si="5224"/>
        <v>1</v>
      </c>
      <c r="AHM33" s="319">
        <f t="shared" ref="AHM33" ca="1" si="10773">VLOOKUP(AHN33,ALI31:ALJ35,2,FALSE)</f>
        <v>2</v>
      </c>
      <c r="AHN33" s="319" t="str">
        <f t="shared" si="9857"/>
        <v>Romania</v>
      </c>
      <c r="AHO33" s="319">
        <f t="shared" ref="AHO33" ca="1" si="10774">SUMPRODUCT((ALL3:ALL42=AHN33)*(ALP3:ALP42="W"))+SUMPRODUCT((ALO3:ALO42=AHN33)*(ALQ3:ALQ42="W"))</f>
        <v>0</v>
      </c>
      <c r="AHP33" s="319">
        <f t="shared" ref="AHP33" ca="1" si="10775">SUMPRODUCT((ALL3:ALL42=AHN33)*(ALP3:ALP42="D"))+SUMPRODUCT((ALO3:ALO42=AHN33)*(ALQ3:ALQ42="D"))</f>
        <v>0</v>
      </c>
      <c r="AHQ33" s="319">
        <f t="shared" ref="AHQ33" ca="1" si="10776">SUMPRODUCT((ALL3:ALL42=AHN33)*(ALP3:ALP42="L"))+SUMPRODUCT((ALO3:ALO42=AHN33)*(ALQ3:ALQ42="L"))</f>
        <v>0</v>
      </c>
      <c r="AHR33" s="319">
        <f t="shared" ref="AHR33" ca="1" si="10777">SUMIF(ALL3:ALL60,AHN33,ALM3:ALM60)+SUMIF(ALO3:ALO60,AHN33,ALN3:ALN60)</f>
        <v>0</v>
      </c>
      <c r="AHS33" s="319">
        <f t="shared" ref="AHS33" ca="1" si="10778">SUMIF(ALO3:ALO60,AHN33,ALM3:ALM60)+SUMIF(ALL3:ALL60,AHN33,ALN3:ALN60)</f>
        <v>0</v>
      </c>
      <c r="AHT33" s="319">
        <f t="shared" ca="1" si="9863"/>
        <v>1000</v>
      </c>
      <c r="AHU33" s="319">
        <f t="shared" ca="1" si="9864"/>
        <v>0</v>
      </c>
      <c r="AHV33" s="319">
        <f t="shared" si="870"/>
        <v>46</v>
      </c>
      <c r="AHW33" s="319">
        <f t="shared" ref="AHW33" ca="1" si="10779">IF(COUNTIF(AHU31:AHU35,4)&lt;&gt;4,RANK(AHU33,AHU31:AHU35),AHU73)</f>
        <v>1</v>
      </c>
      <c r="AHX33" s="319"/>
      <c r="AHY33" s="319">
        <f t="shared" ref="AHY33" ca="1" si="10780">SUMPRODUCT((AHW31:AHW34=AHW33)*(AHV31:AHV34&lt;AHV33))+AHW33</f>
        <v>3</v>
      </c>
      <c r="AHZ33" s="319" t="str">
        <f t="shared" ref="AHZ33" ca="1" si="10781">INDEX(AHN31:AHN35,MATCH(3,AHY31:AHY35,0),0)</f>
        <v>Romania</v>
      </c>
      <c r="AIA33" s="319">
        <f t="shared" ref="AIA33" ca="1" si="10782">INDEX(AHW31:AHW35,MATCH(AHZ33,AHN31:AHN35,0),0)</f>
        <v>1</v>
      </c>
      <c r="AIB33" s="319" t="str">
        <f t="shared" ref="AIB33:AIB34" ca="1" si="10783">IF(AND(AIB32&lt;&gt;"",AIA33=1),AHZ33,"")</f>
        <v>Romania</v>
      </c>
      <c r="AIC33" s="319" t="str">
        <f t="shared" ref="AIC33:AIC34" ca="1" si="10784">IF(AND(AIC32&lt;&gt;"",AIA34=2),AHZ34,"")</f>
        <v/>
      </c>
      <c r="AID33" s="319" t="str">
        <f t="shared" ref="AID33" ca="1" si="10785">IF(AND(AID32&lt;&gt;"",AIA35=3),AHZ35,"")</f>
        <v/>
      </c>
      <c r="AIE33" s="319"/>
      <c r="AIF33" s="319"/>
      <c r="AIG33" s="319" t="str">
        <f t="shared" ca="1" si="9873"/>
        <v>Romania</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f t="shared" ca="1" si="9880"/>
        <v>0</v>
      </c>
      <c r="AIO33" s="319">
        <f t="shared" ref="AIO33" ca="1" si="10791">IF(AIG33&lt;&gt;"",VLOOKUP(AIG33,AHN4:AHT40,7,FALSE),"")</f>
        <v>1000</v>
      </c>
      <c r="AIP33" s="319">
        <f t="shared" ref="AIP33" ca="1" si="10792">IF(AIG33&lt;&gt;"",VLOOKUP(AIG33,AHN4:AHT40,5,FALSE),"")</f>
        <v>0</v>
      </c>
      <c r="AIQ33" s="319">
        <f t="shared" ref="AIQ33" ca="1" si="10793">IF(AIG33&lt;&gt;"",VLOOKUP(AIG33,AHN4:AHV40,9,FALSE),"")</f>
        <v>46</v>
      </c>
      <c r="AIR33" s="319">
        <f t="shared" ca="1" si="9884"/>
        <v>0</v>
      </c>
      <c r="AIS33" s="319">
        <f t="shared" ref="AIS33" ca="1" si="10794">IF(AIG33&lt;&gt;"",RANK(AIR33,AIR31:AIR35),"")</f>
        <v>1</v>
      </c>
      <c r="AIT33" s="319">
        <f t="shared" ref="AIT33" ca="1" si="10795">IF(AIG33&lt;&gt;"",SUMPRODUCT((AIR31:AIR35=AIR33)*(AIM31:AIM35&gt;AIM33)),"")</f>
        <v>0</v>
      </c>
      <c r="AIU33" s="319">
        <f t="shared" ref="AIU33" ca="1" si="10796">IF(AIG33&lt;&gt;"",SUMPRODUCT((AIR31:AIR35=AIR33)*(AIM31:AIM35=AIM33)*(AIK31:AIK35&gt;AIK33)),"")</f>
        <v>0</v>
      </c>
      <c r="AIV33" s="319">
        <f t="shared" ref="AIV33" ca="1" si="10797">IF(AIG33&lt;&gt;"",SUMPRODUCT((AIR31:AIR35=AIR33)*(AIM31:AIM35=AIM33)*(AIK31:AIK35=AIK33)*(AIO31:AIO35&gt;AIO33)),"")</f>
        <v>0</v>
      </c>
      <c r="AIW33" s="319">
        <f t="shared" ref="AIW33" ca="1" si="10798">IF(AIG33&lt;&gt;"",SUMPRODUCT((AIR31:AIR35=AIR33)*(AIM31:AIM35=AIM33)*(AIK31:AIK35=AIK33)*(AIO31:AIO35=AIO33)*(AIP31:AIP35&gt;AIP33)),"")</f>
        <v>0</v>
      </c>
      <c r="AIX33" s="319">
        <f t="shared" ref="AIX33" ca="1" si="10799">IF(AIG33&lt;&gt;"",SUMPRODUCT((AIR31:AIR35=AIR33)*(AIM31:AIM35=AIM33)*(AIK31:AIK35=AIK33)*(AIO31:AIO35=AIO33)*(AIP31:AIP35=AIP33)*(AIQ31:AIQ35&gt;AIQ33)),"")</f>
        <v>1</v>
      </c>
      <c r="AIY33" s="319">
        <f ca="1">IF(AIG33&lt;&gt;"",IF(AIY73&lt;&gt;"",IF(AIF70=3,AIY73,AIY73+AIF70),SUM(AIS33:AIX33)),"")</f>
        <v>2</v>
      </c>
      <c r="AIZ33" s="319" t="str">
        <f t="shared" ref="AIZ33" ca="1" si="10800">IF(AIG33&lt;&gt;"",INDEX(AIG31:AIG35,MATCH(3,AIY31:AIY35,0),0),"")</f>
        <v>Slovakia</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19">
        <f t="shared" ref="AKA33:AKA34" ca="1" si="10822">AJY33-AJZ33+1000</f>
        <v>1000</v>
      </c>
      <c r="AKB33" s="319" t="str">
        <f t="shared" ref="AKB33:AKB34" ca="1" si="10823">IF(AJU33&lt;&gt;"",AJV33*3+AJW33*1,"")</f>
        <v/>
      </c>
      <c r="AKC33" s="319" t="str">
        <f t="shared" ref="AKC33" ca="1" si="10824">IF(AJU33&lt;&gt;"",VLOOKUP(AJU33,AHN4:AHT40,7,FALSE),"")</f>
        <v/>
      </c>
      <c r="AKD33" s="319" t="str">
        <f t="shared" ref="AKD33" ca="1" si="10825">IF(AJU33&lt;&gt;"",VLOOKUP(AJU33,AHN4:AHT40,5,FALSE),"")</f>
        <v/>
      </c>
      <c r="AKE33" s="319" t="str">
        <f t="shared" ref="AKE33" ca="1" si="10826">IF(AJU33&lt;&gt;"",VLOOKUP(AJU33,AHN4:AHV40,9,FALSE),"")</f>
        <v/>
      </c>
      <c r="AKF33" s="319" t="str">
        <f t="shared" ref="AKF33:AKF34" ca="1" si="10827">AKB33</f>
        <v/>
      </c>
      <c r="AKG33" s="319" t="str">
        <f t="shared" ref="AKG33" ca="1" si="10828">IF(AJU33&lt;&gt;"",RANK(AKF33,AKF32:AKF35),"")</f>
        <v/>
      </c>
      <c r="AKH33" s="319" t="str">
        <f t="shared" ref="AKH33" ca="1" si="10829">IF(AJU33&lt;&gt;"",SUMPRODUCT((AKF31:AKF35=AKF33)*(AKA31:AKA35&gt;AKA33)),"")</f>
        <v/>
      </c>
      <c r="AKI33" s="319" t="str">
        <f t="shared" ref="AKI33" ca="1" si="10830">IF(AJU33&lt;&gt;"",SUMPRODUCT((AKF31:AKF35=AKF33)*(AKA31:AKA35=AKA33)*(AJY31:AJY35&gt;AJY33)),"")</f>
        <v/>
      </c>
      <c r="AKJ33" s="319" t="str">
        <f t="shared" ref="AKJ33" ca="1" si="10831">IF(AJU33&lt;&gt;"",SUMPRODUCT((AKF31:AKF35=AKF33)*(AKA31:AKA35=AKA33)*(AJY31:AJY35=AJY33)*(AKC31:AKC35&gt;AKC33)),"")</f>
        <v/>
      </c>
      <c r="AKK33" s="319" t="str">
        <f t="shared" ref="AKK33" ca="1" si="10832">IF(AJU33&lt;&gt;"",SUMPRODUCT((AKF31:AKF35=AKF33)*(AKA31:AKA35=AKA33)*(AJY31:AJY35=AJY33)*(AKC31:AKC35=AKC33)*(AKD31:AKD35&gt;AKD33)),"")</f>
        <v/>
      </c>
      <c r="AKL33" s="319" t="str">
        <f t="shared" ref="AKL33" ca="1" si="10833">IF(AJU33&lt;&gt;"",SUMPRODUCT((AKF31:AKF35=AKF33)*(AKA31:AKA35=AKA33)*(AJY31:AJY35=AJY33)*(AKC31:AKC35=AKC33)*(AKD31:AKD35=AKD33)*(AKE31:AKE35&gt;AKE33)),"")</f>
        <v/>
      </c>
      <c r="AKM33" s="319" t="str">
        <f t="shared" ref="AKM33:AKM34" ca="1" si="10834">IF(AJU33&lt;&gt;"",SUM(AKG33:AKL33)+2,"")</f>
        <v/>
      </c>
      <c r="AKN33" s="319" t="str">
        <f t="shared" ref="AKN33" ca="1" si="10835">IF(AJU33&lt;&gt;"",INDEX(AJU33:AJU35,MATCH(3,AKM33:AKM35,0),0),"")</f>
        <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0</v>
      </c>
      <c r="ALN33" s="322">
        <f ca="1">IF(OFFSET('Player Game Board'!Q40,0,ALM1)&lt;&gt;"",OFFSET('Player Game Board'!Q40,0,ALM1),0)</f>
        <v>0</v>
      </c>
      <c r="ALO33" s="319" t="str">
        <f t="shared" si="83"/>
        <v>Austria</v>
      </c>
      <c r="ALP33" s="319" t="str">
        <f ca="1">IF(AND(OFFSET('Player Game Board'!P40,0,ALM1)&lt;&gt;"",OFFSET('Player Game Board'!Q40,0,ALM1)&lt;&gt;""),IF(ALM33&gt;ALN33,"W",IF(ALM33=ALN33,"D","L")),"")</f>
        <v/>
      </c>
      <c r="ALQ33" s="319" t="str">
        <f t="shared" ca="1" si="5720"/>
        <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2</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0</v>
      </c>
      <c r="AMO33" s="319">
        <f t="shared" ref="AMO33" ca="1" si="10841">SUMPRODUCT((AQJ3:AQJ42=AML33)*(AQN3:AQN42="L"))+SUMPRODUCT((AQM3:AQM42=AML33)*(AQO3:AQO42="L"))</f>
        <v>0</v>
      </c>
      <c r="AMP33" s="319">
        <f t="shared" ref="AMP33" ca="1" si="10842">SUMIF(AQJ3:AQJ60,AML33,AQK3:AQK60)+SUMIF(AQM3:AQM60,AML33,AQL3:AQL60)</f>
        <v>0</v>
      </c>
      <c r="AMQ33" s="319">
        <f t="shared" ref="AMQ33" ca="1" si="10843">SUMIF(AQM3:AQM60,AML33,AQK3:AQK60)+SUMIF(AQJ3:AQJ60,AML33,AQL3:AQL60)</f>
        <v>0</v>
      </c>
      <c r="AMR33" s="319">
        <f t="shared" ca="1" si="9901"/>
        <v>1000</v>
      </c>
      <c r="AMS33" s="319">
        <f t="shared" ca="1" si="9902"/>
        <v>0</v>
      </c>
      <c r="AMT33" s="319">
        <f t="shared" si="930"/>
        <v>46</v>
      </c>
      <c r="AMU33" s="319">
        <f t="shared" ref="AMU33" ca="1" si="10844">IF(COUNTIF(AMS31:AMS35,4)&lt;&gt;4,RANK(AMS33,AMS31:AMS35),AMS73)</f>
        <v>1</v>
      </c>
      <c r="AMV33" s="319"/>
      <c r="AMW33" s="319">
        <f t="shared" ref="AMW33" ca="1" si="10845">SUMPRODUCT((AMU31:AMU34=AMU33)*(AMT31:AMT34&lt;AMT33))+AMU33</f>
        <v>3</v>
      </c>
      <c r="AMX33" s="319" t="str">
        <f t="shared" ref="AMX33" ca="1" si="10846">INDEX(AML31:AML35,MATCH(3,AMW31:AMW35,0),0)</f>
        <v>Romania</v>
      </c>
      <c r="AMY33" s="319">
        <f t="shared" ref="AMY33" ca="1" si="10847">INDEX(AMU31:AMU35,MATCH(AMX33,AML31:AML35,0),0)</f>
        <v>1</v>
      </c>
      <c r="AMZ33" s="319" t="str">
        <f t="shared" ref="AMZ33:AMZ34" ca="1" si="10848">IF(AND(AMZ32&lt;&gt;"",AMY33=1),AMX33,"")</f>
        <v>Romania</v>
      </c>
      <c r="ANA33" s="319" t="str">
        <f t="shared" ref="ANA33:ANA34" ca="1" si="10849">IF(AND(ANA32&lt;&gt;"",AMY34=2),AMX34,"")</f>
        <v/>
      </c>
      <c r="ANB33" s="319" t="str">
        <f t="shared" ref="ANB33" ca="1" si="10850">IF(AND(ANB32&lt;&gt;"",AMY35=3),AMX35,"")</f>
        <v/>
      </c>
      <c r="ANC33" s="319"/>
      <c r="AND33" s="319"/>
      <c r="ANE33" s="319" t="str">
        <f t="shared" ca="1" si="9911"/>
        <v>Romania</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f t="shared" ca="1" si="9918"/>
        <v>0</v>
      </c>
      <c r="ANM33" s="319">
        <f t="shared" ref="ANM33" ca="1" si="10856">IF(ANE33&lt;&gt;"",VLOOKUP(ANE33,AML4:AMR40,7,FALSE),"")</f>
        <v>1000</v>
      </c>
      <c r="ANN33" s="319">
        <f t="shared" ref="ANN33" ca="1" si="10857">IF(ANE33&lt;&gt;"",VLOOKUP(ANE33,AML4:AMR40,5,FALSE),"")</f>
        <v>0</v>
      </c>
      <c r="ANO33" s="319">
        <f t="shared" ref="ANO33" ca="1" si="10858">IF(ANE33&lt;&gt;"",VLOOKUP(ANE33,AML4:AMT40,9,FALSE),"")</f>
        <v>46</v>
      </c>
      <c r="ANP33" s="319">
        <f t="shared" ca="1" si="9922"/>
        <v>0</v>
      </c>
      <c r="ANQ33" s="319">
        <f t="shared" ref="ANQ33" ca="1" si="10859">IF(ANE33&lt;&gt;"",RANK(ANP33,ANP31:ANP35),"")</f>
        <v>1</v>
      </c>
      <c r="ANR33" s="319">
        <f t="shared" ref="ANR33" ca="1" si="10860">IF(ANE33&lt;&gt;"",SUMPRODUCT((ANP31:ANP35=ANP33)*(ANK31:ANK35&gt;ANK33)),"")</f>
        <v>0</v>
      </c>
      <c r="ANS33" s="319">
        <f t="shared" ref="ANS33" ca="1" si="10861">IF(ANE33&lt;&gt;"",SUMPRODUCT((ANP31:ANP35=ANP33)*(ANK31:ANK35=ANK33)*(ANI31:ANI35&gt;ANI33)),"")</f>
        <v>0</v>
      </c>
      <c r="ANT33" s="319">
        <f t="shared" ref="ANT33" ca="1" si="10862">IF(ANE33&lt;&gt;"",SUMPRODUCT((ANP31:ANP35=ANP33)*(ANK31:ANK35=ANK33)*(ANI31:ANI35=ANI33)*(ANM31:ANM35&gt;ANM33)),"")</f>
        <v>0</v>
      </c>
      <c r="ANU33" s="319">
        <f t="shared" ref="ANU33" ca="1" si="10863">IF(ANE33&lt;&gt;"",SUMPRODUCT((ANP31:ANP35=ANP33)*(ANK31:ANK35=ANK33)*(ANI31:ANI35=ANI33)*(ANM31:ANM35=ANM33)*(ANN31:ANN35&gt;ANN33)),"")</f>
        <v>0</v>
      </c>
      <c r="ANV33" s="319">
        <f t="shared" ref="ANV33" ca="1" si="10864">IF(ANE33&lt;&gt;"",SUMPRODUCT((ANP31:ANP35=ANP33)*(ANK31:ANK35=ANK33)*(ANI31:ANI35=ANI33)*(ANM31:ANM35=ANM33)*(ANN31:ANN35=ANN33)*(ANO31:ANO35&gt;ANO33)),"")</f>
        <v>1</v>
      </c>
      <c r="ANW33" s="319">
        <f ca="1">IF(ANE33&lt;&gt;"",IF(ANW73&lt;&gt;"",IF(AND70=3,ANW73,ANW73+AND70),SUM(ANQ33:ANV33)),"")</f>
        <v>2</v>
      </c>
      <c r="ANX33" s="319" t="str">
        <f t="shared" ref="ANX33" ca="1" si="10865">IF(ANE33&lt;&gt;"",INDEX(ANE31:ANE35,MATCH(3,ANW31:ANW35,0),0),"")</f>
        <v>Slovakia</v>
      </c>
      <c r="ANY33" s="319" t="str">
        <f t="shared" ca="1" si="10336"/>
        <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0</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0</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0</v>
      </c>
      <c r="AOE33" s="319">
        <f t="shared" ca="1" si="10342"/>
        <v>1000</v>
      </c>
      <c r="AOF33" s="319" t="str">
        <f t="shared" ca="1" si="10343"/>
        <v/>
      </c>
      <c r="AOG33" s="319" t="str">
        <f t="shared" ref="AOG33" ca="1" si="10871">IF(ANY33&lt;&gt;"",VLOOKUP(ANY33,AML4:AMR40,7,FALSE),"")</f>
        <v/>
      </c>
      <c r="AOH33" s="319" t="str">
        <f t="shared" ref="AOH33" ca="1" si="10872">IF(ANY33&lt;&gt;"",VLOOKUP(ANY33,AML4:AMR40,5,FALSE),"")</f>
        <v/>
      </c>
      <c r="AOI33" s="319" t="str">
        <f t="shared" ref="AOI33" ca="1" si="10873">IF(ANY33&lt;&gt;"",VLOOKUP(ANY33,AML4:AMT40,9,FALSE),"")</f>
        <v/>
      </c>
      <c r="AOJ33" s="319" t="str">
        <f t="shared" ca="1" si="10347"/>
        <v/>
      </c>
      <c r="AOK33" s="319" t="str">
        <f t="shared" ref="AOK33" ca="1" si="10874">IF(ANY33&lt;&gt;"",RANK(AOJ33,AOJ31:AOJ35),"")</f>
        <v/>
      </c>
      <c r="AOL33" s="319" t="str">
        <f t="shared" ref="AOL33" ca="1" si="10875">IF(ANY33&lt;&gt;"",SUMPRODUCT((AOJ31:AOJ35=AOJ33)*(AOE31:AOE35&gt;AOE33)),"")</f>
        <v/>
      </c>
      <c r="AOM33" s="319" t="str">
        <f t="shared" ref="AOM33" ca="1" si="10876">IF(ANY33&lt;&gt;"",SUMPRODUCT((AOJ31:AOJ35=AOJ33)*(AOE31:AOE35=AOE33)*(AOC31:AOC35&gt;AOC33)),"")</f>
        <v/>
      </c>
      <c r="AON33" s="319" t="str">
        <f t="shared" ref="AON33" ca="1" si="10877">IF(ANY33&lt;&gt;"",SUMPRODUCT((AOJ31:AOJ35=AOJ33)*(AOE31:AOE35=AOE33)*(AOC31:AOC35=AOC33)*(AOG31:AOG35&gt;AOG33)),"")</f>
        <v/>
      </c>
      <c r="AOO33" s="319" t="str">
        <f t="shared" ref="AOO33" ca="1" si="10878">IF(ANY33&lt;&gt;"",SUMPRODUCT((AOJ31:AOJ35=AOJ33)*(AOE31:AOE35=AOE33)*(AOC31:AOC35=AOC33)*(AOG31:AOG35=AOG33)*(AOH31:AOH35&gt;AOH33)),"")</f>
        <v/>
      </c>
      <c r="AOP33" s="319" t="str">
        <f t="shared" ref="AOP33" ca="1" si="10879">IF(ANY33&lt;&gt;"",SUMPRODUCT((AOJ31:AOJ35=AOJ33)*(AOE31:AOE35=AOE33)*(AOC31:AOC35=AOC33)*(AOG31:AOG35=AOG33)*(AOH31:AOH35=AOH33)*(AOI31:AOI35&gt;AOI33)),"")</f>
        <v/>
      </c>
      <c r="AOQ33" s="319" t="str">
        <f ca="1">IF(ANY33&lt;&gt;"",IF(AOQ73&lt;&gt;"",IF(ANX70=3,AOQ73,AOQ73+ANX70),SUM(AOK33:AOP33)+1),"")</f>
        <v/>
      </c>
      <c r="AOR33" s="319" t="str">
        <f t="shared" ref="AOR33" ca="1" si="10880">IF(ANY33&lt;&gt;"",INDEX(ANY32:ANY35,MATCH(3,AOQ32:AOQ35,0),0),"")</f>
        <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Slovakia</v>
      </c>
      <c r="AQH33" s="319">
        <v>3</v>
      </c>
      <c r="AQI33" s="319">
        <v>31</v>
      </c>
      <c r="AQJ33" s="319" t="str">
        <f t="shared" si="98"/>
        <v>Netherlands</v>
      </c>
      <c r="AQK33" s="322">
        <f ca="1">IF(OFFSET('Player Game Board'!P40,0,AQK1)&lt;&gt;"",OFFSET('Player Game Board'!P40,0,AQK1),0)</f>
        <v>0</v>
      </c>
      <c r="AQL33" s="322">
        <f ca="1">IF(OFFSET('Player Game Board'!Q40,0,AQK1)&lt;&gt;"",OFFSET('Player Game Board'!Q40,0,AQK1),0)</f>
        <v>0</v>
      </c>
      <c r="AQM33" s="319" t="str">
        <f t="shared" si="99"/>
        <v>Austria</v>
      </c>
      <c r="AQN33" s="319" t="str">
        <f ca="1">IF(AND(OFFSET('Player Game Board'!P40,0,AQK1)&lt;&gt;"",OFFSET('Player Game Board'!Q40,0,AQK1)&lt;&gt;""),IF(AQK33&gt;AQL33,"W",IF(AQK33=AQL33,"D","L")),"")</f>
        <v/>
      </c>
      <c r="AQO33" s="319" t="str">
        <f t="shared" ca="1" si="5775"/>
        <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Türkiye</v>
      </c>
      <c r="ARH33" s="325">
        <f t="shared" ca="1" si="5310"/>
        <v>1</v>
      </c>
      <c r="ARI33" s="319">
        <f t="shared" ref="ARI33" ca="1" si="10903">VLOOKUP(ARJ33,AVE31:AVF35,2,FALSE)</f>
        <v>2</v>
      </c>
      <c r="ARJ33" s="319" t="str">
        <f t="shared" si="9933"/>
        <v>Romania</v>
      </c>
      <c r="ARK33" s="319">
        <f t="shared" ref="ARK33" ca="1" si="10904">SUMPRODUCT((AVH3:AVH42=ARJ33)*(AVL3:AVL42="W"))+SUMPRODUCT((AVK3:AVK42=ARJ33)*(AVM3:AVM42="W"))</f>
        <v>0</v>
      </c>
      <c r="ARL33" s="319">
        <f t="shared" ref="ARL33" ca="1" si="10905">SUMPRODUCT((AVH3:AVH42=ARJ33)*(AVL3:AVL42="D"))+SUMPRODUCT((AVK3:AVK42=ARJ33)*(AVM3:AVM42="D"))</f>
        <v>0</v>
      </c>
      <c r="ARM33" s="319">
        <f t="shared" ref="ARM33" ca="1" si="10906">SUMPRODUCT((AVH3:AVH42=ARJ33)*(AVL3:AVL42="L"))+SUMPRODUCT((AVK3:AVK42=ARJ33)*(AVM3:AVM42="L"))</f>
        <v>0</v>
      </c>
      <c r="ARN33" s="319">
        <f t="shared" ref="ARN33" ca="1" si="10907">SUMIF(AVH3:AVH60,ARJ33,AVI3:AVI60)+SUMIF(AVK3:AVK60,ARJ33,AVJ3:AVJ60)</f>
        <v>0</v>
      </c>
      <c r="ARO33" s="319">
        <f t="shared" ref="ARO33" ca="1" si="10908">SUMIF(AVK3:AVK60,ARJ33,AVI3:AVI60)+SUMIF(AVH3:AVH60,ARJ33,AVJ3:AVJ60)</f>
        <v>0</v>
      </c>
      <c r="ARP33" s="319">
        <f t="shared" ca="1" si="9939"/>
        <v>1000</v>
      </c>
      <c r="ARQ33" s="319">
        <f t="shared" ca="1" si="9940"/>
        <v>0</v>
      </c>
      <c r="ARR33" s="319">
        <f t="shared" si="990"/>
        <v>46</v>
      </c>
      <c r="ARS33" s="319">
        <f t="shared" ref="ARS33" ca="1" si="10909">IF(COUNTIF(ARQ31:ARQ35,4)&lt;&gt;4,RANK(ARQ33,ARQ31:ARQ35),ARQ73)</f>
        <v>1</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1</v>
      </c>
      <c r="ARX33" s="319" t="str">
        <f t="shared" ref="ARX33:ARX34" ca="1" si="10913">IF(AND(ARX32&lt;&gt;"",ARW33=1),ARV33,"")</f>
        <v>Romania</v>
      </c>
      <c r="ARY33" s="319" t="str">
        <f t="shared" ref="ARY33:ARY34" ca="1" si="10914">IF(AND(ARY32&lt;&gt;"",ARW34=2),ARV34,"")</f>
        <v/>
      </c>
      <c r="ARZ33" s="319" t="str">
        <f t="shared" ref="ARZ33" ca="1" si="10915">IF(AND(ARZ32&lt;&gt;"",ARW35=3),ARV35,"")</f>
        <v/>
      </c>
      <c r="ASA33" s="319"/>
      <c r="ASB33" s="319"/>
      <c r="ASC33" s="319" t="str">
        <f t="shared" ca="1" si="9949"/>
        <v>Romania</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f t="shared" ca="1" si="9956"/>
        <v>0</v>
      </c>
      <c r="ASK33" s="319">
        <f t="shared" ref="ASK33" ca="1" si="10921">IF(ASC33&lt;&gt;"",VLOOKUP(ASC33,ARJ4:ARP40,7,FALSE),"")</f>
        <v>1000</v>
      </c>
      <c r="ASL33" s="319">
        <f t="shared" ref="ASL33" ca="1" si="10922">IF(ASC33&lt;&gt;"",VLOOKUP(ASC33,ARJ4:ARP40,5,FALSE),"")</f>
        <v>0</v>
      </c>
      <c r="ASM33" s="319">
        <f t="shared" ref="ASM33" ca="1" si="10923">IF(ASC33&lt;&gt;"",VLOOKUP(ASC33,ARJ4:ARR40,9,FALSE),"")</f>
        <v>46</v>
      </c>
      <c r="ASN33" s="319">
        <f t="shared" ca="1" si="9960"/>
        <v>0</v>
      </c>
      <c r="ASO33" s="319">
        <f t="shared" ref="ASO33" ca="1" si="10924">IF(ASC33&lt;&gt;"",RANK(ASN33,ASN31:ASN35),"")</f>
        <v>1</v>
      </c>
      <c r="ASP33" s="319">
        <f t="shared" ref="ASP33" ca="1" si="10925">IF(ASC33&lt;&gt;"",SUMPRODUCT((ASN31:ASN35=ASN33)*(ASI31:ASI35&gt;ASI33)),"")</f>
        <v>0</v>
      </c>
      <c r="ASQ33" s="319">
        <f t="shared" ref="ASQ33" ca="1" si="10926">IF(ASC33&lt;&gt;"",SUMPRODUCT((ASN31:ASN35=ASN33)*(ASI31:ASI35=ASI33)*(ASG31:ASG35&gt;ASG33)),"")</f>
        <v>0</v>
      </c>
      <c r="ASR33" s="319">
        <f t="shared" ref="ASR33" ca="1" si="10927">IF(ASC33&lt;&gt;"",SUMPRODUCT((ASN31:ASN35=ASN33)*(ASI31:ASI35=ASI33)*(ASG31:ASG35=ASG33)*(ASK31:ASK35&gt;ASK33)),"")</f>
        <v>0</v>
      </c>
      <c r="ASS33" s="319">
        <f t="shared" ref="ASS33" ca="1" si="10928">IF(ASC33&lt;&gt;"",SUMPRODUCT((ASN31:ASN35=ASN33)*(ASI31:ASI35=ASI33)*(ASG31:ASG35=ASG33)*(ASK31:ASK35=ASK33)*(ASL31:ASL35&gt;ASL33)),"")</f>
        <v>0</v>
      </c>
      <c r="AST33" s="319">
        <f t="shared" ref="AST33" ca="1" si="10929">IF(ASC33&lt;&gt;"",SUMPRODUCT((ASN31:ASN35=ASN33)*(ASI31:ASI35=ASI33)*(ASG31:ASG35=ASG33)*(ASK31:ASK35=ASK33)*(ASL31:ASL35=ASL33)*(ASM31:ASM35&gt;ASM33)),"")</f>
        <v>1</v>
      </c>
      <c r="ASU33" s="319">
        <f ca="1">IF(ASC33&lt;&gt;"",IF(ASU73&lt;&gt;"",IF(ASB70=3,ASU73,ASU73+ASB70),SUM(ASO33:AST33)),"")</f>
        <v>2</v>
      </c>
      <c r="ASV33" s="319" t="str">
        <f t="shared" ref="ASV33" ca="1" si="10930">IF(ASC33&lt;&gt;"",INDEX(ASC31:ASC35,MATCH(3,ASU31:ASU35,0),0),"")</f>
        <v>Slovakia</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Slovakia</v>
      </c>
      <c r="AVF33" s="319">
        <v>3</v>
      </c>
      <c r="AVG33" s="319">
        <v>31</v>
      </c>
      <c r="AVH33" s="319" t="str">
        <f t="shared" si="114"/>
        <v>Netherlands</v>
      </c>
      <c r="AVI33" s="322">
        <f ca="1">IF(OFFSET('Player Game Board'!P40,0,AVI1)&lt;&gt;"",OFFSET('Player Game Board'!P40,0,AVI1),0)</f>
        <v>0</v>
      </c>
      <c r="AVJ33" s="322">
        <f ca="1">IF(OFFSET('Player Game Board'!Q40,0,AVI1)&lt;&gt;"",OFFSET('Player Game Board'!Q40,0,AVI1),0)</f>
        <v>0</v>
      </c>
      <c r="AVK33" s="319" t="str">
        <f t="shared" si="115"/>
        <v>Austria</v>
      </c>
      <c r="AVL33" s="319" t="str">
        <f ca="1">IF(AND(OFFSET('Player Game Board'!P40,0,AVI1)&lt;&gt;"",OFFSET('Player Game Board'!Q40,0,AVI1)&lt;&gt;""),IF(AVI33&gt;AVJ33,"W",IF(AVI33=AVJ33,"D","L")),"")</f>
        <v/>
      </c>
      <c r="AVM33" s="319" t="str">
        <f t="shared" ca="1" si="5830"/>
        <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Türkiye</v>
      </c>
      <c r="AWF33" s="325">
        <f t="shared" ca="1" si="5353"/>
        <v>1</v>
      </c>
      <c r="AWG33" s="319">
        <f t="shared" ref="AWG33" ca="1" si="10968">VLOOKUP(AWH33,BAC31:BAD35,2,FALSE)</f>
        <v>2</v>
      </c>
      <c r="AWH33" s="319" t="str">
        <f t="shared" si="9971"/>
        <v>Romania</v>
      </c>
      <c r="AWI33" s="319">
        <f t="shared" ref="AWI33" ca="1" si="10969">SUMPRODUCT((BAF3:BAF42=AWH33)*(BAJ3:BAJ42="W"))+SUMPRODUCT((BAI3:BAI42=AWH33)*(BAK3:BAK42="W"))</f>
        <v>0</v>
      </c>
      <c r="AWJ33" s="319">
        <f t="shared" ref="AWJ33" ca="1" si="10970">SUMPRODUCT((BAF3:BAF42=AWH33)*(BAJ3:BAJ42="D"))+SUMPRODUCT((BAI3:BAI42=AWH33)*(BAK3:BAK42="D"))</f>
        <v>0</v>
      </c>
      <c r="AWK33" s="319">
        <f t="shared" ref="AWK33" ca="1" si="10971">SUMPRODUCT((BAF3:BAF42=AWH33)*(BAJ3:BAJ42="L"))+SUMPRODUCT((BAI3:BAI42=AWH33)*(BAK3:BAK42="L"))</f>
        <v>0</v>
      </c>
      <c r="AWL33" s="319">
        <f t="shared" ref="AWL33" ca="1" si="10972">SUMIF(BAF3:BAF60,AWH33,BAG3:BAG60)+SUMIF(BAI3:BAI60,AWH33,BAH3:BAH60)</f>
        <v>0</v>
      </c>
      <c r="AWM33" s="319">
        <f t="shared" ref="AWM33" ca="1" si="10973">SUMIF(BAI3:BAI60,AWH33,BAG3:BAG60)+SUMIF(BAF3:BAF60,AWH33,BAH3:BAH60)</f>
        <v>0</v>
      </c>
      <c r="AWN33" s="319">
        <f t="shared" ca="1" si="9977"/>
        <v>1000</v>
      </c>
      <c r="AWO33" s="319">
        <f t="shared" ca="1" si="9978"/>
        <v>0</v>
      </c>
      <c r="AWP33" s="319">
        <f t="shared" si="1050"/>
        <v>46</v>
      </c>
      <c r="AWQ33" s="319">
        <f t="shared" ref="AWQ33" ca="1" si="10974">IF(COUNTIF(AWO31:AWO35,4)&lt;&gt;4,RANK(AWO33,AWO31:AWO35),AWO73)</f>
        <v>1</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1</v>
      </c>
      <c r="AWV33" s="319" t="str">
        <f t="shared" ref="AWV33:AWV34" ca="1" si="10978">IF(AND(AWV32&lt;&gt;"",AWU33=1),AWT33,"")</f>
        <v>Romania</v>
      </c>
      <c r="AWW33" s="319" t="str">
        <f t="shared" ref="AWW33:AWW34" ca="1" si="10979">IF(AND(AWW32&lt;&gt;"",AWU34=2),AWT34,"")</f>
        <v/>
      </c>
      <c r="AWX33" s="319" t="str">
        <f t="shared" ref="AWX33" ca="1" si="10980">IF(AND(AWX32&lt;&gt;"",AWU35=3),AWT35,"")</f>
        <v/>
      </c>
      <c r="AWY33" s="319"/>
      <c r="AWZ33" s="319"/>
      <c r="AXA33" s="319" t="str">
        <f t="shared" ca="1" si="9987"/>
        <v>Romania</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f t="shared" ca="1" si="9994"/>
        <v>0</v>
      </c>
      <c r="AXI33" s="319">
        <f t="shared" ref="AXI33" ca="1" si="10986">IF(AXA33&lt;&gt;"",VLOOKUP(AXA33,AWH4:AWN40,7,FALSE),"")</f>
        <v>1000</v>
      </c>
      <c r="AXJ33" s="319">
        <f t="shared" ref="AXJ33" ca="1" si="10987">IF(AXA33&lt;&gt;"",VLOOKUP(AXA33,AWH4:AWN40,5,FALSE),"")</f>
        <v>0</v>
      </c>
      <c r="AXK33" s="319">
        <f t="shared" ref="AXK33" ca="1" si="10988">IF(AXA33&lt;&gt;"",VLOOKUP(AXA33,AWH4:AWP40,9,FALSE),"")</f>
        <v>46</v>
      </c>
      <c r="AXL33" s="319">
        <f t="shared" ca="1" si="9998"/>
        <v>0</v>
      </c>
      <c r="AXM33" s="319">
        <f t="shared" ref="AXM33" ca="1" si="10989">IF(AXA33&lt;&gt;"",RANK(AXL33,AXL31:AXL35),"")</f>
        <v>1</v>
      </c>
      <c r="AXN33" s="319">
        <f t="shared" ref="AXN33" ca="1" si="10990">IF(AXA33&lt;&gt;"",SUMPRODUCT((AXL31:AXL35=AXL33)*(AXG31:AXG35&gt;AXG33)),"")</f>
        <v>0</v>
      </c>
      <c r="AXO33" s="319">
        <f t="shared" ref="AXO33" ca="1" si="10991">IF(AXA33&lt;&gt;"",SUMPRODUCT((AXL31:AXL35=AXL33)*(AXG31:AXG35=AXG33)*(AXE31:AXE35&gt;AXE33)),"")</f>
        <v>0</v>
      </c>
      <c r="AXP33" s="319">
        <f t="shared" ref="AXP33" ca="1" si="10992">IF(AXA33&lt;&gt;"",SUMPRODUCT((AXL31:AXL35=AXL33)*(AXG31:AXG35=AXG33)*(AXE31:AXE35=AXE33)*(AXI31:AXI35&gt;AXI33)),"")</f>
        <v>0</v>
      </c>
      <c r="AXQ33" s="319">
        <f t="shared" ref="AXQ33" ca="1" si="10993">IF(AXA33&lt;&gt;"",SUMPRODUCT((AXL31:AXL35=AXL33)*(AXG31:AXG35=AXG33)*(AXE31:AXE35=AXE33)*(AXI31:AXI35=AXI33)*(AXJ31:AXJ35&gt;AXJ33)),"")</f>
        <v>0</v>
      </c>
      <c r="AXR33" s="319">
        <f t="shared" ref="AXR33" ca="1" si="10994">IF(AXA33&lt;&gt;"",SUMPRODUCT((AXL31:AXL35=AXL33)*(AXG31:AXG35=AXG33)*(AXE31:AXE35=AXE33)*(AXI31:AXI35=AXI33)*(AXJ31:AXJ35=AXJ33)*(AXK31:AXK35&gt;AXK33)),"")</f>
        <v>1</v>
      </c>
      <c r="AXS33" s="319">
        <f ca="1">IF(AXA33&lt;&gt;"",IF(AXS73&lt;&gt;"",IF(AWZ70=3,AXS73,AXS73+AWZ70),SUM(AXM33:AXR33)),"")</f>
        <v>2</v>
      </c>
      <c r="AXT33" s="319" t="str">
        <f t="shared" ref="AXT33" ca="1" si="10995">IF(AXA33&lt;&gt;"",INDEX(AXA31:AXA35,MATCH(3,AXS31:AXS35,0),0),"")</f>
        <v>Slovakia</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Slovakia</v>
      </c>
      <c r="BAD33" s="319">
        <v>3</v>
      </c>
      <c r="BAE33" s="319">
        <v>31</v>
      </c>
      <c r="BAF33" s="319" t="str">
        <f t="shared" si="130"/>
        <v>Netherlands</v>
      </c>
      <c r="BAG33" s="322">
        <f ca="1">IF(OFFSET('Player Game Board'!P40,0,BAG1)&lt;&gt;"",OFFSET('Player Game Board'!P40,0,BAG1),0)</f>
        <v>0</v>
      </c>
      <c r="BAH33" s="322">
        <f ca="1">IF(OFFSET('Player Game Board'!Q40,0,BAG1)&lt;&gt;"",OFFSET('Player Game Board'!Q40,0,BAG1),0)</f>
        <v>0</v>
      </c>
      <c r="BAI33" s="319" t="str">
        <f t="shared" si="131"/>
        <v>Austria</v>
      </c>
      <c r="BAJ33" s="319" t="str">
        <f ca="1">IF(AND(OFFSET('Player Game Board'!P40,0,BAG1)&lt;&gt;"",OFFSET('Player Game Board'!Q40,0,BAG1)&lt;&gt;""),IF(BAG33&gt;BAH33,"W",IF(BAG33=BAH33,"D","L")),"")</f>
        <v/>
      </c>
      <c r="BAK33" s="319" t="str">
        <f t="shared" ca="1" si="5885"/>
        <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ht="13.8" x14ac:dyDescent="0.3">
      <c r="A34" s="319">
        <f>VLOOKUP(B34,CW31:CX35,2,FALSE)</f>
        <v>4</v>
      </c>
      <c r="B34" s="319" t="str">
        <f>'Language Table'!C28</f>
        <v>Ukraine</v>
      </c>
      <c r="C34" s="319">
        <f>SUMPRODUCT((CZ3:CZ42=B34)*(DD3:DD42="W"))+SUMPRODUCT((DC3:DC42=B34)*(DE3:DE42="W"))</f>
        <v>0</v>
      </c>
      <c r="D34" s="319">
        <f>SUMPRODUCT((CZ3:CZ42=B34)*(DD3:DD42="D"))+SUMPRODUCT((DC3:DC42=B34)*(DE3:DE42="D"))</f>
        <v>0</v>
      </c>
      <c r="E34" s="319">
        <f>SUMPRODUCT((CZ3:CZ42=B34)*(DD3:DD42="L"))+SUMPRODUCT((DC3:DC42=B34)*(DE3:DE42="L"))</f>
        <v>1</v>
      </c>
      <c r="F34" s="319">
        <f>SUMIF(CZ3:CZ60,B34,DA3:DA60)+SUMIF(DC3:DC60,B34,DB3:DB60)</f>
        <v>0</v>
      </c>
      <c r="G34" s="319">
        <f>SUMIF(DC3:DC60,B34,DA3:DA60)+SUMIF(CZ3:CZ60,B34,DB3:DB60)</f>
        <v>3</v>
      </c>
      <c r="H34" s="319">
        <f t="shared" si="9692"/>
        <v>997</v>
      </c>
      <c r="I34" s="319">
        <f t="shared" si="9693"/>
        <v>0</v>
      </c>
      <c r="J34" s="319">
        <v>0</v>
      </c>
      <c r="K34" s="319">
        <f>IF(COUNTIF(I31:I35,4)&lt;&gt;4,RANK(I34,I31:I35),I74)</f>
        <v>3</v>
      </c>
      <c r="L34" s="319"/>
      <c r="M34" s="319">
        <f>SUMPRODUCT((K31:K34=K34)*(J31:J34&lt;J34))+K34</f>
        <v>3</v>
      </c>
      <c r="N34" s="319" t="str">
        <f>INDEX(B31:B35,MATCH(4,M31:M35,0),0)</f>
        <v>Belgium</v>
      </c>
      <c r="O34" s="319">
        <f>INDEX(K31:K35,MATCH(N34,B31:B35,0),0)</f>
        <v>3</v>
      </c>
      <c r="P34" s="319" t="str">
        <f>IF(AND(P33&lt;&gt;"",O34=1),N34,"")</f>
        <v/>
      </c>
      <c r="Q34" s="319" t="str">
        <f>IF(AND(Q33&lt;&gt;"",O35=2),N35,"")</f>
        <v/>
      </c>
      <c r="R34" s="319"/>
      <c r="S34" s="319"/>
      <c r="T34" s="319"/>
      <c r="U34" s="319" t="str">
        <f t="shared" si="10046"/>
        <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0</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0</v>
      </c>
      <c r="AA34" s="319">
        <f>Y34-Z34+1000</f>
        <v>1000</v>
      </c>
      <c r="AB34" s="319" t="str">
        <f t="shared" si="9694"/>
        <v/>
      </c>
      <c r="AC34" s="319" t="str">
        <f>IF(U34&lt;&gt;"",VLOOKUP(U34,B4:H40,7,FALSE),"")</f>
        <v/>
      </c>
      <c r="AD34" s="319" t="str">
        <f>IF(U34&lt;&gt;"",VLOOKUP(U34,B4:H40,5,FALSE),"")</f>
        <v/>
      </c>
      <c r="AE34" s="319" t="str">
        <f>IF(U34&lt;&gt;"",VLOOKUP(U34,B4:J40,9,FALSE),"")</f>
        <v/>
      </c>
      <c r="AF34" s="319" t="str">
        <f t="shared" si="9695"/>
        <v/>
      </c>
      <c r="AG34" s="319" t="str">
        <f>IF(U34&lt;&gt;"",RANK(AF34,AF31:AF35),"")</f>
        <v/>
      </c>
      <c r="AH34" s="319" t="str">
        <f>IF(U34&lt;&gt;"",SUMPRODUCT((AF31:AF35=AF34)*(AA31:AA35&gt;AA34)),"")</f>
        <v/>
      </c>
      <c r="AI34" s="319" t="str">
        <f>IF(U34&lt;&gt;"",SUMPRODUCT((AF31:AF35=AF34)*(AA31:AA35=AA34)*(Y31:Y35&gt;Y34)),"")</f>
        <v/>
      </c>
      <c r="AJ34" s="319" t="str">
        <f>IF(U34&lt;&gt;"",SUMPRODUCT((AF31:AF35=AF34)*(AA31:AA35=AA34)*(Y31:Y35=Y34)*(AC31:AC35&gt;AC34)),"")</f>
        <v/>
      </c>
      <c r="AK34" s="319" t="str">
        <f>IF(U34&lt;&gt;"",SUMPRODUCT((AF31:AF35=AF34)*(AA31:AA35=AA34)*(Y31:Y35=Y34)*(AC31:AC35=AC34)*(AD31:AD35&gt;AD34)),"")</f>
        <v/>
      </c>
      <c r="AL34" s="319" t="str">
        <f>IF(U34&lt;&gt;"",SUMPRODUCT((AF31:AF35=AF34)*(AA31:AA35=AA34)*(Y31:Y35=Y34)*(AC31:AC35=AC34)*(AD31:AD35=AD34)*(AE31:AE35&gt;AE34)),"")</f>
        <v/>
      </c>
      <c r="AM34" s="319" t="str">
        <f>IF(U34&lt;&gt;"",IF(AM74&lt;&gt;"",IF(T70=3,AM74,AM74+T70),SUM(AG34:AL34)),"")</f>
        <v/>
      </c>
      <c r="AN34" s="319" t="str">
        <f>IF(U34&lt;&gt;"",INDEX(U31:U35,MATCH(4,AM31:AM35,0),0),"")</f>
        <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Belgium</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f t="shared" si="10507"/>
        <v>0</v>
      </c>
      <c r="BQ34" s="319">
        <f>IF(BI34&lt;&gt;"",VLOOKUP(BI34,B4:H40,7,FALSE),"")</f>
        <v>999</v>
      </c>
      <c r="BR34" s="319">
        <f>IF(BI34&lt;&gt;"",VLOOKUP(BI34,B4:H40,5,FALSE),"")</f>
        <v>0</v>
      </c>
      <c r="BS34" s="319">
        <f>IF(BI34&lt;&gt;"",VLOOKUP(BI34,B4:J40,9,FALSE),"")</f>
        <v>50</v>
      </c>
      <c r="BT34" s="319">
        <f t="shared" si="10508"/>
        <v>0</v>
      </c>
      <c r="BU34" s="319">
        <f>IF(BI34&lt;&gt;"",RANK(BT34,BT32:BT35),"")</f>
        <v>1</v>
      </c>
      <c r="BV34" s="319">
        <f>IF(BI34&lt;&gt;"",SUMPRODUCT((BT31:BT35=BT34)*(BO31:BO35&gt;BO34)),"")</f>
        <v>0</v>
      </c>
      <c r="BW34" s="319">
        <f>IF(BI34&lt;&gt;"",SUMPRODUCT((BT31:BT35=BT34)*(BO31:BO35=BO34)*(BM31:BM35&gt;BM34)),"")</f>
        <v>0</v>
      </c>
      <c r="BX34" s="319">
        <f>IF(BI34&lt;&gt;"",SUMPRODUCT((BT31:BT35=BT34)*(BO31:BO35=BO34)*(BM31:BM35=BM34)*(BQ31:BQ35&gt;BQ34)),"")</f>
        <v>0</v>
      </c>
      <c r="BY34" s="319">
        <f>IF(BI34&lt;&gt;"",SUMPRODUCT((BT31:BT35=BT34)*(BO31:BO35=BO34)*(BM31:BM35=BM34)*(BQ31:BQ35=BQ34)*(BR31:BR35&gt;BR34)),"")</f>
        <v>0</v>
      </c>
      <c r="BZ34" s="319">
        <f>IF(BI34&lt;&gt;"",SUMPRODUCT((BT31:BT35=BT34)*(BO31:BO35=BO34)*(BM31:BM35=BM34)*(BQ31:BQ35=BQ34)*(BR31:BR35=BR34)*(BS31:BS35&gt;BS34)),"")</f>
        <v>0</v>
      </c>
      <c r="CA34" s="319">
        <f>IF(BI34&lt;&gt;"",SUM(BU34:BZ34)+2,"")</f>
        <v>3</v>
      </c>
      <c r="CB34" s="319" t="str">
        <f>IF(BI34&lt;&gt;"",INDEX(BI33:BI35,MATCH(4,CA33:CA35,0),0),"")</f>
        <v>Ukraine</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Ukraine</v>
      </c>
      <c r="CX34" s="319">
        <v>4</v>
      </c>
      <c r="CY34" s="319">
        <v>32</v>
      </c>
      <c r="CZ34" s="319" t="str">
        <f>Matches!G39</f>
        <v>France</v>
      </c>
      <c r="DA34" s="319">
        <f>IF(AND(Matches!H39&lt;&gt;"",Matches!I39&lt;&gt;""),Matches!H39,0)</f>
        <v>0</v>
      </c>
      <c r="DB34" s="319">
        <f>IF(AND(Matches!I39&lt;&gt;"",Matches!H39&lt;&gt;""),Matches!I39,0)</f>
        <v>0</v>
      </c>
      <c r="DC34" s="319" t="str">
        <f>Matches!J39</f>
        <v>Poland</v>
      </c>
      <c r="DD34" s="319" t="str">
        <f>IF(AND(Matches!H39&lt;&gt;"",Matches!I39&lt;&gt;""),IF(DA34&gt;DB34,"W",IF(DA34=DB34,"D","L")),"")</f>
        <v/>
      </c>
      <c r="DE34" s="319" t="str">
        <f t="shared" si="162"/>
        <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3</v>
      </c>
      <c r="DZ34" s="319" t="str">
        <f t="shared" si="10049"/>
        <v>Ukraine</v>
      </c>
      <c r="EA34" s="319">
        <f ca="1">SUMPRODUCT((HX3:HX42=DZ34)*(IB3:IB42="W"))+SUMPRODUCT((IA3:IA42=DZ34)*(IC3:IC42="W"))</f>
        <v>0</v>
      </c>
      <c r="EB34" s="319">
        <f ca="1">SUMPRODUCT((HX3:HX42=DZ34)*(IB3:IB42="D"))+SUMPRODUCT((IA3:IA42=DZ34)*(IC3:IC42="D"))</f>
        <v>2</v>
      </c>
      <c r="EC34" s="319">
        <f ca="1">SUMPRODUCT((HX3:HX42=DZ34)*(IB3:IB42="L"))+SUMPRODUCT((IA3:IA42=DZ34)*(IC3:IC42="L"))</f>
        <v>1</v>
      </c>
      <c r="ED34" s="319">
        <f ca="1">SUMIF(HX3:HX60,DZ34,HY3:HY60)+SUMIF(IA3:IA60,DZ34,HZ3:HZ60)</f>
        <v>2</v>
      </c>
      <c r="EE34" s="319">
        <f ca="1">SUMIF(IA3:IA60,DZ34,HY3:HY60)+SUMIF(HX3:HX60,DZ34,HZ3:HZ60)</f>
        <v>5</v>
      </c>
      <c r="EF34" s="319">
        <f t="shared" ca="1" si="9696"/>
        <v>997</v>
      </c>
      <c r="EG34" s="319">
        <f t="shared" ca="1" si="9697"/>
        <v>2</v>
      </c>
      <c r="EH34" s="319">
        <f t="shared" si="609"/>
        <v>0</v>
      </c>
      <c r="EI34" s="319">
        <f ca="1">IF(COUNTIF(EG31:EG35,4)&lt;&gt;4,RANK(EG34,EG31:EG35),EG74)</f>
        <v>2</v>
      </c>
      <c r="EJ34" s="319"/>
      <c r="EK34" s="319">
        <f ca="1">SUMPRODUCT((EI31:EI34=EI34)*(EH31:EH34&lt;EH34))+EI34</f>
        <v>2</v>
      </c>
      <c r="EL34" s="319" t="str">
        <f ca="1">INDEX(DZ31:DZ35,MATCH(4,EK31:EK35,0),0)</f>
        <v>Romania</v>
      </c>
      <c r="EM34" s="319">
        <f ca="1">INDEX(EI31:EI35,MATCH(EL34,DZ31:DZ35,0),0)</f>
        <v>2</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Romania</v>
      </c>
      <c r="FN34" s="319">
        <f ca="1">IF(FM34&lt;&gt;"",SUMPRODUCT((HX3:HX42=FM34)*(IA3:IA42=FM35)*(IB3:IB42="W"))+SUMPRODUCT((HX3:HX42=FM34)*(IA3:IA42=FM32)*(IB3:IB42="W"))+SUMPRODUCT((HX3:HX42=FM34)*(IA3:IA42=FM33)*(IB3:IB42="W"))+SUMPRODUCT((HX3:HX42=FM35)*(IA3:IA42=FM34)*(IC3:IC42="W"))+SUMPRODUCT((HX3:HX42=FM32)*(IA3:IA42=FM34)*(IC3:IC42="W"))+SUMPRODUCT((HX3:HX42=FM33)*(IA3:IA42=FM34)*(IC3:IC42="W")),"")</f>
        <v>0</v>
      </c>
      <c r="FO34" s="319">
        <f ca="1">IF(FM34&lt;&gt;"",SUMPRODUCT((HX3:HX42=FM34)*(IA3:IA42=FM35)*(IB3:IB42="D"))+SUMPRODUCT((HX3:HX42=FM34)*(IA3:IA42=FM32)*(IB3:IB42="D"))+SUMPRODUCT((HX3:HX42=FM34)*(IA3:IA42=FM33)*(IB3:IB42="D"))+SUMPRODUCT((HX3:HX42=FM35)*(IA3:IA42=FM34)*(IB3:IB42="D"))+SUMPRODUCT((HX3:HX42=FM32)*(IA3:IA42=FM34)*(IB3:IB42="D"))+SUMPRODUCT((HX3:HX42=FM33)*(IA3:IA42=FM34)*(IB3:IB42="D")),"")</f>
        <v>2</v>
      </c>
      <c r="FP34" s="319">
        <f ca="1">IF(FM34&lt;&gt;"",SUMPRODUCT((HX3:HX42=FM34)*(IA3:IA42=FM35)*(IB3:IB42="L"))+SUMPRODUCT((HX3:HX42=FM34)*(IA3:IA42=FM32)*(IB3:IB42="L"))+SUMPRODUCT((HX3:HX42=FM34)*(IA3:IA42=FM33)*(IB3:IB42="L"))+SUMPRODUCT((HX3:HX42=FM35)*(IA3:IA42=FM34)*(IC3:IC42="L"))+SUMPRODUCT((HX3:HX42=FM32)*(IA3:IA42=FM34)*(IC3:IC42="L"))+SUMPRODUCT((HX3:HX42=FM33)*(IA3:IA42=FM34)*(IC3:IC42="L")),"")</f>
        <v>0</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2</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2</v>
      </c>
      <c r="FS34" s="319">
        <f ca="1">FQ34-FR34+1000</f>
        <v>1000</v>
      </c>
      <c r="FT34" s="319">
        <f t="shared" ca="1" si="10051"/>
        <v>2</v>
      </c>
      <c r="FU34" s="319">
        <f ca="1">IF(FM34&lt;&gt;"",VLOOKUP(FM34,DZ4:EF40,7,FALSE),"")</f>
        <v>996</v>
      </c>
      <c r="FV34" s="319">
        <f ca="1">IF(FM34&lt;&gt;"",VLOOKUP(FM34,DZ4:EF40,5,FALSE),"")</f>
        <v>3</v>
      </c>
      <c r="FW34" s="319">
        <f ca="1">IF(FM34&lt;&gt;"",VLOOKUP(FM34,DZ4:EH40,9,FALSE),"")</f>
        <v>46</v>
      </c>
      <c r="FX34" s="319">
        <f t="shared" ca="1" si="10052"/>
        <v>2</v>
      </c>
      <c r="FY34" s="319">
        <f ca="1">IF(FM34&lt;&gt;"",RANK(FX34,FX31:FX35),"")</f>
        <v>1</v>
      </c>
      <c r="FZ34" s="319">
        <f ca="1">IF(FM34&lt;&gt;"",SUMPRODUCT((FX31:FX35=FX34)*(FS31:FS35&gt;FS34)),"")</f>
        <v>0</v>
      </c>
      <c r="GA34" s="319">
        <f ca="1">IF(FM34&lt;&gt;"",SUMPRODUCT((FX31:FX35=FX34)*(FS31:FS35=FS34)*(FQ31:FQ35&gt;FQ34)),"")</f>
        <v>0</v>
      </c>
      <c r="GB34" s="319">
        <f ca="1">IF(FM34&lt;&gt;"",SUMPRODUCT((FX31:FX35=FX34)*(FS31:FS35=FS34)*(FQ31:FQ35=FQ34)*(FU31:FU35&gt;FU34)),"")</f>
        <v>2</v>
      </c>
      <c r="GC34" s="319">
        <f ca="1">IF(FM34&lt;&gt;"",SUMPRODUCT((FX31:FX35=FX34)*(FS31:FS35=FS34)*(FQ31:FQ35=FQ34)*(FU31:FU35=FU34)*(FV31:FV35&gt;FV34)),"")</f>
        <v>0</v>
      </c>
      <c r="GD34" s="319">
        <f ca="1">IF(FM34&lt;&gt;"",SUMPRODUCT((FX31:FX35=FX34)*(FS31:FS35=FS34)*(FQ31:FQ35=FQ34)*(FU31:FU35=FU34)*(FV31:FV35=FV34)*(FW31:FW35&gt;FW34)),"")</f>
        <v>0</v>
      </c>
      <c r="GE34" s="319">
        <f ca="1">IF(FM34&lt;&gt;"",IF(GE74&lt;&gt;"",IF(FL70=3,GE74,GE74+FL70),SUM(FY34:GD34)+1),"")</f>
        <v>4</v>
      </c>
      <c r="GF34" s="319" t="str">
        <f ca="1">IF(FM34&lt;&gt;"",INDEX(FM32:FM35,MATCH(4,GE32:GE35,0),0),"")</f>
        <v>Romania</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Romania</v>
      </c>
      <c r="HV34" s="319">
        <v>4</v>
      </c>
      <c r="HW34" s="319">
        <v>32</v>
      </c>
      <c r="HX34" s="319" t="str">
        <f t="shared" si="164"/>
        <v>France</v>
      </c>
      <c r="HY34" s="322">
        <f ca="1">IF(OFFSET('Player Game Board'!P41,0,HY1)&lt;&gt;"",OFFSET('Player Game Board'!P41,0,HY1),0)</f>
        <v>5</v>
      </c>
      <c r="HZ34" s="322">
        <f ca="1">IF(OFFSET('Player Game Board'!Q41,0,HY1)&lt;&gt;"",OFFSET('Player Game Board'!Q41,0,HY1),0)</f>
        <v>1</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12</v>
      </c>
      <c r="IW34" s="319">
        <f ca="1">VLOOKUP(IX34,MS31:MT35,2,FALSE)</f>
        <v>2</v>
      </c>
      <c r="IX34" s="319" t="str">
        <f t="shared" si="10053"/>
        <v>Ukraine</v>
      </c>
      <c r="IY34" s="319">
        <f ca="1">SUMPRODUCT((MV3:MV42=IX34)*(MZ3:MZ42="W"))+SUMPRODUCT((MY3:MY42=IX34)*(NA3:NA42="W"))</f>
        <v>0</v>
      </c>
      <c r="IZ34" s="319">
        <f ca="1">SUMPRODUCT((MV3:MV42=IX34)*(MZ3:MZ42="D"))+SUMPRODUCT((MY3:MY42=IX34)*(NA3:NA42="D"))</f>
        <v>3</v>
      </c>
      <c r="JA34" s="319">
        <f ca="1">SUMPRODUCT((MV3:MV42=IX34)*(MZ3:MZ42="L"))+SUMPRODUCT((MY3:MY42=IX34)*(NA3:NA42="L"))</f>
        <v>0</v>
      </c>
      <c r="JB34" s="319">
        <f ca="1">SUMIF(MV3:MV60,IX34,MW3:MW60)+SUMIF(MY3:MY60,IX34,MX3:MX60)</f>
        <v>3</v>
      </c>
      <c r="JC34" s="319">
        <f ca="1">SUMIF(MY3:MY60,IX34,MW3:MW60)+SUMIF(MV3:MV60,IX34,MX3:MX60)</f>
        <v>3</v>
      </c>
      <c r="JD34" s="319">
        <f t="shared" ca="1" si="9700"/>
        <v>1000</v>
      </c>
      <c r="JE34" s="319">
        <f t="shared" ca="1" si="9701"/>
        <v>3</v>
      </c>
      <c r="JF34" s="319">
        <f t="shared" si="618"/>
        <v>0</v>
      </c>
      <c r="JG34" s="319">
        <f ca="1">IF(COUNTIF(JE31:JE35,4)&lt;&gt;4,RANK(JE34,JE31:JE35),JE74)</f>
        <v>2</v>
      </c>
      <c r="JH34" s="319"/>
      <c r="JI34" s="319">
        <f ca="1">SUMPRODUCT((JG31:JG34=JG34)*(JF31:JF34&lt;JF34))+JG34</f>
        <v>2</v>
      </c>
      <c r="JJ34" s="319" t="str">
        <f ca="1">INDEX(IX31:IX35,MATCH(4,JI31:JI35,0),0)</f>
        <v>Romania</v>
      </c>
      <c r="JK34" s="319">
        <f ca="1">INDEX(JG31:JG35,MATCH(JJ34,IX31:IX35,0),0)</f>
        <v>3</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Romania</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1</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1</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1</v>
      </c>
      <c r="LK34" s="319">
        <f ca="1">LI34-LJ34+1000</f>
        <v>1000</v>
      </c>
      <c r="LL34" s="319">
        <f t="shared" ca="1" si="10511"/>
        <v>1</v>
      </c>
      <c r="LM34" s="319">
        <f ca="1">IF(LE34&lt;&gt;"",VLOOKUP(LE34,IX4:JD40,7,FALSE),"")</f>
        <v>999</v>
      </c>
      <c r="LN34" s="319">
        <f ca="1">IF(LE34&lt;&gt;"",VLOOKUP(LE34,IX4:JD40,5,FALSE),"")</f>
        <v>4</v>
      </c>
      <c r="LO34" s="319">
        <f ca="1">IF(LE34&lt;&gt;"",VLOOKUP(LE34,IX4:JF40,9,FALSE),"")</f>
        <v>46</v>
      </c>
      <c r="LP34" s="319">
        <f t="shared" ca="1" si="10512"/>
        <v>1</v>
      </c>
      <c r="LQ34" s="319">
        <f ca="1">IF(LE34&lt;&gt;"",RANK(LP34,LP32:LP35),"")</f>
        <v>1</v>
      </c>
      <c r="LR34" s="319">
        <f ca="1">IF(LE34&lt;&gt;"",SUMPRODUCT((LP31:LP35=LP34)*(LK31:LK35&gt;LK34)),"")</f>
        <v>0</v>
      </c>
      <c r="LS34" s="319">
        <f ca="1">IF(LE34&lt;&gt;"",SUMPRODUCT((LP31:LP35=LP34)*(LK31:LK35=LK34)*(LI31:LI35&gt;LI34)),"")</f>
        <v>0</v>
      </c>
      <c r="LT34" s="319">
        <f ca="1">IF(LE34&lt;&gt;"",SUMPRODUCT((LP31:LP35=LP34)*(LK31:LK35=LK34)*(LI31:LI35=LI34)*(LM31:LM35&gt;LM34)),"")</f>
        <v>0</v>
      </c>
      <c r="LU34" s="319">
        <f ca="1">IF(LE34&lt;&gt;"",SUMPRODUCT((LP31:LP35=LP34)*(LK31:LK35=LK34)*(LI31:LI35=LI34)*(LM31:LM35=LM34)*(LN31:LN35&gt;LN34)),"")</f>
        <v>0</v>
      </c>
      <c r="LV34" s="319">
        <f ca="1">IF(LE34&lt;&gt;"",SUMPRODUCT((LP31:LP35=LP34)*(LK31:LK35=LK34)*(LI31:LI35=LI34)*(LM31:LM35=LM34)*(LN31:LN35=LN34)*(LO31:LO35&gt;LO34)),"")</f>
        <v>0</v>
      </c>
      <c r="LW34" s="319">
        <f ca="1">IF(LE34&lt;&gt;"",SUM(LQ34:LV34)+2,"")</f>
        <v>3</v>
      </c>
      <c r="LX34" s="319" t="str">
        <f ca="1">IF(LE34&lt;&gt;"",INDEX(LE33:LE35,MATCH(4,LW33:LW35,0),0),"")</f>
        <v>Slovakia</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Slovakia</v>
      </c>
      <c r="MT34" s="319">
        <v>4</v>
      </c>
      <c r="MU34" s="319">
        <v>32</v>
      </c>
      <c r="MV34" s="319" t="str">
        <f t="shared" si="170"/>
        <v>France</v>
      </c>
      <c r="MW34" s="322">
        <f ca="1">IF(OFFSET('Player Game Board'!P41,0,MW1)&lt;&gt;"",OFFSET('Player Game Board'!P41,0,MW1),0)</f>
        <v>1</v>
      </c>
      <c r="MX34" s="322">
        <f ca="1">IF(OFFSET('Player Game Board'!Q41,0,MW1)&lt;&gt;"",OFFSET('Player Game Board'!Q41,0,MW1),0)</f>
        <v>1</v>
      </c>
      <c r="MY34" s="319" t="str">
        <f t="shared" si="171"/>
        <v>Poland</v>
      </c>
      <c r="MZ34" s="319" t="str">
        <f ca="1">IF(AND(OFFSET('Player Game Board'!P41,0,MW1)&lt;&gt;"",OFFSET('Player Game Board'!Q41,0,MW1)&lt;&gt;""),IF(MW34&gt;MX34,"W",IF(MW34=MX34,"D","L")),"")</f>
        <v>D</v>
      </c>
      <c r="NA34" s="319" t="str">
        <f t="shared" ca="1" si="172"/>
        <v>D</v>
      </c>
      <c r="NB34" s="319"/>
      <c r="NC34" s="319"/>
      <c r="ND34" s="319"/>
      <c r="NE34" s="320"/>
      <c r="NF34" s="320"/>
      <c r="NG34" s="320"/>
      <c r="NH34" s="320"/>
      <c r="NI34" s="320"/>
      <c r="NJ34" s="320"/>
      <c r="NK34" s="320"/>
      <c r="NL34" s="319"/>
      <c r="NM34" s="319"/>
      <c r="NN34" s="319"/>
      <c r="NO34" s="319"/>
      <c r="NP34" s="319"/>
      <c r="NQ34" s="319"/>
      <c r="NR34" s="319"/>
      <c r="NS34" s="319"/>
      <c r="NT34" s="319">
        <f ca="1">SUM(NT18:NT33)</f>
        <v>11</v>
      </c>
      <c r="NU34" s="319">
        <f t="shared" ref="NU34" ca="1" si="11104">VLOOKUP(NV34,RQ31:RR35,2,FALSE)</f>
        <v>2</v>
      </c>
      <c r="NV34" s="319" t="str">
        <f t="shared" si="9705"/>
        <v>Ukraine</v>
      </c>
      <c r="NW34" s="319">
        <f t="shared" ref="NW34" ca="1" si="11105">SUMPRODUCT((RT3:RT42=NV34)*(RX3:RX42="W"))+SUMPRODUCT((RW3:RW42=NV34)*(RY3:RY42="W"))</f>
        <v>1</v>
      </c>
      <c r="NX34" s="319">
        <f t="shared" ref="NX34" ca="1" si="11106">SUMPRODUCT((RT3:RT42=NV34)*(RX3:RX42="D"))+SUMPRODUCT((RW3:RW42=NV34)*(RY3:RY42="D"))</f>
        <v>2</v>
      </c>
      <c r="NY34" s="319">
        <f t="shared" ref="NY34" ca="1" si="11107">SUMPRODUCT((RT3:RT42=NV34)*(RX3:RX42="L"))+SUMPRODUCT((RW3:RW42=NV34)*(RY3:RY42="L"))</f>
        <v>0</v>
      </c>
      <c r="NZ34" s="319">
        <f t="shared" ref="NZ34" ca="1" si="11108">SUMIF(RT3:RT60,NV34,RU3:RU60)+SUMIF(RW3:RW60,NV34,RV3:RV60)</f>
        <v>2</v>
      </c>
      <c r="OA34" s="319">
        <f t="shared" ref="OA34" ca="1" si="11109">SUMIF(RW3:RW60,NV34,RU3:RU60)+SUMIF(RT3:RT60,NV34,RV3:RV60)</f>
        <v>1</v>
      </c>
      <c r="OB34" s="319">
        <f t="shared" ca="1" si="9711"/>
        <v>1001</v>
      </c>
      <c r="OC34" s="319">
        <f t="shared" ca="1" si="9712"/>
        <v>5</v>
      </c>
      <c r="OD34" s="319">
        <f t="shared" si="630"/>
        <v>0</v>
      </c>
      <c r="OE34" s="319">
        <f t="shared" ref="OE34" ca="1" si="11110">IF(COUNTIF(OC31:OC35,4)&lt;&gt;4,RANK(OC34,OC31:OC35),OC74)</f>
        <v>2</v>
      </c>
      <c r="OF34" s="319"/>
      <c r="OG34" s="319">
        <f t="shared" ref="OG34" ca="1" si="11111">SUMPRODUCT((OE31:OE34=OE34)*(OD31:OD34&lt;OD34))+OE34</f>
        <v>2</v>
      </c>
      <c r="OH34" s="319" t="str">
        <f t="shared" ref="OH34" ca="1" si="11112">INDEX(NV31:NV35,MATCH(4,OG31:OG35,0),0)</f>
        <v>Slovakia</v>
      </c>
      <c r="OI34" s="319">
        <f t="shared" ref="OI34" ca="1" si="11113">INDEX(OE31:OE35,MATCH(OH34,NV31:NV35,0),0)</f>
        <v>4</v>
      </c>
      <c r="OJ34" s="319" t="str">
        <f t="shared" ca="1" si="10523"/>
        <v/>
      </c>
      <c r="OK34" s="319" t="str">
        <f t="shared" ca="1" si="10524"/>
        <v/>
      </c>
      <c r="OL34" s="319"/>
      <c r="OM34" s="319"/>
      <c r="ON34" s="319"/>
      <c r="OO34" s="319" t="str">
        <f t="shared" ca="1" si="9721"/>
        <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t="str">
        <f t="shared" ca="1" si="9728"/>
        <v/>
      </c>
      <c r="OW34" s="319" t="str">
        <f t="shared" ref="OW34" ca="1" si="11119">IF(OO34&lt;&gt;"",VLOOKUP(OO34,NV4:OB40,7,FALSE),"")</f>
        <v/>
      </c>
      <c r="OX34" s="319" t="str">
        <f t="shared" ref="OX34" ca="1" si="11120">IF(OO34&lt;&gt;"",VLOOKUP(OO34,NV4:OB40,5,FALSE),"")</f>
        <v/>
      </c>
      <c r="OY34" s="319" t="str">
        <f t="shared" ref="OY34" ca="1" si="11121">IF(OO34&lt;&gt;"",VLOOKUP(OO34,NV4:OD40,9,FALSE),"")</f>
        <v/>
      </c>
      <c r="OZ34" s="319" t="str">
        <f t="shared" ca="1" si="9732"/>
        <v/>
      </c>
      <c r="PA34" s="319" t="str">
        <f t="shared" ref="PA34" ca="1" si="11122">IF(OO34&lt;&gt;"",RANK(OZ34,OZ31:OZ35),"")</f>
        <v/>
      </c>
      <c r="PB34" s="319" t="str">
        <f t="shared" ref="PB34" ca="1" si="11123">IF(OO34&lt;&gt;"",SUMPRODUCT((OZ31:OZ35=OZ34)*(OU31:OU35&gt;OU34)),"")</f>
        <v/>
      </c>
      <c r="PC34" s="319" t="str">
        <f t="shared" ref="PC34" ca="1" si="11124">IF(OO34&lt;&gt;"",SUMPRODUCT((OZ31:OZ35=OZ34)*(OU31:OU35=OU34)*(OS31:OS35&gt;OS34)),"")</f>
        <v/>
      </c>
      <c r="PD34" s="319" t="str">
        <f t="shared" ref="PD34" ca="1" si="11125">IF(OO34&lt;&gt;"",SUMPRODUCT((OZ31:OZ35=OZ34)*(OU31:OU35=OU34)*(OS31:OS35=OS34)*(OW31:OW35&gt;OW34)),"")</f>
        <v/>
      </c>
      <c r="PE34" s="319" t="str">
        <f t="shared" ref="PE34" ca="1" si="11126">IF(OO34&lt;&gt;"",SUMPRODUCT((OZ31:OZ35=OZ34)*(OU31:OU35=OU34)*(OS31:OS35=OS34)*(OW31:OW35=OW34)*(OX31:OX35&gt;OX34)),"")</f>
        <v/>
      </c>
      <c r="PF34" s="319" t="str">
        <f t="shared" ref="PF34" ca="1" si="11127">IF(OO34&lt;&gt;"",SUMPRODUCT((OZ31:OZ35=OZ34)*(OU31:OU35=OU34)*(OS31:OS35=OS34)*(OW31:OW35=OW34)*(OX31:OX35=OX34)*(OY31:OY35&gt;OY34)),"")</f>
        <v/>
      </c>
      <c r="PG34" s="319" t="str">
        <f ca="1">IF(OO34&lt;&gt;"",IF(PG74&lt;&gt;"",IF(ON70=3,PG74,PG74+ON70),SUM(PA34:PF34)),"")</f>
        <v/>
      </c>
      <c r="PH34" s="319" t="str">
        <f t="shared" ref="PH34" ca="1" si="11128">IF(OO34&lt;&gt;"",INDEX(OO31:OO35,MATCH(4,PG31:PG35,0),0),"")</f>
        <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Slovakia</v>
      </c>
      <c r="RR34" s="319">
        <v>4</v>
      </c>
      <c r="RS34" s="319">
        <v>32</v>
      </c>
      <c r="RT34" s="319" t="str">
        <f t="shared" si="18"/>
        <v>France</v>
      </c>
      <c r="RU34" s="322">
        <f ca="1">IF(OFFSET('Player Game Board'!P41,0,RU1)&lt;&gt;"",OFFSET('Player Game Board'!P41,0,RU1),0)</f>
        <v>2</v>
      </c>
      <c r="RV34" s="322">
        <f ca="1">IF(OFFSET('Player Game Board'!Q41,0,RU1)&lt;&gt;"",OFFSET('Player Game Board'!Q41,0,RU1),0)</f>
        <v>1</v>
      </c>
      <c r="RW34" s="319" t="str">
        <f t="shared" si="19"/>
        <v>Poland</v>
      </c>
      <c r="RX34" s="319" t="str">
        <f ca="1">IF(AND(OFFSET('Player Game Board'!P41,0,RU1)&lt;&gt;"",OFFSET('Player Game Board'!Q41,0,RU1)&lt;&gt;""),IF(RU34&gt;RV34,"W",IF(RU34=RV34,"D","L")),"")</f>
        <v>W</v>
      </c>
      <c r="RY34" s="319" t="str">
        <f t="shared" ca="1" si="5500"/>
        <v>L</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11</v>
      </c>
      <c r="SS34" s="319">
        <f t="shared" ref="SS34" ca="1" si="11180">VLOOKUP(ST34,WO31:WP35,2,FALSE)</f>
        <v>3</v>
      </c>
      <c r="ST34" s="319" t="str">
        <f t="shared" si="9743"/>
        <v>Ukraine</v>
      </c>
      <c r="SU34" s="319">
        <f t="shared" ref="SU34" ca="1" si="11181">SUMPRODUCT((WR3:WR42=ST34)*(WV3:WV42="W"))+SUMPRODUCT((WU3:WU42=ST34)*(WW3:WW42="W"))</f>
        <v>1</v>
      </c>
      <c r="SV34" s="319">
        <f t="shared" ref="SV34" ca="1" si="11182">SUMPRODUCT((WR3:WR42=ST34)*(WV3:WV42="D"))+SUMPRODUCT((WU3:WU42=ST34)*(WW3:WW42="D"))</f>
        <v>1</v>
      </c>
      <c r="SW34" s="319">
        <f t="shared" ref="SW34" ca="1" si="11183">SUMPRODUCT((WR3:WR42=ST34)*(WV3:WV42="L"))+SUMPRODUCT((WU3:WU42=ST34)*(WW3:WW42="L"))</f>
        <v>1</v>
      </c>
      <c r="SX34" s="319">
        <f t="shared" ref="SX34" ca="1" si="11184">SUMIF(WR3:WR60,ST34,WS3:WS60)+SUMIF(WU3:WU60,ST34,WT3:WT60)</f>
        <v>1</v>
      </c>
      <c r="SY34" s="319">
        <f t="shared" ref="SY34" ca="1" si="11185">SUMIF(WU3:WU60,ST34,WS3:WS60)+SUMIF(WR3:WR60,ST34,WT3:WT60)</f>
        <v>2</v>
      </c>
      <c r="SZ34" s="319">
        <f t="shared" ca="1" si="9749"/>
        <v>999</v>
      </c>
      <c r="TA34" s="319">
        <f t="shared" ca="1" si="9750"/>
        <v>4</v>
      </c>
      <c r="TB34" s="319">
        <f t="shared" si="690"/>
        <v>0</v>
      </c>
      <c r="TC34" s="319">
        <f t="shared" ref="TC34" ca="1" si="11186">IF(COUNTIF(TA31:TA35,4)&lt;&gt;4,RANK(TA34,TA31:TA35),TA74)</f>
        <v>2</v>
      </c>
      <c r="TD34" s="319"/>
      <c r="TE34" s="319">
        <f t="shared" ref="TE34" ca="1" si="11187">SUMPRODUCT((TC31:TC34=TC34)*(TB31:TB34&lt;TB34))+TC34</f>
        <v>2</v>
      </c>
      <c r="TF34" s="319" t="str">
        <f t="shared" ref="TF34" ca="1" si="11188">INDEX(ST31:ST35,MATCH(4,TE31:TE35,0),0)</f>
        <v>Slovakia</v>
      </c>
      <c r="TG34" s="319">
        <f t="shared" ref="TG34" ca="1" si="11189">INDEX(TC31:TC35,MATCH(TF34,ST31:ST35,0),0)</f>
        <v>4</v>
      </c>
      <c r="TH34" s="319" t="str">
        <f t="shared" ca="1" si="10588"/>
        <v/>
      </c>
      <c r="TI34" s="319" t="str">
        <f t="shared" ca="1" si="10589"/>
        <v/>
      </c>
      <c r="TJ34" s="319"/>
      <c r="TK34" s="319"/>
      <c r="TL34" s="319"/>
      <c r="TM34" s="319" t="str">
        <f t="shared" ca="1" si="9759"/>
        <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t="str">
        <f t="shared" ca="1" si="9766"/>
        <v/>
      </c>
      <c r="TU34" s="319" t="str">
        <f t="shared" ref="TU34" ca="1" si="11195">IF(TM34&lt;&gt;"",VLOOKUP(TM34,ST4:SZ40,7,FALSE),"")</f>
        <v/>
      </c>
      <c r="TV34" s="319" t="str">
        <f t="shared" ref="TV34" ca="1" si="11196">IF(TM34&lt;&gt;"",VLOOKUP(TM34,ST4:SZ40,5,FALSE),"")</f>
        <v/>
      </c>
      <c r="TW34" s="319" t="str">
        <f t="shared" ref="TW34" ca="1" si="11197">IF(TM34&lt;&gt;"",VLOOKUP(TM34,ST4:TB40,9,FALSE),"")</f>
        <v/>
      </c>
      <c r="TX34" s="319" t="str">
        <f t="shared" ca="1" si="9770"/>
        <v/>
      </c>
      <c r="TY34" s="319" t="str">
        <f t="shared" ref="TY34" ca="1" si="11198">IF(TM34&lt;&gt;"",RANK(TX34,TX31:TX35),"")</f>
        <v/>
      </c>
      <c r="TZ34" s="319" t="str">
        <f t="shared" ref="TZ34" ca="1" si="11199">IF(TM34&lt;&gt;"",SUMPRODUCT((TX31:TX35=TX34)*(TS31:TS35&gt;TS34)),"")</f>
        <v/>
      </c>
      <c r="UA34" s="319" t="str">
        <f t="shared" ref="UA34" ca="1" si="11200">IF(TM34&lt;&gt;"",SUMPRODUCT((TX31:TX35=TX34)*(TS31:TS35=TS34)*(TQ31:TQ35&gt;TQ34)),"")</f>
        <v/>
      </c>
      <c r="UB34" s="319" t="str">
        <f t="shared" ref="UB34" ca="1" si="11201">IF(TM34&lt;&gt;"",SUMPRODUCT((TX31:TX35=TX34)*(TS31:TS35=TS34)*(TQ31:TQ35=TQ34)*(TU31:TU35&gt;TU34)),"")</f>
        <v/>
      </c>
      <c r="UC34" s="319" t="str">
        <f t="shared" ref="UC34" ca="1" si="11202">IF(TM34&lt;&gt;"",SUMPRODUCT((TX31:TX35=TX34)*(TS31:TS35=TS34)*(TQ31:TQ35=TQ34)*(TU31:TU35=TU34)*(TV31:TV35&gt;TV34)),"")</f>
        <v/>
      </c>
      <c r="UD34" s="319" t="str">
        <f t="shared" ref="UD34" ca="1" si="11203">IF(TM34&lt;&gt;"",SUMPRODUCT((TX31:TX35=TX34)*(TS31:TS35=TS34)*(TQ31:TQ35=TQ34)*(TU31:TU35=TU34)*(TV31:TV35=TV34)*(TW31:TW35&gt;TW34)),"")</f>
        <v/>
      </c>
      <c r="UE34" s="319" t="str">
        <f ca="1">IF(TM34&lt;&gt;"",IF(UE74&lt;&gt;"",IF(TL70=3,UE74,UE74+TL70),SUM(TY34:UD34)),"")</f>
        <v/>
      </c>
      <c r="UF34" s="319" t="str">
        <f t="shared" ref="UF34" ca="1" si="11204">IF(TM34&lt;&gt;"",INDEX(TM31:TM35,MATCH(4,UE31:UE35,0),0),"")</f>
        <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Slovakia</v>
      </c>
      <c r="WP34" s="319">
        <v>4</v>
      </c>
      <c r="WQ34" s="319">
        <v>32</v>
      </c>
      <c r="WR34" s="319" t="str">
        <f t="shared" si="34"/>
        <v>France</v>
      </c>
      <c r="WS34" s="322">
        <f ca="1">IF(OFFSET('Player Game Board'!P41,0,WS1)&lt;&gt;"",OFFSET('Player Game Board'!P41,0,WS1),0)</f>
        <v>1</v>
      </c>
      <c r="WT34" s="322">
        <f ca="1">IF(OFFSET('Player Game Board'!Q41,0,WS1)&lt;&gt;"",OFFSET('Player Game Board'!Q41,0,WS1),0)</f>
        <v>0</v>
      </c>
      <c r="WU34" s="319" t="str">
        <f t="shared" si="35"/>
        <v>Poland</v>
      </c>
      <c r="WV34" s="319" t="str">
        <f ca="1">IF(AND(OFFSET('Player Game Board'!P41,0,WS1)&lt;&gt;"",OFFSET('Player Game Board'!Q41,0,WS1)&lt;&gt;""),IF(WS34&gt;WT34,"W",IF(WS34=WT34,"D","L")),"")</f>
        <v>W</v>
      </c>
      <c r="WW34" s="319" t="str">
        <f t="shared" ca="1" si="5555"/>
        <v>L</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12</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4</v>
      </c>
      <c r="XW34" s="319">
        <f t="shared" ref="XW34" ca="1" si="11261">SUMIF(ABS3:ABS60,XR34,ABQ3:ABQ60)+SUMIF(ABP3:ABP60,XR34,ABR3:ABR60)</f>
        <v>6</v>
      </c>
      <c r="XX34" s="319">
        <f t="shared" ca="1" si="9787"/>
        <v>998</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Slovakia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Slovakia</v>
      </c>
      <c r="ABN34" s="319">
        <v>4</v>
      </c>
      <c r="ABO34" s="319">
        <v>32</v>
      </c>
      <c r="ABP34" s="319" t="str">
        <f t="shared" si="50"/>
        <v>France</v>
      </c>
      <c r="ABQ34" s="322">
        <f ca="1">IF(OFFSET('Player Game Board'!P41,0,ABQ1)&lt;&gt;"",OFFSET('Player Game Board'!P41,0,ABQ1),0)</f>
        <v>3</v>
      </c>
      <c r="ABR34" s="322">
        <f ca="1">IF(OFFSET('Player Game Board'!Q41,0,ABQ1)&lt;&gt;"",OFFSET('Player Game Board'!Q41,0,ABQ1),0)</f>
        <v>0</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10</v>
      </c>
      <c r="ACO34" s="319">
        <f t="shared" ref="ACO34" ca="1" si="11332">VLOOKUP(ACP34,AGK31:AGL35,2,FALSE)</f>
        <v>2</v>
      </c>
      <c r="ACP34" s="319" t="str">
        <f t="shared" si="9819"/>
        <v>Ukraine</v>
      </c>
      <c r="ACQ34" s="319">
        <f t="shared" ref="ACQ34" ca="1" si="11333">SUMPRODUCT((AGN3:AGN42=ACP34)*(AGR3:AGR42="W"))+SUMPRODUCT((AGQ3:AGQ42=ACP34)*(AGS3:AGS42="W"))</f>
        <v>2</v>
      </c>
      <c r="ACR34" s="319">
        <f t="shared" ref="ACR34" ca="1" si="11334">SUMPRODUCT((AGN3:AGN42=ACP34)*(AGR3:AGR42="D"))+SUMPRODUCT((AGQ3:AGQ42=ACP34)*(AGS3:AGS42="D"))</f>
        <v>0</v>
      </c>
      <c r="ACS34" s="319">
        <f t="shared" ref="ACS34" ca="1" si="11335">SUMPRODUCT((AGN3:AGN42=ACP34)*(AGR3:AGR42="L"))+SUMPRODUCT((AGQ3:AGQ42=ACP34)*(AGS3:AGS42="L"))</f>
        <v>1</v>
      </c>
      <c r="ACT34" s="319">
        <f t="shared" ref="ACT34" ca="1" si="11336">SUMIF(AGN3:AGN60,ACP34,AGO3:AGO60)+SUMIF(AGQ3:AGQ60,ACP34,AGP3:AGP60)</f>
        <v>5</v>
      </c>
      <c r="ACU34" s="319">
        <f t="shared" ref="ACU34" ca="1" si="11337">SUMIF(AGQ3:AGQ60,ACP34,AGO3:AGO60)+SUMIF(AGN3:AGN60,ACP34,AGP3:AGP60)</f>
        <v>4</v>
      </c>
      <c r="ACV34" s="319">
        <f t="shared" ca="1" si="9825"/>
        <v>1001</v>
      </c>
      <c r="ACW34" s="319">
        <f t="shared" ca="1" si="9826"/>
        <v>6</v>
      </c>
      <c r="ACX34" s="319">
        <f t="shared" si="810"/>
        <v>0</v>
      </c>
      <c r="ACY34" s="319">
        <f t="shared" ref="ACY34" ca="1" si="11338">IF(COUNTIF(ACW31:ACW35,4)&lt;&gt;4,RANK(ACW34,ACW31:ACW35),ACW74)</f>
        <v>2</v>
      </c>
      <c r="ACZ34" s="319"/>
      <c r="ADA34" s="319">
        <f t="shared" ref="ADA34" ca="1" si="11339">SUMPRODUCT((ACY31:ACY34=ACY34)*(ACX31:ACX34&lt;ACX34))+ACY34</f>
        <v>2</v>
      </c>
      <c r="ADB34" s="319" t="str">
        <f t="shared" ref="ADB34" ca="1" si="11340">INDEX(ACP31:ACP35,MATCH(4,ADA31:ADA35,0),0)</f>
        <v>Romania</v>
      </c>
      <c r="ADC34" s="319">
        <f t="shared" ref="ADC34" ca="1" si="11341">INDEX(ACY31:ACY35,MATCH(ADB34,ACP31:ACP35,0),0)</f>
        <v>3</v>
      </c>
      <c r="ADD34" s="319" t="str">
        <f t="shared" ca="1" si="10718"/>
        <v/>
      </c>
      <c r="ADE34" s="319" t="str">
        <f t="shared" ca="1" si="10719"/>
        <v/>
      </c>
      <c r="ADF34" s="319"/>
      <c r="ADG34" s="319"/>
      <c r="ADH34" s="319"/>
      <c r="ADI34" s="319" t="str">
        <f t="shared" ca="1" si="9835"/>
        <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t="str">
        <f t="shared" ca="1" si="9842"/>
        <v/>
      </c>
      <c r="ADQ34" s="319" t="str">
        <f t="shared" ref="ADQ34" ca="1" si="11347">IF(ADI34&lt;&gt;"",VLOOKUP(ADI34,ACP4:ACV40,7,FALSE),"")</f>
        <v/>
      </c>
      <c r="ADR34" s="319" t="str">
        <f t="shared" ref="ADR34" ca="1" si="11348">IF(ADI34&lt;&gt;"",VLOOKUP(ADI34,ACP4:ACV40,5,FALSE),"")</f>
        <v/>
      </c>
      <c r="ADS34" s="319" t="str">
        <f t="shared" ref="ADS34" ca="1" si="11349">IF(ADI34&lt;&gt;"",VLOOKUP(ADI34,ACP4:ACX40,9,FALSE),"")</f>
        <v/>
      </c>
      <c r="ADT34" s="319" t="str">
        <f t="shared" ca="1" si="9846"/>
        <v/>
      </c>
      <c r="ADU34" s="319" t="str">
        <f t="shared" ref="ADU34" ca="1" si="11350">IF(ADI34&lt;&gt;"",RANK(ADT34,ADT31:ADT35),"")</f>
        <v/>
      </c>
      <c r="ADV34" s="319" t="str">
        <f t="shared" ref="ADV34" ca="1" si="11351">IF(ADI34&lt;&gt;"",SUMPRODUCT((ADT31:ADT35=ADT34)*(ADO31:ADO35&gt;ADO34)),"")</f>
        <v/>
      </c>
      <c r="ADW34" s="319" t="str">
        <f t="shared" ref="ADW34" ca="1" si="11352">IF(ADI34&lt;&gt;"",SUMPRODUCT((ADT31:ADT35=ADT34)*(ADO31:ADO35=ADO34)*(ADM31:ADM35&gt;ADM34)),"")</f>
        <v/>
      </c>
      <c r="ADX34" s="319" t="str">
        <f t="shared" ref="ADX34" ca="1" si="11353">IF(ADI34&lt;&gt;"",SUMPRODUCT((ADT31:ADT35=ADT34)*(ADO31:ADO35=ADO34)*(ADM31:ADM35=ADM34)*(ADQ31:ADQ35&gt;ADQ34)),"")</f>
        <v/>
      </c>
      <c r="ADY34" s="319" t="str">
        <f t="shared" ref="ADY34" ca="1" si="11354">IF(ADI34&lt;&gt;"",SUMPRODUCT((ADT31:ADT35=ADT34)*(ADO31:ADO35=ADO34)*(ADM31:ADM35=ADM34)*(ADQ31:ADQ35=ADQ34)*(ADR31:ADR35&gt;ADR34)),"")</f>
        <v/>
      </c>
      <c r="ADZ34" s="319" t="str">
        <f t="shared" ref="ADZ34" ca="1" si="11355">IF(ADI34&lt;&gt;"",SUMPRODUCT((ADT31:ADT35=ADT34)*(ADO31:ADO35=ADO34)*(ADM31:ADM35=ADM34)*(ADQ31:ADQ35=ADQ34)*(ADR31:ADR35=ADR34)*(ADS31:ADS35&gt;ADS34)),"")</f>
        <v/>
      </c>
      <c r="AEA34" s="319" t="str">
        <f ca="1">IF(ADI34&lt;&gt;"",IF(AEA74&lt;&gt;"",IF(ADH70=3,AEA74,AEA74+ADH70),SUM(ADU34:ADZ34)),"")</f>
        <v/>
      </c>
      <c r="AEB34" s="319" t="str">
        <f t="shared" ref="AEB34" ca="1" si="11356">IF(ADI34&lt;&gt;"",INDEX(ADI31:ADI35,MATCH(4,AEA31:AEA35,0),0),"")</f>
        <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Romania</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1</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1</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1</v>
      </c>
      <c r="AFC34" s="319">
        <f t="shared" ca="1" si="10757"/>
        <v>1000</v>
      </c>
      <c r="AFD34" s="319">
        <f t="shared" ca="1" si="10758"/>
        <v>1</v>
      </c>
      <c r="AFE34" s="319">
        <f t="shared" ref="AFE34" ca="1" si="11377">IF(AEW34&lt;&gt;"",VLOOKUP(AEW34,ACP4:ACV40,7,FALSE),"")</f>
        <v>997</v>
      </c>
      <c r="AFF34" s="319">
        <f t="shared" ref="AFF34" ca="1" si="11378">IF(AEW34&lt;&gt;"",VLOOKUP(AEW34,ACP4:ACV40,5,FALSE),"")</f>
        <v>2</v>
      </c>
      <c r="AFG34" s="319">
        <f t="shared" ref="AFG34" ca="1" si="11379">IF(AEW34&lt;&gt;"",VLOOKUP(AEW34,ACP4:ACX40,9,FALSE),"")</f>
        <v>46</v>
      </c>
      <c r="AFH34" s="319">
        <f t="shared" ca="1" si="10762"/>
        <v>1</v>
      </c>
      <c r="AFI34" s="319">
        <f t="shared" ref="AFI34" ca="1" si="11380">IF(AEW34&lt;&gt;"",RANK(AFH34,AFH32:AFH35),"")</f>
        <v>1</v>
      </c>
      <c r="AFJ34" s="319">
        <f t="shared" ref="AFJ34" ca="1" si="11381">IF(AEW34&lt;&gt;"",SUMPRODUCT((AFH31:AFH35=AFH34)*(AFC31:AFC35&gt;AFC34)),"")</f>
        <v>0</v>
      </c>
      <c r="AFK34" s="319">
        <f t="shared" ref="AFK34" ca="1" si="11382">IF(AEW34&lt;&gt;"",SUMPRODUCT((AFH31:AFH35=AFH34)*(AFC31:AFC35=AFC34)*(AFA31:AFA35&gt;AFA34)),"")</f>
        <v>0</v>
      </c>
      <c r="AFL34" s="319">
        <f t="shared" ref="AFL34" ca="1" si="11383">IF(AEW34&lt;&gt;"",SUMPRODUCT((AFH31:AFH35=AFH34)*(AFC31:AFC35=AFC34)*(AFA31:AFA35=AFA34)*(AFE31:AFE35&gt;AFE34)),"")</f>
        <v>0</v>
      </c>
      <c r="AFM34" s="319">
        <f t="shared" ref="AFM34" ca="1" si="11384">IF(AEW34&lt;&gt;"",SUMPRODUCT((AFH31:AFH35=AFH34)*(AFC31:AFC35=AFC34)*(AFA31:AFA35=AFA34)*(AFE31:AFE35=AFE34)*(AFF31:AFF35&gt;AFF34)),"")</f>
        <v>0</v>
      </c>
      <c r="AFN34" s="319">
        <f t="shared" ref="AFN34" ca="1" si="11385">IF(AEW34&lt;&gt;"",SUMPRODUCT((AFH31:AFH35=AFH34)*(AFC31:AFC35=AFC34)*(AFA31:AFA35=AFA34)*(AFE31:AFE35=AFE34)*(AFF31:AFF35=AFF34)*(AFG31:AFG35&gt;AFG34)),"")</f>
        <v>0</v>
      </c>
      <c r="AFO34" s="319">
        <f t="shared" ca="1" si="10769"/>
        <v>3</v>
      </c>
      <c r="AFP34" s="319" t="str">
        <f t="shared" ref="AFP34" ca="1" si="11386">IF(AEW34&lt;&gt;"",INDEX(AEW33:AEW35,MATCH(4,AFO33:AFO35,0),0),"")</f>
        <v>Slovakia</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Slovakia</v>
      </c>
      <c r="AGL34" s="319">
        <v>4</v>
      </c>
      <c r="AGM34" s="319">
        <v>32</v>
      </c>
      <c r="AGN34" s="319" t="str">
        <f t="shared" si="66"/>
        <v>France</v>
      </c>
      <c r="AGO34" s="322">
        <f ca="1">IF(OFFSET('Player Game Board'!P41,0,AGO1)&lt;&gt;"",OFFSET('Player Game Board'!P41,0,AGO1),0)</f>
        <v>2</v>
      </c>
      <c r="AGP34" s="322">
        <f ca="1">IF(OFFSET('Player Game Board'!Q41,0,AGO1)&lt;&gt;"",OFFSET('Player Game Board'!Q41,0,AGO1),0)</f>
        <v>1</v>
      </c>
      <c r="AGQ34" s="319" t="str">
        <f t="shared" si="67"/>
        <v>Poland</v>
      </c>
      <c r="AGR34" s="319" t="str">
        <f ca="1">IF(AND(OFFSET('Player Game Board'!P41,0,AGO1)&lt;&gt;"",OFFSET('Player Game Board'!Q41,0,AGO1)&lt;&gt;""),IF(AGO34&gt;AGP34,"W",IF(AGO34=AGP34,"D","L")),"")</f>
        <v>W</v>
      </c>
      <c r="AGS34" s="319" t="str">
        <f t="shared" ca="1" si="5665"/>
        <v>L</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11</v>
      </c>
      <c r="AHM34" s="319">
        <f t="shared" ref="AHM34" ca="1" si="11408">VLOOKUP(AHN34,ALI31:ALJ35,2,FALSE)</f>
        <v>4</v>
      </c>
      <c r="AHN34" s="319" t="str">
        <f t="shared" si="9857"/>
        <v>Ukraine</v>
      </c>
      <c r="AHO34" s="319">
        <f t="shared" ref="AHO34" ca="1" si="11409">SUMPRODUCT((ALL3:ALL42=AHN34)*(ALP3:ALP42="W"))+SUMPRODUCT((ALO3:ALO42=AHN34)*(ALQ3:ALQ42="W"))</f>
        <v>0</v>
      </c>
      <c r="AHP34" s="319">
        <f t="shared" ref="AHP34" ca="1" si="11410">SUMPRODUCT((ALL3:ALL42=AHN34)*(ALP3:ALP42="D"))+SUMPRODUCT((ALO3:ALO42=AHN34)*(ALQ3:ALQ42="D"))</f>
        <v>0</v>
      </c>
      <c r="AHQ34" s="319">
        <f t="shared" ref="AHQ34" ca="1" si="11411">SUMPRODUCT((ALL3:ALL42=AHN34)*(ALP3:ALP42="L"))+SUMPRODUCT((ALO3:ALO42=AHN34)*(ALQ3:ALQ42="L"))</f>
        <v>0</v>
      </c>
      <c r="AHR34" s="319">
        <f t="shared" ref="AHR34" ca="1" si="11412">SUMIF(ALL3:ALL60,AHN34,ALM3:ALM60)+SUMIF(ALO3:ALO60,AHN34,ALN3:ALN60)</f>
        <v>0</v>
      </c>
      <c r="AHS34" s="319">
        <f t="shared" ref="AHS34" ca="1" si="11413">SUMIF(ALO3:ALO60,AHN34,ALM3:ALM60)+SUMIF(ALL3:ALL60,AHN34,ALN3:ALN60)</f>
        <v>0</v>
      </c>
      <c r="AHT34" s="319">
        <f t="shared" ca="1" si="9863"/>
        <v>1000</v>
      </c>
      <c r="AHU34" s="319">
        <f t="shared" ca="1" si="9864"/>
        <v>0</v>
      </c>
      <c r="AHV34" s="319">
        <f t="shared" si="870"/>
        <v>0</v>
      </c>
      <c r="AHW34" s="319">
        <f t="shared" ref="AHW34" ca="1" si="11414">IF(COUNTIF(AHU31:AHU35,4)&lt;&gt;4,RANK(AHU34,AHU31:AHU35),AHU74)</f>
        <v>1</v>
      </c>
      <c r="AHX34" s="319"/>
      <c r="AHY34" s="319">
        <f t="shared" ref="AHY34" ca="1" si="11415">SUMPRODUCT((AHW31:AHW34=AHW34)*(AHV31:AHV34&lt;AHV34))+AHW34</f>
        <v>1</v>
      </c>
      <c r="AHZ34" s="319" t="str">
        <f t="shared" ref="AHZ34" ca="1" si="11416">INDEX(AHN31:AHN35,MATCH(4,AHY31:AHY35,0),0)</f>
        <v>Belgium</v>
      </c>
      <c r="AIA34" s="319">
        <f t="shared" ref="AIA34" ca="1" si="11417">INDEX(AHW31:AHW35,MATCH(AHZ34,AHN31:AHN35,0),0)</f>
        <v>1</v>
      </c>
      <c r="AIB34" s="319" t="str">
        <f t="shared" ca="1" si="10783"/>
        <v>Belgium</v>
      </c>
      <c r="AIC34" s="319" t="str">
        <f t="shared" ca="1" si="10784"/>
        <v/>
      </c>
      <c r="AID34" s="319"/>
      <c r="AIE34" s="319"/>
      <c r="AIF34" s="319"/>
      <c r="AIG34" s="319" t="str">
        <f t="shared" ca="1" si="9873"/>
        <v>Belgium</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f t="shared" ca="1" si="9880"/>
        <v>0</v>
      </c>
      <c r="AIO34" s="319">
        <f t="shared" ref="AIO34" ca="1" si="11423">IF(AIG34&lt;&gt;"",VLOOKUP(AIG34,AHN4:AHT40,7,FALSE),"")</f>
        <v>1000</v>
      </c>
      <c r="AIP34" s="319">
        <f t="shared" ref="AIP34" ca="1" si="11424">IF(AIG34&lt;&gt;"",VLOOKUP(AIG34,AHN4:AHT40,5,FALSE),"")</f>
        <v>0</v>
      </c>
      <c r="AIQ34" s="319">
        <f t="shared" ref="AIQ34" ca="1" si="11425">IF(AIG34&lt;&gt;"",VLOOKUP(AIG34,AHN4:AHV40,9,FALSE),"")</f>
        <v>50</v>
      </c>
      <c r="AIR34" s="319">
        <f t="shared" ca="1" si="9884"/>
        <v>0</v>
      </c>
      <c r="AIS34" s="319">
        <f t="shared" ref="AIS34" ca="1" si="11426">IF(AIG34&lt;&gt;"",RANK(AIR34,AIR31:AIR35),"")</f>
        <v>1</v>
      </c>
      <c r="AIT34" s="319">
        <f t="shared" ref="AIT34" ca="1" si="11427">IF(AIG34&lt;&gt;"",SUMPRODUCT((AIR31:AIR35=AIR34)*(AIM31:AIM35&gt;AIM34)),"")</f>
        <v>0</v>
      </c>
      <c r="AIU34" s="319">
        <f t="shared" ref="AIU34" ca="1" si="11428">IF(AIG34&lt;&gt;"",SUMPRODUCT((AIR31:AIR35=AIR34)*(AIM31:AIM35=AIM34)*(AIK31:AIK35&gt;AIK34)),"")</f>
        <v>0</v>
      </c>
      <c r="AIV34" s="319">
        <f t="shared" ref="AIV34" ca="1" si="11429">IF(AIG34&lt;&gt;"",SUMPRODUCT((AIR31:AIR35=AIR34)*(AIM31:AIM35=AIM34)*(AIK31:AIK35=AIK34)*(AIO31:AIO35&gt;AIO34)),"")</f>
        <v>0</v>
      </c>
      <c r="AIW34" s="319">
        <f t="shared" ref="AIW34" ca="1" si="11430">IF(AIG34&lt;&gt;"",SUMPRODUCT((AIR31:AIR35=AIR34)*(AIM31:AIM35=AIM34)*(AIK31:AIK35=AIK34)*(AIO31:AIO35=AIO34)*(AIP31:AIP35&gt;AIP34)),"")</f>
        <v>0</v>
      </c>
      <c r="AIX34" s="319">
        <f t="shared" ref="AIX34" ca="1" si="11431">IF(AIG34&lt;&gt;"",SUMPRODUCT((AIR31:AIR35=AIR34)*(AIM31:AIM35=AIM34)*(AIK31:AIK35=AIK34)*(AIO31:AIO35=AIO34)*(AIP31:AIP35=AIP34)*(AIQ31:AIQ35&gt;AIQ34)),"")</f>
        <v>0</v>
      </c>
      <c r="AIY34" s="319">
        <f ca="1">IF(AIG34&lt;&gt;"",IF(AIY74&lt;&gt;"",IF(AIF70=3,AIY74,AIY74+AIF70),SUM(AIS34:AIX34)),"")</f>
        <v>1</v>
      </c>
      <c r="AIZ34" s="319" t="str">
        <f t="shared" ref="AIZ34" ca="1" si="11432">IF(AIG34&lt;&gt;"",INDEX(AIG31:AIG35,MATCH(4,AIY31:AIY35,0),0),"")</f>
        <v>Ukraine</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19">
        <f t="shared" ca="1" si="10822"/>
        <v>1000</v>
      </c>
      <c r="AKB34" s="319" t="str">
        <f t="shared" ca="1" si="10823"/>
        <v/>
      </c>
      <c r="AKC34" s="319" t="str">
        <f t="shared" ref="AKC34" ca="1" si="11453">IF(AJU34&lt;&gt;"",VLOOKUP(AJU34,AHN4:AHT40,7,FALSE),"")</f>
        <v/>
      </c>
      <c r="AKD34" s="319" t="str">
        <f t="shared" ref="AKD34" ca="1" si="11454">IF(AJU34&lt;&gt;"",VLOOKUP(AJU34,AHN4:AHT40,5,FALSE),"")</f>
        <v/>
      </c>
      <c r="AKE34" s="319" t="str">
        <f t="shared" ref="AKE34" ca="1" si="11455">IF(AJU34&lt;&gt;"",VLOOKUP(AJU34,AHN4:AHV40,9,FALSE),"")</f>
        <v/>
      </c>
      <c r="AKF34" s="319" t="str">
        <f t="shared" ca="1" si="10827"/>
        <v/>
      </c>
      <c r="AKG34" s="319" t="str">
        <f t="shared" ref="AKG34" ca="1" si="11456">IF(AJU34&lt;&gt;"",RANK(AKF34,AKF32:AKF35),"")</f>
        <v/>
      </c>
      <c r="AKH34" s="319" t="str">
        <f t="shared" ref="AKH34" ca="1" si="11457">IF(AJU34&lt;&gt;"",SUMPRODUCT((AKF31:AKF35=AKF34)*(AKA31:AKA35&gt;AKA34)),"")</f>
        <v/>
      </c>
      <c r="AKI34" s="319" t="str">
        <f t="shared" ref="AKI34" ca="1" si="11458">IF(AJU34&lt;&gt;"",SUMPRODUCT((AKF31:AKF35=AKF34)*(AKA31:AKA35=AKA34)*(AJY31:AJY35&gt;AJY34)),"")</f>
        <v/>
      </c>
      <c r="AKJ34" s="319" t="str">
        <f t="shared" ref="AKJ34" ca="1" si="11459">IF(AJU34&lt;&gt;"",SUMPRODUCT((AKF31:AKF35=AKF34)*(AKA31:AKA35=AKA34)*(AJY31:AJY35=AJY34)*(AKC31:AKC35&gt;AKC34)),"")</f>
        <v/>
      </c>
      <c r="AKK34" s="319" t="str">
        <f t="shared" ref="AKK34" ca="1" si="11460">IF(AJU34&lt;&gt;"",SUMPRODUCT((AKF31:AKF35=AKF34)*(AKA31:AKA35=AKA34)*(AJY31:AJY35=AJY34)*(AKC31:AKC35=AKC34)*(AKD31:AKD35&gt;AKD34)),"")</f>
        <v/>
      </c>
      <c r="AKL34" s="319" t="str">
        <f t="shared" ref="AKL34" ca="1" si="11461">IF(AJU34&lt;&gt;"",SUMPRODUCT((AKF31:AKF35=AKF34)*(AKA31:AKA35=AKA34)*(AJY31:AJY35=AJY34)*(AKC31:AKC35=AKC34)*(AKD31:AKD35=AKD34)*(AKE31:AKE35&gt;AKE34)),"")</f>
        <v/>
      </c>
      <c r="AKM34" s="319" t="str">
        <f t="shared" ca="1" si="10834"/>
        <v/>
      </c>
      <c r="AKN34" s="319" t="str">
        <f t="shared" ref="AKN34" ca="1" si="11462">IF(AJU34&lt;&gt;"",INDEX(AJU33:AJU35,MATCH(4,AKM33:AKM35,0),0),"")</f>
        <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Ukraine</v>
      </c>
      <c r="ALJ34" s="319">
        <v>4</v>
      </c>
      <c r="ALK34" s="319">
        <v>32</v>
      </c>
      <c r="ALL34" s="319" t="str">
        <f t="shared" si="82"/>
        <v>France</v>
      </c>
      <c r="ALM34" s="322">
        <f ca="1">IF(OFFSET('Player Game Board'!P41,0,ALM1)&lt;&gt;"",OFFSET('Player Game Board'!P41,0,ALM1),0)</f>
        <v>0</v>
      </c>
      <c r="ALN34" s="322">
        <f ca="1">IF(OFFSET('Player Game Board'!Q41,0,ALM1)&lt;&gt;"",OFFSET('Player Game Board'!Q41,0,ALM1),0)</f>
        <v>0</v>
      </c>
      <c r="ALO34" s="319" t="str">
        <f t="shared" si="83"/>
        <v>Poland</v>
      </c>
      <c r="ALP34" s="319" t="str">
        <f ca="1">IF(AND(OFFSET('Player Game Board'!P41,0,ALM1)&lt;&gt;"",OFFSET('Player Game Board'!Q41,0,ALM1)&lt;&gt;""),IF(ALM34&gt;ALN34,"W",IF(ALM34=ALN34,"D","L")),"")</f>
        <v/>
      </c>
      <c r="ALQ34" s="319" t="str">
        <f t="shared" ca="1" si="5720"/>
        <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11</v>
      </c>
      <c r="AMK34" s="319">
        <f t="shared" ref="AMK34" ca="1" si="11484">VLOOKUP(AML34,AQG31:AQH35,2,FALSE)</f>
        <v>4</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0</v>
      </c>
      <c r="AMO34" s="319">
        <f t="shared" ref="AMO34" ca="1" si="11487">SUMPRODUCT((AQJ3:AQJ42=AML34)*(AQN3:AQN42="L"))+SUMPRODUCT((AQM3:AQM42=AML34)*(AQO3:AQO42="L"))</f>
        <v>0</v>
      </c>
      <c r="AMP34" s="319">
        <f t="shared" ref="AMP34" ca="1" si="11488">SUMIF(AQJ3:AQJ60,AML34,AQK3:AQK60)+SUMIF(AQM3:AQM60,AML34,AQL3:AQL60)</f>
        <v>0</v>
      </c>
      <c r="AMQ34" s="319">
        <f t="shared" ref="AMQ34" ca="1" si="11489">SUMIF(AQM3:AQM60,AML34,AQK3:AQK60)+SUMIF(AQJ3:AQJ60,AML34,AQL3:AQL60)</f>
        <v>0</v>
      </c>
      <c r="AMR34" s="319">
        <f t="shared" ca="1" si="9901"/>
        <v>1000</v>
      </c>
      <c r="AMS34" s="319">
        <f t="shared" ca="1" si="9902"/>
        <v>0</v>
      </c>
      <c r="AMT34" s="319">
        <f t="shared" si="930"/>
        <v>0</v>
      </c>
      <c r="AMU34" s="319">
        <f t="shared" ref="AMU34" ca="1" si="11490">IF(COUNTIF(AMS31:AMS35,4)&lt;&gt;4,RANK(AMS34,AMS31:AMS35),AMS74)</f>
        <v>1</v>
      </c>
      <c r="AMV34" s="319"/>
      <c r="AMW34" s="319">
        <f t="shared" ref="AMW34" ca="1" si="11491">SUMPRODUCT((AMU31:AMU34=AMU34)*(AMT31:AMT34&lt;AMT34))+AMU34</f>
        <v>1</v>
      </c>
      <c r="AMX34" s="319" t="str">
        <f t="shared" ref="AMX34" ca="1" si="11492">INDEX(AML31:AML35,MATCH(4,AMW31:AMW35,0),0)</f>
        <v>Belgium</v>
      </c>
      <c r="AMY34" s="319">
        <f t="shared" ref="AMY34" ca="1" si="11493">INDEX(AMU31:AMU35,MATCH(AMX34,AML31:AML35,0),0)</f>
        <v>1</v>
      </c>
      <c r="AMZ34" s="319" t="str">
        <f t="shared" ca="1" si="10848"/>
        <v>Belgium</v>
      </c>
      <c r="ANA34" s="319" t="str">
        <f t="shared" ca="1" si="10849"/>
        <v/>
      </c>
      <c r="ANB34" s="319"/>
      <c r="ANC34" s="319"/>
      <c r="AND34" s="319"/>
      <c r="ANE34" s="319" t="str">
        <f t="shared" ca="1" si="9911"/>
        <v>Belgium</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f t="shared" ca="1" si="9918"/>
        <v>0</v>
      </c>
      <c r="ANM34" s="319">
        <f t="shared" ref="ANM34" ca="1" si="11499">IF(ANE34&lt;&gt;"",VLOOKUP(ANE34,AML4:AMR40,7,FALSE),"")</f>
        <v>1000</v>
      </c>
      <c r="ANN34" s="319">
        <f t="shared" ref="ANN34" ca="1" si="11500">IF(ANE34&lt;&gt;"",VLOOKUP(ANE34,AML4:AMR40,5,FALSE),"")</f>
        <v>0</v>
      </c>
      <c r="ANO34" s="319">
        <f t="shared" ref="ANO34" ca="1" si="11501">IF(ANE34&lt;&gt;"",VLOOKUP(ANE34,AML4:AMT40,9,FALSE),"")</f>
        <v>50</v>
      </c>
      <c r="ANP34" s="319">
        <f t="shared" ca="1" si="9922"/>
        <v>0</v>
      </c>
      <c r="ANQ34" s="319">
        <f t="shared" ref="ANQ34" ca="1" si="11502">IF(ANE34&lt;&gt;"",RANK(ANP34,ANP31:ANP35),"")</f>
        <v>1</v>
      </c>
      <c r="ANR34" s="319">
        <f t="shared" ref="ANR34" ca="1" si="11503">IF(ANE34&lt;&gt;"",SUMPRODUCT((ANP31:ANP35=ANP34)*(ANK31:ANK35&gt;ANK34)),"")</f>
        <v>0</v>
      </c>
      <c r="ANS34" s="319">
        <f t="shared" ref="ANS34" ca="1" si="11504">IF(ANE34&lt;&gt;"",SUMPRODUCT((ANP31:ANP35=ANP34)*(ANK31:ANK35=ANK34)*(ANI31:ANI35&gt;ANI34)),"")</f>
        <v>0</v>
      </c>
      <c r="ANT34" s="319">
        <f t="shared" ref="ANT34" ca="1" si="11505">IF(ANE34&lt;&gt;"",SUMPRODUCT((ANP31:ANP35=ANP34)*(ANK31:ANK35=ANK34)*(ANI31:ANI35=ANI34)*(ANM31:ANM35&gt;ANM34)),"")</f>
        <v>0</v>
      </c>
      <c r="ANU34" s="319">
        <f t="shared" ref="ANU34" ca="1" si="11506">IF(ANE34&lt;&gt;"",SUMPRODUCT((ANP31:ANP35=ANP34)*(ANK31:ANK35=ANK34)*(ANI31:ANI35=ANI34)*(ANM31:ANM35=ANM34)*(ANN31:ANN35&gt;ANN34)),"")</f>
        <v>0</v>
      </c>
      <c r="ANV34" s="319">
        <f t="shared" ref="ANV34" ca="1" si="11507">IF(ANE34&lt;&gt;"",SUMPRODUCT((ANP31:ANP35=ANP34)*(ANK31:ANK35=ANK34)*(ANI31:ANI35=ANI34)*(ANM31:ANM35=ANM34)*(ANN31:ANN35=ANN34)*(ANO31:ANO35&gt;ANO34)),"")</f>
        <v>0</v>
      </c>
      <c r="ANW34" s="319">
        <f ca="1">IF(ANE34&lt;&gt;"",IF(ANW74&lt;&gt;"",IF(AND70=3,ANW74,ANW74+AND70),SUM(ANQ34:ANV34)),"")</f>
        <v>1</v>
      </c>
      <c r="ANX34" s="319" t="str">
        <f t="shared" ref="ANX34" ca="1" si="11508">IF(ANE34&lt;&gt;"",INDEX(ANE31:ANE35,MATCH(4,ANW31:ANW35,0),0),"")</f>
        <v>Ukraine</v>
      </c>
      <c r="ANY34" s="319" t="str">
        <f t="shared" ca="1" si="10336"/>
        <v/>
      </c>
      <c r="ANZ34" s="319" t="str">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
      </c>
      <c r="AOA34" s="319" t="str">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
      </c>
      <c r="AOB34" s="319" t="str">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t="str">
        <f t="shared" ca="1" si="10343"/>
        <v/>
      </c>
      <c r="AOG34" s="319" t="str">
        <f t="shared" ref="AOG34" ca="1" si="11514">IF(ANY34&lt;&gt;"",VLOOKUP(ANY34,AML4:AMR40,7,FALSE),"")</f>
        <v/>
      </c>
      <c r="AOH34" s="319" t="str">
        <f t="shared" ref="AOH34" ca="1" si="11515">IF(ANY34&lt;&gt;"",VLOOKUP(ANY34,AML4:AMR40,5,FALSE),"")</f>
        <v/>
      </c>
      <c r="AOI34" s="319" t="str">
        <f t="shared" ref="AOI34" ca="1" si="11516">IF(ANY34&lt;&gt;"",VLOOKUP(ANY34,AML4:AMT40,9,FALSE),"")</f>
        <v/>
      </c>
      <c r="AOJ34" s="319" t="str">
        <f t="shared" ca="1" si="10347"/>
        <v/>
      </c>
      <c r="AOK34" s="319" t="str">
        <f t="shared" ref="AOK34" ca="1" si="11517">IF(ANY34&lt;&gt;"",RANK(AOJ34,AOJ31:AOJ35),"")</f>
        <v/>
      </c>
      <c r="AOL34" s="319" t="str">
        <f t="shared" ref="AOL34" ca="1" si="11518">IF(ANY34&lt;&gt;"",SUMPRODUCT((AOJ31:AOJ35=AOJ34)*(AOE31:AOE35&gt;AOE34)),"")</f>
        <v/>
      </c>
      <c r="AOM34" s="319" t="str">
        <f t="shared" ref="AOM34" ca="1" si="11519">IF(ANY34&lt;&gt;"",SUMPRODUCT((AOJ31:AOJ35=AOJ34)*(AOE31:AOE35=AOE34)*(AOC31:AOC35&gt;AOC34)),"")</f>
        <v/>
      </c>
      <c r="AON34" s="319" t="str">
        <f t="shared" ref="AON34" ca="1" si="11520">IF(ANY34&lt;&gt;"",SUMPRODUCT((AOJ31:AOJ35=AOJ34)*(AOE31:AOE35=AOE34)*(AOC31:AOC35=AOC34)*(AOG31:AOG35&gt;AOG34)),"")</f>
        <v/>
      </c>
      <c r="AOO34" s="319" t="str">
        <f t="shared" ref="AOO34" ca="1" si="11521">IF(ANY34&lt;&gt;"",SUMPRODUCT((AOJ31:AOJ35=AOJ34)*(AOE31:AOE35=AOE34)*(AOC31:AOC35=AOC34)*(AOG31:AOG35=AOG34)*(AOH31:AOH35&gt;AOH34)),"")</f>
        <v/>
      </c>
      <c r="AOP34" s="319" t="str">
        <f t="shared" ref="AOP34" ca="1" si="11522">IF(ANY34&lt;&gt;"",SUMPRODUCT((AOJ31:AOJ35=AOJ34)*(AOE31:AOE35=AOE34)*(AOC31:AOC35=AOC34)*(AOG31:AOG35=AOG34)*(AOH31:AOH35=AOH34)*(AOI31:AOI35&gt;AOI34)),"")</f>
        <v/>
      </c>
      <c r="AOQ34" s="319" t="str">
        <f ca="1">IF(ANY34&lt;&gt;"",IF(AOQ74&lt;&gt;"",IF(ANX70=3,AOQ74,AOQ74+ANX70),SUM(AOK34:AOP34)+1),"")</f>
        <v/>
      </c>
      <c r="AOR34" s="319" t="str">
        <f t="shared" ref="AOR34" ca="1" si="11523">IF(ANY34&lt;&gt;"",INDEX(ANY32:ANY35,MATCH(4,AOQ32:AOQ35,0),0),"")</f>
        <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Ukraine</v>
      </c>
      <c r="AQH34" s="319">
        <v>4</v>
      </c>
      <c r="AQI34" s="319">
        <v>32</v>
      </c>
      <c r="AQJ34" s="319" t="str">
        <f t="shared" si="98"/>
        <v>France</v>
      </c>
      <c r="AQK34" s="322">
        <f ca="1">IF(OFFSET('Player Game Board'!P41,0,AQK1)&lt;&gt;"",OFFSET('Player Game Board'!P41,0,AQK1),0)</f>
        <v>0</v>
      </c>
      <c r="AQL34" s="322">
        <f ca="1">IF(OFFSET('Player Game Board'!Q41,0,AQK1)&lt;&gt;"",OFFSET('Player Game Board'!Q41,0,AQK1),0)</f>
        <v>0</v>
      </c>
      <c r="AQM34" s="319" t="str">
        <f t="shared" si="99"/>
        <v>Poland</v>
      </c>
      <c r="AQN34" s="319" t="str">
        <f ca="1">IF(AND(OFFSET('Player Game Board'!P41,0,AQK1)&lt;&gt;"",OFFSET('Player Game Board'!Q41,0,AQK1)&lt;&gt;""),IF(AQK34&gt;AQL34,"W",IF(AQK34=AQL34,"D","L")),"")</f>
        <v/>
      </c>
      <c r="AQO34" s="319" t="str">
        <f t="shared" ca="1" si="5775"/>
        <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11</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0</v>
      </c>
      <c r="ARN34" s="319">
        <f t="shared" ref="ARN34" ca="1" si="11564">SUMIF(AVH3:AVH60,ARJ34,AVI3:AVI60)+SUMIF(AVK3:AVK60,ARJ34,AVJ3:AVJ60)</f>
        <v>0</v>
      </c>
      <c r="ARO34" s="319">
        <f t="shared" ref="ARO34" ca="1" si="11565">SUMIF(AVK3:AVK60,ARJ34,AVI3:AVI60)+SUMIF(AVH3:AVH60,ARJ34,AVJ3:AVJ60)</f>
        <v>0</v>
      </c>
      <c r="ARP34" s="319">
        <f t="shared" ca="1" si="9939"/>
        <v>1000</v>
      </c>
      <c r="ARQ34" s="319">
        <f t="shared" ca="1" si="9940"/>
        <v>0</v>
      </c>
      <c r="ARR34" s="319">
        <f t="shared" si="990"/>
        <v>0</v>
      </c>
      <c r="ARS34" s="319">
        <f t="shared" ref="ARS34" ca="1" si="11566">IF(COUNTIF(ARQ31:ARQ35,4)&lt;&gt;4,RANK(ARQ34,ARQ31:ARQ35),ARQ74)</f>
        <v>1</v>
      </c>
      <c r="ART34" s="319"/>
      <c r="ARU34" s="319">
        <f t="shared" ref="ARU34" ca="1" si="11567">SUMPRODUCT((ARS31:ARS34=ARS34)*(ARR31:ARR34&lt;ARR34))+ARS34</f>
        <v>1</v>
      </c>
      <c r="ARV34" s="319" t="str">
        <f t="shared" ref="ARV34" ca="1" si="11568">INDEX(ARJ31:ARJ35,MATCH(4,ARU31:ARU35,0),0)</f>
        <v>Belgium</v>
      </c>
      <c r="ARW34" s="319">
        <f t="shared" ref="ARW34" ca="1" si="11569">INDEX(ARS31:ARS35,MATCH(ARV34,ARJ31:ARJ35,0),0)</f>
        <v>1</v>
      </c>
      <c r="ARX34" s="319" t="str">
        <f t="shared" ca="1" si="10913"/>
        <v>Belgium</v>
      </c>
      <c r="ARY34" s="319" t="str">
        <f t="shared" ca="1" si="10914"/>
        <v/>
      </c>
      <c r="ARZ34" s="319"/>
      <c r="ASA34" s="319"/>
      <c r="ASB34" s="319"/>
      <c r="ASC34" s="319" t="str">
        <f t="shared" ca="1" si="9949"/>
        <v>Belgium</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f t="shared" ca="1" si="9956"/>
        <v>0</v>
      </c>
      <c r="ASK34" s="319">
        <f t="shared" ref="ASK34" ca="1" si="11575">IF(ASC34&lt;&gt;"",VLOOKUP(ASC34,ARJ4:ARP40,7,FALSE),"")</f>
        <v>1000</v>
      </c>
      <c r="ASL34" s="319">
        <f t="shared" ref="ASL34" ca="1" si="11576">IF(ASC34&lt;&gt;"",VLOOKUP(ASC34,ARJ4:ARP40,5,FALSE),"")</f>
        <v>0</v>
      </c>
      <c r="ASM34" s="319">
        <f t="shared" ref="ASM34" ca="1" si="11577">IF(ASC34&lt;&gt;"",VLOOKUP(ASC34,ARJ4:ARR40,9,FALSE),"")</f>
        <v>50</v>
      </c>
      <c r="ASN34" s="319">
        <f t="shared" ca="1" si="9960"/>
        <v>0</v>
      </c>
      <c r="ASO34" s="319">
        <f t="shared" ref="ASO34" ca="1" si="11578">IF(ASC34&lt;&gt;"",RANK(ASN34,ASN31:ASN35),"")</f>
        <v>1</v>
      </c>
      <c r="ASP34" s="319">
        <f t="shared" ref="ASP34" ca="1" si="11579">IF(ASC34&lt;&gt;"",SUMPRODUCT((ASN31:ASN35=ASN34)*(ASI31:ASI35&gt;ASI34)),"")</f>
        <v>0</v>
      </c>
      <c r="ASQ34" s="319">
        <f t="shared" ref="ASQ34" ca="1" si="11580">IF(ASC34&lt;&gt;"",SUMPRODUCT((ASN31:ASN35=ASN34)*(ASI31:ASI35=ASI34)*(ASG31:ASG35&gt;ASG34)),"")</f>
        <v>0</v>
      </c>
      <c r="ASR34" s="319">
        <f t="shared" ref="ASR34" ca="1" si="11581">IF(ASC34&lt;&gt;"",SUMPRODUCT((ASN31:ASN35=ASN34)*(ASI31:ASI35=ASI34)*(ASG31:ASG35=ASG34)*(ASK31:ASK35&gt;ASK34)),"")</f>
        <v>0</v>
      </c>
      <c r="ASS34" s="319">
        <f t="shared" ref="ASS34" ca="1" si="11582">IF(ASC34&lt;&gt;"",SUMPRODUCT((ASN31:ASN35=ASN34)*(ASI31:ASI35=ASI34)*(ASG31:ASG35=ASG34)*(ASK31:ASK35=ASK34)*(ASL31:ASL35&gt;ASL34)),"")</f>
        <v>0</v>
      </c>
      <c r="AST34" s="319">
        <f t="shared" ref="AST34" ca="1" si="11583">IF(ASC34&lt;&gt;"",SUMPRODUCT((ASN31:ASN35=ASN34)*(ASI31:ASI35=ASI34)*(ASG31:ASG35=ASG34)*(ASK31:ASK35=ASK34)*(ASL31:ASL35=ASL34)*(ASM31:ASM35&gt;ASM34)),"")</f>
        <v>0</v>
      </c>
      <c r="ASU34" s="319">
        <f ca="1">IF(ASC34&lt;&gt;"",IF(ASU74&lt;&gt;"",IF(ASB70=3,ASU74,ASU74+ASB70),SUM(ASO34:AST34)),"")</f>
        <v>1</v>
      </c>
      <c r="ASV34" s="319" t="str">
        <f t="shared" ref="ASV34" ca="1" si="11584">IF(ASC34&lt;&gt;"",INDEX(ASC31:ASC35,MATCH(4,ASU31:ASU35,0),0),"")</f>
        <v>Ukraine</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0</v>
      </c>
      <c r="AVJ34" s="322">
        <f ca="1">IF(OFFSET('Player Game Board'!Q41,0,AVI1)&lt;&gt;"",OFFSET('Player Game Board'!Q41,0,AVI1),0)</f>
        <v>0</v>
      </c>
      <c r="AVK34" s="319" t="str">
        <f t="shared" si="115"/>
        <v>Poland</v>
      </c>
      <c r="AVL34" s="319" t="str">
        <f ca="1">IF(AND(OFFSET('Player Game Board'!P41,0,AVI1)&lt;&gt;"",OFFSET('Player Game Board'!Q41,0,AVI1)&lt;&gt;""),IF(AVI34&gt;AVJ34,"W",IF(AVI34=AVJ34,"D","L")),"")</f>
        <v/>
      </c>
      <c r="AVM34" s="319" t="str">
        <f t="shared" ca="1" si="5830"/>
        <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11</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0</v>
      </c>
      <c r="AWL34" s="319">
        <f t="shared" ref="AWL34" ca="1" si="11640">SUMIF(BAF3:BAF60,AWH34,BAG3:BAG60)+SUMIF(BAI3:BAI60,AWH34,BAH3:BAH60)</f>
        <v>0</v>
      </c>
      <c r="AWM34" s="319">
        <f t="shared" ref="AWM34" ca="1" si="11641">SUMIF(BAI3:BAI60,AWH34,BAG3:BAG60)+SUMIF(BAF3:BAF60,AWH34,BAH3:BAH60)</f>
        <v>0</v>
      </c>
      <c r="AWN34" s="319">
        <f t="shared" ca="1" si="9977"/>
        <v>1000</v>
      </c>
      <c r="AWO34" s="319">
        <f t="shared" ca="1" si="9978"/>
        <v>0</v>
      </c>
      <c r="AWP34" s="319">
        <f t="shared" si="1050"/>
        <v>0</v>
      </c>
      <c r="AWQ34" s="319">
        <f t="shared" ref="AWQ34" ca="1" si="11642">IF(COUNTIF(AWO31:AWO35,4)&lt;&gt;4,RANK(AWO34,AWO31:AWO35),AWO74)</f>
        <v>1</v>
      </c>
      <c r="AWR34" s="319"/>
      <c r="AWS34" s="319">
        <f t="shared" ref="AWS34" ca="1" si="11643">SUMPRODUCT((AWQ31:AWQ34=AWQ34)*(AWP31:AWP34&lt;AWP34))+AWQ34</f>
        <v>1</v>
      </c>
      <c r="AWT34" s="319" t="str">
        <f t="shared" ref="AWT34" ca="1" si="11644">INDEX(AWH31:AWH35,MATCH(4,AWS31:AWS35,0),0)</f>
        <v>Belgium</v>
      </c>
      <c r="AWU34" s="319">
        <f t="shared" ref="AWU34" ca="1" si="11645">INDEX(AWQ31:AWQ35,MATCH(AWT34,AWH31:AWH35,0),0)</f>
        <v>1</v>
      </c>
      <c r="AWV34" s="319" t="str">
        <f t="shared" ca="1" si="10978"/>
        <v>Belgium</v>
      </c>
      <c r="AWW34" s="319" t="str">
        <f t="shared" ca="1" si="10979"/>
        <v/>
      </c>
      <c r="AWX34" s="319"/>
      <c r="AWY34" s="319"/>
      <c r="AWZ34" s="319"/>
      <c r="AXA34" s="319" t="str">
        <f t="shared" ca="1" si="9987"/>
        <v>Belgium</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f t="shared" ca="1" si="9994"/>
        <v>0</v>
      </c>
      <c r="AXI34" s="319">
        <f t="shared" ref="AXI34" ca="1" si="11651">IF(AXA34&lt;&gt;"",VLOOKUP(AXA34,AWH4:AWN40,7,FALSE),"")</f>
        <v>1000</v>
      </c>
      <c r="AXJ34" s="319">
        <f t="shared" ref="AXJ34" ca="1" si="11652">IF(AXA34&lt;&gt;"",VLOOKUP(AXA34,AWH4:AWN40,5,FALSE),"")</f>
        <v>0</v>
      </c>
      <c r="AXK34" s="319">
        <f t="shared" ref="AXK34" ca="1" si="11653">IF(AXA34&lt;&gt;"",VLOOKUP(AXA34,AWH4:AWP40,9,FALSE),"")</f>
        <v>50</v>
      </c>
      <c r="AXL34" s="319">
        <f t="shared" ca="1" si="9998"/>
        <v>0</v>
      </c>
      <c r="AXM34" s="319">
        <f t="shared" ref="AXM34" ca="1" si="11654">IF(AXA34&lt;&gt;"",RANK(AXL34,AXL31:AXL35),"")</f>
        <v>1</v>
      </c>
      <c r="AXN34" s="319">
        <f t="shared" ref="AXN34" ca="1" si="11655">IF(AXA34&lt;&gt;"",SUMPRODUCT((AXL31:AXL35=AXL34)*(AXG31:AXG35&gt;AXG34)),"")</f>
        <v>0</v>
      </c>
      <c r="AXO34" s="319">
        <f t="shared" ref="AXO34" ca="1" si="11656">IF(AXA34&lt;&gt;"",SUMPRODUCT((AXL31:AXL35=AXL34)*(AXG31:AXG35=AXG34)*(AXE31:AXE35&gt;AXE34)),"")</f>
        <v>0</v>
      </c>
      <c r="AXP34" s="319">
        <f t="shared" ref="AXP34" ca="1" si="11657">IF(AXA34&lt;&gt;"",SUMPRODUCT((AXL31:AXL35=AXL34)*(AXG31:AXG35=AXG34)*(AXE31:AXE35=AXE34)*(AXI31:AXI35&gt;AXI34)),"")</f>
        <v>0</v>
      </c>
      <c r="AXQ34" s="319">
        <f t="shared" ref="AXQ34" ca="1" si="11658">IF(AXA34&lt;&gt;"",SUMPRODUCT((AXL31:AXL35=AXL34)*(AXG31:AXG35=AXG34)*(AXE31:AXE35=AXE34)*(AXI31:AXI35=AXI34)*(AXJ31:AXJ35&gt;AXJ34)),"")</f>
        <v>0</v>
      </c>
      <c r="AXR34" s="319">
        <f t="shared" ref="AXR34" ca="1" si="11659">IF(AXA34&lt;&gt;"",SUMPRODUCT((AXL31:AXL35=AXL34)*(AXG31:AXG35=AXG34)*(AXE31:AXE35=AXE34)*(AXI31:AXI35=AXI34)*(AXJ31:AXJ35=AXJ34)*(AXK31:AXK35&gt;AXK34)),"")</f>
        <v>0</v>
      </c>
      <c r="AXS34" s="319">
        <f ca="1">IF(AXA34&lt;&gt;"",IF(AXS74&lt;&gt;"",IF(AWZ70=3,AXS74,AXS74+AWZ70),SUM(AXM34:AXR34)),"")</f>
        <v>1</v>
      </c>
      <c r="AXT34" s="319" t="str">
        <f t="shared" ref="AXT34" ca="1" si="11660">IF(AXA34&lt;&gt;"",INDEX(AXA31:AXA35,MATCH(4,AXS31:AXS35,0),0),"")</f>
        <v>Ukraine</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0</v>
      </c>
      <c r="BAH34" s="322">
        <f ca="1">IF(OFFSET('Player Game Board'!Q41,0,BAG1)&lt;&gt;"",OFFSET('Player Game Board'!Q41,0,BAG1),0)</f>
        <v>0</v>
      </c>
      <c r="BAI34" s="319" t="str">
        <f t="shared" si="131"/>
        <v>Poland</v>
      </c>
      <c r="BAJ34" s="319" t="str">
        <f ca="1">IF(AND(OFFSET('Player Game Board'!P41,0,BAG1)&lt;&gt;"",OFFSET('Player Game Board'!Q41,0,BAG1)&lt;&gt;""),IF(BAG34&gt;BAH34,"W",IF(BAG34=BAH34,"D","L")),"")</f>
        <v/>
      </c>
      <c r="BAK34" s="319" t="str">
        <f t="shared" ca="1" si="5885"/>
        <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11</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11</v>
      </c>
    </row>
    <row r="35" spans="1:1536" ht="13.8" x14ac:dyDescent="0.3">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1</v>
      </c>
      <c r="IA35" s="319" t="str">
        <f t="shared" si="165"/>
        <v>Romania</v>
      </c>
      <c r="IB35" s="319" t="str">
        <f ca="1">IF(AND(OFFSET('Player Game Board'!P42,0,HY1)&lt;&gt;"",OFFSET('Player Game Board'!Q42,0,HY1)&lt;&gt;""),IF(HY35&gt;HZ35,"W",IF(HY35=HZ35,"D","L")),"")</f>
        <v>D</v>
      </c>
      <c r="IC35" s="319" t="str">
        <f t="shared" ca="1" si="166"/>
        <v>D</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1</v>
      </c>
      <c r="MX35" s="322">
        <f ca="1">IF(OFFSET('Player Game Board'!Q42,0,MW1)&lt;&gt;"",OFFSET('Player Game Board'!Q42,0,MW1),0)</f>
        <v>1</v>
      </c>
      <c r="MY35" s="319" t="str">
        <f t="shared" si="171"/>
        <v>Romania</v>
      </c>
      <c r="MZ35" s="319" t="str">
        <f ca="1">IF(AND(OFFSET('Player Game Board'!P42,0,MW1)&lt;&gt;"",OFFSET('Player Game Board'!Q42,0,MW1)&lt;&gt;""),IF(MW35&gt;MX35,"W",IF(MW35=MX35,"D","L")),"")</f>
        <v>D</v>
      </c>
      <c r="NA35" s="319" t="str">
        <f t="shared" ca="1" si="172"/>
        <v>D</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0</v>
      </c>
      <c r="RV35" s="322">
        <f ca="1">IF(OFFSET('Player Game Board'!Q42,0,RU1)&lt;&gt;"",OFFSET('Player Game Board'!Q42,0,RU1),0)</f>
        <v>1</v>
      </c>
      <c r="RW35" s="319" t="str">
        <f t="shared" si="19"/>
        <v>Romania</v>
      </c>
      <c r="RX35" s="319" t="str">
        <f ca="1">IF(AND(OFFSET('Player Game Board'!P42,0,RU1)&lt;&gt;"",OFFSET('Player Game Board'!Q42,0,RU1)&lt;&gt;""),IF(RU35&gt;RV35,"W",IF(RU35=RV35,"D","L")),"")</f>
        <v>L</v>
      </c>
      <c r="RY35" s="319" t="str">
        <f t="shared" ca="1" si="5500"/>
        <v>W</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0</v>
      </c>
      <c r="WT35" s="322">
        <f ca="1">IF(OFFSET('Player Game Board'!Q42,0,WS1)&lt;&gt;"",OFFSET('Player Game Board'!Q42,0,WS1),0)</f>
        <v>1</v>
      </c>
      <c r="WU35" s="319" t="str">
        <f t="shared" si="35"/>
        <v>Romania</v>
      </c>
      <c r="WV35" s="319" t="str">
        <f ca="1">IF(AND(OFFSET('Player Game Board'!P42,0,WS1)&lt;&gt;"",OFFSET('Player Game Board'!Q42,0,WS1)&lt;&gt;""),IF(WS35&gt;WT35,"W",IF(WS35=WT35,"D","L")),"")</f>
        <v>L</v>
      </c>
      <c r="WW35" s="319" t="str">
        <f t="shared" ca="1" si="5555"/>
        <v>W</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0</v>
      </c>
      <c r="ABR35" s="322">
        <f ca="1">IF(OFFSET('Player Game Board'!Q42,0,ABQ1)&lt;&gt;"",OFFSET('Player Game Board'!Q42,0,ABQ1),0)</f>
        <v>0</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1</v>
      </c>
      <c r="AGP35" s="322">
        <f ca="1">IF(OFFSET('Player Game Board'!Q42,0,AGO1)&lt;&gt;"",OFFSET('Player Game Board'!Q42,0,AGO1),0)</f>
        <v>1</v>
      </c>
      <c r="AGQ35" s="319" t="str">
        <f t="shared" si="67"/>
        <v>Romania</v>
      </c>
      <c r="AGR35" s="319" t="str">
        <f ca="1">IF(AND(OFFSET('Player Game Board'!P42,0,AGO1)&lt;&gt;"",OFFSET('Player Game Board'!Q42,0,AGO1)&lt;&gt;""),IF(AGO35&gt;AGP35,"W",IF(AGO35=AGP35,"D","L")),"")</f>
        <v>D</v>
      </c>
      <c r="AGS35" s="319" t="str">
        <f t="shared" ca="1" si="5665"/>
        <v>D</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0</v>
      </c>
      <c r="ALN35" s="322">
        <f ca="1">IF(OFFSET('Player Game Board'!Q42,0,ALM1)&lt;&gt;"",OFFSET('Player Game Board'!Q42,0,ALM1),0)</f>
        <v>0</v>
      </c>
      <c r="ALO35" s="319" t="str">
        <f t="shared" si="83"/>
        <v>Romania</v>
      </c>
      <c r="ALP35" s="319" t="str">
        <f ca="1">IF(AND(OFFSET('Player Game Board'!P42,0,ALM1)&lt;&gt;"",OFFSET('Player Game Board'!Q42,0,ALM1)&lt;&gt;""),IF(ALM35&gt;ALN35,"W",IF(ALM35=ALN35,"D","L")),"")</f>
        <v/>
      </c>
      <c r="ALQ35" s="319" t="str">
        <f t="shared" ca="1" si="5720"/>
        <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
      </c>
      <c r="AQO35" s="319" t="str">
        <f t="shared" ca="1" si="5775"/>
        <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0</v>
      </c>
      <c r="AVJ35" s="322">
        <f ca="1">IF(OFFSET('Player Game Board'!Q42,0,AVI1)&lt;&gt;"",OFFSET('Player Game Board'!Q42,0,AVI1),0)</f>
        <v>0</v>
      </c>
      <c r="AVK35" s="319" t="str">
        <f t="shared" si="115"/>
        <v>Romania</v>
      </c>
      <c r="AVL35" s="319" t="str">
        <f ca="1">IF(AND(OFFSET('Player Game Board'!P42,0,AVI1)&lt;&gt;"",OFFSET('Player Game Board'!Q42,0,AVI1)&lt;&gt;""),IF(AVI35&gt;AVJ35,"W",IF(AVI35=AVJ35,"D","L")),"")</f>
        <v/>
      </c>
      <c r="AVM35" s="319" t="str">
        <f t="shared" ca="1" si="5830"/>
        <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0</v>
      </c>
      <c r="BAH35" s="322">
        <f ca="1">IF(OFFSET('Player Game Board'!Q42,0,BAG1)&lt;&gt;"",OFFSET('Player Game Board'!Q42,0,BAG1),0)</f>
        <v>0</v>
      </c>
      <c r="BAI35" s="319" t="str">
        <f t="shared" si="131"/>
        <v>Romania</v>
      </c>
      <c r="BAJ35" s="319" t="str">
        <f ca="1">IF(AND(OFFSET('Player Game Board'!P42,0,BAG1)&lt;&gt;"",OFFSET('Player Game Board'!Q42,0,BAG1)&lt;&gt;""),IF(BAG35&gt;BAH35,"W",IF(BAG35=BAH35,"D","L")),"")</f>
        <v/>
      </c>
      <c r="BAK35" s="319" t="str">
        <f t="shared" ca="1" si="5885"/>
        <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ht="13.8" x14ac:dyDescent="0.3">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0</v>
      </c>
      <c r="HZ36" s="322">
        <f ca="1">IF(OFFSET('Player Game Board'!Q43,0,HY1)&lt;&gt;"",OFFSET('Player Game Board'!Q43,0,HY1),0)</f>
        <v>3</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1</v>
      </c>
      <c r="MY36" s="319" t="str">
        <f t="shared" si="171"/>
        <v>Belgium</v>
      </c>
      <c r="MZ36" s="319" t="str">
        <f ca="1">IF(AND(OFFSET('Player Game Board'!P43,0,MW1)&lt;&gt;"",OFFSET('Player Game Board'!Q43,0,MW1)&lt;&gt;""),IF(MW36&gt;MX36,"W",IF(MW36=MX36,"D","L")),"")</f>
        <v>D</v>
      </c>
      <c r="NA36" s="319" t="str">
        <f t="shared" ca="1" si="172"/>
        <v>D</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0</v>
      </c>
      <c r="RV36" s="322">
        <f ca="1">IF(OFFSET('Player Game Board'!Q43,0,RU1)&lt;&gt;"",OFFSET('Player Game Board'!Q43,0,RU1),0)</f>
        <v>0</v>
      </c>
      <c r="RW36" s="319" t="str">
        <f t="shared" si="19"/>
        <v>Belgium</v>
      </c>
      <c r="RX36" s="319" t="str">
        <f ca="1">IF(AND(OFFSET('Player Game Board'!P43,0,RU1)&lt;&gt;"",OFFSET('Player Game Board'!Q43,0,RU1)&lt;&gt;""),IF(RU36&gt;RV36,"W",IF(RU36=RV36,"D","L")),"")</f>
        <v>D</v>
      </c>
      <c r="RY36" s="319" t="str">
        <f t="shared" ca="1" si="5500"/>
        <v>D</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2</v>
      </c>
      <c r="WU36" s="319" t="str">
        <f t="shared" si="35"/>
        <v>Belgium</v>
      </c>
      <c r="WV36" s="319" t="str">
        <f ca="1">IF(AND(OFFSET('Player Game Board'!P43,0,WS1)&lt;&gt;"",OFFSET('Player Game Board'!Q43,0,WS1)&lt;&gt;""),IF(WS36&gt;WT36,"W",IF(WS36=WT36,"D","L")),"")</f>
        <v>L</v>
      </c>
      <c r="WW36" s="319" t="str">
        <f t="shared" ca="1" si="5555"/>
        <v>W</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4</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1</v>
      </c>
      <c r="AGP36" s="322">
        <f ca="1">IF(OFFSET('Player Game Board'!Q43,0,AGO1)&lt;&gt;"",OFFSET('Player Game Board'!Q43,0,AGO1),0)</f>
        <v>3</v>
      </c>
      <c r="AGQ36" s="319" t="str">
        <f t="shared" si="67"/>
        <v>Belgium</v>
      </c>
      <c r="AGR36" s="319" t="str">
        <f ca="1">IF(AND(OFFSET('Player Game Board'!P43,0,AGO1)&lt;&gt;"",OFFSET('Player Game Board'!Q43,0,AGO1)&lt;&gt;""),IF(AGO36&gt;AGP36,"W",IF(AGO36=AGP36,"D","L")),"")</f>
        <v>L</v>
      </c>
      <c r="AGS36" s="319" t="str">
        <f t="shared" ca="1" si="5665"/>
        <v>W</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0</v>
      </c>
      <c r="ALN36" s="322">
        <f ca="1">IF(OFFSET('Player Game Board'!Q43,0,ALM1)&lt;&gt;"",OFFSET('Player Game Board'!Q43,0,ALM1),0)</f>
        <v>0</v>
      </c>
      <c r="ALO36" s="319" t="str">
        <f t="shared" si="83"/>
        <v>Belgium</v>
      </c>
      <c r="ALP36" s="319" t="str">
        <f ca="1">IF(AND(OFFSET('Player Game Board'!P43,0,ALM1)&lt;&gt;"",OFFSET('Player Game Board'!Q43,0,ALM1)&lt;&gt;""),IF(ALM36&gt;ALN36,"W",IF(ALM36=ALN36,"D","L")),"")</f>
        <v/>
      </c>
      <c r="ALQ36" s="319" t="str">
        <f t="shared" ca="1" si="5720"/>
        <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0</v>
      </c>
      <c r="AQM36" s="319" t="str">
        <f t="shared" si="99"/>
        <v>Belgium</v>
      </c>
      <c r="AQN36" s="319" t="str">
        <f ca="1">IF(AND(OFFSET('Player Game Board'!P43,0,AQK1)&lt;&gt;"",OFFSET('Player Game Board'!Q43,0,AQK1)&lt;&gt;""),IF(AQK36&gt;AQL36,"W",IF(AQK36=AQL36,"D","L")),"")</f>
        <v/>
      </c>
      <c r="AQO36" s="319" t="str">
        <f t="shared" ca="1" si="5775"/>
        <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0</v>
      </c>
      <c r="AVJ36" s="322">
        <f ca="1">IF(OFFSET('Player Game Board'!Q43,0,AVI1)&lt;&gt;"",OFFSET('Player Game Board'!Q43,0,AVI1),0)</f>
        <v>0</v>
      </c>
      <c r="AVK36" s="319" t="str">
        <f t="shared" si="115"/>
        <v>Belgium</v>
      </c>
      <c r="AVL36" s="319" t="str">
        <f ca="1">IF(AND(OFFSET('Player Game Board'!P43,0,AVI1)&lt;&gt;"",OFFSET('Player Game Board'!Q43,0,AVI1)&lt;&gt;""),IF(AVI36&gt;AVJ36,"W",IF(AVI36=AVJ36,"D","L")),"")</f>
        <v/>
      </c>
      <c r="AVM36" s="319" t="str">
        <f t="shared" ca="1" si="5830"/>
        <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0</v>
      </c>
      <c r="BAH36" s="322">
        <f ca="1">IF(OFFSET('Player Game Board'!Q43,0,BAG1)&lt;&gt;"",OFFSET('Player Game Board'!Q43,0,BAG1),0)</f>
        <v>0</v>
      </c>
      <c r="BAI36" s="319" t="str">
        <f t="shared" si="131"/>
        <v>Belgium</v>
      </c>
      <c r="BAJ36" s="319" t="str">
        <f ca="1">IF(AND(OFFSET('Player Game Board'!P43,0,BAG1)&lt;&gt;"",OFFSET('Player Game Board'!Q43,0,BAG1)&lt;&gt;""),IF(BAG36&gt;BAH36,"W",IF(BAG36=BAH36,"D","L")),"")</f>
        <v/>
      </c>
      <c r="BAK36" s="319" t="str">
        <f t="shared" ca="1" si="5885"/>
        <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ht="13.8" x14ac:dyDescent="0.3">
      <c r="A37" s="319">
        <f>VLOOKUP(B37,CW37:CX41,2,FALSE)</f>
        <v>2</v>
      </c>
      <c r="B37" s="319" t="str">
        <f>'Language Table'!C18</f>
        <v>Portugal</v>
      </c>
      <c r="C37" s="319">
        <f>SUMPRODUCT((CZ3:CZ42=B37)*(DD3:DD42="W"))+SUMPRODUCT((DC3:DC42=B37)*(DE3:DE42="W"))</f>
        <v>1</v>
      </c>
      <c r="D37" s="319">
        <f>SUMPRODUCT((CZ3:CZ42=B37)*(DD3:DD42="D"))+SUMPRODUCT((DC3:DC42=B37)*(DE3:DE42="D"))</f>
        <v>0</v>
      </c>
      <c r="E37" s="319">
        <f>SUMPRODUCT((CZ3:CZ42=B37)*(DD3:DD42="L"))+SUMPRODUCT((DC3:DC42=B37)*(DE3:DE42="L"))</f>
        <v>0</v>
      </c>
      <c r="F37" s="319">
        <f>SUMIF(CZ3:CZ60,B37,DA3:DA60)+SUMIF(DC3:DC60,B37,DB3:DB60)</f>
        <v>2</v>
      </c>
      <c r="G37" s="319">
        <f>SUMIF(DC3:DC60,B37,DA3:DA60)+SUMIF(CZ3:CZ60,B37,DB3:DB60)</f>
        <v>1</v>
      </c>
      <c r="H37" s="319">
        <f t="shared" ref="H37:H40" si="11788">F37-G37+1000</f>
        <v>1001</v>
      </c>
      <c r="I37" s="319">
        <f t="shared" ref="I37:I40" si="11789">C37*3+D37*1</f>
        <v>3</v>
      </c>
      <c r="J37" s="319">
        <v>53</v>
      </c>
      <c r="K37" s="319">
        <f>IF(COUNTIF(I37:I41,4)&lt;&gt;4,RANK(I37,I37:I41),I77)</f>
        <v>1</v>
      </c>
      <c r="L37" s="319"/>
      <c r="M37" s="319">
        <f>SUMPRODUCT((K37:K40=K37)*(J37:J40&lt;J37))+K37</f>
        <v>2</v>
      </c>
      <c r="N37" s="319" t="str">
        <f>INDEX(B37:B41,MATCH(1,M37:M41,0),0)</f>
        <v>Türkiye</v>
      </c>
      <c r="O37" s="319">
        <f>INDEX(K37:K41,MATCH(N37,B37:B41,0),0)</f>
        <v>1</v>
      </c>
      <c r="P37" s="319" t="str">
        <f>IF(O38=1,N37,"")</f>
        <v>Türkiye</v>
      </c>
      <c r="Q37" s="319" t="str">
        <f>IF(O39=2,N38,"")</f>
        <v/>
      </c>
      <c r="R37" s="319" t="str">
        <f>IF(O40=3,N39,"")</f>
        <v>Georgia</v>
      </c>
      <c r="S37" s="319" t="str">
        <f>IF(O41=4,N40,"")</f>
        <v/>
      </c>
      <c r="T37" s="319"/>
      <c r="U37" s="319" t="str">
        <f>IF(P37&lt;&gt;"",P37,"")</f>
        <v>Türkiye</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f t="shared" ref="AB37:AB40" si="11790">IF(U37&lt;&gt;"",V37*3+W37*1,"")</f>
        <v>0</v>
      </c>
      <c r="AC37" s="319">
        <f>IF(U37&lt;&gt;"",VLOOKUP(U37,B4:H40,7,FALSE),"")</f>
        <v>1002</v>
      </c>
      <c r="AD37" s="319">
        <f>IF(U37&lt;&gt;"",VLOOKUP(U37,B4:H40,5,FALSE),"")</f>
        <v>3</v>
      </c>
      <c r="AE37" s="319">
        <f>IF(U37&lt;&gt;"",VLOOKUP(U37,B4:J40,9,FALSE),"")</f>
        <v>47</v>
      </c>
      <c r="AF37" s="319">
        <f t="shared" ref="AF37:AF40" si="11791">AB37</f>
        <v>0</v>
      </c>
      <c r="AG37" s="319">
        <f>IF(U37&lt;&gt;"",RANK(AF37,AF37:AF41),"")</f>
        <v>1</v>
      </c>
      <c r="AH37" s="319">
        <f>IF(U37&lt;&gt;"",SUMPRODUCT((AF37:AF41=AF37)*(AA37:AA41&gt;AA37)),"")</f>
        <v>0</v>
      </c>
      <c r="AI37" s="319">
        <f>IF(U37&lt;&gt;"",SUMPRODUCT((AF37:AF41=AF37)*(AA37:AA41=AA37)*(Y37:Y41&gt;Y37)),"")</f>
        <v>0</v>
      </c>
      <c r="AJ37" s="319">
        <f>IF(U37&lt;&gt;"",SUMPRODUCT((AF37:AF41=AF37)*(AA37:AA41=AA37)*(Y37:Y41=Y37)*(AC37:AC41&gt;AC37)),"")</f>
        <v>0</v>
      </c>
      <c r="AK37" s="319">
        <f>IF(U37&lt;&gt;"",SUMPRODUCT((AF37:AF41=AF37)*(AA37:AA41=AA37)*(Y37:Y41=Y37)*(AC37:AC41=AC37)*(AD37:AD41&gt;AD37)),"")</f>
        <v>0</v>
      </c>
      <c r="AL37" s="319">
        <f>IF(U37&lt;&gt;"",SUMPRODUCT((AF37:AF41=AF37)*(AA37:AA41=AA37)*(Y37:Y41=Y37)*(AC37:AC41=AC37)*(AD37:AD41=AD37)*(AE37:AE41&gt;AE37)),"")</f>
        <v>0</v>
      </c>
      <c r="AM37" s="319">
        <f>IF(U37&lt;&gt;"",IF(AM77&lt;&gt;"",IF(T76=3,AM77,AM77+T76),SUM(AG37:AL37)),"")</f>
        <v>1</v>
      </c>
      <c r="AN37" s="319" t="str">
        <f>IF(U37&lt;&gt;"",INDEX(U37:U41,MATCH(1,AM37:AM41,0),0),"")</f>
        <v>Türkiye</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Türkiye</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12</v>
      </c>
      <c r="EE37" s="319">
        <f ca="1">SUMIF(IA3:IA60,DZ37,HY3:HY60)+SUMIF(HX3:HX60,DZ37,HZ3:HZ60)</f>
        <v>2</v>
      </c>
      <c r="EF37" s="319">
        <f t="shared" ref="EF37:EF40" ca="1" si="11792">ED37-EE37+1000</f>
        <v>1010</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Czechia</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6</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2</v>
      </c>
      <c r="IX37" s="319" t="str">
        <f>DZ37</f>
        <v>Portugal</v>
      </c>
      <c r="IY37" s="319">
        <f ca="1">SUMPRODUCT((MV3:MV42=IX37)*(MZ3:MZ42="W"))+SUMPRODUCT((MY3:MY42=IX37)*(NA3:NA42="W"))</f>
        <v>2</v>
      </c>
      <c r="IZ37" s="319">
        <f ca="1">SUMPRODUCT((MV3:MV42=IX37)*(MZ3:MZ42="D"))+SUMPRODUCT((MY3:MY42=IX37)*(NA3:NA42="D"))</f>
        <v>0</v>
      </c>
      <c r="JA37" s="319">
        <f ca="1">SUMPRODUCT((MV3:MV42=IX37)*(MZ3:MZ42="L"))+SUMPRODUCT((MY3:MY42=IX37)*(NA3:NA42="L"))</f>
        <v>1</v>
      </c>
      <c r="JB37" s="319">
        <f ca="1">SUMIF(MV3:MV60,IX37,MW3:MW60)+SUMIF(MY3:MY60,IX37,MX3:MX60)</f>
        <v>4</v>
      </c>
      <c r="JC37" s="319">
        <f ca="1">SUMIF(MY3:MY60,IX37,MW3:MW60)+SUMIF(MV3:MV60,IX37,MX3:MX60)</f>
        <v>4</v>
      </c>
      <c r="JD37" s="319">
        <f t="shared" ref="JD37:JD40" ca="1" si="11796">JB37-JC37+1000</f>
        <v>1000</v>
      </c>
      <c r="JE37" s="319">
        <f t="shared" ref="JE37:JE40" ca="1" si="11797">IY37*3+IZ37*1</f>
        <v>6</v>
      </c>
      <c r="JF37" s="319">
        <f t="shared" si="618"/>
        <v>53</v>
      </c>
      <c r="JG37" s="319">
        <f ca="1">IF(COUNTIF(JE37:JE41,4)&lt;&gt;4,RANK(JE37,JE37:JE41),JE77)</f>
        <v>2</v>
      </c>
      <c r="JH37" s="319"/>
      <c r="JI37" s="319">
        <f ca="1">SUMPRODUCT((JG37:JG40=JG37)*(JF37:JF40&lt;JF37))+JG37</f>
        <v>2</v>
      </c>
      <c r="JJ37" s="319" t="str">
        <f ca="1">INDEX(IX37:IX41,MATCH(1,JI37:JI41,0),0)</f>
        <v>Czechia</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Czechia</v>
      </c>
      <c r="MT37" s="319">
        <v>1</v>
      </c>
      <c r="MU37" s="319">
        <v>35</v>
      </c>
      <c r="MV37" s="319" t="str">
        <f t="shared" si="170"/>
        <v>Georgia</v>
      </c>
      <c r="MW37" s="322">
        <f ca="1">IF(OFFSET('Player Game Board'!P44,0,MW1)&lt;&gt;"",OFFSET('Player Game Board'!P44,0,MW1),0)</f>
        <v>1</v>
      </c>
      <c r="MX37" s="322">
        <f ca="1">IF(OFFSET('Player Game Board'!Q44,0,MW1)&lt;&gt;"",OFFSET('Player Game Board'!Q44,0,MW1),0)</f>
        <v>2</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2</v>
      </c>
      <c r="NV37" s="319" t="str">
        <f t="shared" ref="NV37:NV40" si="11801">IX37</f>
        <v>Portugal</v>
      </c>
      <c r="NW37" s="319">
        <f t="shared" ref="NW37" ca="1" si="11802">SUMPRODUCT((RT3:RT42=NV37)*(RX3:RX42="W"))+SUMPRODUCT((RW3:RW42=NV37)*(RY3:RY42="W"))</f>
        <v>2</v>
      </c>
      <c r="NX37" s="319">
        <f t="shared" ref="NX37" ca="1" si="11803">SUMPRODUCT((RT3:RT42=NV37)*(RX3:RX42="D"))+SUMPRODUCT((RW3:RW42=NV37)*(RY3:RY42="D"))</f>
        <v>1</v>
      </c>
      <c r="NY37" s="319">
        <f t="shared" ref="NY37" ca="1" si="11804">SUMPRODUCT((RT3:RT42=NV37)*(RX3:RX42="L"))+SUMPRODUCT((RW3:RW42=NV37)*(RY3:RY42="L"))</f>
        <v>0</v>
      </c>
      <c r="NZ37" s="319">
        <f t="shared" ref="NZ37" ca="1" si="11805">SUMIF(RT3:RT60,NV37,RU3:RU60)+SUMIF(RW3:RW60,NV37,RV3:RV60)</f>
        <v>4</v>
      </c>
      <c r="OA37" s="319">
        <f t="shared" ref="OA37" ca="1" si="11806">SUMIF(RW3:RW60,NV37,RU3:RU60)+SUMIF(RT3:RT60,NV37,RV3:RV60)</f>
        <v>1</v>
      </c>
      <c r="OB37" s="319">
        <f t="shared" ref="OB37:OB40" ca="1" si="11807">NZ37-OA37+1000</f>
        <v>1003</v>
      </c>
      <c r="OC37" s="319">
        <f t="shared" ref="OC37:OC40" ca="1" si="11808">NW37*3+NX37*1</f>
        <v>7</v>
      </c>
      <c r="OD37" s="319">
        <f t="shared" si="630"/>
        <v>53</v>
      </c>
      <c r="OE37" s="319">
        <f t="shared" ref="OE37" ca="1" si="11809">IF(COUNTIF(OC37:OC41,4)&lt;&gt;4,RANK(OC37,OC37:OC41),OC77)</f>
        <v>1</v>
      </c>
      <c r="OF37" s="319"/>
      <c r="OG37" s="319">
        <f t="shared" ref="OG37" ca="1" si="11810">SUMPRODUCT((OE37:OE40=OE37)*(OD37:OD40&lt;OD37))+OE37</f>
        <v>2</v>
      </c>
      <c r="OH37" s="319" t="str">
        <f t="shared" ref="OH37" ca="1" si="11811">INDEX(NV37:NV41,MATCH(1,OG37:OG41,0),0)</f>
        <v>Türkiye</v>
      </c>
      <c r="OI37" s="319">
        <f t="shared" ref="OI37" ca="1" si="11812">INDEX(OE37:OE41,MATCH(OH37,NV37:NV41,0),0)</f>
        <v>1</v>
      </c>
      <c r="OJ37" s="319" t="str">
        <f t="shared" ref="OJ37" ca="1" si="11813">IF(OI38=1,OH37,"")</f>
        <v>Türkiye</v>
      </c>
      <c r="OK37" s="319" t="str">
        <f t="shared" ref="OK37" ca="1" si="11814">IF(OI39=2,OH38,"")</f>
        <v/>
      </c>
      <c r="OL37" s="319" t="str">
        <f t="shared" ref="OL37" ca="1" si="11815">IF(OI40=3,OH39,"")</f>
        <v/>
      </c>
      <c r="OM37" s="319" t="str">
        <f t="shared" ref="OM37" si="11816">IF(OI41=4,OH40,"")</f>
        <v/>
      </c>
      <c r="ON37" s="319"/>
      <c r="OO37" s="319" t="str">
        <f t="shared" ref="OO37:OO40" ca="1" si="11817">IF(OJ37&lt;&gt;"",OJ37,"")</f>
        <v>Türkiye</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1</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1</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1</v>
      </c>
      <c r="OU37" s="319">
        <f t="shared" ref="OU37:OU40" ca="1" si="11823">OS37-OT37+1000</f>
        <v>1000</v>
      </c>
      <c r="OV37" s="319">
        <f t="shared" ref="OV37:OV40" ca="1" si="11824">IF(OO37&lt;&gt;"",OP37*3+OQ37*1,"")</f>
        <v>1</v>
      </c>
      <c r="OW37" s="319">
        <f t="shared" ref="OW37" ca="1" si="11825">IF(OO37&lt;&gt;"",VLOOKUP(OO37,NV4:OB40,7,FALSE),"")</f>
        <v>1003</v>
      </c>
      <c r="OX37" s="319">
        <f t="shared" ref="OX37" ca="1" si="11826">IF(OO37&lt;&gt;"",VLOOKUP(OO37,NV4:OB40,5,FALSE),"")</f>
        <v>5</v>
      </c>
      <c r="OY37" s="319">
        <f t="shared" ref="OY37" ca="1" si="11827">IF(OO37&lt;&gt;"",VLOOKUP(OO37,NV4:OD40,9,FALSE),"")</f>
        <v>47</v>
      </c>
      <c r="OZ37" s="319">
        <f t="shared" ref="OZ37:OZ40" ca="1" si="11828">OV37</f>
        <v>1</v>
      </c>
      <c r="PA37" s="319">
        <f t="shared" ref="PA37" ca="1" si="11829">IF(OO37&lt;&gt;"",RANK(OZ37,OZ37:OZ41),"")</f>
        <v>1</v>
      </c>
      <c r="PB37" s="319">
        <f t="shared" ref="PB37" ca="1" si="11830">IF(OO37&lt;&gt;"",SUMPRODUCT((OZ37:OZ41=OZ37)*(OU37:OU41&gt;OU37)),"")</f>
        <v>0</v>
      </c>
      <c r="PC37" s="319">
        <f t="shared" ref="PC37" ca="1" si="11831">IF(OO37&lt;&gt;"",SUMPRODUCT((OZ37:OZ41=OZ37)*(OU37:OU41=OU37)*(OS37:OS41&gt;OS37)),"")</f>
        <v>0</v>
      </c>
      <c r="PD37" s="319">
        <f t="shared" ref="PD37" ca="1" si="11832">IF(OO37&lt;&gt;"",SUMPRODUCT((OZ37:OZ41=OZ37)*(OU37:OU41=OU37)*(OS37:OS41=OS37)*(OW37:OW41&gt;OW37)),"")</f>
        <v>0</v>
      </c>
      <c r="PE37" s="319">
        <f t="shared" ref="PE37" ca="1" si="11833">IF(OO37&lt;&gt;"",SUMPRODUCT((OZ37:OZ41=OZ37)*(OU37:OU41=OU37)*(OS37:OS41=OS37)*(OW37:OW41=OW37)*(OX37:OX41&gt;OX37)),"")</f>
        <v>0</v>
      </c>
      <c r="PF37" s="319">
        <f t="shared" ref="PF37" ca="1" si="11834">IF(OO37&lt;&gt;"",SUMPRODUCT((OZ37:OZ41=OZ37)*(OU37:OU41=OU37)*(OS37:OS41=OS37)*(OW37:OW41=OW37)*(OX37:OX41=OX37)*(OY37:OY41&gt;OY37)),"")</f>
        <v>0</v>
      </c>
      <c r="PG37" s="319">
        <f ca="1">IF(OO37&lt;&gt;"",IF(PG77&lt;&gt;"",IF(ON76=3,PG77,PG77+ON76),SUM(PA37:PF37)),"")</f>
        <v>1</v>
      </c>
      <c r="PH37" s="319" t="str">
        <f t="shared" ref="PH37" ca="1" si="11835">IF(OO37&lt;&gt;"",INDEX(OO37:OO41,MATCH(1,PG37:PG41,0),0),"")</f>
        <v>Türkiye</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Türkiye</v>
      </c>
      <c r="RR37" s="319">
        <v>1</v>
      </c>
      <c r="RS37" s="319">
        <v>35</v>
      </c>
      <c r="RT37" s="319" t="str">
        <f t="shared" si="18"/>
        <v>Georgia</v>
      </c>
      <c r="RU37" s="322">
        <f ca="1">IF(OFFSET('Player Game Board'!P44,0,RU1)&lt;&gt;"",OFFSET('Player Game Board'!P44,0,RU1),0)</f>
        <v>0</v>
      </c>
      <c r="RV37" s="322">
        <f ca="1">IF(OFFSET('Player Game Board'!Q44,0,RU1)&lt;&gt;"",OFFSET('Player Game Board'!Q44,0,RU1),0)</f>
        <v>1</v>
      </c>
      <c r="RW37" s="319" t="str">
        <f t="shared" si="19"/>
        <v>Portugal</v>
      </c>
      <c r="RX37" s="319" t="str">
        <f ca="1">IF(AND(OFFSET('Player Game Board'!P44,0,RU1)&lt;&gt;"",OFFSET('Player Game Board'!Q44,0,RU1)&lt;&gt;""),IF(RU37&gt;RV37,"W",IF(RU37=RV37,"D","L")),"")</f>
        <v>L</v>
      </c>
      <c r="RY37" s="319" t="str">
        <f t="shared" ca="1" si="5500"/>
        <v>W</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2</v>
      </c>
      <c r="SV37" s="319">
        <f t="shared" ref="SV37" ca="1" si="11840">SUMPRODUCT((WR3:WR42=ST37)*(WV3:WV42="D"))+SUMPRODUCT((WU3:WU42=ST37)*(WW3:WW42="D"))</f>
        <v>1</v>
      </c>
      <c r="SW37" s="319">
        <f t="shared" ref="SW37" ca="1" si="11841">SUMPRODUCT((WR3:WR42=ST37)*(WV3:WV42="L"))+SUMPRODUCT((WU3:WU42=ST37)*(WW3:WW42="L"))</f>
        <v>0</v>
      </c>
      <c r="SX37" s="319">
        <f t="shared" ref="SX37" ca="1" si="11842">SUMIF(WR3:WR60,ST37,WS3:WS60)+SUMIF(WU3:WU60,ST37,WT3:WT60)</f>
        <v>8</v>
      </c>
      <c r="SY37" s="319">
        <f t="shared" ref="SY37" ca="1" si="11843">SUMIF(WU3:WU60,ST37,WS3:WS60)+SUMIF(WR3:WR60,ST37,WT3:WT60)</f>
        <v>1</v>
      </c>
      <c r="SZ37" s="319">
        <f t="shared" ref="SZ37:SZ40" ca="1" si="11844">SX37-SY37+1000</f>
        <v>1007</v>
      </c>
      <c r="TA37" s="319">
        <f t="shared" ref="TA37:TA40" ca="1" si="11845">SU37*3+SV37*1</f>
        <v>7</v>
      </c>
      <c r="TB37" s="319">
        <f t="shared" si="690"/>
        <v>53</v>
      </c>
      <c r="TC37" s="319">
        <f t="shared" ref="TC37" ca="1" si="11846">IF(COUNTIF(TA37:TA41,4)&lt;&gt;4,RANK(TA37,TA37:TA41),TA77)</f>
        <v>1</v>
      </c>
      <c r="TD37" s="319"/>
      <c r="TE37" s="319">
        <f t="shared" ref="TE37" ca="1" si="11847">SUMPRODUCT((TC37:TC40=TC37)*(TB37:TB40&lt;TB37))+TC37</f>
        <v>1</v>
      </c>
      <c r="TF37" s="319" t="str">
        <f t="shared" ref="TF37" ca="1" si="11848">INDEX(ST37:ST41,MATCH(1,TE37:TE41,0),0)</f>
        <v>Portugal</v>
      </c>
      <c r="TG37" s="319">
        <f t="shared" ref="TG37" ca="1" si="11849">INDEX(TC37:TC41,MATCH(TF37,ST37:ST41,0),0)</f>
        <v>1</v>
      </c>
      <c r="TH37" s="319" t="str">
        <f t="shared" ref="TH37" ca="1" si="11850">IF(TG38=1,TF37,"")</f>
        <v/>
      </c>
      <c r="TI37" s="319" t="str">
        <f t="shared" ref="TI37" ca="1" si="11851">IF(TG39=2,TF38,"")</f>
        <v/>
      </c>
      <c r="TJ37" s="319" t="str">
        <f t="shared" ref="TJ37" ca="1" si="11852">IF(TG40=3,TF39,"")</f>
        <v/>
      </c>
      <c r="TK37" s="319" t="str">
        <f t="shared" ref="TK37" si="11853">IF(TG41=4,TF40,"")</f>
        <v/>
      </c>
      <c r="TL37" s="319"/>
      <c r="TM37" s="319" t="str">
        <f t="shared" ref="TM37:TM40" ca="1" si="11854">IF(TH37&lt;&gt;"",TH37,"")</f>
        <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t="str">
        <f t="shared" ref="TT37:TT40" ca="1" si="11861">IF(TM37&lt;&gt;"",TN37*3+TO37*1,"")</f>
        <v/>
      </c>
      <c r="TU37" s="319" t="str">
        <f t="shared" ref="TU37" ca="1" si="11862">IF(TM37&lt;&gt;"",VLOOKUP(TM37,ST4:SZ40,7,FALSE),"")</f>
        <v/>
      </c>
      <c r="TV37" s="319" t="str">
        <f t="shared" ref="TV37" ca="1" si="11863">IF(TM37&lt;&gt;"",VLOOKUP(TM37,ST4:SZ40,5,FALSE),"")</f>
        <v/>
      </c>
      <c r="TW37" s="319" t="str">
        <f t="shared" ref="TW37" ca="1" si="11864">IF(TM37&lt;&gt;"",VLOOKUP(TM37,ST4:TB40,9,FALSE),"")</f>
        <v/>
      </c>
      <c r="TX37" s="319" t="str">
        <f t="shared" ref="TX37:TX40" ca="1" si="11865">TT37</f>
        <v/>
      </c>
      <c r="TY37" s="319" t="str">
        <f t="shared" ref="TY37" ca="1" si="11866">IF(TM37&lt;&gt;"",RANK(TX37,TX37:TX41),"")</f>
        <v/>
      </c>
      <c r="TZ37" s="319" t="str">
        <f t="shared" ref="TZ37" ca="1" si="11867">IF(TM37&lt;&gt;"",SUMPRODUCT((TX37:TX41=TX37)*(TS37:TS41&gt;TS37)),"")</f>
        <v/>
      </c>
      <c r="UA37" s="319" t="str">
        <f t="shared" ref="UA37" ca="1" si="11868">IF(TM37&lt;&gt;"",SUMPRODUCT((TX37:TX41=TX37)*(TS37:TS41=TS37)*(TQ37:TQ41&gt;TQ37)),"")</f>
        <v/>
      </c>
      <c r="UB37" s="319" t="str">
        <f t="shared" ref="UB37" ca="1" si="11869">IF(TM37&lt;&gt;"",SUMPRODUCT((TX37:TX41=TX37)*(TS37:TS41=TS37)*(TQ37:TQ41=TQ37)*(TU37:TU41&gt;TU37)),"")</f>
        <v/>
      </c>
      <c r="UC37" s="319" t="str">
        <f t="shared" ref="UC37" ca="1" si="11870">IF(TM37&lt;&gt;"",SUMPRODUCT((TX37:TX41=TX37)*(TS37:TS41=TS37)*(TQ37:TQ41=TQ37)*(TU37:TU41=TU37)*(TV37:TV41&gt;TV37)),"")</f>
        <v/>
      </c>
      <c r="UD37" s="319" t="str">
        <f t="shared" ref="UD37" ca="1" si="11871">IF(TM37&lt;&gt;"",SUMPRODUCT((TX37:TX41=TX37)*(TS37:TS41=TS37)*(TQ37:TQ41=TQ37)*(TU37:TU41=TU37)*(TV37:TV41=TV37)*(TW37:TW41&gt;TW37)),"")</f>
        <v/>
      </c>
      <c r="UE37" s="319" t="str">
        <f ca="1">IF(TM37&lt;&gt;"",IF(UE77&lt;&gt;"",IF(TL76=3,UE77,UE77+TL76),SUM(TY37:UD37)),"")</f>
        <v/>
      </c>
      <c r="UF37" s="319" t="str">
        <f t="shared" ref="UF37" ca="1" si="11872">IF(TM37&lt;&gt;"",INDEX(TM37:TM41,MATCH(1,UE37:UE41,0),0),"")</f>
        <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0</v>
      </c>
      <c r="WT37" s="322">
        <f ca="1">IF(OFFSET('Player Game Board'!Q44,0,WS1)&lt;&gt;"",OFFSET('Player Game Board'!Q44,0,WS1),0)</f>
        <v>6</v>
      </c>
      <c r="WU37" s="319" t="str">
        <f t="shared" si="35"/>
        <v>Portugal</v>
      </c>
      <c r="WV37" s="319" t="str">
        <f ca="1">IF(AND(OFFSET('Player Game Board'!P44,0,WS1)&lt;&gt;"",OFFSET('Player Game Board'!Q44,0,WS1)&lt;&gt;""),IF(WS37&gt;WT37,"W",IF(WS37=WT37,"D","L")),"")</f>
        <v>L</v>
      </c>
      <c r="WW37" s="319" t="str">
        <f t="shared" ca="1" si="5555"/>
        <v>W</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1</v>
      </c>
      <c r="XR37" s="319" t="str">
        <f t="shared" ref="XR37:XR40" si="11875">ST37</f>
        <v>Portugal</v>
      </c>
      <c r="XS37" s="319">
        <f t="shared" ref="XS37" ca="1" si="11876">SUMPRODUCT((ABP3:ABP42=XR37)*(ABT3:ABT42="W"))+SUMPRODUCT((ABS3:ABS42=XR37)*(ABU3:ABU42="W"))</f>
        <v>2</v>
      </c>
      <c r="XT37" s="319">
        <f t="shared" ref="XT37" ca="1" si="11877">SUMPRODUCT((ABP3:ABP42=XR37)*(ABT3:ABT42="D"))+SUMPRODUCT((ABS3:ABS42=XR37)*(ABU3:ABU42="D"))</f>
        <v>1</v>
      </c>
      <c r="XU37" s="319">
        <f t="shared" ref="XU37" ca="1" si="11878">SUMPRODUCT((ABP3:ABP42=XR37)*(ABT3:ABT42="L"))+SUMPRODUCT((ABS3:ABS42=XR37)*(ABU3:ABU42="L"))</f>
        <v>0</v>
      </c>
      <c r="XV37" s="319">
        <f t="shared" ref="XV37" ca="1" si="11879">SUMIF(ABP3:ABP60,XR37,ABQ3:ABQ60)+SUMIF(ABS3:ABS60,XR37,ABR3:ABR60)</f>
        <v>9</v>
      </c>
      <c r="XW37" s="319">
        <f t="shared" ref="XW37" ca="1" si="11880">SUMIF(ABS3:ABS60,XR37,ABQ3:ABQ60)+SUMIF(ABP3:ABP60,XR37,ABR3:ABR60)</f>
        <v>3</v>
      </c>
      <c r="XX37" s="319">
        <f t="shared" ref="XX37:XX40" ca="1" si="11881">XV37-XW37+1000</f>
        <v>1006</v>
      </c>
      <c r="XY37" s="319">
        <f t="shared" ref="XY37:XY40" ca="1" si="11882">XS37*3+XT37*1</f>
        <v>7</v>
      </c>
      <c r="XZ37" s="319">
        <f t="shared" si="750"/>
        <v>53</v>
      </c>
      <c r="YA37" s="319">
        <f t="shared" ref="YA37" ca="1" si="11883">IF(COUNTIF(XY37:XY41,4)&lt;&gt;4,RANK(XY37,XY37:XY41),XY77)</f>
        <v>1</v>
      </c>
      <c r="YB37" s="319"/>
      <c r="YC37" s="319">
        <f t="shared" ref="YC37" ca="1" si="11884">SUMPRODUCT((YA37:YA40=YA37)*(XZ37:XZ40&lt;XZ37))+YA37</f>
        <v>2</v>
      </c>
      <c r="YD37" s="319" t="str">
        <f t="shared" ref="YD37" ca="1" si="11885">INDEX(XR37:XR41,MATCH(1,YC37:YC41,0),0)</f>
        <v>Türkiye</v>
      </c>
      <c r="YE37" s="319">
        <f t="shared" ref="YE37" ca="1" si="11886">INDEX(YA37:YA41,MATCH(YD37,XR37:XR41,0),0)</f>
        <v>1</v>
      </c>
      <c r="YF37" s="319" t="str">
        <f t="shared" ref="YF37" ca="1" si="11887">IF(YE38=1,YD37,"")</f>
        <v>Türkiye</v>
      </c>
      <c r="YG37" s="319" t="str">
        <f t="shared" ref="YG37" ca="1" si="11888">IF(YE39=2,YD38,"")</f>
        <v/>
      </c>
      <c r="YH37" s="319" t="str">
        <f t="shared" ref="YH37" ca="1" si="11889">IF(YE40=3,YD39,"")</f>
        <v>Georgia</v>
      </c>
      <c r="YI37" s="319" t="str">
        <f t="shared" ref="YI37" si="11890">IF(YE41=4,YD40,"")</f>
        <v/>
      </c>
      <c r="YJ37" s="319"/>
      <c r="YK37" s="319" t="str">
        <f t="shared" ref="YK37:YK40" ca="1" si="11891">IF(YF37&lt;&gt;"",YF37,"")</f>
        <v>Türkiye</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1</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2</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2</v>
      </c>
      <c r="YQ37" s="319">
        <f t="shared" ref="YQ37:YQ40" ca="1" si="11897">YO37-YP37+1000</f>
        <v>1000</v>
      </c>
      <c r="YR37" s="319">
        <f t="shared" ref="YR37:YR40" ca="1" si="11898">IF(YK37&lt;&gt;"",YL37*3+YM37*1,"")</f>
        <v>1</v>
      </c>
      <c r="YS37" s="319">
        <f t="shared" ref="YS37" ca="1" si="11899">IF(YK37&lt;&gt;"",VLOOKUP(YK37,XR4:XX40,7,FALSE),"")</f>
        <v>1003</v>
      </c>
      <c r="YT37" s="319">
        <f t="shared" ref="YT37" ca="1" si="11900">IF(YK37&lt;&gt;"",VLOOKUP(YK37,XR4:XX40,5,FALSE),"")</f>
        <v>6</v>
      </c>
      <c r="YU37" s="319">
        <f t="shared" ref="YU37" ca="1" si="11901">IF(YK37&lt;&gt;"",VLOOKUP(YK37,XR4:XZ40,9,FALSE),"")</f>
        <v>47</v>
      </c>
      <c r="YV37" s="319">
        <f t="shared" ref="YV37:YV40" ca="1" si="11902">YR37</f>
        <v>1</v>
      </c>
      <c r="YW37" s="319">
        <f t="shared" ref="YW37" ca="1" si="11903">IF(YK37&lt;&gt;"",RANK(YV37,YV37:YV41),"")</f>
        <v>1</v>
      </c>
      <c r="YX37" s="319">
        <f t="shared" ref="YX37" ca="1" si="11904">IF(YK37&lt;&gt;"",SUMPRODUCT((YV37:YV41=YV37)*(YQ37:YQ41&gt;YQ37)),"")</f>
        <v>0</v>
      </c>
      <c r="YY37" s="319">
        <f t="shared" ref="YY37" ca="1" si="11905">IF(YK37&lt;&gt;"",SUMPRODUCT((YV37:YV41=YV37)*(YQ37:YQ41=YQ37)*(YO37:YO41&gt;YO37)),"")</f>
        <v>0</v>
      </c>
      <c r="YZ37" s="319">
        <f t="shared" ref="YZ37" ca="1" si="11906">IF(YK37&lt;&gt;"",SUMPRODUCT((YV37:YV41=YV37)*(YQ37:YQ41=YQ37)*(YO37:YO41=YO37)*(YS37:YS41&gt;YS37)),"")</f>
        <v>1</v>
      </c>
      <c r="ZA37" s="319">
        <f t="shared" ref="ZA37" ca="1" si="11907">IF(YK37&lt;&gt;"",SUMPRODUCT((YV37:YV41=YV37)*(YQ37:YQ41=YQ37)*(YO37:YO41=YO37)*(YS37:YS41=YS37)*(YT37:YT41&gt;YT37)),"")</f>
        <v>0</v>
      </c>
      <c r="ZB37" s="319">
        <f t="shared" ref="ZB37" ca="1" si="11908">IF(YK37&lt;&gt;"",SUMPRODUCT((YV37:YV41=YV37)*(YQ37:YQ41=YQ37)*(YO37:YO41=YO37)*(YS37:YS41=YS37)*(YT37:YT41=YT37)*(YU37:YU41&gt;YU37)),"")</f>
        <v>0</v>
      </c>
      <c r="ZC37" s="319">
        <f ca="1">IF(YK37&lt;&gt;"",IF(ZC77&lt;&gt;"",IF(YJ76=3,ZC77,ZC77+YJ76),SUM(YW37:ZB37)),"")</f>
        <v>2</v>
      </c>
      <c r="ZD37" s="319" t="str">
        <f t="shared" ref="ZD37" ca="1" si="11909">IF(YK37&lt;&gt;"",INDEX(YK37:YK41,MATCH(1,ZC37:ZC41,0),0),"")</f>
        <v>Portugal</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Portugal</v>
      </c>
      <c r="ABN37" s="319">
        <v>1</v>
      </c>
      <c r="ABO37" s="319">
        <v>35</v>
      </c>
      <c r="ABP37" s="319" t="str">
        <f t="shared" si="50"/>
        <v>Georgia</v>
      </c>
      <c r="ABQ37" s="322">
        <f ca="1">IF(OFFSET('Player Game Board'!P44,0,ABQ1)&lt;&gt;"",OFFSET('Player Game Board'!P44,0,ABQ1),0)</f>
        <v>0</v>
      </c>
      <c r="ABR37" s="322">
        <f ca="1">IF(OFFSET('Player Game Board'!Q44,0,ABQ1)&lt;&gt;"",OFFSET('Player Game Board'!Q44,0,ABQ1),0)</f>
        <v>4</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1</v>
      </c>
      <c r="ACP37" s="319" t="str">
        <f t="shared" ref="ACP37:ACP40" si="11912">XR37</f>
        <v>Portugal</v>
      </c>
      <c r="ACQ37" s="319">
        <f t="shared" ref="ACQ37" ca="1" si="11913">SUMPRODUCT((AGN3:AGN42=ACP37)*(AGR3:AGR42="W"))+SUMPRODUCT((AGQ3:AGQ42=ACP37)*(AGS3:AGS42="W"))</f>
        <v>3</v>
      </c>
      <c r="ACR37" s="319">
        <f t="shared" ref="ACR37" ca="1" si="11914">SUMPRODUCT((AGN3:AGN42=ACP37)*(AGR3:AGR42="D"))+SUMPRODUCT((AGQ3:AGQ42=ACP37)*(AGS3:AGS42="D"))</f>
        <v>0</v>
      </c>
      <c r="ACS37" s="319">
        <f t="shared" ref="ACS37" ca="1" si="11915">SUMPRODUCT((AGN3:AGN42=ACP37)*(AGR3:AGR42="L"))+SUMPRODUCT((AGQ3:AGQ42=ACP37)*(AGS3:AGS42="L"))</f>
        <v>0</v>
      </c>
      <c r="ACT37" s="319">
        <f t="shared" ref="ACT37" ca="1" si="11916">SUMIF(AGN3:AGN60,ACP37,AGO3:AGO60)+SUMIF(AGQ3:AGQ60,ACP37,AGP3:AGP60)</f>
        <v>10</v>
      </c>
      <c r="ACU37" s="319">
        <f t="shared" ref="ACU37" ca="1" si="11917">SUMIF(AGQ3:AGQ60,ACP37,AGO3:AGO60)+SUMIF(AGN3:AGN60,ACP37,AGP3:AGP60)</f>
        <v>3</v>
      </c>
      <c r="ACV37" s="319">
        <f t="shared" ref="ACV37:ACV40" ca="1" si="11918">ACT37-ACU37+1000</f>
        <v>1007</v>
      </c>
      <c r="ACW37" s="319">
        <f t="shared" ref="ACW37:ACW40" ca="1" si="11919">ACQ37*3+ACR37*1</f>
        <v>9</v>
      </c>
      <c r="ACX37" s="319">
        <f t="shared" si="810"/>
        <v>53</v>
      </c>
      <c r="ACY37" s="319">
        <f t="shared" ref="ACY37" ca="1" si="11920">IF(COUNTIF(ACW37:ACW41,4)&lt;&gt;4,RANK(ACW37,ACW37:ACW41),ACW77)</f>
        <v>1</v>
      </c>
      <c r="ACZ37" s="319"/>
      <c r="ADA37" s="319">
        <f t="shared" ref="ADA37" ca="1" si="11921">SUMPRODUCT((ACY37:ACY40=ACY37)*(ACX37:ACX40&lt;ACX37))+ACY37</f>
        <v>1</v>
      </c>
      <c r="ADB37" s="319" t="str">
        <f t="shared" ref="ADB37" ca="1" si="11922">INDEX(ACP37:ACP41,MATCH(1,ADA37:ADA41,0),0)</f>
        <v>Portugal</v>
      </c>
      <c r="ADC37" s="319">
        <f t="shared" ref="ADC37" ca="1" si="11923">INDEX(ACY37:ACY41,MATCH(ADB37,ACP37:ACP41,0),0)</f>
        <v>1</v>
      </c>
      <c r="ADD37" s="319" t="str">
        <f t="shared" ref="ADD37" ca="1" si="11924">IF(ADC38=1,ADB37,"")</f>
        <v/>
      </c>
      <c r="ADE37" s="319" t="str">
        <f t="shared" ref="ADE37" ca="1" si="11925">IF(ADC39=2,ADB38,"")</f>
        <v>Czechia</v>
      </c>
      <c r="ADF37" s="319" t="str">
        <f t="shared" ref="ADF37" ca="1" si="11926">IF(ADC40=3,ADB39,"")</f>
        <v/>
      </c>
      <c r="ADG37" s="319" t="str">
        <f t="shared" ref="ADG37" si="11927">IF(ADC41=4,ADB40,"")</f>
        <v/>
      </c>
      <c r="ADH37" s="319"/>
      <c r="ADI37" s="319" t="str">
        <f t="shared" ref="ADI37:ADI40" ca="1" si="11928">IF(ADD37&lt;&gt;"",ADD37,"")</f>
        <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0</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0</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0</v>
      </c>
      <c r="ADO37" s="319">
        <f t="shared" ref="ADO37:ADO40" ca="1" si="11934">ADM37-ADN37+1000</f>
        <v>1000</v>
      </c>
      <c r="ADP37" s="319" t="str">
        <f t="shared" ref="ADP37:ADP40" ca="1" si="11935">IF(ADI37&lt;&gt;"",ADJ37*3+ADK37*1,"")</f>
        <v/>
      </c>
      <c r="ADQ37" s="319" t="str">
        <f t="shared" ref="ADQ37" ca="1" si="11936">IF(ADI37&lt;&gt;"",VLOOKUP(ADI37,ACP4:ACV40,7,FALSE),"")</f>
        <v/>
      </c>
      <c r="ADR37" s="319" t="str">
        <f t="shared" ref="ADR37" ca="1" si="11937">IF(ADI37&lt;&gt;"",VLOOKUP(ADI37,ACP4:ACV40,5,FALSE),"")</f>
        <v/>
      </c>
      <c r="ADS37" s="319" t="str">
        <f t="shared" ref="ADS37" ca="1" si="11938">IF(ADI37&lt;&gt;"",VLOOKUP(ADI37,ACP4:ACX40,9,FALSE),"")</f>
        <v/>
      </c>
      <c r="ADT37" s="319" t="str">
        <f t="shared" ref="ADT37:ADT40" ca="1" si="11939">ADP37</f>
        <v/>
      </c>
      <c r="ADU37" s="319" t="str">
        <f t="shared" ref="ADU37" ca="1" si="11940">IF(ADI37&lt;&gt;"",RANK(ADT37,ADT37:ADT41),"")</f>
        <v/>
      </c>
      <c r="ADV37" s="319" t="str">
        <f t="shared" ref="ADV37" ca="1" si="11941">IF(ADI37&lt;&gt;"",SUMPRODUCT((ADT37:ADT41=ADT37)*(ADO37:ADO41&gt;ADO37)),"")</f>
        <v/>
      </c>
      <c r="ADW37" s="319" t="str">
        <f t="shared" ref="ADW37" ca="1" si="11942">IF(ADI37&lt;&gt;"",SUMPRODUCT((ADT37:ADT41=ADT37)*(ADO37:ADO41=ADO37)*(ADM37:ADM41&gt;ADM37)),"")</f>
        <v/>
      </c>
      <c r="ADX37" s="319" t="str">
        <f t="shared" ref="ADX37" ca="1" si="11943">IF(ADI37&lt;&gt;"",SUMPRODUCT((ADT37:ADT41=ADT37)*(ADO37:ADO41=ADO37)*(ADM37:ADM41=ADM37)*(ADQ37:ADQ41&gt;ADQ37)),"")</f>
        <v/>
      </c>
      <c r="ADY37" s="319" t="str">
        <f t="shared" ref="ADY37" ca="1" si="11944">IF(ADI37&lt;&gt;"",SUMPRODUCT((ADT37:ADT41=ADT37)*(ADO37:ADO41=ADO37)*(ADM37:ADM41=ADM37)*(ADQ37:ADQ41=ADQ37)*(ADR37:ADR41&gt;ADR37)),"")</f>
        <v/>
      </c>
      <c r="ADZ37" s="319" t="str">
        <f t="shared" ref="ADZ37" ca="1" si="11945">IF(ADI37&lt;&gt;"",SUMPRODUCT((ADT37:ADT41=ADT37)*(ADO37:ADO41=ADO37)*(ADM37:ADM41=ADM37)*(ADQ37:ADQ41=ADQ37)*(ADR37:ADR41=ADR37)*(ADS37:ADS41&gt;ADS37)),"")</f>
        <v/>
      </c>
      <c r="AEA37" s="319" t="str">
        <f ca="1">IF(ADI37&lt;&gt;"",IF(AEA77&lt;&gt;"",IF(ADH76=3,AEA77,AEA77+ADH76),SUM(ADU37:ADZ37)),"")</f>
        <v/>
      </c>
      <c r="AEB37" s="319" t="str">
        <f t="shared" ref="AEB37" ca="1" si="11946">IF(ADI37&lt;&gt;"",INDEX(ADI37:ADI41,MATCH(1,AEA37:AEA41,0),0),"")</f>
        <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Portugal</v>
      </c>
      <c r="AGL37" s="319">
        <v>1</v>
      </c>
      <c r="AGM37" s="319">
        <v>35</v>
      </c>
      <c r="AGN37" s="319" t="str">
        <f t="shared" si="66"/>
        <v>Georgia</v>
      </c>
      <c r="AGO37" s="322">
        <f ca="1">IF(OFFSET('Player Game Board'!P44,0,AGO1)&lt;&gt;"",OFFSET('Player Game Board'!P44,0,AGO1),0)</f>
        <v>0</v>
      </c>
      <c r="AGP37" s="322">
        <f ca="1">IF(OFFSET('Player Game Board'!Q44,0,AGO1)&lt;&gt;"",OFFSET('Player Game Board'!Q44,0,AGO1),0)</f>
        <v>4</v>
      </c>
      <c r="AGQ37" s="319" t="str">
        <f t="shared" si="67"/>
        <v>Portugal</v>
      </c>
      <c r="AGR37" s="319" t="str">
        <f ca="1">IF(AND(OFFSET('Player Game Board'!P44,0,AGO1)&lt;&gt;"",OFFSET('Player Game Board'!Q44,0,AGO1)&lt;&gt;""),IF(AGO37&gt;AGP37,"W",IF(AGO37=AGP37,"D","L")),"")</f>
        <v>L</v>
      </c>
      <c r="AGS37" s="319" t="str">
        <f t="shared" ca="1" si="5665"/>
        <v>W</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0</v>
      </c>
      <c r="AHP37" s="319">
        <f t="shared" ref="AHP37" ca="1" si="11951">SUMPRODUCT((ALL3:ALL42=AHN37)*(ALP3:ALP42="D"))+SUMPRODUCT((ALO3:ALO42=AHN37)*(ALQ3:ALQ42="D"))</f>
        <v>0</v>
      </c>
      <c r="AHQ37" s="319">
        <f t="shared" ref="AHQ37" ca="1" si="11952">SUMPRODUCT((ALL3:ALL42=AHN37)*(ALP3:ALP42="L"))+SUMPRODUCT((ALO3:ALO42=AHN37)*(ALQ3:ALQ42="L"))</f>
        <v>0</v>
      </c>
      <c r="AHR37" s="319">
        <f t="shared" ref="AHR37" ca="1" si="11953">SUMIF(ALL3:ALL60,AHN37,ALM3:ALM60)+SUMIF(ALO3:ALO60,AHN37,ALN3:ALN60)</f>
        <v>0</v>
      </c>
      <c r="AHS37" s="319">
        <f t="shared" ref="AHS37" ca="1" si="11954">SUMIF(ALO3:ALO60,AHN37,ALM3:ALM60)+SUMIF(ALL3:ALL60,AHN37,ALN3:ALN60)</f>
        <v>0</v>
      </c>
      <c r="AHT37" s="319">
        <f t="shared" ref="AHT37:AHT40" ca="1" si="11955">AHR37-AHS37+1000</f>
        <v>1000</v>
      </c>
      <c r="AHU37" s="319">
        <f t="shared" ref="AHU37:AHU40" ca="1" si="11956">AHO37*3+AHP37*1</f>
        <v>0</v>
      </c>
      <c r="AHV37" s="319">
        <f t="shared" si="870"/>
        <v>53</v>
      </c>
      <c r="AHW37" s="319">
        <f t="shared" ref="AHW37" ca="1" si="11957">IF(COUNTIF(AHU37:AHU41,4)&lt;&gt;4,RANK(AHU37,AHU37:AHU41),AHU77)</f>
        <v>1</v>
      </c>
      <c r="AHX37" s="319"/>
      <c r="AHY37" s="319">
        <f t="shared" ref="AHY37" ca="1" si="11958">SUMPRODUCT((AHW37:AHW40=AHW37)*(AHV37:AHV40&lt;AHV37))+AHW37</f>
        <v>4</v>
      </c>
      <c r="AHZ37" s="319" t="str">
        <f t="shared" ref="AHZ37" ca="1" si="11959">INDEX(AHN37:AHN41,MATCH(1,AHY37:AHY41,0),0)</f>
        <v>Georgia</v>
      </c>
      <c r="AIA37" s="319">
        <f t="shared" ref="AIA37" ca="1" si="11960">INDEX(AHW37:AHW41,MATCH(AHZ37,AHN37:AHN41,0),0)</f>
        <v>1</v>
      </c>
      <c r="AIB37" s="319" t="str">
        <f t="shared" ref="AIB37" ca="1" si="11961">IF(AIA38=1,AHZ37,"")</f>
        <v>Georgia</v>
      </c>
      <c r="AIC37" s="319" t="str">
        <f t="shared" ref="AIC37" ca="1" si="11962">IF(AIA39=2,AHZ38,"")</f>
        <v/>
      </c>
      <c r="AID37" s="319" t="str">
        <f t="shared" ref="AID37" ca="1" si="11963">IF(AIA40=3,AHZ39,"")</f>
        <v/>
      </c>
      <c r="AIE37" s="319" t="str">
        <f t="shared" ref="AIE37" si="11964">IF(AIA41=4,AHZ40,"")</f>
        <v/>
      </c>
      <c r="AIF37" s="319"/>
      <c r="AIG37" s="319" t="str">
        <f t="shared" ref="AIG37:AIG40" ca="1" si="11965">IF(AIB37&lt;&gt;"",AIB37,"")</f>
        <v>Georgia</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19">
        <f t="shared" ref="AIM37:AIM40" ca="1" si="11971">AIK37-AIL37+1000</f>
        <v>1000</v>
      </c>
      <c r="AIN37" s="319">
        <f t="shared" ref="AIN37:AIN40" ca="1" si="11972">IF(AIG37&lt;&gt;"",AIH37*3+AII37*1,"")</f>
        <v>0</v>
      </c>
      <c r="AIO37" s="319">
        <f t="shared" ref="AIO37" ca="1" si="11973">IF(AIG37&lt;&gt;"",VLOOKUP(AIG37,AHN4:AHT40,7,FALSE),"")</f>
        <v>1000</v>
      </c>
      <c r="AIP37" s="319">
        <f t="shared" ref="AIP37" ca="1" si="11974">IF(AIG37&lt;&gt;"",VLOOKUP(AIG37,AHN4:AHT40,5,FALSE),"")</f>
        <v>0</v>
      </c>
      <c r="AIQ37" s="319">
        <f t="shared" ref="AIQ37" ca="1" si="11975">IF(AIG37&lt;&gt;"",VLOOKUP(AIG37,AHN4:AHV40,9,FALSE),"")</f>
        <v>0</v>
      </c>
      <c r="AIR37" s="319">
        <f t="shared" ref="AIR37:AIR40" ca="1" si="11976">AIN37</f>
        <v>0</v>
      </c>
      <c r="AIS37" s="319">
        <f t="shared" ref="AIS37" ca="1" si="11977">IF(AIG37&lt;&gt;"",RANK(AIR37,AIR37:AIR41),"")</f>
        <v>1</v>
      </c>
      <c r="AIT37" s="319">
        <f t="shared" ref="AIT37" ca="1" si="11978">IF(AIG37&lt;&gt;"",SUMPRODUCT((AIR37:AIR41=AIR37)*(AIM37:AIM41&gt;AIM37)),"")</f>
        <v>0</v>
      </c>
      <c r="AIU37" s="319">
        <f t="shared" ref="AIU37" ca="1" si="11979">IF(AIG37&lt;&gt;"",SUMPRODUCT((AIR37:AIR41=AIR37)*(AIM37:AIM41=AIM37)*(AIK37:AIK41&gt;AIK37)),"")</f>
        <v>0</v>
      </c>
      <c r="AIV37" s="319">
        <f t="shared" ref="AIV37" ca="1" si="11980">IF(AIG37&lt;&gt;"",SUMPRODUCT((AIR37:AIR41=AIR37)*(AIM37:AIM41=AIM37)*(AIK37:AIK41=AIK37)*(AIO37:AIO41&gt;AIO37)),"")</f>
        <v>0</v>
      </c>
      <c r="AIW37" s="319">
        <f t="shared" ref="AIW37" ca="1" si="11981">IF(AIG37&lt;&gt;"",SUMPRODUCT((AIR37:AIR41=AIR37)*(AIM37:AIM41=AIM37)*(AIK37:AIK41=AIK37)*(AIO37:AIO41=AIO37)*(AIP37:AIP41&gt;AIP37)),"")</f>
        <v>0</v>
      </c>
      <c r="AIX37" s="319">
        <f t="shared" ref="AIX37" ca="1" si="11982">IF(AIG37&lt;&gt;"",SUMPRODUCT((AIR37:AIR41=AIR37)*(AIM37:AIM41=AIM37)*(AIK37:AIK41=AIK37)*(AIO37:AIO41=AIO37)*(AIP37:AIP41=AIP37)*(AIQ37:AIQ41&gt;AIQ37)),"")</f>
        <v>3</v>
      </c>
      <c r="AIY37" s="319">
        <f ca="1">IF(AIG37&lt;&gt;"",IF(AIY77&lt;&gt;"",IF(AIF76=3,AIY77,AIY77+AIF76),SUM(AIS37:AIX37)),"")</f>
        <v>4</v>
      </c>
      <c r="AIZ37" s="319" t="str">
        <f t="shared" ref="AIZ37" ca="1" si="11983">IF(AIG37&lt;&gt;"",INDEX(AIG37:AIG41,MATCH(1,AIY37:AIY41,0),0),"")</f>
        <v>Portugal</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0</v>
      </c>
      <c r="ALO37" s="319" t="str">
        <f t="shared" si="83"/>
        <v>Portugal</v>
      </c>
      <c r="ALP37" s="319" t="str">
        <f ca="1">IF(AND(OFFSET('Player Game Board'!P44,0,ALM1)&lt;&gt;"",OFFSET('Player Game Board'!Q44,0,ALM1)&lt;&gt;""),IF(ALM37&gt;ALN37,"W",IF(ALM37=ALN37,"D","L")),"")</f>
        <v/>
      </c>
      <c r="ALQ37" s="319" t="str">
        <f t="shared" ca="1" si="5720"/>
        <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0</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0</v>
      </c>
      <c r="AMQ37" s="319">
        <f t="shared" ref="AMQ37" ca="1" si="11991">SUMIF(AQM3:AQM60,AML37,AQK3:AQK60)+SUMIF(AQJ3:AQJ60,AML37,AQL3:AQL60)</f>
        <v>0</v>
      </c>
      <c r="AMR37" s="319">
        <f t="shared" ref="AMR37:AMR40" ca="1" si="11992">AMP37-AMQ37+1000</f>
        <v>1000</v>
      </c>
      <c r="AMS37" s="319">
        <f t="shared" ref="AMS37:AMS40" ca="1" si="11993">AMM37*3+AMN37*1</f>
        <v>0</v>
      </c>
      <c r="AMT37" s="319">
        <f t="shared" si="930"/>
        <v>53</v>
      </c>
      <c r="AMU37" s="319">
        <f t="shared" ref="AMU37" ca="1" si="11994">IF(COUNTIF(AMS37:AMS41,4)&lt;&gt;4,RANK(AMS37,AMS37:AMS41),AMS77)</f>
        <v>1</v>
      </c>
      <c r="AMV37" s="319"/>
      <c r="AMW37" s="319">
        <f t="shared" ref="AMW37" ca="1" si="11995">SUMPRODUCT((AMU37:AMU40=AMU37)*(AMT37:AMT40&lt;AMT37))+AMU37</f>
        <v>4</v>
      </c>
      <c r="AMX37" s="319" t="str">
        <f t="shared" ref="AMX37" ca="1" si="11996">INDEX(AML37:AML41,MATCH(1,AMW37:AMW41,0),0)</f>
        <v>Georgia</v>
      </c>
      <c r="AMY37" s="319">
        <f t="shared" ref="AMY37" ca="1" si="11997">INDEX(AMU37:AMU41,MATCH(AMX37,AML37:AML41,0),0)</f>
        <v>1</v>
      </c>
      <c r="AMZ37" s="319" t="str">
        <f t="shared" ref="AMZ37" ca="1" si="11998">IF(AMY38=1,AMX37,"")</f>
        <v>Georgia</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Georgia</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f t="shared" ref="ANL37:ANL40" ca="1" si="12009">IF(ANE37&lt;&gt;"",ANF37*3+ANG37*1,"")</f>
        <v>0</v>
      </c>
      <c r="ANM37" s="319">
        <f t="shared" ref="ANM37" ca="1" si="12010">IF(ANE37&lt;&gt;"",VLOOKUP(ANE37,AML4:AMR40,7,FALSE),"")</f>
        <v>1000</v>
      </c>
      <c r="ANN37" s="319">
        <f t="shared" ref="ANN37" ca="1" si="12011">IF(ANE37&lt;&gt;"",VLOOKUP(ANE37,AML4:AMR40,5,FALSE),"")</f>
        <v>0</v>
      </c>
      <c r="ANO37" s="319">
        <f t="shared" ref="ANO37" ca="1" si="12012">IF(ANE37&lt;&gt;"",VLOOKUP(ANE37,AML4:AMT40,9,FALSE),"")</f>
        <v>0</v>
      </c>
      <c r="ANP37" s="319">
        <f t="shared" ref="ANP37:ANP40" ca="1" si="12013">ANL37</f>
        <v>0</v>
      </c>
      <c r="ANQ37" s="319">
        <f t="shared" ref="ANQ37" ca="1" si="12014">IF(ANE37&lt;&gt;"",RANK(ANP37,ANP37:ANP41),"")</f>
        <v>1</v>
      </c>
      <c r="ANR37" s="319">
        <f t="shared" ref="ANR37" ca="1" si="12015">IF(ANE37&lt;&gt;"",SUMPRODUCT((ANP37:ANP41=ANP37)*(ANK37:ANK41&gt;ANK37)),"")</f>
        <v>0</v>
      </c>
      <c r="ANS37" s="319">
        <f t="shared" ref="ANS37" ca="1" si="12016">IF(ANE37&lt;&gt;"",SUMPRODUCT((ANP37:ANP41=ANP37)*(ANK37:ANK41=ANK37)*(ANI37:ANI41&gt;ANI37)),"")</f>
        <v>0</v>
      </c>
      <c r="ANT37" s="319">
        <f t="shared" ref="ANT37" ca="1" si="12017">IF(ANE37&lt;&gt;"",SUMPRODUCT((ANP37:ANP41=ANP37)*(ANK37:ANK41=ANK37)*(ANI37:ANI41=ANI37)*(ANM37:ANM41&gt;ANM37)),"")</f>
        <v>0</v>
      </c>
      <c r="ANU37" s="319">
        <f t="shared" ref="ANU37" ca="1" si="12018">IF(ANE37&lt;&gt;"",SUMPRODUCT((ANP37:ANP41=ANP37)*(ANK37:ANK41=ANK37)*(ANI37:ANI41=ANI37)*(ANM37:ANM41=ANM37)*(ANN37:ANN41&gt;ANN37)),"")</f>
        <v>0</v>
      </c>
      <c r="ANV37" s="319">
        <f t="shared" ref="ANV37" ca="1" si="12019">IF(ANE37&lt;&gt;"",SUMPRODUCT((ANP37:ANP41=ANP37)*(ANK37:ANK41=ANK37)*(ANI37:ANI41=ANI37)*(ANM37:ANM41=ANM37)*(ANN37:ANN41=ANN37)*(ANO37:ANO41&gt;ANO37)),"")</f>
        <v>3</v>
      </c>
      <c r="ANW37" s="319">
        <f ca="1">IF(ANE37&lt;&gt;"",IF(ANW77&lt;&gt;"",IF(AND76=3,ANW77,ANW77+AND76),SUM(ANQ37:ANV37)),"")</f>
        <v>4</v>
      </c>
      <c r="ANX37" s="319" t="str">
        <f t="shared" ref="ANX37" ca="1" si="12020">IF(ANE37&lt;&gt;"",INDEX(ANE37:ANE41,MATCH(1,ANW37:ANW41,0),0),"")</f>
        <v>Portugal</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0</v>
      </c>
      <c r="AQM37" s="319" t="str">
        <f t="shared" si="99"/>
        <v>Portugal</v>
      </c>
      <c r="AQN37" s="319" t="str">
        <f ca="1">IF(AND(OFFSET('Player Game Board'!P44,0,AQK1)&lt;&gt;"",OFFSET('Player Game Board'!Q44,0,AQK1)&lt;&gt;""),IF(AQK37&gt;AQL37,"W",IF(AQK37=AQL37,"D","L")),"")</f>
        <v/>
      </c>
      <c r="AQO37" s="319" t="str">
        <f t="shared" ca="1" si="5775"/>
        <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1</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0</v>
      </c>
      <c r="ARM37" s="319">
        <f t="shared" ref="ARM37" ca="1" si="12026">SUMPRODUCT((AVH3:AVH42=ARJ37)*(AVL3:AVL42="L"))+SUMPRODUCT((AVK3:AVK42=ARJ37)*(AVM3:AVM42="L"))</f>
        <v>0</v>
      </c>
      <c r="ARN37" s="319">
        <f t="shared" ref="ARN37" ca="1" si="12027">SUMIF(AVH3:AVH60,ARJ37,AVI3:AVI60)+SUMIF(AVK3:AVK60,ARJ37,AVJ3:AVJ60)</f>
        <v>0</v>
      </c>
      <c r="ARO37" s="319">
        <f t="shared" ref="ARO37" ca="1" si="12028">SUMIF(AVK3:AVK60,ARJ37,AVI3:AVI60)+SUMIF(AVH3:AVH60,ARJ37,AVJ3:AVJ60)</f>
        <v>0</v>
      </c>
      <c r="ARP37" s="319">
        <f t="shared" ref="ARP37:ARP40" ca="1" si="12029">ARN37-ARO37+1000</f>
        <v>1000</v>
      </c>
      <c r="ARQ37" s="319">
        <f t="shared" ref="ARQ37:ARQ40" ca="1" si="12030">ARK37*3+ARL37*1</f>
        <v>0</v>
      </c>
      <c r="ARR37" s="319">
        <f t="shared" si="990"/>
        <v>53</v>
      </c>
      <c r="ARS37" s="319">
        <f t="shared" ref="ARS37" ca="1" si="12031">IF(COUNTIF(ARQ37:ARQ41,4)&lt;&gt;4,RANK(ARQ37,ARQ37:ARQ41),ARQ77)</f>
        <v>1</v>
      </c>
      <c r="ART37" s="319"/>
      <c r="ARU37" s="319">
        <f t="shared" ref="ARU37" ca="1" si="12032">SUMPRODUCT((ARS37:ARS40=ARS37)*(ARR37:ARR40&lt;ARR37))+ARS37</f>
        <v>4</v>
      </c>
      <c r="ARV37" s="319" t="str">
        <f t="shared" ref="ARV37" ca="1" si="12033">INDEX(ARJ37:ARJ41,MATCH(1,ARU37:ARU41,0),0)</f>
        <v>Georgia</v>
      </c>
      <c r="ARW37" s="319">
        <f t="shared" ref="ARW37" ca="1" si="12034">INDEX(ARS37:ARS41,MATCH(ARV37,ARJ37:ARJ41,0),0)</f>
        <v>1</v>
      </c>
      <c r="ARX37" s="319" t="str">
        <f t="shared" ref="ARX37" ca="1" si="12035">IF(ARW38=1,ARV37,"")</f>
        <v>Georgia</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Georgia</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f t="shared" ref="ASJ37:ASJ40" ca="1" si="12046">IF(ASC37&lt;&gt;"",ASD37*3+ASE37*1,"")</f>
        <v>0</v>
      </c>
      <c r="ASK37" s="319">
        <f t="shared" ref="ASK37" ca="1" si="12047">IF(ASC37&lt;&gt;"",VLOOKUP(ASC37,ARJ4:ARP40,7,FALSE),"")</f>
        <v>1000</v>
      </c>
      <c r="ASL37" s="319">
        <f t="shared" ref="ASL37" ca="1" si="12048">IF(ASC37&lt;&gt;"",VLOOKUP(ASC37,ARJ4:ARP40,5,FALSE),"")</f>
        <v>0</v>
      </c>
      <c r="ASM37" s="319">
        <f t="shared" ref="ASM37" ca="1" si="12049">IF(ASC37&lt;&gt;"",VLOOKUP(ASC37,ARJ4:ARR40,9,FALSE),"")</f>
        <v>0</v>
      </c>
      <c r="ASN37" s="319">
        <f t="shared" ref="ASN37:ASN40" ca="1" si="12050">ASJ37</f>
        <v>0</v>
      </c>
      <c r="ASO37" s="319">
        <f t="shared" ref="ASO37" ca="1" si="12051">IF(ASC37&lt;&gt;"",RANK(ASN37,ASN37:ASN41),"")</f>
        <v>1</v>
      </c>
      <c r="ASP37" s="319">
        <f t="shared" ref="ASP37" ca="1" si="12052">IF(ASC37&lt;&gt;"",SUMPRODUCT((ASN37:ASN41=ASN37)*(ASI37:ASI41&gt;ASI37)),"")</f>
        <v>0</v>
      </c>
      <c r="ASQ37" s="319">
        <f t="shared" ref="ASQ37" ca="1" si="12053">IF(ASC37&lt;&gt;"",SUMPRODUCT((ASN37:ASN41=ASN37)*(ASI37:ASI41=ASI37)*(ASG37:ASG41&gt;ASG37)),"")</f>
        <v>0</v>
      </c>
      <c r="ASR37" s="319">
        <f t="shared" ref="ASR37" ca="1" si="12054">IF(ASC37&lt;&gt;"",SUMPRODUCT((ASN37:ASN41=ASN37)*(ASI37:ASI41=ASI37)*(ASG37:ASG41=ASG37)*(ASK37:ASK41&gt;ASK37)),"")</f>
        <v>0</v>
      </c>
      <c r="ASS37" s="319">
        <f t="shared" ref="ASS37" ca="1" si="12055">IF(ASC37&lt;&gt;"",SUMPRODUCT((ASN37:ASN41=ASN37)*(ASI37:ASI41=ASI37)*(ASG37:ASG41=ASG37)*(ASK37:ASK41=ASK37)*(ASL37:ASL41&gt;ASL37)),"")</f>
        <v>0</v>
      </c>
      <c r="AST37" s="319">
        <f t="shared" ref="AST37" ca="1" si="12056">IF(ASC37&lt;&gt;"",SUMPRODUCT((ASN37:ASN41=ASN37)*(ASI37:ASI41=ASI37)*(ASG37:ASG41=ASG37)*(ASK37:ASK41=ASK37)*(ASL37:ASL41=ASL37)*(ASM37:ASM41&gt;ASM37)),"")</f>
        <v>3</v>
      </c>
      <c r="ASU37" s="319">
        <f ca="1">IF(ASC37&lt;&gt;"",IF(ASU77&lt;&gt;"",IF(ASB76=3,ASU77,ASU77+ASB76),SUM(ASO37:AST37)),"")</f>
        <v>4</v>
      </c>
      <c r="ASV37" s="319" t="str">
        <f t="shared" ref="ASV37" ca="1" si="12057">IF(ASC37&lt;&gt;"",INDEX(ASC37:ASC41,MATCH(1,ASU37:ASU41,0),0),"")</f>
        <v>Portugal</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Portugal</v>
      </c>
      <c r="AVF37" s="319">
        <v>1</v>
      </c>
      <c r="AVG37" s="319">
        <v>35</v>
      </c>
      <c r="AVH37" s="319" t="str">
        <f t="shared" si="114"/>
        <v>Georgia</v>
      </c>
      <c r="AVI37" s="322">
        <f ca="1">IF(OFFSET('Player Game Board'!P44,0,AVI1)&lt;&gt;"",OFFSET('Player Game Board'!P44,0,AVI1),0)</f>
        <v>0</v>
      </c>
      <c r="AVJ37" s="322">
        <f ca="1">IF(OFFSET('Player Game Board'!Q44,0,AVI1)&lt;&gt;"",OFFSET('Player Game Board'!Q44,0,AVI1),0)</f>
        <v>0</v>
      </c>
      <c r="AVK37" s="319" t="str">
        <f t="shared" si="115"/>
        <v>Portugal</v>
      </c>
      <c r="AVL37" s="319" t="str">
        <f ca="1">IF(AND(OFFSET('Player Game Board'!P44,0,AVI1)&lt;&gt;"",OFFSET('Player Game Board'!Q44,0,AVI1)&lt;&gt;""),IF(AVI37&gt;AVJ37,"W",IF(AVI37=AVJ37,"D","L")),"")</f>
        <v/>
      </c>
      <c r="AVM37" s="319" t="str">
        <f t="shared" ca="1" si="5830"/>
        <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0</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0</v>
      </c>
      <c r="AWM37" s="319">
        <f t="shared" ref="AWM37" ca="1" si="12065">SUMIF(BAI3:BAI60,AWH37,BAG3:BAG60)+SUMIF(BAF3:BAF60,AWH37,BAH3:BAH60)</f>
        <v>0</v>
      </c>
      <c r="AWN37" s="319">
        <f t="shared" ref="AWN37:AWN40" ca="1" si="12066">AWL37-AWM37+1000</f>
        <v>1000</v>
      </c>
      <c r="AWO37" s="319">
        <f t="shared" ref="AWO37:AWO40" ca="1" si="12067">AWI37*3+AWJ37*1</f>
        <v>0</v>
      </c>
      <c r="AWP37" s="319">
        <f t="shared" si="1050"/>
        <v>53</v>
      </c>
      <c r="AWQ37" s="319">
        <f t="shared" ref="AWQ37" ca="1" si="12068">IF(COUNTIF(AWO37:AWO41,4)&lt;&gt;4,RANK(AWO37,AWO37:AWO41),AWO77)</f>
        <v>1</v>
      </c>
      <c r="AWR37" s="319"/>
      <c r="AWS37" s="319">
        <f t="shared" ref="AWS37" ca="1" si="12069">SUMPRODUCT((AWQ37:AWQ40=AWQ37)*(AWP37:AWP40&lt;AWP37))+AWQ37</f>
        <v>4</v>
      </c>
      <c r="AWT37" s="319" t="str">
        <f t="shared" ref="AWT37" ca="1" si="12070">INDEX(AWH37:AWH41,MATCH(1,AWS37:AWS41,0),0)</f>
        <v>Georgia</v>
      </c>
      <c r="AWU37" s="319">
        <f t="shared" ref="AWU37" ca="1" si="12071">INDEX(AWQ37:AWQ41,MATCH(AWT37,AWH37:AWH41,0),0)</f>
        <v>1</v>
      </c>
      <c r="AWV37" s="319" t="str">
        <f t="shared" ref="AWV37" ca="1" si="12072">IF(AWU38=1,AWT37,"")</f>
        <v>Georgia</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Georgia</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f t="shared" ref="AXH37:AXH40" ca="1" si="12083">IF(AXA37&lt;&gt;"",AXB37*3+AXC37*1,"")</f>
        <v>0</v>
      </c>
      <c r="AXI37" s="319">
        <f t="shared" ref="AXI37" ca="1" si="12084">IF(AXA37&lt;&gt;"",VLOOKUP(AXA37,AWH4:AWN40,7,FALSE),"")</f>
        <v>1000</v>
      </c>
      <c r="AXJ37" s="319">
        <f t="shared" ref="AXJ37" ca="1" si="12085">IF(AXA37&lt;&gt;"",VLOOKUP(AXA37,AWH4:AWN40,5,FALSE),"")</f>
        <v>0</v>
      </c>
      <c r="AXK37" s="319">
        <f t="shared" ref="AXK37" ca="1" si="12086">IF(AXA37&lt;&gt;"",VLOOKUP(AXA37,AWH4:AWP40,9,FALSE),"")</f>
        <v>0</v>
      </c>
      <c r="AXL37" s="319">
        <f t="shared" ref="AXL37:AXL40" ca="1" si="12087">AXH37</f>
        <v>0</v>
      </c>
      <c r="AXM37" s="319">
        <f t="shared" ref="AXM37" ca="1" si="12088">IF(AXA37&lt;&gt;"",RANK(AXL37,AXL37:AXL41),"")</f>
        <v>1</v>
      </c>
      <c r="AXN37" s="319">
        <f t="shared" ref="AXN37" ca="1" si="12089">IF(AXA37&lt;&gt;"",SUMPRODUCT((AXL37:AXL41=AXL37)*(AXG37:AXG41&gt;AXG37)),"")</f>
        <v>0</v>
      </c>
      <c r="AXO37" s="319">
        <f t="shared" ref="AXO37" ca="1" si="12090">IF(AXA37&lt;&gt;"",SUMPRODUCT((AXL37:AXL41=AXL37)*(AXG37:AXG41=AXG37)*(AXE37:AXE41&gt;AXE37)),"")</f>
        <v>0</v>
      </c>
      <c r="AXP37" s="319">
        <f t="shared" ref="AXP37" ca="1" si="12091">IF(AXA37&lt;&gt;"",SUMPRODUCT((AXL37:AXL41=AXL37)*(AXG37:AXG41=AXG37)*(AXE37:AXE41=AXE37)*(AXI37:AXI41&gt;AXI37)),"")</f>
        <v>0</v>
      </c>
      <c r="AXQ37" s="319">
        <f t="shared" ref="AXQ37" ca="1" si="12092">IF(AXA37&lt;&gt;"",SUMPRODUCT((AXL37:AXL41=AXL37)*(AXG37:AXG41=AXG37)*(AXE37:AXE41=AXE37)*(AXI37:AXI41=AXI37)*(AXJ37:AXJ41&gt;AXJ37)),"")</f>
        <v>0</v>
      </c>
      <c r="AXR37" s="319">
        <f t="shared" ref="AXR37" ca="1" si="12093">IF(AXA37&lt;&gt;"",SUMPRODUCT((AXL37:AXL41=AXL37)*(AXG37:AXG41=AXG37)*(AXE37:AXE41=AXE37)*(AXI37:AXI41=AXI37)*(AXJ37:AXJ41=AXJ37)*(AXK37:AXK41&gt;AXK37)),"")</f>
        <v>3</v>
      </c>
      <c r="AXS37" s="319">
        <f ca="1">IF(AXA37&lt;&gt;"",IF(AXS77&lt;&gt;"",IF(AWZ76=3,AXS77,AXS77+AWZ76),SUM(AXM37:AXR37)),"")</f>
        <v>4</v>
      </c>
      <c r="AXT37" s="319" t="str">
        <f t="shared" ref="AXT37" ca="1" si="12094">IF(AXA37&lt;&gt;"",INDEX(AXA37:AXA41,MATCH(1,AXS37:AXS41,0),0),"")</f>
        <v>Portugal</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0</v>
      </c>
      <c r="BAH37" s="322">
        <f ca="1">IF(OFFSET('Player Game Board'!Q44,0,BAG1)&lt;&gt;"",OFFSET('Player Game Board'!Q44,0,BAG1),0)</f>
        <v>0</v>
      </c>
      <c r="BAI37" s="319" t="str">
        <f t="shared" si="131"/>
        <v>Portugal</v>
      </c>
      <c r="BAJ37" s="319" t="str">
        <f ca="1">IF(AND(OFFSET('Player Game Board'!P44,0,BAG1)&lt;&gt;"",OFFSET('Player Game Board'!Q44,0,BAG1)&lt;&gt;""),IF(BAG37&gt;BAH37,"W",IF(BAG37=BAH37,"D","L")),"")</f>
        <v/>
      </c>
      <c r="BAK37" s="319" t="str">
        <f t="shared" ca="1" si="5885"/>
        <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ht="13.8" x14ac:dyDescent="0.3">
      <c r="A38" s="319">
        <f>VLOOKUP(B38,CW37:CX41,2,FALSE)</f>
        <v>3</v>
      </c>
      <c r="B38" s="319" t="str">
        <f>'Language Table'!C10</f>
        <v>Czechia</v>
      </c>
      <c r="C38" s="319">
        <f>SUMPRODUCT((CZ3:CZ42=B38)*(DD3:DD42="W"))+SUMPRODUCT((DC3:DC42=B38)*(DE3:DE42="W"))</f>
        <v>0</v>
      </c>
      <c r="D38" s="319">
        <f>SUMPRODUCT((CZ3:CZ42=B38)*(DD3:DD42="D"))+SUMPRODUCT((DC3:DC42=B38)*(DE3:DE42="D"))</f>
        <v>0</v>
      </c>
      <c r="E38" s="319">
        <f>SUMPRODUCT((CZ3:CZ42=B38)*(DD3:DD42="L"))+SUMPRODUCT((DC3:DC42=B38)*(DE3:DE42="L"))</f>
        <v>1</v>
      </c>
      <c r="F38" s="319">
        <f>SUMIF(CZ3:CZ60,B38,DA3:DA60)+SUMIF(DC3:DC60,B38,DB3:DB60)</f>
        <v>1</v>
      </c>
      <c r="G38" s="319">
        <f>SUMIF(DC3:DC60,B38,DA3:DA60)+SUMIF(CZ3:CZ60,B38,DB3:DB60)</f>
        <v>2</v>
      </c>
      <c r="H38" s="319">
        <f t="shared" si="11788"/>
        <v>999</v>
      </c>
      <c r="I38" s="319">
        <f t="shared" si="11789"/>
        <v>0</v>
      </c>
      <c r="J38" s="319">
        <v>37</v>
      </c>
      <c r="K38" s="319">
        <f>IF(COUNTIF(I37:I41,4)&lt;&gt;4,RANK(I38,I37:I41),I78)</f>
        <v>3</v>
      </c>
      <c r="L38" s="319"/>
      <c r="M38" s="319">
        <f>SUMPRODUCT((K37:K40=K38)*(J37:J40&lt;J38))+K38</f>
        <v>4</v>
      </c>
      <c r="N38" s="319" t="str">
        <f>INDEX(B37:B41,MATCH(2,M37:M41,0),0)</f>
        <v>Portugal</v>
      </c>
      <c r="O38" s="319">
        <f>INDEX(K37:K41,MATCH(N38,B37:B41,0),0)</f>
        <v>1</v>
      </c>
      <c r="P38" s="319" t="str">
        <f>IF(P37&lt;&gt;"",N38,"")</f>
        <v>Portugal</v>
      </c>
      <c r="Q38" s="319" t="str">
        <f>IF(Q37&lt;&gt;"",N39,"")</f>
        <v/>
      </c>
      <c r="R38" s="319" t="str">
        <f>IF(R37&lt;&gt;"",N40,"")</f>
        <v>Czechia</v>
      </c>
      <c r="S38" s="319" t="str">
        <f>IF(S37&lt;&gt;"",N41,"")</f>
        <v/>
      </c>
      <c r="T38" s="319"/>
      <c r="U38" s="319" t="str">
        <f t="shared" ref="U38:U40" si="12133">IF(P38&lt;&gt;"",P38,"")</f>
        <v>Portugal</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f t="shared" si="11790"/>
        <v>0</v>
      </c>
      <c r="AC38" s="319">
        <f>IF(U38&lt;&gt;"",VLOOKUP(U38,B4:H40,7,FALSE),"")</f>
        <v>1001</v>
      </c>
      <c r="AD38" s="319">
        <f>IF(U38&lt;&gt;"",VLOOKUP(U38,B4:H40,5,FALSE),"")</f>
        <v>2</v>
      </c>
      <c r="AE38" s="319">
        <f>IF(U38&lt;&gt;"",VLOOKUP(U38,B4:J40,9,FALSE),"")</f>
        <v>53</v>
      </c>
      <c r="AF38" s="319">
        <f t="shared" si="11791"/>
        <v>0</v>
      </c>
      <c r="AG38" s="319">
        <f>IF(U38&lt;&gt;"",RANK(AF38,AF37:AF41),"")</f>
        <v>1</v>
      </c>
      <c r="AH38" s="319">
        <f>IF(U38&lt;&gt;"",SUMPRODUCT((AF37:AF41=AF38)*(AA37:AA41&gt;AA38)),"")</f>
        <v>0</v>
      </c>
      <c r="AI38" s="319">
        <f>IF(U38&lt;&gt;"",SUMPRODUCT((AF37:AF41=AF38)*(AA37:AA41=AA38)*(Y37:Y41&gt;Y38)),"")</f>
        <v>0</v>
      </c>
      <c r="AJ38" s="319">
        <f>IF(U38&lt;&gt;"",SUMPRODUCT((AF37:AF41=AF38)*(AA37:AA41=AA38)*(Y37:Y41=Y38)*(AC37:AC41&gt;AC38)),"")</f>
        <v>1</v>
      </c>
      <c r="AK38" s="319">
        <f>IF(U38&lt;&gt;"",SUMPRODUCT((AF37:AF41=AF38)*(AA37:AA41=AA38)*(Y37:Y41=Y38)*(AC37:AC41=AC38)*(AD37:AD41&gt;AD38)),"")</f>
        <v>0</v>
      </c>
      <c r="AL38" s="319">
        <f>IF(U38&lt;&gt;"",SUMPRODUCT((AF37:AF41=AF38)*(AA37:AA41=AA38)*(Y37:Y41=Y38)*(AC37:AC41=AC38)*(AD37:AD41=AD38)*(AE37:AE41&gt;AE38)),"")</f>
        <v>0</v>
      </c>
      <c r="AM38" s="319">
        <f>IF(U38&lt;&gt;"",IF(AM78&lt;&gt;"",IF(T76=3,AM78,AM78+T76),SUM(AG38:AL38)),"")</f>
        <v>2</v>
      </c>
      <c r="AN38" s="319" t="str">
        <f>IF(U38&lt;&gt;"",INDEX(U37:U41,MATCH(2,AM37:AM41,0),0),"")</f>
        <v>Portugal</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Portugal</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1</v>
      </c>
      <c r="EB38" s="319">
        <f ca="1">SUMPRODUCT((HX3:HX42=DZ38)*(IB3:IB42="D"))+SUMPRODUCT((IA3:IA42=DZ38)*(IC3:IC42="D"))</f>
        <v>1</v>
      </c>
      <c r="EC38" s="319">
        <f ca="1">SUMPRODUCT((HX3:HX42=DZ38)*(IB3:IB42="L"))+SUMPRODUCT((IA3:IA42=DZ38)*(IC3:IC42="L"))</f>
        <v>1</v>
      </c>
      <c r="ED38" s="319">
        <f ca="1">SUMIF(HX3:HX60,DZ38,HY3:HY60)+SUMIF(IA3:IA60,DZ38,HZ3:HZ60)</f>
        <v>5</v>
      </c>
      <c r="EE38" s="319">
        <f ca="1">SUMIF(IA3:IA60,DZ38,HY3:HY60)+SUMIF(HX3:HX60,DZ38,HZ3:HZ60)</f>
        <v>6</v>
      </c>
      <c r="EF38" s="319">
        <f t="shared" ca="1" si="11792"/>
        <v>999</v>
      </c>
      <c r="EG38" s="319">
        <f t="shared" ca="1" si="11793"/>
        <v>4</v>
      </c>
      <c r="EH38" s="319">
        <f t="shared" si="609"/>
        <v>37</v>
      </c>
      <c r="EI38" s="319">
        <f ca="1">IF(COUNTIF(EG37:EG41,4)&lt;&gt;4,RANK(EG38,EG37:EG41),EG78)</f>
        <v>2</v>
      </c>
      <c r="EJ38" s="319"/>
      <c r="EK38" s="319">
        <f ca="1">SUMPRODUCT((EI37:EI40=EI38)*(EH37:EH40&lt;EH38))+EI38</f>
        <v>2</v>
      </c>
      <c r="EL38" s="319" t="str">
        <f ca="1">INDEX(DZ37:DZ41,MATCH(2,EK37:EK41,0),0)</f>
        <v>Czechia</v>
      </c>
      <c r="EM38" s="319">
        <f ca="1">INDEX(EI37:EI41,MATCH(EL38,DZ37:DZ41,0),0)</f>
        <v>2</v>
      </c>
      <c r="EN38" s="319" t="str">
        <f ca="1">IF(EN37&lt;&gt;"",EL38,"")</f>
        <v/>
      </c>
      <c r="EO38" s="319" t="str">
        <f ca="1">IF(EO37&lt;&gt;"",EL39,"")</f>
        <v>Türkiye</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Czechia</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1</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2</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2</v>
      </c>
      <c r="FS38" s="319">
        <f ca="1">FQ38-FR38+1000</f>
        <v>1000</v>
      </c>
      <c r="FT38" s="319">
        <f t="shared" ref="FT38:FT40" ca="1" si="12138">IF(FM38&lt;&gt;"",FN38*3+FO38*1,"")</f>
        <v>1</v>
      </c>
      <c r="FU38" s="319">
        <f ca="1">IF(FM38&lt;&gt;"",VLOOKUP(FM38,DZ4:EF40,7,FALSE),"")</f>
        <v>999</v>
      </c>
      <c r="FV38" s="319">
        <f ca="1">IF(FM38&lt;&gt;"",VLOOKUP(FM38,DZ4:EF40,5,FALSE),"")</f>
        <v>5</v>
      </c>
      <c r="FW38" s="319">
        <f ca="1">IF(FM38&lt;&gt;"",VLOOKUP(FM38,DZ4:EH40,9,FALSE),"")</f>
        <v>37</v>
      </c>
      <c r="FX38" s="319">
        <f t="shared" ref="FX38:FX40" ca="1" si="12139">FT38</f>
        <v>1</v>
      </c>
      <c r="FY38" s="319">
        <f ca="1">IF(FM38&lt;&gt;"",RANK(FX38,FX37:FX40),"")</f>
        <v>1</v>
      </c>
      <c r="FZ38" s="319">
        <f ca="1">IF(FM38&lt;&gt;"",SUMPRODUCT((FX37:FX41=FX38)*(FS37:FS41&gt;FS38)),"")</f>
        <v>0</v>
      </c>
      <c r="GA38" s="319">
        <f ca="1">IF(FM38&lt;&gt;"",SUMPRODUCT((FX37:FX41=FX38)*(FS37:FS41=FS38)*(FQ37:FQ41&gt;FQ38)),"")</f>
        <v>0</v>
      </c>
      <c r="GB38" s="319">
        <f ca="1">IF(FM38&lt;&gt;"",SUMPRODUCT((FX37:FX41=FX38)*(FS37:FS41=FS38)*(FQ37:FQ41=FQ38)*(FU37:FU41&gt;FU38)),"")</f>
        <v>1</v>
      </c>
      <c r="GC38" s="319">
        <f ca="1">IF(FM38&lt;&gt;"",SUMPRODUCT((FX37:FX41=FX38)*(FS37:FS41=FS38)*(FQ37:FQ41=FQ38)*(FU37:FU41=FU38)*(FV37:FV41&gt;FV38)),"")</f>
        <v>0</v>
      </c>
      <c r="GD38" s="319">
        <f ca="1">IF(FM38&lt;&gt;"",SUMPRODUCT((FX37:FX41=FX38)*(FS37:FS41=FS38)*(FQ37:FQ41=FQ38)*(FU37:FU41=FU38)*(FV37:FV41=FV38)*(FW37:FW41&gt;FW38)),"")</f>
        <v>0</v>
      </c>
      <c r="GE38" s="319">
        <f ca="1">IF(FM38&lt;&gt;"",IF(GE78&lt;&gt;"",IF(FL76=3,GE78,GE78+FL76),SUM(FY38:GD38)+1),"")</f>
        <v>3</v>
      </c>
      <c r="GF38" s="319" t="str">
        <f ca="1">IF(FM38&lt;&gt;"",INDEX(FM38:FM41,MATCH(2,GE38:GE41,0),0),"")</f>
        <v>Türkiye</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2</v>
      </c>
      <c r="HZ38" s="322">
        <f ca="1">IF(OFFSET('Player Game Board'!Q45,0,HY1)&lt;&gt;"",OFFSET('Player Game Board'!Q45,0,HY1),0)</f>
        <v>2</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1</v>
      </c>
      <c r="IX38" s="319" t="str">
        <f t="shared" ref="IX38:IX40" si="12140">DZ38</f>
        <v>Czechia</v>
      </c>
      <c r="IY38" s="319">
        <f ca="1">SUMPRODUCT((MV3:MV42=IX38)*(MZ3:MZ42="W"))+SUMPRODUCT((MY3:MY42=IX38)*(NA3:NA42="W"))</f>
        <v>2</v>
      </c>
      <c r="IZ38" s="319">
        <f ca="1">SUMPRODUCT((MV3:MV42=IX38)*(MZ3:MZ42="D"))+SUMPRODUCT((MY3:MY42=IX38)*(NA3:NA42="D"))</f>
        <v>1</v>
      </c>
      <c r="JA38" s="319">
        <f ca="1">SUMPRODUCT((MV3:MV42=IX38)*(MZ3:MZ42="L"))+SUMPRODUCT((MY3:MY42=IX38)*(NA3:NA42="L"))</f>
        <v>0</v>
      </c>
      <c r="JB38" s="319">
        <f ca="1">SUMIF(MV3:MV60,IX38,MW3:MW60)+SUMIF(MY3:MY60,IX38,MX3:MX60)</f>
        <v>7</v>
      </c>
      <c r="JC38" s="319">
        <f ca="1">SUMIF(MY3:MY60,IX38,MW3:MW60)+SUMIF(MV3:MV60,IX38,MX3:MX60)</f>
        <v>3</v>
      </c>
      <c r="JD38" s="319">
        <f t="shared" ca="1" si="11796"/>
        <v>1004</v>
      </c>
      <c r="JE38" s="319">
        <f t="shared" ca="1" si="11797"/>
        <v>7</v>
      </c>
      <c r="JF38" s="319">
        <f t="shared" si="618"/>
        <v>37</v>
      </c>
      <c r="JG38" s="319">
        <f ca="1">IF(COUNTIF(JE37:JE41,4)&lt;&gt;4,RANK(JE38,JE37:JE41),JE78)</f>
        <v>1</v>
      </c>
      <c r="JH38" s="319"/>
      <c r="JI38" s="319">
        <f ca="1">SUMPRODUCT((JG37:JG40=JG38)*(JF37:JF40&lt;JF38))+JG38</f>
        <v>1</v>
      </c>
      <c r="JJ38" s="319" t="str">
        <f ca="1">INDEX(IX37:IX41,MATCH(2,JI37:JI41,0),0)</f>
        <v>Portugal</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Portugal</v>
      </c>
      <c r="MT38" s="319">
        <v>2</v>
      </c>
      <c r="MU38" s="319">
        <v>36</v>
      </c>
      <c r="MV38" s="319" t="str">
        <f t="shared" si="170"/>
        <v>Czechia</v>
      </c>
      <c r="MW38" s="322">
        <f ca="1">IF(OFFSET('Player Game Board'!P45,0,MW1)&lt;&gt;"",OFFSET('Player Game Board'!P45,0,MW1),0)</f>
        <v>2</v>
      </c>
      <c r="MX38" s="322">
        <f ca="1">IF(OFFSET('Player Game Board'!Q45,0,MW1)&lt;&gt;"",OFFSET('Player Game Board'!Q45,0,MW1),0)</f>
        <v>2</v>
      </c>
      <c r="MY38" s="319" t="str">
        <f t="shared" si="171"/>
        <v>Türkiye</v>
      </c>
      <c r="MZ38" s="319" t="str">
        <f ca="1">IF(AND(OFFSET('Player Game Board'!P45,0,MW1)&lt;&gt;"",OFFSET('Player Game Board'!Q45,0,MW1)&lt;&gt;""),IF(MW38&gt;MX38,"W",IF(MW38=MX38,"D","L")),"")</f>
        <v>D</v>
      </c>
      <c r="NA38" s="319" t="str">
        <f t="shared" ca="1" si="172"/>
        <v>D</v>
      </c>
      <c r="NB38" s="319"/>
      <c r="NC38" s="319"/>
      <c r="ND38" s="319"/>
      <c r="NE38" s="320"/>
      <c r="NF38" s="320"/>
      <c r="NG38" s="320"/>
      <c r="NH38" s="320"/>
      <c r="NI38" s="320"/>
      <c r="NJ38" s="320"/>
      <c r="NK38" s="320"/>
      <c r="NL38" s="319"/>
      <c r="NM38" s="319"/>
      <c r="NN38" s="319"/>
      <c r="NO38" s="319"/>
      <c r="NP38" s="319"/>
      <c r="NQ38" s="319"/>
      <c r="NR38" s="319"/>
      <c r="NS38" s="319" t="s">
        <v>101</v>
      </c>
      <c r="NT38" s="319"/>
      <c r="NU38" s="319">
        <f t="shared" ref="NU38" ca="1" si="12144">VLOOKUP(NV38,RQ37:RR41,2,FALSE)</f>
        <v>3</v>
      </c>
      <c r="NV38" s="319" t="str">
        <f t="shared" si="11801"/>
        <v>Czechia</v>
      </c>
      <c r="NW38" s="319">
        <f t="shared" ref="NW38" ca="1" si="12145">SUMPRODUCT((RT3:RT42=NV38)*(RX3:RX42="W"))+SUMPRODUCT((RW3:RW42=NV38)*(RY3:RY42="W"))</f>
        <v>1</v>
      </c>
      <c r="NX38" s="319">
        <f t="shared" ref="NX38" ca="1" si="12146">SUMPRODUCT((RT3:RT42=NV38)*(RX3:RX42="D"))+SUMPRODUCT((RW3:RW42=NV38)*(RY3:RY42="D"))</f>
        <v>0</v>
      </c>
      <c r="NY38" s="319">
        <f t="shared" ref="NY38" ca="1" si="12147">SUMPRODUCT((RT3:RT42=NV38)*(RX3:RX42="L"))+SUMPRODUCT((RW3:RW42=NV38)*(RY3:RY42="L"))</f>
        <v>2</v>
      </c>
      <c r="NZ38" s="319">
        <f t="shared" ref="NZ38" ca="1" si="12148">SUMIF(RT3:RT60,NV38,RU3:RU60)+SUMIF(RW3:RW60,NV38,RV3:RV60)</f>
        <v>2</v>
      </c>
      <c r="OA38" s="319">
        <f t="shared" ref="OA38" ca="1" si="12149">SUMIF(RW3:RW60,NV38,RU3:RU60)+SUMIF(RT3:RT60,NV38,RV3:RV60)</f>
        <v>4</v>
      </c>
      <c r="OB38" s="319">
        <f t="shared" ca="1" si="11807"/>
        <v>998</v>
      </c>
      <c r="OC38" s="319">
        <f t="shared" ca="1" si="11808"/>
        <v>3</v>
      </c>
      <c r="OD38" s="319">
        <f t="shared" si="630"/>
        <v>37</v>
      </c>
      <c r="OE38" s="319">
        <f t="shared" ref="OE38" ca="1" si="12150">IF(COUNTIF(OC37:OC41,4)&lt;&gt;4,RANK(OC38,OC37:OC41),OC78)</f>
        <v>3</v>
      </c>
      <c r="OF38" s="319"/>
      <c r="OG38" s="319">
        <f t="shared" ref="OG38" ca="1" si="12151">SUMPRODUCT((OE37:OE40=OE38)*(OD37:OD40&lt;OD38))+OE38</f>
        <v>3</v>
      </c>
      <c r="OH38" s="319" t="str">
        <f t="shared" ref="OH38" ca="1" si="12152">INDEX(NV37:NV41,MATCH(2,OG37:OG41,0),0)</f>
        <v>Portugal</v>
      </c>
      <c r="OI38" s="319">
        <f t="shared" ref="OI38" ca="1" si="12153">INDEX(OE37:OE41,MATCH(OH38,NV37:NV41,0),0)</f>
        <v>1</v>
      </c>
      <c r="OJ38" s="319" t="str">
        <f t="shared" ref="OJ38" ca="1" si="12154">IF(OJ37&lt;&gt;"",OH38,"")</f>
        <v>Portugal</v>
      </c>
      <c r="OK38" s="319" t="str">
        <f t="shared" ref="OK38" ca="1" si="12155">IF(OK37&lt;&gt;"",OH39,"")</f>
        <v/>
      </c>
      <c r="OL38" s="319" t="str">
        <f t="shared" ref="OL38" ca="1" si="12156">IF(OL37&lt;&gt;"",OH40,"")</f>
        <v/>
      </c>
      <c r="OM38" s="319" t="str">
        <f t="shared" ref="OM38" si="12157">IF(OM37&lt;&gt;"",OH41,"")</f>
        <v/>
      </c>
      <c r="ON38" s="319"/>
      <c r="OO38" s="319" t="str">
        <f t="shared" ca="1" si="11817"/>
        <v>Portugal</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1</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1</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1</v>
      </c>
      <c r="OU38" s="319">
        <f t="shared" ca="1" si="11823"/>
        <v>1000</v>
      </c>
      <c r="OV38" s="319">
        <f t="shared" ca="1" si="11824"/>
        <v>1</v>
      </c>
      <c r="OW38" s="319">
        <f t="shared" ref="OW38" ca="1" si="12163">IF(OO38&lt;&gt;"",VLOOKUP(OO38,NV4:OB40,7,FALSE),"")</f>
        <v>1003</v>
      </c>
      <c r="OX38" s="319">
        <f t="shared" ref="OX38" ca="1" si="12164">IF(OO38&lt;&gt;"",VLOOKUP(OO38,NV4:OB40,5,FALSE),"")</f>
        <v>4</v>
      </c>
      <c r="OY38" s="319">
        <f t="shared" ref="OY38" ca="1" si="12165">IF(OO38&lt;&gt;"",VLOOKUP(OO38,NV4:OD40,9,FALSE),"")</f>
        <v>53</v>
      </c>
      <c r="OZ38" s="319">
        <f t="shared" ca="1" si="11828"/>
        <v>1</v>
      </c>
      <c r="PA38" s="319">
        <f t="shared" ref="PA38" ca="1" si="12166">IF(OO38&lt;&gt;"",RANK(OZ38,OZ37:OZ41),"")</f>
        <v>1</v>
      </c>
      <c r="PB38" s="319">
        <f t="shared" ref="PB38" ca="1" si="12167">IF(OO38&lt;&gt;"",SUMPRODUCT((OZ37:OZ41=OZ38)*(OU37:OU41&gt;OU38)),"")</f>
        <v>0</v>
      </c>
      <c r="PC38" s="319">
        <f t="shared" ref="PC38" ca="1" si="12168">IF(OO38&lt;&gt;"",SUMPRODUCT((OZ37:OZ41=OZ38)*(OU37:OU41=OU38)*(OS37:OS41&gt;OS38)),"")</f>
        <v>0</v>
      </c>
      <c r="PD38" s="319">
        <f t="shared" ref="PD38" ca="1" si="12169">IF(OO38&lt;&gt;"",SUMPRODUCT((OZ37:OZ41=OZ38)*(OU37:OU41=OU38)*(OS37:OS41=OS38)*(OW37:OW41&gt;OW38)),"")</f>
        <v>0</v>
      </c>
      <c r="PE38" s="319">
        <f t="shared" ref="PE38" ca="1" si="12170">IF(OO38&lt;&gt;"",SUMPRODUCT((OZ37:OZ41=OZ38)*(OU37:OU41=OU38)*(OS37:OS41=OS38)*(OW37:OW41=OW38)*(OX37:OX41&gt;OX38)),"")</f>
        <v>1</v>
      </c>
      <c r="PF38" s="319">
        <f t="shared" ref="PF38" ca="1" si="12171">IF(OO38&lt;&gt;"",SUMPRODUCT((OZ37:OZ41=OZ38)*(OU37:OU41=OU38)*(OS37:OS41=OS38)*(OW37:OW41=OW38)*(OX37:OX41=OX38)*(OY37:OY41&gt;OY38)),"")</f>
        <v>0</v>
      </c>
      <c r="PG38" s="319">
        <f ca="1">IF(OO38&lt;&gt;"",IF(PG78&lt;&gt;"",IF(ON76=3,PG78,PG78+ON76),SUM(PA38:PF38)),"")</f>
        <v>2</v>
      </c>
      <c r="PH38" s="319" t="str">
        <f t="shared" ref="PH38" ca="1" si="12172">IF(OO38&lt;&gt;"",INDEX(OO37:OO41,MATCH(2,PG37:PG41,0),0),"")</f>
        <v>Portugal</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Portugal</v>
      </c>
      <c r="RR38" s="319">
        <v>2</v>
      </c>
      <c r="RS38" s="319">
        <v>36</v>
      </c>
      <c r="RT38" s="319" t="str">
        <f t="shared" si="18"/>
        <v>Czechia</v>
      </c>
      <c r="RU38" s="322">
        <f ca="1">IF(OFFSET('Player Game Board'!P45,0,RU1)&lt;&gt;"",OFFSET('Player Game Board'!P45,0,RU1),0)</f>
        <v>1</v>
      </c>
      <c r="RV38" s="322">
        <f ca="1">IF(OFFSET('Player Game Board'!Q45,0,RU1)&lt;&gt;"",OFFSET('Player Game Board'!Q45,0,RU1),0)</f>
        <v>2</v>
      </c>
      <c r="RW38" s="319" t="str">
        <f t="shared" si="19"/>
        <v>Türkiye</v>
      </c>
      <c r="RX38" s="319" t="str">
        <f ca="1">IF(AND(OFFSET('Player Game Board'!P45,0,RU1)&lt;&gt;"",OFFSET('Player Game Board'!Q45,0,RU1)&lt;&gt;""),IF(RU38&gt;RV38,"W",IF(RU38=RV38,"D","L")),"")</f>
        <v>L</v>
      </c>
      <c r="RY38" s="319" t="str">
        <f t="shared" ca="1" si="5500"/>
        <v>W</v>
      </c>
      <c r="RZ38" s="319"/>
      <c r="SA38" s="319"/>
      <c r="SB38" s="319"/>
      <c r="SC38" s="320"/>
      <c r="SD38" s="320"/>
      <c r="SE38" s="320"/>
      <c r="SF38" s="320"/>
      <c r="SG38" s="320"/>
      <c r="SH38" s="320"/>
      <c r="SI38" s="320"/>
      <c r="SJ38" s="319"/>
      <c r="SK38" s="319"/>
      <c r="SL38" s="319"/>
      <c r="SM38" s="319"/>
      <c r="SN38" s="319"/>
      <c r="SO38" s="319"/>
      <c r="SP38" s="319"/>
      <c r="SQ38" s="319" t="s">
        <v>101</v>
      </c>
      <c r="SR38" s="319"/>
      <c r="SS38" s="319">
        <f t="shared" ref="SS38" ca="1" si="12193">VLOOKUP(ST38,WO37:WP41,2,FALSE)</f>
        <v>3</v>
      </c>
      <c r="ST38" s="319" t="str">
        <f t="shared" si="11838"/>
        <v>Czechia</v>
      </c>
      <c r="SU38" s="319">
        <f t="shared" ref="SU38" ca="1" si="12194">SUMPRODUCT((WR3:WR42=ST38)*(WV3:WV42="W"))+SUMPRODUCT((WU3:WU42=ST38)*(WW3:WW42="W"))</f>
        <v>1</v>
      </c>
      <c r="SV38" s="319">
        <f t="shared" ref="SV38" ca="1" si="12195">SUMPRODUCT((WR3:WR42=ST38)*(WV3:WV42="D"))+SUMPRODUCT((WU3:WU42=ST38)*(WW3:WW42="D"))</f>
        <v>1</v>
      </c>
      <c r="SW38" s="319">
        <f t="shared" ref="SW38" ca="1" si="12196">SUMPRODUCT((WR3:WR42=ST38)*(WV3:WV42="L"))+SUMPRODUCT((WU3:WU42=ST38)*(WW3:WW42="L"))</f>
        <v>1</v>
      </c>
      <c r="SX38" s="319">
        <f t="shared" ref="SX38" ca="1" si="12197">SUMIF(WR3:WR60,ST38,WS3:WS60)+SUMIF(WU3:WU60,ST38,WT3:WT60)</f>
        <v>2</v>
      </c>
      <c r="SY38" s="319">
        <f t="shared" ref="SY38" ca="1" si="12198">SUMIF(WU3:WU60,ST38,WS3:WS60)+SUMIF(WR3:WR60,ST38,WT3:WT60)</f>
        <v>2</v>
      </c>
      <c r="SZ38" s="319">
        <f t="shared" ca="1" si="11844"/>
        <v>1000</v>
      </c>
      <c r="TA38" s="319">
        <f t="shared" ca="1" si="11845"/>
        <v>4</v>
      </c>
      <c r="TB38" s="319">
        <f t="shared" si="690"/>
        <v>37</v>
      </c>
      <c r="TC38" s="319">
        <f t="shared" ref="TC38" ca="1" si="12199">IF(COUNTIF(TA37:TA41,4)&lt;&gt;4,RANK(TA38,TA37:TA41),TA78)</f>
        <v>3</v>
      </c>
      <c r="TD38" s="319"/>
      <c r="TE38" s="319">
        <f t="shared" ref="TE38" ca="1" si="12200">SUMPRODUCT((TC37:TC40=TC38)*(TB37:TB40&lt;TB38))+TC38</f>
        <v>3</v>
      </c>
      <c r="TF38" s="319" t="str">
        <f t="shared" ref="TF38" ca="1" si="12201">INDEX(ST37:ST41,MATCH(2,TE37:TE41,0),0)</f>
        <v>Türkiye</v>
      </c>
      <c r="TG38" s="319">
        <f t="shared" ref="TG38" ca="1" si="12202">INDEX(TC37:TC41,MATCH(TF38,ST37:ST41,0),0)</f>
        <v>2</v>
      </c>
      <c r="TH38" s="319" t="str">
        <f t="shared" ref="TH38" ca="1" si="12203">IF(TH37&lt;&gt;"",TF38,"")</f>
        <v/>
      </c>
      <c r="TI38" s="319" t="str">
        <f t="shared" ref="TI38" ca="1" si="12204">IF(TI37&lt;&gt;"",TF39,"")</f>
        <v/>
      </c>
      <c r="TJ38" s="319" t="str">
        <f t="shared" ref="TJ38" ca="1" si="12205">IF(TJ37&lt;&gt;"",TF40,"")</f>
        <v/>
      </c>
      <c r="TK38" s="319" t="str">
        <f t="shared" ref="TK38" si="12206">IF(TK37&lt;&gt;"",TF41,"")</f>
        <v/>
      </c>
      <c r="TL38" s="319"/>
      <c r="TM38" s="319" t="str">
        <f t="shared" ca="1" si="11854"/>
        <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t="str">
        <f t="shared" ca="1" si="11861"/>
        <v/>
      </c>
      <c r="TU38" s="319" t="str">
        <f t="shared" ref="TU38" ca="1" si="12212">IF(TM38&lt;&gt;"",VLOOKUP(TM38,ST4:SZ40,7,FALSE),"")</f>
        <v/>
      </c>
      <c r="TV38" s="319" t="str">
        <f t="shared" ref="TV38" ca="1" si="12213">IF(TM38&lt;&gt;"",VLOOKUP(TM38,ST4:SZ40,5,FALSE),"")</f>
        <v/>
      </c>
      <c r="TW38" s="319" t="str">
        <f t="shared" ref="TW38" ca="1" si="12214">IF(TM38&lt;&gt;"",VLOOKUP(TM38,ST4:TB40,9,FALSE),"")</f>
        <v/>
      </c>
      <c r="TX38" s="319" t="str">
        <f t="shared" ca="1" si="11865"/>
        <v/>
      </c>
      <c r="TY38" s="319" t="str">
        <f t="shared" ref="TY38" ca="1" si="12215">IF(TM38&lt;&gt;"",RANK(TX38,TX37:TX41),"")</f>
        <v/>
      </c>
      <c r="TZ38" s="319" t="str">
        <f t="shared" ref="TZ38" ca="1" si="12216">IF(TM38&lt;&gt;"",SUMPRODUCT((TX37:TX41=TX38)*(TS37:TS41&gt;TS38)),"")</f>
        <v/>
      </c>
      <c r="UA38" s="319" t="str">
        <f t="shared" ref="UA38" ca="1" si="12217">IF(TM38&lt;&gt;"",SUMPRODUCT((TX37:TX41=TX38)*(TS37:TS41=TS38)*(TQ37:TQ41&gt;TQ38)),"")</f>
        <v/>
      </c>
      <c r="UB38" s="319" t="str">
        <f t="shared" ref="UB38" ca="1" si="12218">IF(TM38&lt;&gt;"",SUMPRODUCT((TX37:TX41=TX38)*(TS37:TS41=TS38)*(TQ37:TQ41=TQ38)*(TU37:TU41&gt;TU38)),"")</f>
        <v/>
      </c>
      <c r="UC38" s="319" t="str">
        <f t="shared" ref="UC38" ca="1" si="12219">IF(TM38&lt;&gt;"",SUMPRODUCT((TX37:TX41=TX38)*(TS37:TS41=TS38)*(TQ37:TQ41=TQ38)*(TU37:TU41=TU38)*(TV37:TV41&gt;TV38)),"")</f>
        <v/>
      </c>
      <c r="UD38" s="319" t="str">
        <f t="shared" ref="UD38" ca="1" si="12220">IF(TM38&lt;&gt;"",SUMPRODUCT((TX37:TX41=TX38)*(TS37:TS41=TS38)*(TQ37:TQ41=TQ38)*(TU37:TU41=TU38)*(TV37:TV41=TV38)*(TW37:TW41&gt;TW38)),"")</f>
        <v/>
      </c>
      <c r="UE38" s="319" t="str">
        <f ca="1">IF(TM38&lt;&gt;"",IF(UE78&lt;&gt;"",IF(TL76=3,UE78,UE78+TL76),SUM(TY38:UD38)),"")</f>
        <v/>
      </c>
      <c r="UF38" s="319" t="str">
        <f t="shared" ref="UF38" ca="1" si="12221">IF(TM38&lt;&gt;"",INDEX(TM37:TM41,MATCH(2,UE37:UE41,0),0),"")</f>
        <v/>
      </c>
      <c r="UG38" s="319" t="str">
        <f t="shared" ref="UG38:UG40" ca="1" si="12222">IF(TI37&lt;&gt;"",TI37,"")</f>
        <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0</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0</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0</v>
      </c>
      <c r="UM38" s="319">
        <f t="shared" ref="UM38:UM40" ca="1" si="12228">UK38-UL38+1000</f>
        <v>1000</v>
      </c>
      <c r="UN38" s="319" t="str">
        <f t="shared" ref="UN38:UN40" ca="1" si="12229">IF(UG38&lt;&gt;"",UH38*3+UI38*1,"")</f>
        <v/>
      </c>
      <c r="UO38" s="319" t="str">
        <f t="shared" ref="UO38" ca="1" si="12230">IF(UG38&lt;&gt;"",VLOOKUP(UG38,ST4:SZ40,7,FALSE),"")</f>
        <v/>
      </c>
      <c r="UP38" s="319" t="str">
        <f t="shared" ref="UP38" ca="1" si="12231">IF(UG38&lt;&gt;"",VLOOKUP(UG38,ST4:SZ40,5,FALSE),"")</f>
        <v/>
      </c>
      <c r="UQ38" s="319" t="str">
        <f t="shared" ref="UQ38" ca="1" si="12232">IF(UG38&lt;&gt;"",VLOOKUP(UG38,ST4:TB40,9,FALSE),"")</f>
        <v/>
      </c>
      <c r="UR38" s="319" t="str">
        <f t="shared" ref="UR38:UR40" ca="1" si="12233">UN38</f>
        <v/>
      </c>
      <c r="US38" s="319" t="str">
        <f t="shared" ref="US38" ca="1" si="12234">IF(UG38&lt;&gt;"",RANK(UR38,UR37:UR40),"")</f>
        <v/>
      </c>
      <c r="UT38" s="319" t="str">
        <f t="shared" ref="UT38" ca="1" si="12235">IF(UG38&lt;&gt;"",SUMPRODUCT((UR37:UR41=UR38)*(UM37:UM41&gt;UM38)),"")</f>
        <v/>
      </c>
      <c r="UU38" s="319" t="str">
        <f t="shared" ref="UU38" ca="1" si="12236">IF(UG38&lt;&gt;"",SUMPRODUCT((UR37:UR41=UR38)*(UM37:UM41=UM38)*(UK37:UK41&gt;UK38)),"")</f>
        <v/>
      </c>
      <c r="UV38" s="319" t="str">
        <f t="shared" ref="UV38" ca="1" si="12237">IF(UG38&lt;&gt;"",SUMPRODUCT((UR37:UR41=UR38)*(UM37:UM41=UM38)*(UK37:UK41=UK38)*(UO37:UO41&gt;UO38)),"")</f>
        <v/>
      </c>
      <c r="UW38" s="319" t="str">
        <f t="shared" ref="UW38" ca="1" si="12238">IF(UG38&lt;&gt;"",SUMPRODUCT((UR37:UR41=UR38)*(UM37:UM41=UM38)*(UK37:UK41=UK38)*(UO37:UO41=UO38)*(UP37:UP41&gt;UP38)),"")</f>
        <v/>
      </c>
      <c r="UX38" s="319" t="str">
        <f t="shared" ref="UX38" ca="1" si="12239">IF(UG38&lt;&gt;"",SUMPRODUCT((UR37:UR41=UR38)*(UM37:UM41=UM38)*(UK37:UK41=UK38)*(UO37:UO41=UO38)*(UP37:UP41=UP38)*(UQ37:UQ41&gt;UQ38)),"")</f>
        <v/>
      </c>
      <c r="UY38" s="319" t="str">
        <f ca="1">IF(UG38&lt;&gt;"",IF(UY78&lt;&gt;"",IF(UF76=3,UY78,UY78+UF76),SUM(US38:UX38)+1),"")</f>
        <v/>
      </c>
      <c r="UZ38" s="319" t="str">
        <f t="shared" ref="UZ38" ca="1" si="12240">IF(UG38&lt;&gt;"",INDEX(UG38:UG41,MATCH(2,UY38:UY41,0),0),"")</f>
        <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Türkiye</v>
      </c>
      <c r="WP38" s="319">
        <v>2</v>
      </c>
      <c r="WQ38" s="319">
        <v>36</v>
      </c>
      <c r="WR38" s="319" t="str">
        <f t="shared" si="34"/>
        <v>Czechia</v>
      </c>
      <c r="WS38" s="322">
        <f ca="1">IF(OFFSET('Player Game Board'!P45,0,WS1)&lt;&gt;"",OFFSET('Player Game Board'!P45,0,WS1),0)</f>
        <v>1</v>
      </c>
      <c r="WT38" s="322">
        <f ca="1">IF(OFFSET('Player Game Board'!Q45,0,WS1)&lt;&gt;"",OFFSET('Player Game Board'!Q45,0,WS1),0)</f>
        <v>1</v>
      </c>
      <c r="WU38" s="319" t="str">
        <f t="shared" si="35"/>
        <v>Türkiye</v>
      </c>
      <c r="WV38" s="319" t="str">
        <f ca="1">IF(AND(OFFSET('Player Game Board'!P45,0,WS1)&lt;&gt;"",OFFSET('Player Game Board'!Q45,0,WS1)&lt;&gt;""),IF(WS38&gt;WT38,"W",IF(WS38=WT38,"D","L")),"")</f>
        <v>D</v>
      </c>
      <c r="WW38" s="319" t="str">
        <f t="shared" ca="1" si="5555"/>
        <v>D</v>
      </c>
      <c r="WX38" s="319"/>
      <c r="WY38" s="319"/>
      <c r="WZ38" s="319"/>
      <c r="XA38" s="320"/>
      <c r="XB38" s="320"/>
      <c r="XC38" s="320"/>
      <c r="XD38" s="320"/>
      <c r="XE38" s="320"/>
      <c r="XF38" s="320"/>
      <c r="XG38" s="320"/>
      <c r="XH38" s="319"/>
      <c r="XI38" s="319"/>
      <c r="XJ38" s="319"/>
      <c r="XK38" s="319"/>
      <c r="XL38" s="319"/>
      <c r="XM38" s="319"/>
      <c r="XN38" s="319"/>
      <c r="XO38" s="319" t="s">
        <v>101</v>
      </c>
      <c r="XP38" s="319"/>
      <c r="XQ38" s="319">
        <f t="shared" ref="XQ38" ca="1" si="12242">VLOOKUP(XR38,ABM37:ABN41,2,FALSE)</f>
        <v>3</v>
      </c>
      <c r="XR38" s="319" t="str">
        <f t="shared" si="11875"/>
        <v>Czechia</v>
      </c>
      <c r="XS38" s="319">
        <f t="shared" ref="XS38" ca="1" si="12243">SUMPRODUCT((ABP3:ABP42=XR38)*(ABT3:ABT42="W"))+SUMPRODUCT((ABS3:ABS42=XR38)*(ABU3:ABU42="W"))</f>
        <v>0</v>
      </c>
      <c r="XT38" s="319">
        <f t="shared" ref="XT38" ca="1" si="12244">SUMPRODUCT((ABP3:ABP42=XR38)*(ABT3:ABT42="D"))+SUMPRODUCT((ABS3:ABS42=XR38)*(ABU3:ABU42="D"))</f>
        <v>1</v>
      </c>
      <c r="XU38" s="319">
        <f t="shared" ref="XU38" ca="1" si="12245">SUMPRODUCT((ABP3:ABP42=XR38)*(ABT3:ABT42="L"))+SUMPRODUCT((ABS3:ABS42=XR38)*(ABU3:ABU42="L"))</f>
        <v>2</v>
      </c>
      <c r="XV38" s="319">
        <f t="shared" ref="XV38" ca="1" si="12246">SUMIF(ABP3:ABP60,XR38,ABQ3:ABQ60)+SUMIF(ABS3:ABS60,XR38,ABR3:ABR60)</f>
        <v>3</v>
      </c>
      <c r="XW38" s="319">
        <f t="shared" ref="XW38" ca="1" si="12247">SUMIF(ABS3:ABS60,XR38,ABQ3:ABQ60)+SUMIF(ABP3:ABP60,XR38,ABR3:ABR60)</f>
        <v>6</v>
      </c>
      <c r="XX38" s="319">
        <f t="shared" ca="1" si="11881"/>
        <v>997</v>
      </c>
      <c r="XY38" s="319">
        <f t="shared" ca="1" si="11882"/>
        <v>1</v>
      </c>
      <c r="XZ38" s="319">
        <f t="shared" si="750"/>
        <v>37</v>
      </c>
      <c r="YA38" s="319">
        <f t="shared" ref="YA38" ca="1" si="12248">IF(COUNTIF(XY37:XY41,4)&lt;&gt;4,RANK(XY38,XY37:XY41),XY78)</f>
        <v>3</v>
      </c>
      <c r="YB38" s="319"/>
      <c r="YC38" s="319">
        <f t="shared" ref="YC38" ca="1" si="12249">SUMPRODUCT((YA37:YA40=YA38)*(XZ37:XZ40&lt;XZ38))+YA38</f>
        <v>4</v>
      </c>
      <c r="YD38" s="319" t="str">
        <f t="shared" ref="YD38" ca="1" si="12250">INDEX(XR37:XR41,MATCH(2,YC37:YC41,0),0)</f>
        <v>Portugal</v>
      </c>
      <c r="YE38" s="319">
        <f t="shared" ref="YE38" ca="1" si="12251">INDEX(YA37:YA41,MATCH(YD38,XR37:XR41,0),0)</f>
        <v>1</v>
      </c>
      <c r="YF38" s="319" t="str">
        <f t="shared" ref="YF38" ca="1" si="12252">IF(YF37&lt;&gt;"",YD38,"")</f>
        <v>Portugal</v>
      </c>
      <c r="YG38" s="319" t="str">
        <f t="shared" ref="YG38" ca="1" si="12253">IF(YG37&lt;&gt;"",YD39,"")</f>
        <v/>
      </c>
      <c r="YH38" s="319" t="str">
        <f t="shared" ref="YH38" ca="1" si="12254">IF(YH37&lt;&gt;"",YD40,"")</f>
        <v>Czechia</v>
      </c>
      <c r="YI38" s="319" t="str">
        <f t="shared" ref="YI38" si="12255">IF(YI37&lt;&gt;"",YD41,"")</f>
        <v/>
      </c>
      <c r="YJ38" s="319"/>
      <c r="YK38" s="319" t="str">
        <f t="shared" ca="1" si="11891"/>
        <v>Portugal</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1</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2</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2</v>
      </c>
      <c r="YQ38" s="319">
        <f t="shared" ca="1" si="11897"/>
        <v>1000</v>
      </c>
      <c r="YR38" s="319">
        <f t="shared" ca="1" si="11898"/>
        <v>1</v>
      </c>
      <c r="YS38" s="319">
        <f t="shared" ref="YS38" ca="1" si="12261">IF(YK38&lt;&gt;"",VLOOKUP(YK38,XR4:XX40,7,FALSE),"")</f>
        <v>1006</v>
      </c>
      <c r="YT38" s="319">
        <f t="shared" ref="YT38" ca="1" si="12262">IF(YK38&lt;&gt;"",VLOOKUP(YK38,XR4:XX40,5,FALSE),"")</f>
        <v>9</v>
      </c>
      <c r="YU38" s="319">
        <f t="shared" ref="YU38" ca="1" si="12263">IF(YK38&lt;&gt;"",VLOOKUP(YK38,XR4:XZ40,9,FALSE),"")</f>
        <v>53</v>
      </c>
      <c r="YV38" s="319">
        <f t="shared" ca="1" si="11902"/>
        <v>1</v>
      </c>
      <c r="YW38" s="319">
        <f t="shared" ref="YW38" ca="1" si="12264">IF(YK38&lt;&gt;"",RANK(YV38,YV37:YV41),"")</f>
        <v>1</v>
      </c>
      <c r="YX38" s="319">
        <f t="shared" ref="YX38" ca="1" si="12265">IF(YK38&lt;&gt;"",SUMPRODUCT((YV37:YV41=YV38)*(YQ37:YQ41&gt;YQ38)),"")</f>
        <v>0</v>
      </c>
      <c r="YY38" s="319">
        <f t="shared" ref="YY38" ca="1" si="12266">IF(YK38&lt;&gt;"",SUMPRODUCT((YV37:YV41=YV38)*(YQ37:YQ41=YQ38)*(YO37:YO41&gt;YO38)),"")</f>
        <v>0</v>
      </c>
      <c r="YZ38" s="319">
        <f t="shared" ref="YZ38" ca="1" si="12267">IF(YK38&lt;&gt;"",SUMPRODUCT((YV37:YV41=YV38)*(YQ37:YQ41=YQ38)*(YO37:YO41=YO38)*(YS37:YS41&gt;YS38)),"")</f>
        <v>0</v>
      </c>
      <c r="ZA38" s="319">
        <f t="shared" ref="ZA38" ca="1" si="12268">IF(YK38&lt;&gt;"",SUMPRODUCT((YV37:YV41=YV38)*(YQ37:YQ41=YQ38)*(YO37:YO41=YO38)*(YS37:YS41=YS38)*(YT37:YT41&gt;YT38)),"")</f>
        <v>0</v>
      </c>
      <c r="ZB38" s="319">
        <f t="shared" ref="ZB38" ca="1" si="12269">IF(YK38&lt;&gt;"",SUMPRODUCT((YV37:YV41=YV38)*(YQ37:YQ41=YQ38)*(YO37:YO41=YO38)*(YS37:YS41=YS38)*(YT37:YT41=YT38)*(YU37:YU41&gt;YU38)),"")</f>
        <v>0</v>
      </c>
      <c r="ZC38" s="319">
        <f ca="1">IF(YK38&lt;&gt;"",IF(ZC78&lt;&gt;"",IF(YJ76=3,ZC78,ZC78+YJ76),SUM(YW38:ZB38)),"")</f>
        <v>1</v>
      </c>
      <c r="ZD38" s="319" t="str">
        <f t="shared" ref="ZD38" ca="1" si="12270">IF(YK38&lt;&gt;"",INDEX(YK37:YK41,MATCH(2,ZC37:ZC41,0),0),"")</f>
        <v>Türkiye</v>
      </c>
      <c r="ZE38" s="319" t="str">
        <f t="shared" ref="ZE38:ZE40" ca="1" si="12271">IF(YG37&lt;&gt;"",YG37,"")</f>
        <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0</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0</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0</v>
      </c>
      <c r="ZK38" s="319">
        <f t="shared" ref="ZK38:ZK40" ca="1" si="12277">ZI38-ZJ38+1000</f>
        <v>1000</v>
      </c>
      <c r="ZL38" s="319" t="str">
        <f t="shared" ref="ZL38:ZL40" ca="1" si="12278">IF(ZE38&lt;&gt;"",ZF38*3+ZG38*1,"")</f>
        <v/>
      </c>
      <c r="ZM38" s="319" t="str">
        <f t="shared" ref="ZM38" ca="1" si="12279">IF(ZE38&lt;&gt;"",VLOOKUP(ZE38,XR4:XX40,7,FALSE),"")</f>
        <v/>
      </c>
      <c r="ZN38" s="319" t="str">
        <f t="shared" ref="ZN38" ca="1" si="12280">IF(ZE38&lt;&gt;"",VLOOKUP(ZE38,XR4:XX40,5,FALSE),"")</f>
        <v/>
      </c>
      <c r="ZO38" s="319" t="str">
        <f t="shared" ref="ZO38" ca="1" si="12281">IF(ZE38&lt;&gt;"",VLOOKUP(ZE38,XR4:XZ40,9,FALSE),"")</f>
        <v/>
      </c>
      <c r="ZP38" s="319" t="str">
        <f t="shared" ref="ZP38:ZP40" ca="1" si="12282">ZL38</f>
        <v/>
      </c>
      <c r="ZQ38" s="319" t="str">
        <f t="shared" ref="ZQ38" ca="1" si="12283">IF(ZE38&lt;&gt;"",RANK(ZP38,ZP37:ZP40),"")</f>
        <v/>
      </c>
      <c r="ZR38" s="319" t="str">
        <f t="shared" ref="ZR38" ca="1" si="12284">IF(ZE38&lt;&gt;"",SUMPRODUCT((ZP37:ZP41=ZP38)*(ZK37:ZK41&gt;ZK38)),"")</f>
        <v/>
      </c>
      <c r="ZS38" s="319" t="str">
        <f t="shared" ref="ZS38" ca="1" si="12285">IF(ZE38&lt;&gt;"",SUMPRODUCT((ZP37:ZP41=ZP38)*(ZK37:ZK41=ZK38)*(ZI37:ZI41&gt;ZI38)),"")</f>
        <v/>
      </c>
      <c r="ZT38" s="319" t="str">
        <f t="shared" ref="ZT38" ca="1" si="12286">IF(ZE38&lt;&gt;"",SUMPRODUCT((ZP37:ZP41=ZP38)*(ZK37:ZK41=ZK38)*(ZI37:ZI41=ZI38)*(ZM37:ZM41&gt;ZM38)),"")</f>
        <v/>
      </c>
      <c r="ZU38" s="319" t="str">
        <f t="shared" ref="ZU38" ca="1" si="12287">IF(ZE38&lt;&gt;"",SUMPRODUCT((ZP37:ZP41=ZP38)*(ZK37:ZK41=ZK38)*(ZI37:ZI41=ZI38)*(ZM37:ZM41=ZM38)*(ZN37:ZN41&gt;ZN38)),"")</f>
        <v/>
      </c>
      <c r="ZV38" s="319" t="str">
        <f t="shared" ref="ZV38" ca="1" si="12288">IF(ZE38&lt;&gt;"",SUMPRODUCT((ZP37:ZP41=ZP38)*(ZK37:ZK41=ZK38)*(ZI37:ZI41=ZI38)*(ZM37:ZM41=ZM38)*(ZN37:ZN41=ZN38)*(ZO37:ZO41&gt;ZO38)),"")</f>
        <v/>
      </c>
      <c r="ZW38" s="319" t="str">
        <f ca="1">IF(ZE38&lt;&gt;"",IF(ZW78&lt;&gt;"",IF(ZD76=3,ZW78,ZW78+ZD76),SUM(ZQ38:ZV38)+1),"")</f>
        <v/>
      </c>
      <c r="ZX38" s="319" t="str">
        <f t="shared" ref="ZX38" ca="1" si="12289">IF(ZE38&lt;&gt;"",INDEX(ZE38:ZE41,MATCH(2,ZW38:ZW41,0),0),"")</f>
        <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Türkiye</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101</v>
      </c>
      <c r="ACN38" s="319"/>
      <c r="ACO38" s="319">
        <f t="shared" ref="ACO38" ca="1" si="12291">VLOOKUP(ACP38,AGK37:AGL41,2,FALSE)</f>
        <v>2</v>
      </c>
      <c r="ACP38" s="319" t="str">
        <f t="shared" si="11912"/>
        <v>Czechia</v>
      </c>
      <c r="ACQ38" s="319">
        <f t="shared" ref="ACQ38" ca="1" si="12292">SUMPRODUCT((AGN3:AGN42=ACP38)*(AGR3:AGR42="W"))+SUMPRODUCT((AGQ3:AGQ42=ACP38)*(AGS3:AGS42="W"))</f>
        <v>1</v>
      </c>
      <c r="ACR38" s="319">
        <f t="shared" ref="ACR38" ca="1" si="12293">SUMPRODUCT((AGN3:AGN42=ACP38)*(AGR3:AGR42="D"))+SUMPRODUCT((AGQ3:AGQ42=ACP38)*(AGS3:AGS42="D"))</f>
        <v>1</v>
      </c>
      <c r="ACS38" s="319">
        <f t="shared" ref="ACS38" ca="1" si="12294">SUMPRODUCT((AGN3:AGN42=ACP38)*(AGR3:AGR42="L"))+SUMPRODUCT((AGQ3:AGQ42=ACP38)*(AGS3:AGS42="L"))</f>
        <v>1</v>
      </c>
      <c r="ACT38" s="319">
        <f t="shared" ref="ACT38" ca="1" si="12295">SUMIF(AGN3:AGN60,ACP38,AGO3:AGO60)+SUMIF(AGQ3:AGQ60,ACP38,AGP3:AGP60)</f>
        <v>6</v>
      </c>
      <c r="ACU38" s="319">
        <f t="shared" ref="ACU38" ca="1" si="12296">SUMIF(AGQ3:AGQ60,ACP38,AGO3:AGO60)+SUMIF(AGN3:AGN60,ACP38,AGP3:AGP60)</f>
        <v>5</v>
      </c>
      <c r="ACV38" s="319">
        <f t="shared" ca="1" si="11918"/>
        <v>1001</v>
      </c>
      <c r="ACW38" s="319">
        <f t="shared" ca="1" si="11919"/>
        <v>4</v>
      </c>
      <c r="ACX38" s="319">
        <f t="shared" si="810"/>
        <v>37</v>
      </c>
      <c r="ACY38" s="319">
        <f t="shared" ref="ACY38" ca="1" si="12297">IF(COUNTIF(ACW37:ACW41,4)&lt;&gt;4,RANK(ACW38,ACW37:ACW41),ACW78)</f>
        <v>2</v>
      </c>
      <c r="ACZ38" s="319"/>
      <c r="ADA38" s="319">
        <f t="shared" ref="ADA38" ca="1" si="12298">SUMPRODUCT((ACY37:ACY40=ACY38)*(ACX37:ACX40&lt;ACX38))+ACY38</f>
        <v>2</v>
      </c>
      <c r="ADB38" s="319" t="str">
        <f t="shared" ref="ADB38" ca="1" si="12299">INDEX(ACP37:ACP41,MATCH(2,ADA37:ADA41,0),0)</f>
        <v>Czechia</v>
      </c>
      <c r="ADC38" s="319">
        <f t="shared" ref="ADC38" ca="1" si="12300">INDEX(ACY37:ACY41,MATCH(ADB38,ACP37:ACP41,0),0)</f>
        <v>2</v>
      </c>
      <c r="ADD38" s="319" t="str">
        <f t="shared" ref="ADD38" ca="1" si="12301">IF(ADD37&lt;&gt;"",ADB38,"")</f>
        <v/>
      </c>
      <c r="ADE38" s="319" t="str">
        <f t="shared" ref="ADE38" ca="1" si="12302">IF(ADE37&lt;&gt;"",ADB39,"")</f>
        <v>Türkiye</v>
      </c>
      <c r="ADF38" s="319" t="str">
        <f t="shared" ref="ADF38" ca="1" si="12303">IF(ADF37&lt;&gt;"",ADB40,"")</f>
        <v/>
      </c>
      <c r="ADG38" s="319" t="str">
        <f t="shared" ref="ADG38" si="12304">IF(ADG37&lt;&gt;"",ADB41,"")</f>
        <v/>
      </c>
      <c r="ADH38" s="319"/>
      <c r="ADI38" s="319" t="str">
        <f t="shared" ca="1" si="11928"/>
        <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0</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0</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0</v>
      </c>
      <c r="ADO38" s="319">
        <f t="shared" ca="1" si="11934"/>
        <v>1000</v>
      </c>
      <c r="ADP38" s="319" t="str">
        <f t="shared" ca="1" si="11935"/>
        <v/>
      </c>
      <c r="ADQ38" s="319" t="str">
        <f t="shared" ref="ADQ38" ca="1" si="12310">IF(ADI38&lt;&gt;"",VLOOKUP(ADI38,ACP4:ACV40,7,FALSE),"")</f>
        <v/>
      </c>
      <c r="ADR38" s="319" t="str">
        <f t="shared" ref="ADR38" ca="1" si="12311">IF(ADI38&lt;&gt;"",VLOOKUP(ADI38,ACP4:ACV40,5,FALSE),"")</f>
        <v/>
      </c>
      <c r="ADS38" s="319" t="str">
        <f t="shared" ref="ADS38" ca="1" si="12312">IF(ADI38&lt;&gt;"",VLOOKUP(ADI38,ACP4:ACX40,9,FALSE),"")</f>
        <v/>
      </c>
      <c r="ADT38" s="319" t="str">
        <f t="shared" ca="1" si="11939"/>
        <v/>
      </c>
      <c r="ADU38" s="319" t="str">
        <f t="shared" ref="ADU38" ca="1" si="12313">IF(ADI38&lt;&gt;"",RANK(ADT38,ADT37:ADT41),"")</f>
        <v/>
      </c>
      <c r="ADV38" s="319" t="str">
        <f t="shared" ref="ADV38" ca="1" si="12314">IF(ADI38&lt;&gt;"",SUMPRODUCT((ADT37:ADT41=ADT38)*(ADO37:ADO41&gt;ADO38)),"")</f>
        <v/>
      </c>
      <c r="ADW38" s="319" t="str">
        <f t="shared" ref="ADW38" ca="1" si="12315">IF(ADI38&lt;&gt;"",SUMPRODUCT((ADT37:ADT41=ADT38)*(ADO37:ADO41=ADO38)*(ADM37:ADM41&gt;ADM38)),"")</f>
        <v/>
      </c>
      <c r="ADX38" s="319" t="str">
        <f t="shared" ref="ADX38" ca="1" si="12316">IF(ADI38&lt;&gt;"",SUMPRODUCT((ADT37:ADT41=ADT38)*(ADO37:ADO41=ADO38)*(ADM37:ADM41=ADM38)*(ADQ37:ADQ41&gt;ADQ38)),"")</f>
        <v/>
      </c>
      <c r="ADY38" s="319" t="str">
        <f t="shared" ref="ADY38" ca="1" si="12317">IF(ADI38&lt;&gt;"",SUMPRODUCT((ADT37:ADT41=ADT38)*(ADO37:ADO41=ADO38)*(ADM37:ADM41=ADM38)*(ADQ37:ADQ41=ADQ38)*(ADR37:ADR41&gt;ADR38)),"")</f>
        <v/>
      </c>
      <c r="ADZ38" s="319" t="str">
        <f t="shared" ref="ADZ38" ca="1" si="12318">IF(ADI38&lt;&gt;"",SUMPRODUCT((ADT37:ADT41=ADT38)*(ADO37:ADO41=ADO38)*(ADM37:ADM41=ADM38)*(ADQ37:ADQ41=ADQ38)*(ADR37:ADR41=ADR38)*(ADS37:ADS41&gt;ADS38)),"")</f>
        <v/>
      </c>
      <c r="AEA38" s="319" t="str">
        <f ca="1">IF(ADI38&lt;&gt;"",IF(AEA78&lt;&gt;"",IF(ADH76=3,AEA78,AEA78+ADH76),SUM(ADU38:ADZ38)),"")</f>
        <v/>
      </c>
      <c r="AEB38" s="319" t="str">
        <f t="shared" ref="AEB38" ca="1" si="12319">IF(ADI38&lt;&gt;"",INDEX(ADI37:ADI41,MATCH(2,AEA37:AEA41,0),0),"")</f>
        <v/>
      </c>
      <c r="AEC38" s="319" t="str">
        <f t="shared" ref="AEC38:AEC40" ca="1" si="12320">IF(ADE37&lt;&gt;"",ADE37,"")</f>
        <v>Czechia</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1</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1</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1</v>
      </c>
      <c r="AEI38" s="319">
        <f t="shared" ref="AEI38:AEI40" ca="1" si="12326">AEG38-AEH38+1000</f>
        <v>1000</v>
      </c>
      <c r="AEJ38" s="319">
        <f t="shared" ref="AEJ38:AEJ40" ca="1" si="12327">IF(AEC38&lt;&gt;"",AED38*3+AEE38*1,"")</f>
        <v>1</v>
      </c>
      <c r="AEK38" s="319">
        <f t="shared" ref="AEK38" ca="1" si="12328">IF(AEC38&lt;&gt;"",VLOOKUP(AEC38,ACP4:ACV40,7,FALSE),"")</f>
        <v>1001</v>
      </c>
      <c r="AEL38" s="319">
        <f t="shared" ref="AEL38" ca="1" si="12329">IF(AEC38&lt;&gt;"",VLOOKUP(AEC38,ACP4:ACV40,5,FALSE),"")</f>
        <v>6</v>
      </c>
      <c r="AEM38" s="319">
        <f t="shared" ref="AEM38" ca="1" si="12330">IF(AEC38&lt;&gt;"",VLOOKUP(AEC38,ACP4:ACX40,9,FALSE),"")</f>
        <v>37</v>
      </c>
      <c r="AEN38" s="319">
        <f t="shared" ref="AEN38:AEN40" ca="1" si="12331">AEJ38</f>
        <v>1</v>
      </c>
      <c r="AEO38" s="319">
        <f t="shared" ref="AEO38" ca="1" si="12332">IF(AEC38&lt;&gt;"",RANK(AEN38,AEN37:AEN40),"")</f>
        <v>1</v>
      </c>
      <c r="AEP38" s="319">
        <f t="shared" ref="AEP38" ca="1" si="12333">IF(AEC38&lt;&gt;"",SUMPRODUCT((AEN37:AEN41=AEN38)*(AEI37:AEI41&gt;AEI38)),"")</f>
        <v>0</v>
      </c>
      <c r="AEQ38" s="319">
        <f t="shared" ref="AEQ38" ca="1" si="12334">IF(AEC38&lt;&gt;"",SUMPRODUCT((AEN37:AEN41=AEN38)*(AEI37:AEI41=AEI38)*(AEG37:AEG41&gt;AEG38)),"")</f>
        <v>0</v>
      </c>
      <c r="AER38" s="319">
        <f t="shared" ref="AER38" ca="1" si="12335">IF(AEC38&lt;&gt;"",SUMPRODUCT((AEN37:AEN41=AEN38)*(AEI37:AEI41=AEI38)*(AEG37:AEG41=AEG38)*(AEK37:AEK41&gt;AEK38)),"")</f>
        <v>0</v>
      </c>
      <c r="AES38" s="319">
        <f t="shared" ref="AES38" ca="1" si="12336">IF(AEC38&lt;&gt;"",SUMPRODUCT((AEN37:AEN41=AEN38)*(AEI37:AEI41=AEI38)*(AEG37:AEG41=AEG38)*(AEK37:AEK41=AEK38)*(AEL37:AEL41&gt;AEL38)),"")</f>
        <v>0</v>
      </c>
      <c r="AET38" s="319">
        <f t="shared" ref="AET38" ca="1" si="12337">IF(AEC38&lt;&gt;"",SUMPRODUCT((AEN37:AEN41=AEN38)*(AEI37:AEI41=AEI38)*(AEG37:AEG41=AEG38)*(AEK37:AEK41=AEK38)*(AEL37:AEL41=AEL38)*(AEM37:AEM41&gt;AEM38)),"")</f>
        <v>0</v>
      </c>
      <c r="AEU38" s="319">
        <f ca="1">IF(AEC38&lt;&gt;"",IF(AEU78&lt;&gt;"",IF(AEB76=3,AEU78,AEU78+AEB76),SUM(AEO38:AET38)+1),"")</f>
        <v>2</v>
      </c>
      <c r="AEV38" s="319" t="str">
        <f t="shared" ref="AEV38" ca="1" si="12338">IF(AEC38&lt;&gt;"",INDEX(AEC38:AEC41,MATCH(2,AEU38:AEU41,0),0),"")</f>
        <v>Czechia</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Czechia</v>
      </c>
      <c r="AGL38" s="319">
        <v>2</v>
      </c>
      <c r="AGM38" s="319">
        <v>36</v>
      </c>
      <c r="AGN38" s="319" t="str">
        <f t="shared" si="66"/>
        <v>Czechia</v>
      </c>
      <c r="AGO38" s="322">
        <f ca="1">IF(OFFSET('Player Game Board'!P45,0,AGO1)&lt;&gt;"",OFFSET('Player Game Board'!P45,0,AGO1),0)</f>
        <v>1</v>
      </c>
      <c r="AGP38" s="322">
        <f ca="1">IF(OFFSET('Player Game Board'!Q45,0,AGO1)&lt;&gt;"",OFFSET('Player Game Board'!Q45,0,AGO1),0)</f>
        <v>1</v>
      </c>
      <c r="AGQ38" s="319" t="str">
        <f t="shared" si="67"/>
        <v>Türkiye</v>
      </c>
      <c r="AGR38" s="319" t="str">
        <f ca="1">IF(AND(OFFSET('Player Game Board'!P45,0,AGO1)&lt;&gt;"",OFFSET('Player Game Board'!Q45,0,AGO1)&lt;&gt;""),IF(AGO38&gt;AGP38,"W",IF(AGO38=AGP38,"D","L")),"")</f>
        <v>D</v>
      </c>
      <c r="AGS38" s="319" t="str">
        <f t="shared" ca="1" si="5665"/>
        <v>D</v>
      </c>
      <c r="AGT38" s="319"/>
      <c r="AGU38" s="319"/>
      <c r="AGV38" s="319"/>
      <c r="AGW38" s="320"/>
      <c r="AGX38" s="320"/>
      <c r="AGY38" s="320"/>
      <c r="AGZ38" s="320"/>
      <c r="AHA38" s="320"/>
      <c r="AHB38" s="320"/>
      <c r="AHC38" s="320"/>
      <c r="AHD38" s="319"/>
      <c r="AHE38" s="319"/>
      <c r="AHF38" s="319"/>
      <c r="AHG38" s="319"/>
      <c r="AHH38" s="319"/>
      <c r="AHI38" s="319"/>
      <c r="AHJ38" s="319"/>
      <c r="AHK38" s="319" t="s">
        <v>101</v>
      </c>
      <c r="AHL38" s="319"/>
      <c r="AHM38" s="319">
        <f t="shared" ref="AHM38" ca="1" si="12340">VLOOKUP(AHN38,ALI37:ALJ41,2,FALSE)</f>
        <v>3</v>
      </c>
      <c r="AHN38" s="319" t="str">
        <f t="shared" si="11949"/>
        <v>Czechia</v>
      </c>
      <c r="AHO38" s="319">
        <f t="shared" ref="AHO38" ca="1" si="12341">SUMPRODUCT((ALL3:ALL42=AHN38)*(ALP3:ALP42="W"))+SUMPRODUCT((ALO3:ALO42=AHN38)*(ALQ3:ALQ42="W"))</f>
        <v>0</v>
      </c>
      <c r="AHP38" s="319">
        <f t="shared" ref="AHP38" ca="1" si="12342">SUMPRODUCT((ALL3:ALL42=AHN38)*(ALP3:ALP42="D"))+SUMPRODUCT((ALO3:ALO42=AHN38)*(ALQ3:ALQ42="D"))</f>
        <v>0</v>
      </c>
      <c r="AHQ38" s="319">
        <f t="shared" ref="AHQ38" ca="1" si="12343">SUMPRODUCT((ALL3:ALL42=AHN38)*(ALP3:ALP42="L"))+SUMPRODUCT((ALO3:ALO42=AHN38)*(ALQ3:ALQ42="L"))</f>
        <v>0</v>
      </c>
      <c r="AHR38" s="319">
        <f t="shared" ref="AHR38" ca="1" si="12344">SUMIF(ALL3:ALL60,AHN38,ALM3:ALM60)+SUMIF(ALO3:ALO60,AHN38,ALN3:ALN60)</f>
        <v>0</v>
      </c>
      <c r="AHS38" s="319">
        <f t="shared" ref="AHS38" ca="1" si="12345">SUMIF(ALO3:ALO60,AHN38,ALM3:ALM60)+SUMIF(ALL3:ALL60,AHN38,ALN3:ALN60)</f>
        <v>0</v>
      </c>
      <c r="AHT38" s="319">
        <f t="shared" ca="1" si="11955"/>
        <v>1000</v>
      </c>
      <c r="AHU38" s="319">
        <f t="shared" ca="1" si="11956"/>
        <v>0</v>
      </c>
      <c r="AHV38" s="319">
        <f t="shared" si="870"/>
        <v>37</v>
      </c>
      <c r="AHW38" s="319">
        <f t="shared" ref="AHW38" ca="1" si="12346">IF(COUNTIF(AHU37:AHU41,4)&lt;&gt;4,RANK(AHU38,AHU37:AHU41),AHU78)</f>
        <v>1</v>
      </c>
      <c r="AHX38" s="319"/>
      <c r="AHY38" s="319">
        <f t="shared" ref="AHY38" ca="1" si="12347">SUMPRODUCT((AHW37:AHW40=AHW38)*(AHV37:AHV40&lt;AHV38))+AHW38</f>
        <v>2</v>
      </c>
      <c r="AHZ38" s="319" t="str">
        <f t="shared" ref="AHZ38" ca="1" si="12348">INDEX(AHN37:AHN41,MATCH(2,AHY37:AHY41,0),0)</f>
        <v>Czechia</v>
      </c>
      <c r="AIA38" s="319">
        <f t="shared" ref="AIA38" ca="1" si="12349">INDEX(AHW37:AHW41,MATCH(AHZ38,AHN37:AHN41,0),0)</f>
        <v>1</v>
      </c>
      <c r="AIB38" s="319" t="str">
        <f t="shared" ref="AIB38" ca="1" si="12350">IF(AIB37&lt;&gt;"",AHZ38,"")</f>
        <v>Czechia</v>
      </c>
      <c r="AIC38" s="319" t="str">
        <f t="shared" ref="AIC38" ca="1" si="12351">IF(AIC37&lt;&gt;"",AHZ39,"")</f>
        <v/>
      </c>
      <c r="AID38" s="319" t="str">
        <f t="shared" ref="AID38" ca="1" si="12352">IF(AID37&lt;&gt;"",AHZ40,"")</f>
        <v/>
      </c>
      <c r="AIE38" s="319" t="str">
        <f t="shared" ref="AIE38" si="12353">IF(AIE37&lt;&gt;"",AHZ41,"")</f>
        <v/>
      </c>
      <c r="AIF38" s="319"/>
      <c r="AIG38" s="319" t="str">
        <f t="shared" ca="1" si="11965"/>
        <v>Czechia</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19">
        <f t="shared" ca="1" si="11971"/>
        <v>1000</v>
      </c>
      <c r="AIN38" s="319">
        <f t="shared" ca="1" si="11972"/>
        <v>0</v>
      </c>
      <c r="AIO38" s="319">
        <f t="shared" ref="AIO38" ca="1" si="12359">IF(AIG38&lt;&gt;"",VLOOKUP(AIG38,AHN4:AHT40,7,FALSE),"")</f>
        <v>1000</v>
      </c>
      <c r="AIP38" s="319">
        <f t="shared" ref="AIP38" ca="1" si="12360">IF(AIG38&lt;&gt;"",VLOOKUP(AIG38,AHN4:AHT40,5,FALSE),"")</f>
        <v>0</v>
      </c>
      <c r="AIQ38" s="319">
        <f t="shared" ref="AIQ38" ca="1" si="12361">IF(AIG38&lt;&gt;"",VLOOKUP(AIG38,AHN4:AHV40,9,FALSE),"")</f>
        <v>37</v>
      </c>
      <c r="AIR38" s="319">
        <f t="shared" ca="1" si="11976"/>
        <v>0</v>
      </c>
      <c r="AIS38" s="319">
        <f t="shared" ref="AIS38" ca="1" si="12362">IF(AIG38&lt;&gt;"",RANK(AIR38,AIR37:AIR41),"")</f>
        <v>1</v>
      </c>
      <c r="AIT38" s="319">
        <f t="shared" ref="AIT38" ca="1" si="12363">IF(AIG38&lt;&gt;"",SUMPRODUCT((AIR37:AIR41=AIR38)*(AIM37:AIM41&gt;AIM38)),"")</f>
        <v>0</v>
      </c>
      <c r="AIU38" s="319">
        <f t="shared" ref="AIU38" ca="1" si="12364">IF(AIG38&lt;&gt;"",SUMPRODUCT((AIR37:AIR41=AIR38)*(AIM37:AIM41=AIM38)*(AIK37:AIK41&gt;AIK38)),"")</f>
        <v>0</v>
      </c>
      <c r="AIV38" s="319">
        <f t="shared" ref="AIV38" ca="1" si="12365">IF(AIG38&lt;&gt;"",SUMPRODUCT((AIR37:AIR41=AIR38)*(AIM37:AIM41=AIM38)*(AIK37:AIK41=AIK38)*(AIO37:AIO41&gt;AIO38)),"")</f>
        <v>0</v>
      </c>
      <c r="AIW38" s="319">
        <f t="shared" ref="AIW38" ca="1" si="12366">IF(AIG38&lt;&gt;"",SUMPRODUCT((AIR37:AIR41=AIR38)*(AIM37:AIM41=AIM38)*(AIK37:AIK41=AIK38)*(AIO37:AIO41=AIO38)*(AIP37:AIP41&gt;AIP38)),"")</f>
        <v>0</v>
      </c>
      <c r="AIX38" s="319">
        <f t="shared" ref="AIX38" ca="1" si="12367">IF(AIG38&lt;&gt;"",SUMPRODUCT((AIR37:AIR41=AIR38)*(AIM37:AIM41=AIM38)*(AIK37:AIK41=AIK38)*(AIO37:AIO41=AIO38)*(AIP37:AIP41=AIP38)*(AIQ37:AIQ41&gt;AIQ38)),"")</f>
        <v>2</v>
      </c>
      <c r="AIY38" s="319">
        <f ca="1">IF(AIG38&lt;&gt;"",IF(AIY78&lt;&gt;"",IF(AIF76=3,AIY78,AIY78+AIF76),SUM(AIS38:AIX38)),"")</f>
        <v>3</v>
      </c>
      <c r="AIZ38" s="319" t="str">
        <f t="shared" ref="AIZ38" ca="1" si="12368">IF(AIG38&lt;&gt;"",INDEX(AIG37:AIG41,MATCH(2,AIY37:AIY41,0),0),"")</f>
        <v>Türkiye</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0</v>
      </c>
      <c r="ALN38" s="322">
        <f ca="1">IF(OFFSET('Player Game Board'!Q45,0,ALM1)&lt;&gt;"",OFFSET('Player Game Board'!Q45,0,ALM1),0)</f>
        <v>0</v>
      </c>
      <c r="ALO38" s="319" t="str">
        <f t="shared" si="83"/>
        <v>Türkiye</v>
      </c>
      <c r="ALP38" s="319" t="str">
        <f ca="1">IF(AND(OFFSET('Player Game Board'!P45,0,ALM1)&lt;&gt;"",OFFSET('Player Game Board'!Q45,0,ALM1)&lt;&gt;""),IF(ALM38&gt;ALN38,"W",IF(ALM38=ALN38,"D","L")),"")</f>
        <v/>
      </c>
      <c r="ALQ38" s="319" t="str">
        <f t="shared" ca="1" si="5720"/>
        <v/>
      </c>
      <c r="ALR38" s="319"/>
      <c r="ALS38" s="319"/>
      <c r="ALT38" s="319"/>
      <c r="ALU38" s="320"/>
      <c r="ALV38" s="320"/>
      <c r="ALW38" s="320"/>
      <c r="ALX38" s="320"/>
      <c r="ALY38" s="320"/>
      <c r="ALZ38" s="320"/>
      <c r="AMA38" s="320"/>
      <c r="AMB38" s="319"/>
      <c r="AMC38" s="319"/>
      <c r="AMD38" s="319"/>
      <c r="AME38" s="319"/>
      <c r="AMF38" s="319"/>
      <c r="AMG38" s="319"/>
      <c r="AMH38" s="319"/>
      <c r="AMI38" s="319" t="s">
        <v>101</v>
      </c>
      <c r="AMJ38" s="319"/>
      <c r="AMK38" s="319">
        <f t="shared" ref="AMK38" ca="1" si="12389">VLOOKUP(AML38,AQG37:AQH41,2,FALSE)</f>
        <v>3</v>
      </c>
      <c r="AML38" s="319" t="str">
        <f t="shared" si="11986"/>
        <v>Czechia</v>
      </c>
      <c r="AMM38" s="319">
        <f t="shared" ref="AMM38" ca="1" si="12390">SUMPRODUCT((AQJ3:AQJ42=AML38)*(AQN3:AQN42="W"))+SUMPRODUCT((AQM3:AQM42=AML38)*(AQO3:AQO42="W"))</f>
        <v>0</v>
      </c>
      <c r="AMN38" s="319">
        <f t="shared" ref="AMN38" ca="1" si="12391">SUMPRODUCT((AQJ3:AQJ42=AML38)*(AQN3:AQN42="D"))+SUMPRODUCT((AQM3:AQM42=AML38)*(AQO3:AQO42="D"))</f>
        <v>0</v>
      </c>
      <c r="AMO38" s="319">
        <f t="shared" ref="AMO38" ca="1" si="12392">SUMPRODUCT((AQJ3:AQJ42=AML38)*(AQN3:AQN42="L"))+SUMPRODUCT((AQM3:AQM42=AML38)*(AQO3:AQO42="L"))</f>
        <v>0</v>
      </c>
      <c r="AMP38" s="319">
        <f t="shared" ref="AMP38" ca="1" si="12393">SUMIF(AQJ3:AQJ60,AML38,AQK3:AQK60)+SUMIF(AQM3:AQM60,AML38,AQL3:AQL60)</f>
        <v>0</v>
      </c>
      <c r="AMQ38" s="319">
        <f t="shared" ref="AMQ38" ca="1" si="12394">SUMIF(AQM3:AQM60,AML38,AQK3:AQK60)+SUMIF(AQJ3:AQJ60,AML38,AQL3:AQL60)</f>
        <v>0</v>
      </c>
      <c r="AMR38" s="319">
        <f t="shared" ca="1" si="11992"/>
        <v>1000</v>
      </c>
      <c r="AMS38" s="319">
        <f t="shared" ca="1" si="11993"/>
        <v>0</v>
      </c>
      <c r="AMT38" s="319">
        <f t="shared" si="930"/>
        <v>37</v>
      </c>
      <c r="AMU38" s="319">
        <f t="shared" ref="AMU38" ca="1" si="12395">IF(COUNTIF(AMS37:AMS41,4)&lt;&gt;4,RANK(AMS38,AMS37:AMS41),AMS78)</f>
        <v>1</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1</v>
      </c>
      <c r="AMZ38" s="319" t="str">
        <f t="shared" ref="AMZ38" ca="1" si="12399">IF(AMZ37&lt;&gt;"",AMX38,"")</f>
        <v>Czechia</v>
      </c>
      <c r="ANA38" s="319" t="str">
        <f t="shared" ref="ANA38" ca="1" si="12400">IF(ANA37&lt;&gt;"",AMX39,"")</f>
        <v/>
      </c>
      <c r="ANB38" s="319" t="str">
        <f t="shared" ref="ANB38" ca="1" si="12401">IF(ANB37&lt;&gt;"",AMX40,"")</f>
        <v/>
      </c>
      <c r="ANC38" s="319" t="str">
        <f t="shared" ref="ANC38" si="12402">IF(ANC37&lt;&gt;"",AMX41,"")</f>
        <v/>
      </c>
      <c r="AND38" s="319"/>
      <c r="ANE38" s="319" t="str">
        <f t="shared" ca="1" si="12002"/>
        <v>Czechia</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f t="shared" ca="1" si="12009"/>
        <v>0</v>
      </c>
      <c r="ANM38" s="319">
        <f t="shared" ref="ANM38" ca="1" si="12408">IF(ANE38&lt;&gt;"",VLOOKUP(ANE38,AML4:AMR40,7,FALSE),"")</f>
        <v>1000</v>
      </c>
      <c r="ANN38" s="319">
        <f t="shared" ref="ANN38" ca="1" si="12409">IF(ANE38&lt;&gt;"",VLOOKUP(ANE38,AML4:AMR40,5,FALSE),"")</f>
        <v>0</v>
      </c>
      <c r="ANO38" s="319">
        <f t="shared" ref="ANO38" ca="1" si="12410">IF(ANE38&lt;&gt;"",VLOOKUP(ANE38,AML4:AMT40,9,FALSE),"")</f>
        <v>37</v>
      </c>
      <c r="ANP38" s="319">
        <f t="shared" ca="1" si="12013"/>
        <v>0</v>
      </c>
      <c r="ANQ38" s="319">
        <f t="shared" ref="ANQ38" ca="1" si="12411">IF(ANE38&lt;&gt;"",RANK(ANP38,ANP37:ANP41),"")</f>
        <v>1</v>
      </c>
      <c r="ANR38" s="319">
        <f t="shared" ref="ANR38" ca="1" si="12412">IF(ANE38&lt;&gt;"",SUMPRODUCT((ANP37:ANP41=ANP38)*(ANK37:ANK41&gt;ANK38)),"")</f>
        <v>0</v>
      </c>
      <c r="ANS38" s="319">
        <f t="shared" ref="ANS38" ca="1" si="12413">IF(ANE38&lt;&gt;"",SUMPRODUCT((ANP37:ANP41=ANP38)*(ANK37:ANK41=ANK38)*(ANI37:ANI41&gt;ANI38)),"")</f>
        <v>0</v>
      </c>
      <c r="ANT38" s="319">
        <f t="shared" ref="ANT38" ca="1" si="12414">IF(ANE38&lt;&gt;"",SUMPRODUCT((ANP37:ANP41=ANP38)*(ANK37:ANK41=ANK38)*(ANI37:ANI41=ANI38)*(ANM37:ANM41&gt;ANM38)),"")</f>
        <v>0</v>
      </c>
      <c r="ANU38" s="319">
        <f t="shared" ref="ANU38" ca="1" si="12415">IF(ANE38&lt;&gt;"",SUMPRODUCT((ANP37:ANP41=ANP38)*(ANK37:ANK41=ANK38)*(ANI37:ANI41=ANI38)*(ANM37:ANM41=ANM38)*(ANN37:ANN41&gt;ANN38)),"")</f>
        <v>0</v>
      </c>
      <c r="ANV38" s="319">
        <f t="shared" ref="ANV38" ca="1" si="12416">IF(ANE38&lt;&gt;"",SUMPRODUCT((ANP37:ANP41=ANP38)*(ANK37:ANK41=ANK38)*(ANI37:ANI41=ANI38)*(ANM37:ANM41=ANM38)*(ANN37:ANN41=ANN38)*(ANO37:ANO41&gt;ANO38)),"")</f>
        <v>2</v>
      </c>
      <c r="ANW38" s="319">
        <f ca="1">IF(ANE38&lt;&gt;"",IF(ANW78&lt;&gt;"",IF(AND76=3,ANW78,ANW78+AND76),SUM(ANQ38:ANV38)),"")</f>
        <v>3</v>
      </c>
      <c r="ANX38" s="319" t="str">
        <f t="shared" ref="ANX38" ca="1" si="12417">IF(ANE38&lt;&gt;"",INDEX(ANE37:ANE41,MATCH(2,ANW37:ANW41,0),0),"")</f>
        <v>Türkiye</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Türkiye</v>
      </c>
      <c r="AQH38" s="319">
        <v>2</v>
      </c>
      <c r="AQI38" s="319">
        <v>36</v>
      </c>
      <c r="AQJ38" s="319" t="str">
        <f t="shared" si="98"/>
        <v>Czechia</v>
      </c>
      <c r="AQK38" s="322">
        <f ca="1">IF(OFFSET('Player Game Board'!P45,0,AQK1)&lt;&gt;"",OFFSET('Player Game Board'!P45,0,AQK1),0)</f>
        <v>0</v>
      </c>
      <c r="AQL38" s="322">
        <f ca="1">IF(OFFSET('Player Game Board'!Q45,0,AQK1)&lt;&gt;"",OFFSET('Player Game Board'!Q45,0,AQK1),0)</f>
        <v>0</v>
      </c>
      <c r="AQM38" s="319" t="str">
        <f t="shared" si="99"/>
        <v>Türkiye</v>
      </c>
      <c r="AQN38" s="319" t="str">
        <f ca="1">IF(AND(OFFSET('Player Game Board'!P45,0,AQK1)&lt;&gt;"",OFFSET('Player Game Board'!Q45,0,AQK1)&lt;&gt;""),IF(AQK38&gt;AQL38,"W",IF(AQK38=AQL38,"D","L")),"")</f>
        <v/>
      </c>
      <c r="AQO38" s="319" t="str">
        <f t="shared" ca="1" si="5775"/>
        <v/>
      </c>
      <c r="AQP38" s="319"/>
      <c r="AQQ38" s="319"/>
      <c r="AQR38" s="319"/>
      <c r="AQS38" s="320"/>
      <c r="AQT38" s="320"/>
      <c r="AQU38" s="320"/>
      <c r="AQV38" s="320"/>
      <c r="AQW38" s="320"/>
      <c r="AQX38" s="320"/>
      <c r="AQY38" s="320"/>
      <c r="AQZ38" s="319"/>
      <c r="ARA38" s="319"/>
      <c r="ARB38" s="319"/>
      <c r="ARC38" s="319"/>
      <c r="ARD38" s="319"/>
      <c r="ARE38" s="319"/>
      <c r="ARF38" s="319"/>
      <c r="ARG38" s="319" t="s">
        <v>101</v>
      </c>
      <c r="ARH38" s="319"/>
      <c r="ARI38" s="319">
        <f t="shared" ref="ARI38" ca="1" si="12438">VLOOKUP(ARJ38,AVE37:AVF41,2,FALSE)</f>
        <v>3</v>
      </c>
      <c r="ARJ38" s="319" t="str">
        <f t="shared" si="12023"/>
        <v>Czechia</v>
      </c>
      <c r="ARK38" s="319">
        <f t="shared" ref="ARK38" ca="1" si="12439">SUMPRODUCT((AVH3:AVH42=ARJ38)*(AVL3:AVL42="W"))+SUMPRODUCT((AVK3:AVK42=ARJ38)*(AVM3:AVM42="W"))</f>
        <v>0</v>
      </c>
      <c r="ARL38" s="319">
        <f t="shared" ref="ARL38" ca="1" si="12440">SUMPRODUCT((AVH3:AVH42=ARJ38)*(AVL3:AVL42="D"))+SUMPRODUCT((AVK3:AVK42=ARJ38)*(AVM3:AVM42="D"))</f>
        <v>0</v>
      </c>
      <c r="ARM38" s="319">
        <f t="shared" ref="ARM38" ca="1" si="12441">SUMPRODUCT((AVH3:AVH42=ARJ38)*(AVL3:AVL42="L"))+SUMPRODUCT((AVK3:AVK42=ARJ38)*(AVM3:AVM42="L"))</f>
        <v>0</v>
      </c>
      <c r="ARN38" s="319">
        <f t="shared" ref="ARN38" ca="1" si="12442">SUMIF(AVH3:AVH60,ARJ38,AVI3:AVI60)+SUMIF(AVK3:AVK60,ARJ38,AVJ3:AVJ60)</f>
        <v>0</v>
      </c>
      <c r="ARO38" s="319">
        <f t="shared" ref="ARO38" ca="1" si="12443">SUMIF(AVK3:AVK60,ARJ38,AVI3:AVI60)+SUMIF(AVH3:AVH60,ARJ38,AVJ3:AVJ60)</f>
        <v>0</v>
      </c>
      <c r="ARP38" s="319">
        <f t="shared" ca="1" si="12029"/>
        <v>1000</v>
      </c>
      <c r="ARQ38" s="319">
        <f t="shared" ca="1" si="12030"/>
        <v>0</v>
      </c>
      <c r="ARR38" s="319">
        <f t="shared" si="990"/>
        <v>37</v>
      </c>
      <c r="ARS38" s="319">
        <f t="shared" ref="ARS38" ca="1" si="12444">IF(COUNTIF(ARQ37:ARQ41,4)&lt;&gt;4,RANK(ARQ38,ARQ37:ARQ41),ARQ78)</f>
        <v>1</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1</v>
      </c>
      <c r="ARX38" s="319" t="str">
        <f t="shared" ref="ARX38" ca="1" si="12448">IF(ARX37&lt;&gt;"",ARV38,"")</f>
        <v>Czechia</v>
      </c>
      <c r="ARY38" s="319" t="str">
        <f t="shared" ref="ARY38" ca="1" si="12449">IF(ARY37&lt;&gt;"",ARV39,"")</f>
        <v/>
      </c>
      <c r="ARZ38" s="319" t="str">
        <f t="shared" ref="ARZ38" ca="1" si="12450">IF(ARZ37&lt;&gt;"",ARV40,"")</f>
        <v/>
      </c>
      <c r="ASA38" s="319" t="str">
        <f t="shared" ref="ASA38" si="12451">IF(ASA37&lt;&gt;"",ARV41,"")</f>
        <v/>
      </c>
      <c r="ASB38" s="319"/>
      <c r="ASC38" s="319" t="str">
        <f t="shared" ca="1" si="12039"/>
        <v>Czechia</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f t="shared" ca="1" si="12046"/>
        <v>0</v>
      </c>
      <c r="ASK38" s="319">
        <f t="shared" ref="ASK38" ca="1" si="12457">IF(ASC38&lt;&gt;"",VLOOKUP(ASC38,ARJ4:ARP40,7,FALSE),"")</f>
        <v>1000</v>
      </c>
      <c r="ASL38" s="319">
        <f t="shared" ref="ASL38" ca="1" si="12458">IF(ASC38&lt;&gt;"",VLOOKUP(ASC38,ARJ4:ARP40,5,FALSE),"")</f>
        <v>0</v>
      </c>
      <c r="ASM38" s="319">
        <f t="shared" ref="ASM38" ca="1" si="12459">IF(ASC38&lt;&gt;"",VLOOKUP(ASC38,ARJ4:ARR40,9,FALSE),"")</f>
        <v>37</v>
      </c>
      <c r="ASN38" s="319">
        <f t="shared" ca="1" si="12050"/>
        <v>0</v>
      </c>
      <c r="ASO38" s="319">
        <f t="shared" ref="ASO38" ca="1" si="12460">IF(ASC38&lt;&gt;"",RANK(ASN38,ASN37:ASN41),"")</f>
        <v>1</v>
      </c>
      <c r="ASP38" s="319">
        <f t="shared" ref="ASP38" ca="1" si="12461">IF(ASC38&lt;&gt;"",SUMPRODUCT((ASN37:ASN41=ASN38)*(ASI37:ASI41&gt;ASI38)),"")</f>
        <v>0</v>
      </c>
      <c r="ASQ38" s="319">
        <f t="shared" ref="ASQ38" ca="1" si="12462">IF(ASC38&lt;&gt;"",SUMPRODUCT((ASN37:ASN41=ASN38)*(ASI37:ASI41=ASI38)*(ASG37:ASG41&gt;ASG38)),"")</f>
        <v>0</v>
      </c>
      <c r="ASR38" s="319">
        <f t="shared" ref="ASR38" ca="1" si="12463">IF(ASC38&lt;&gt;"",SUMPRODUCT((ASN37:ASN41=ASN38)*(ASI37:ASI41=ASI38)*(ASG37:ASG41=ASG38)*(ASK37:ASK41&gt;ASK38)),"")</f>
        <v>0</v>
      </c>
      <c r="ASS38" s="319">
        <f t="shared" ref="ASS38" ca="1" si="12464">IF(ASC38&lt;&gt;"",SUMPRODUCT((ASN37:ASN41=ASN38)*(ASI37:ASI41=ASI38)*(ASG37:ASG41=ASG38)*(ASK37:ASK41=ASK38)*(ASL37:ASL41&gt;ASL38)),"")</f>
        <v>0</v>
      </c>
      <c r="AST38" s="319">
        <f t="shared" ref="AST38" ca="1" si="12465">IF(ASC38&lt;&gt;"",SUMPRODUCT((ASN37:ASN41=ASN38)*(ASI37:ASI41=ASI38)*(ASG37:ASG41=ASG38)*(ASK37:ASK41=ASK38)*(ASL37:ASL41=ASL38)*(ASM37:ASM41&gt;ASM38)),"")</f>
        <v>2</v>
      </c>
      <c r="ASU38" s="319">
        <f ca="1">IF(ASC38&lt;&gt;"",IF(ASU78&lt;&gt;"",IF(ASB76=3,ASU78,ASU78+ASB76),SUM(ASO38:AST38)),"")</f>
        <v>3</v>
      </c>
      <c r="ASV38" s="319" t="str">
        <f t="shared" ref="ASV38" ca="1" si="12466">IF(ASC38&lt;&gt;"",INDEX(ASC37:ASC41,MATCH(2,ASU37:ASU41,0),0),"")</f>
        <v>Türkiye</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Türkiye</v>
      </c>
      <c r="AVF38" s="319">
        <v>2</v>
      </c>
      <c r="AVG38" s="319">
        <v>36</v>
      </c>
      <c r="AVH38" s="319" t="str">
        <f t="shared" si="114"/>
        <v>Czechia</v>
      </c>
      <c r="AVI38" s="322">
        <f ca="1">IF(OFFSET('Player Game Board'!P45,0,AVI1)&lt;&gt;"",OFFSET('Player Game Board'!P45,0,AVI1),0)</f>
        <v>0</v>
      </c>
      <c r="AVJ38" s="322">
        <f ca="1">IF(OFFSET('Player Game Board'!Q45,0,AVI1)&lt;&gt;"",OFFSET('Player Game Board'!Q45,0,AVI1),0)</f>
        <v>0</v>
      </c>
      <c r="AVK38" s="319" t="str">
        <f t="shared" si="115"/>
        <v>Türkiye</v>
      </c>
      <c r="AVL38" s="319" t="str">
        <f ca="1">IF(AND(OFFSET('Player Game Board'!P45,0,AVI1)&lt;&gt;"",OFFSET('Player Game Board'!Q45,0,AVI1)&lt;&gt;""),IF(AVI38&gt;AVJ38,"W",IF(AVI38=AVJ38,"D","L")),"")</f>
        <v/>
      </c>
      <c r="AVM38" s="319" t="str">
        <f t="shared" ca="1" si="5830"/>
        <v/>
      </c>
      <c r="AVN38" s="319"/>
      <c r="AVO38" s="319"/>
      <c r="AVP38" s="319"/>
      <c r="AVQ38" s="320"/>
      <c r="AVR38" s="320"/>
      <c r="AVS38" s="320"/>
      <c r="AVT38" s="320"/>
      <c r="AVU38" s="320"/>
      <c r="AVV38" s="320"/>
      <c r="AVW38" s="320"/>
      <c r="AVX38" s="319"/>
      <c r="AVY38" s="319"/>
      <c r="AVZ38" s="319"/>
      <c r="AWA38" s="319"/>
      <c r="AWB38" s="319"/>
      <c r="AWC38" s="319"/>
      <c r="AWD38" s="319"/>
      <c r="AWE38" s="319" t="s">
        <v>101</v>
      </c>
      <c r="AWF38" s="319"/>
      <c r="AWG38" s="319">
        <f t="shared" ref="AWG38" ca="1" si="12487">VLOOKUP(AWH38,BAC37:BAD41,2,FALSE)</f>
        <v>3</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0</v>
      </c>
      <c r="AWL38" s="319">
        <f t="shared" ref="AWL38" ca="1" si="12491">SUMIF(BAF3:BAF60,AWH38,BAG3:BAG60)+SUMIF(BAI3:BAI60,AWH38,BAH3:BAH60)</f>
        <v>0</v>
      </c>
      <c r="AWM38" s="319">
        <f t="shared" ref="AWM38" ca="1" si="12492">SUMIF(BAI3:BAI60,AWH38,BAG3:BAG60)+SUMIF(BAF3:BAF60,AWH38,BAH3:BAH60)</f>
        <v>0</v>
      </c>
      <c r="AWN38" s="319">
        <f t="shared" ca="1" si="12066"/>
        <v>1000</v>
      </c>
      <c r="AWO38" s="319">
        <f t="shared" ca="1" si="12067"/>
        <v>0</v>
      </c>
      <c r="AWP38" s="319">
        <f t="shared" si="1050"/>
        <v>37</v>
      </c>
      <c r="AWQ38" s="319">
        <f t="shared" ref="AWQ38" ca="1" si="12493">IF(COUNTIF(AWO37:AWO41,4)&lt;&gt;4,RANK(AWO38,AWO37:AWO41),AWO78)</f>
        <v>1</v>
      </c>
      <c r="AWR38" s="319"/>
      <c r="AWS38" s="319">
        <f t="shared" ref="AWS38" ca="1" si="12494">SUMPRODUCT((AWQ37:AWQ40=AWQ38)*(AWP37:AWP40&lt;AWP38))+AWQ38</f>
        <v>2</v>
      </c>
      <c r="AWT38" s="319" t="str">
        <f t="shared" ref="AWT38" ca="1" si="12495">INDEX(AWH37:AWH41,MATCH(2,AWS37:AWS41,0),0)</f>
        <v>Czechia</v>
      </c>
      <c r="AWU38" s="319">
        <f t="shared" ref="AWU38" ca="1" si="12496">INDEX(AWQ37:AWQ41,MATCH(AWT38,AWH37:AWH41,0),0)</f>
        <v>1</v>
      </c>
      <c r="AWV38" s="319" t="str">
        <f t="shared" ref="AWV38" ca="1" si="12497">IF(AWV37&lt;&gt;"",AWT38,"")</f>
        <v>Czechia</v>
      </c>
      <c r="AWW38" s="319" t="str">
        <f t="shared" ref="AWW38" ca="1" si="12498">IF(AWW37&lt;&gt;"",AWT39,"")</f>
        <v/>
      </c>
      <c r="AWX38" s="319" t="str">
        <f t="shared" ref="AWX38" ca="1" si="12499">IF(AWX37&lt;&gt;"",AWT40,"")</f>
        <v/>
      </c>
      <c r="AWY38" s="319" t="str">
        <f t="shared" ref="AWY38" si="12500">IF(AWY37&lt;&gt;"",AWT41,"")</f>
        <v/>
      </c>
      <c r="AWZ38" s="319"/>
      <c r="AXA38" s="319" t="str">
        <f t="shared" ca="1" si="12076"/>
        <v>Czechia</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f t="shared" ca="1" si="12083"/>
        <v>0</v>
      </c>
      <c r="AXI38" s="319">
        <f t="shared" ref="AXI38" ca="1" si="12506">IF(AXA38&lt;&gt;"",VLOOKUP(AXA38,AWH4:AWN40,7,FALSE),"")</f>
        <v>1000</v>
      </c>
      <c r="AXJ38" s="319">
        <f t="shared" ref="AXJ38" ca="1" si="12507">IF(AXA38&lt;&gt;"",VLOOKUP(AXA38,AWH4:AWN40,5,FALSE),"")</f>
        <v>0</v>
      </c>
      <c r="AXK38" s="319">
        <f t="shared" ref="AXK38" ca="1" si="12508">IF(AXA38&lt;&gt;"",VLOOKUP(AXA38,AWH4:AWP40,9,FALSE),"")</f>
        <v>37</v>
      </c>
      <c r="AXL38" s="319">
        <f t="shared" ca="1" si="12087"/>
        <v>0</v>
      </c>
      <c r="AXM38" s="319">
        <f t="shared" ref="AXM38" ca="1" si="12509">IF(AXA38&lt;&gt;"",RANK(AXL38,AXL37:AXL41),"")</f>
        <v>1</v>
      </c>
      <c r="AXN38" s="319">
        <f t="shared" ref="AXN38" ca="1" si="12510">IF(AXA38&lt;&gt;"",SUMPRODUCT((AXL37:AXL41=AXL38)*(AXG37:AXG41&gt;AXG38)),"")</f>
        <v>0</v>
      </c>
      <c r="AXO38" s="319">
        <f t="shared" ref="AXO38" ca="1" si="12511">IF(AXA38&lt;&gt;"",SUMPRODUCT((AXL37:AXL41=AXL38)*(AXG37:AXG41=AXG38)*(AXE37:AXE41&gt;AXE38)),"")</f>
        <v>0</v>
      </c>
      <c r="AXP38" s="319">
        <f t="shared" ref="AXP38" ca="1" si="12512">IF(AXA38&lt;&gt;"",SUMPRODUCT((AXL37:AXL41=AXL38)*(AXG37:AXG41=AXG38)*(AXE37:AXE41=AXE38)*(AXI37:AXI41&gt;AXI38)),"")</f>
        <v>0</v>
      </c>
      <c r="AXQ38" s="319">
        <f t="shared" ref="AXQ38" ca="1" si="12513">IF(AXA38&lt;&gt;"",SUMPRODUCT((AXL37:AXL41=AXL38)*(AXG37:AXG41=AXG38)*(AXE37:AXE41=AXE38)*(AXI37:AXI41=AXI38)*(AXJ37:AXJ41&gt;AXJ38)),"")</f>
        <v>0</v>
      </c>
      <c r="AXR38" s="319">
        <f t="shared" ref="AXR38" ca="1" si="12514">IF(AXA38&lt;&gt;"",SUMPRODUCT((AXL37:AXL41=AXL38)*(AXG37:AXG41=AXG38)*(AXE37:AXE41=AXE38)*(AXI37:AXI41=AXI38)*(AXJ37:AXJ41=AXJ38)*(AXK37:AXK41&gt;AXK38)),"")</f>
        <v>2</v>
      </c>
      <c r="AXS38" s="319">
        <f ca="1">IF(AXA38&lt;&gt;"",IF(AXS78&lt;&gt;"",IF(AWZ76=3,AXS78,AXS78+AWZ76),SUM(AXM38:AXR38)),"")</f>
        <v>3</v>
      </c>
      <c r="AXT38" s="319" t="str">
        <f t="shared" ref="AXT38" ca="1" si="12515">IF(AXA38&lt;&gt;"",INDEX(AXA37:AXA41,MATCH(2,AXS37:AXS41,0),0),"")</f>
        <v>Türkiye</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0</v>
      </c>
      <c r="BAH38" s="322">
        <f ca="1">IF(OFFSET('Player Game Board'!Q45,0,BAG1)&lt;&gt;"",OFFSET('Player Game Board'!Q45,0,BAG1),0)</f>
        <v>0</v>
      </c>
      <c r="BAI38" s="319" t="str">
        <f t="shared" si="131"/>
        <v>Türkiye</v>
      </c>
      <c r="BAJ38" s="319" t="str">
        <f ca="1">IF(AND(OFFSET('Player Game Board'!P45,0,BAG1)&lt;&gt;"",OFFSET('Player Game Board'!Q45,0,BAG1)&lt;&gt;""),IF(BAG38&gt;BAH38,"W",IF(BAG38=BAH38,"D","L")),"")</f>
        <v/>
      </c>
      <c r="BAK38" s="319" t="str">
        <f t="shared" ca="1" si="5885"/>
        <v/>
      </c>
      <c r="BAL38" s="319"/>
      <c r="BAM38" s="319"/>
      <c r="BAN38" s="319"/>
      <c r="BAO38" s="320"/>
      <c r="BAP38" s="320"/>
      <c r="BAQ38" s="320"/>
      <c r="BAR38" s="320"/>
      <c r="BAS38" s="320"/>
      <c r="BAT38" s="320"/>
      <c r="BAU38" s="320"/>
      <c r="BAV38" s="319"/>
      <c r="BAW38" s="319"/>
      <c r="BAX38" s="319"/>
      <c r="BAY38" s="319"/>
      <c r="BAZ38" s="319"/>
      <c r="BBA38" s="319"/>
      <c r="BBB38" s="319"/>
      <c r="BBC38" s="319" t="s">
        <v>101</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101</v>
      </c>
      <c r="BGB38" s="319"/>
    </row>
    <row r="39" spans="1:1536" ht="13.8" x14ac:dyDescent="0.3">
      <c r="A39" s="319">
        <f>VLOOKUP(B39,CW37:CX41,2,FALSE)</f>
        <v>1</v>
      </c>
      <c r="B39" s="319" t="str">
        <f>'Language Table'!C26</f>
        <v>Türkiye</v>
      </c>
      <c r="C39" s="319">
        <f>SUMPRODUCT((CZ3:CZ42=B39)*(DD3:DD42="W"))+SUMPRODUCT((DC3:DC42=B39)*(DE3:DE42="W"))</f>
        <v>1</v>
      </c>
      <c r="D39" s="319">
        <f>SUMPRODUCT((CZ3:CZ42=B39)*(DD3:DD42="D"))+SUMPRODUCT((DC3:DC42=B39)*(DE3:DE42="D"))</f>
        <v>0</v>
      </c>
      <c r="E39" s="319">
        <f>SUMPRODUCT((CZ3:CZ42=B39)*(DD3:DD42="L"))+SUMPRODUCT((DC3:DC42=B39)*(DE3:DE42="L"))</f>
        <v>0</v>
      </c>
      <c r="F39" s="319">
        <f>SUMIF(CZ3:CZ60,B39,DA3:DA60)+SUMIF(DC3:DC60,B39,DB3:DB60)</f>
        <v>3</v>
      </c>
      <c r="G39" s="319">
        <f>SUMIF(DC3:DC60,B39,DA3:DA60)+SUMIF(CZ3:CZ60,B39,DB3:DB60)</f>
        <v>1</v>
      </c>
      <c r="H39" s="319">
        <f t="shared" si="11788"/>
        <v>1002</v>
      </c>
      <c r="I39" s="319">
        <f t="shared" si="11789"/>
        <v>3</v>
      </c>
      <c r="J39" s="319">
        <v>47</v>
      </c>
      <c r="K39" s="319">
        <f>IF(COUNTIF(I37:I41,4)&lt;&gt;4,RANK(I39,I37:I41),I79)</f>
        <v>1</v>
      </c>
      <c r="L39" s="319"/>
      <c r="M39" s="319">
        <f>SUMPRODUCT((K37:K40=K39)*(J37:J40&lt;J39))+K39</f>
        <v>1</v>
      </c>
      <c r="N39" s="319" t="str">
        <f>INDEX(B37:B41,MATCH(3,M37:M41,0),0)</f>
        <v>Georgia</v>
      </c>
      <c r="O39" s="319">
        <f>INDEX(K37:K41,MATCH(N39,B37:B41,0),0)</f>
        <v>3</v>
      </c>
      <c r="P39" s="319" t="str">
        <f>IF(AND(P38&lt;&gt;"",O39=1),N39,"")</f>
        <v/>
      </c>
      <c r="Q39" s="319" t="str">
        <f>IF(AND(Q38&lt;&gt;"",O40=2),N40,"")</f>
        <v/>
      </c>
      <c r="R39" s="319" t="str">
        <f>IF(AND(R38&lt;&gt;"",O41=3),N41,"")</f>
        <v/>
      </c>
      <c r="S39" s="319"/>
      <c r="T39" s="319"/>
      <c r="U39" s="319" t="str">
        <f t="shared" si="12133"/>
        <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t="str">
        <f t="shared" si="11790"/>
        <v/>
      </c>
      <c r="AC39" s="319" t="str">
        <f>IF(U39&lt;&gt;"",VLOOKUP(U39,B4:H40,7,FALSE),"")</f>
        <v/>
      </c>
      <c r="AD39" s="319" t="str">
        <f>IF(U39&lt;&gt;"",VLOOKUP(U39,B4:H40,5,FALSE),"")</f>
        <v/>
      </c>
      <c r="AE39" s="319" t="str">
        <f>IF(U39&lt;&gt;"",VLOOKUP(U39,B4:J40,9,FALSE),"")</f>
        <v/>
      </c>
      <c r="AF39" s="319" t="str">
        <f t="shared" si="11791"/>
        <v/>
      </c>
      <c r="AG39" s="319" t="str">
        <f>IF(U39&lt;&gt;"",RANK(AF39,AF37:AF41),"")</f>
        <v/>
      </c>
      <c r="AH39" s="319" t="str">
        <f>IF(U39&lt;&gt;"",SUMPRODUCT((AF37:AF41=AF39)*(AA37:AA41&gt;AA39)),"")</f>
        <v/>
      </c>
      <c r="AI39" s="319" t="str">
        <f>IF(U39&lt;&gt;"",SUMPRODUCT((AF37:AF41=AF39)*(AA37:AA41=AA39)*(Y37:Y41&gt;Y39)),"")</f>
        <v/>
      </c>
      <c r="AJ39" s="319" t="str">
        <f>IF(U39&lt;&gt;"",SUMPRODUCT((AF37:AF41=AF39)*(AA37:AA41=AA39)*(Y37:Y41=Y39)*(AC37:AC41&gt;AC39)),"")</f>
        <v/>
      </c>
      <c r="AK39" s="319" t="str">
        <f>IF(U39&lt;&gt;"",SUMPRODUCT((AF37:AF41=AF39)*(AA37:AA41=AA39)*(Y37:Y41=Y39)*(AC37:AC41=AC39)*(AD37:AD41&gt;AD39)),"")</f>
        <v/>
      </c>
      <c r="AL39" s="319" t="str">
        <f>IF(U39&lt;&gt;"",SUMPRODUCT((AF37:AF41=AF39)*(AA37:AA41=AA39)*(Y37:Y41=Y39)*(AC37:AC41=AC39)*(AD37:AD41=AD39)*(AE37:AE41&gt;AE39)),"")</f>
        <v/>
      </c>
      <c r="AM39" s="319" t="str">
        <f>IF(U39&lt;&gt;"",IF(AM79&lt;&gt;"",IF(T76=3,AM79,AM79+T76),SUM(AG39:AL39)),"")</f>
        <v/>
      </c>
      <c r="AN39" s="319" t="str">
        <f>IF(U39&lt;&gt;"",INDEX(U37:U41,MATCH(3,AM37:AM41,0),0),"")</f>
        <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Georgia</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0</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19">
        <f>BM39-BN39+1000</f>
        <v>1000</v>
      </c>
      <c r="BP39" s="319">
        <f t="shared" ref="BP39:BP40" si="12585">IF(BI39&lt;&gt;"",BJ39*3+BK39*1,"")</f>
        <v>0</v>
      </c>
      <c r="BQ39" s="319">
        <f>IF(BI39&lt;&gt;"",VLOOKUP(BI39,B4:H40,7,FALSE),"")</f>
        <v>998</v>
      </c>
      <c r="BR39" s="319">
        <f>IF(BI39&lt;&gt;"",VLOOKUP(BI39,B4:H40,5,FALSE),"")</f>
        <v>1</v>
      </c>
      <c r="BS39" s="319">
        <f>IF(BI39&lt;&gt;"",VLOOKUP(BI39,B4:J40,9,FALSE),"")</f>
        <v>0</v>
      </c>
      <c r="BT39" s="319">
        <f t="shared" ref="BT39:BT40" si="12586">BP39</f>
        <v>0</v>
      </c>
      <c r="BU39" s="319">
        <f>IF(BI39&lt;&gt;"",RANK(BT39,BT38:BT40),"")</f>
        <v>1</v>
      </c>
      <c r="BV39" s="319">
        <f>IF(BI39&lt;&gt;"",SUMPRODUCT((BT37:BT41=BT39)*(BO37:BO41&gt;BO39)),"")</f>
        <v>0</v>
      </c>
      <c r="BW39" s="319">
        <f>IF(BI39&lt;&gt;"",SUMPRODUCT((BT37:BT41=BT39)*(BO37:BO41=BO39)*(BM37:BM41&gt;BM39)),"")</f>
        <v>0</v>
      </c>
      <c r="BX39" s="319">
        <f>IF(BI39&lt;&gt;"",SUMPRODUCT((BT37:BT41=BT39)*(BO37:BO41=BO39)*(BM37:BM41=BM39)*(BQ37:BQ41&gt;BQ39)),"")</f>
        <v>1</v>
      </c>
      <c r="BY39" s="319">
        <f>IF(BI39&lt;&gt;"",SUMPRODUCT((BT37:BT41=BT39)*(BO37:BO41=BO39)*(BM37:BM41=BM39)*(BQ37:BQ41=BQ39)*(BR37:BR41&gt;BR39)),"")</f>
        <v>0</v>
      </c>
      <c r="BZ39" s="319">
        <f>IF(BI39&lt;&gt;"",SUMPRODUCT((BT37:BT41=BT39)*(BO37:BO41=BO39)*(BM37:BM41=BM39)*(BQ37:BQ41=BQ39)*(BR37:BR41=BR39)*(BS37:BS41&gt;BS39)),"")</f>
        <v>0</v>
      </c>
      <c r="CA39" s="319">
        <f>IF(BI39&lt;&gt;"",SUM(BU39:BZ39)+2,"")</f>
        <v>4</v>
      </c>
      <c r="CB39" s="319" t="str">
        <f>IF(BI39&lt;&gt;"",INDEX(BI39:BI41,MATCH(3,CA39:CA41,0),0),"")</f>
        <v>Czechia</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8</v>
      </c>
      <c r="EE39" s="319">
        <f ca="1">SUMIF(IA3:IA60,DZ39,HY3:HY60)+SUMIF(HX3:HX60,DZ39,HZ3:HZ60)</f>
        <v>5</v>
      </c>
      <c r="EF39" s="319">
        <f t="shared" ca="1" si="11792"/>
        <v>1003</v>
      </c>
      <c r="EG39" s="319">
        <f t="shared" ca="1" si="11793"/>
        <v>4</v>
      </c>
      <c r="EH39" s="319">
        <f t="shared" si="609"/>
        <v>47</v>
      </c>
      <c r="EI39" s="319">
        <f ca="1">IF(COUNTIF(EG37:EG41,4)&lt;&gt;4,RANK(EG39,EG37:EG41),EG79)</f>
        <v>2</v>
      </c>
      <c r="EJ39" s="319"/>
      <c r="EK39" s="319">
        <f ca="1">SUMPRODUCT((EI37:EI40=EI39)*(EH37:EH40&lt;EH39))+EI39</f>
        <v>3</v>
      </c>
      <c r="EL39" s="319" t="str">
        <f ca="1">INDEX(DZ37:DZ41,MATCH(3,EK37:EK41,0),0)</f>
        <v>Türkiye</v>
      </c>
      <c r="EM39" s="319">
        <f ca="1">INDEX(EI37:EI41,MATCH(EL39,DZ37:DZ41,0),0)</f>
        <v>2</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Türkiye</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1</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2</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2</v>
      </c>
      <c r="FS39" s="319">
        <f ca="1">FQ39-FR39+1000</f>
        <v>1000</v>
      </c>
      <c r="FT39" s="319">
        <f t="shared" ca="1" si="12138"/>
        <v>1</v>
      </c>
      <c r="FU39" s="319">
        <f ca="1">IF(FM39&lt;&gt;"",VLOOKUP(FM39,DZ4:EF40,7,FALSE),"")</f>
        <v>1003</v>
      </c>
      <c r="FV39" s="319">
        <f ca="1">IF(FM39&lt;&gt;"",VLOOKUP(FM39,DZ4:EF40,5,FALSE),"")</f>
        <v>8</v>
      </c>
      <c r="FW39" s="319">
        <f ca="1">IF(FM39&lt;&gt;"",VLOOKUP(FM39,DZ4:EH40,9,FALSE),"")</f>
        <v>47</v>
      </c>
      <c r="FX39" s="319">
        <f t="shared" ca="1" si="12139"/>
        <v>1</v>
      </c>
      <c r="FY39" s="319">
        <f ca="1">IF(FM39&lt;&gt;"",RANK(FX39,FX37:FX40),"")</f>
        <v>1</v>
      </c>
      <c r="FZ39" s="319">
        <f ca="1">IF(FM39&lt;&gt;"",SUMPRODUCT((FX37:FX41=FX39)*(FS37:FS41&gt;FS39)),"")</f>
        <v>0</v>
      </c>
      <c r="GA39" s="319">
        <f ca="1">IF(FM39&lt;&gt;"",SUMPRODUCT((FX37:FX41=FX39)*(FS37:FS41=FS39)*(FQ37:FQ41&gt;FQ39)),"")</f>
        <v>0</v>
      </c>
      <c r="GB39" s="319">
        <f ca="1">IF(FM39&lt;&gt;"",SUMPRODUCT((FX37:FX41=FX39)*(FS37:FS41=FS39)*(FQ37:FQ41=FQ39)*(FU37:FU41&gt;FU39)),"")</f>
        <v>0</v>
      </c>
      <c r="GC39" s="319">
        <f ca="1">IF(FM39&lt;&gt;"",SUMPRODUCT((FX37:FX41=FX39)*(FS37:FS41=FS39)*(FQ37:FQ41=FQ39)*(FU37:FU41=FU39)*(FV37:FV41&gt;FV39)),"")</f>
        <v>0</v>
      </c>
      <c r="GD39" s="319">
        <f ca="1">IF(FM39&lt;&gt;"",SUMPRODUCT((FX37:FX41=FX39)*(FS37:FS41=FS39)*(FQ37:FQ41=FQ39)*(FU37:FU41=FU39)*(FV37:FV41=FV39)*(FW37:FW41&gt;FW39)),"")</f>
        <v>0</v>
      </c>
      <c r="GE39" s="319">
        <f ca="1">IF(FM39&lt;&gt;"",IF(GE79&lt;&gt;"",IF(FL76=3,GE79,GE79+FL76),SUM(FY39:GD39)+1),"")</f>
        <v>2</v>
      </c>
      <c r="GF39" s="319" t="str">
        <f ca="1">IF(FM39&lt;&gt;"",INDEX(FM38:FM41,MATCH(3,GE38:GE41,0),0),"")</f>
        <v>Czechia</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3</v>
      </c>
      <c r="IX39" s="319" t="str">
        <f t="shared" si="12140"/>
        <v>Türkiye</v>
      </c>
      <c r="IY39" s="319">
        <f ca="1">SUMPRODUCT((MV3:MV42=IX39)*(MZ3:MZ42="W"))+SUMPRODUCT((MY3:MY42=IX39)*(NA3:NA42="W"))</f>
        <v>0</v>
      </c>
      <c r="IZ39" s="319">
        <f ca="1">SUMPRODUCT((MV3:MV42=IX39)*(MZ3:MZ42="D"))+SUMPRODUCT((MY3:MY42=IX39)*(NA3:NA42="D"))</f>
        <v>2</v>
      </c>
      <c r="JA39" s="319">
        <f ca="1">SUMPRODUCT((MV3:MV42=IX39)*(MZ3:MZ42="L"))+SUMPRODUCT((MY3:MY42=IX39)*(NA3:NA42="L"))</f>
        <v>1</v>
      </c>
      <c r="JB39" s="319">
        <f ca="1">SUMIF(MV3:MV60,IX39,MW3:MW60)+SUMIF(MY3:MY60,IX39,MX3:MX60)</f>
        <v>4</v>
      </c>
      <c r="JC39" s="319">
        <f ca="1">SUMIF(MY3:MY60,IX39,MW3:MW60)+SUMIF(MV3:MV60,IX39,MX3:MX60)</f>
        <v>5</v>
      </c>
      <c r="JD39" s="319">
        <f t="shared" ca="1" si="11796"/>
        <v>999</v>
      </c>
      <c r="JE39" s="319">
        <f t="shared" ca="1" si="11797"/>
        <v>2</v>
      </c>
      <c r="JF39" s="319">
        <f t="shared" si="618"/>
        <v>47</v>
      </c>
      <c r="JG39" s="319">
        <f ca="1">IF(COUNTIF(JE37:JE41,4)&lt;&gt;4,RANK(JE39,JE37:JE41),JE79)</f>
        <v>3</v>
      </c>
      <c r="JH39" s="319"/>
      <c r="JI39" s="319">
        <f ca="1">SUMPRODUCT((JG37:JG40=JG39)*(JF37:JF40&lt;JF39))+JG39</f>
        <v>3</v>
      </c>
      <c r="JJ39" s="319" t="str">
        <f ca="1">INDEX(IX37:IX41,MATCH(3,JI37:JI41,0),0)</f>
        <v>Türkiye</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Türkiye</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1</v>
      </c>
      <c r="NV39" s="319" t="str">
        <f t="shared" si="11801"/>
        <v>Türkiye</v>
      </c>
      <c r="NW39" s="319">
        <f t="shared" ref="NW39" ca="1" si="12592">SUMPRODUCT((RT3:RT42=NV39)*(RX3:RX42="W"))+SUMPRODUCT((RW3:RW42=NV39)*(RY3:RY42="W"))</f>
        <v>2</v>
      </c>
      <c r="NX39" s="319">
        <f t="shared" ref="NX39" ca="1" si="12593">SUMPRODUCT((RT3:RT42=NV39)*(RX3:RX42="D"))+SUMPRODUCT((RW3:RW42=NV39)*(RY3:RY42="D"))</f>
        <v>1</v>
      </c>
      <c r="NY39" s="319">
        <f t="shared" ref="NY39" ca="1" si="12594">SUMPRODUCT((RT3:RT42=NV39)*(RX3:RX42="L"))+SUMPRODUCT((RW3:RW42=NV39)*(RY3:RY42="L"))</f>
        <v>0</v>
      </c>
      <c r="NZ39" s="319">
        <f t="shared" ref="NZ39" ca="1" si="12595">SUMIF(RT3:RT60,NV39,RU3:RU60)+SUMIF(RW3:RW60,NV39,RV3:RV60)</f>
        <v>5</v>
      </c>
      <c r="OA39" s="319">
        <f t="shared" ref="OA39" ca="1" si="12596">SUMIF(RW3:RW60,NV39,RU3:RU60)+SUMIF(RT3:RT60,NV39,RV3:RV60)</f>
        <v>2</v>
      </c>
      <c r="OB39" s="319">
        <f t="shared" ca="1" si="11807"/>
        <v>1003</v>
      </c>
      <c r="OC39" s="319">
        <f t="shared" ca="1" si="11808"/>
        <v>7</v>
      </c>
      <c r="OD39" s="319">
        <f t="shared" si="630"/>
        <v>47</v>
      </c>
      <c r="OE39" s="319">
        <f t="shared" ref="OE39" ca="1" si="12597">IF(COUNTIF(OC37:OC41,4)&lt;&gt;4,RANK(OC39,OC37:OC41),OC79)</f>
        <v>1</v>
      </c>
      <c r="OF39" s="319"/>
      <c r="OG39" s="319">
        <f t="shared" ref="OG39" ca="1" si="12598">SUMPRODUCT((OE37:OE40=OE39)*(OD37:OD40&lt;OD39))+OE39</f>
        <v>1</v>
      </c>
      <c r="OH39" s="319" t="str">
        <f t="shared" ref="OH39" ca="1" si="12599">INDEX(NV37:NV41,MATCH(3,OG37:OG41,0),0)</f>
        <v>Czechia</v>
      </c>
      <c r="OI39" s="319">
        <f t="shared" ref="OI39" ca="1" si="12600">INDEX(OE37:OE41,MATCH(OH39,NV37:NV41,0),0)</f>
        <v>3</v>
      </c>
      <c r="OJ39" s="319" t="str">
        <f t="shared" ref="OJ39:OJ40" ca="1" si="12601">IF(AND(OJ38&lt;&gt;"",OI39=1),OH39,"")</f>
        <v/>
      </c>
      <c r="OK39" s="319" t="str">
        <f t="shared" ref="OK39:OK40" ca="1" si="12602">IF(AND(OK38&lt;&gt;"",OI40=2),OH40,"")</f>
        <v/>
      </c>
      <c r="OL39" s="319" t="str">
        <f t="shared" ref="OL39" ca="1" si="12603">IF(AND(OL38&lt;&gt;"",OI41=3),OH41,"")</f>
        <v/>
      </c>
      <c r="OM39" s="319"/>
      <c r="ON39" s="319"/>
      <c r="OO39" s="319" t="str">
        <f t="shared" ca="1" si="11817"/>
        <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t="str">
        <f t="shared" ca="1" si="11824"/>
        <v/>
      </c>
      <c r="OW39" s="319" t="str">
        <f t="shared" ref="OW39" ca="1" si="12609">IF(OO39&lt;&gt;"",VLOOKUP(OO39,NV4:OB40,7,FALSE),"")</f>
        <v/>
      </c>
      <c r="OX39" s="319" t="str">
        <f t="shared" ref="OX39" ca="1" si="12610">IF(OO39&lt;&gt;"",VLOOKUP(OO39,NV4:OB40,5,FALSE),"")</f>
        <v/>
      </c>
      <c r="OY39" s="319" t="str">
        <f t="shared" ref="OY39" ca="1" si="12611">IF(OO39&lt;&gt;"",VLOOKUP(OO39,NV4:OD40,9,FALSE),"")</f>
        <v/>
      </c>
      <c r="OZ39" s="319" t="str">
        <f t="shared" ca="1" si="11828"/>
        <v/>
      </c>
      <c r="PA39" s="319" t="str">
        <f t="shared" ref="PA39" ca="1" si="12612">IF(OO39&lt;&gt;"",RANK(OZ39,OZ37:OZ41),"")</f>
        <v/>
      </c>
      <c r="PB39" s="319" t="str">
        <f t="shared" ref="PB39" ca="1" si="12613">IF(OO39&lt;&gt;"",SUMPRODUCT((OZ37:OZ41=OZ39)*(OU37:OU41&gt;OU39)),"")</f>
        <v/>
      </c>
      <c r="PC39" s="319" t="str">
        <f t="shared" ref="PC39" ca="1" si="12614">IF(OO39&lt;&gt;"",SUMPRODUCT((OZ37:OZ41=OZ39)*(OU37:OU41=OU39)*(OS37:OS41&gt;OS39)),"")</f>
        <v/>
      </c>
      <c r="PD39" s="319" t="str">
        <f t="shared" ref="PD39" ca="1" si="12615">IF(OO39&lt;&gt;"",SUMPRODUCT((OZ37:OZ41=OZ39)*(OU37:OU41=OU39)*(OS37:OS41=OS39)*(OW37:OW41&gt;OW39)),"")</f>
        <v/>
      </c>
      <c r="PE39" s="319" t="str">
        <f t="shared" ref="PE39" ca="1" si="12616">IF(OO39&lt;&gt;"",SUMPRODUCT((OZ37:OZ41=OZ39)*(OU37:OU41=OU39)*(OS37:OS41=OS39)*(OW37:OW41=OW39)*(OX37:OX41&gt;OX39)),"")</f>
        <v/>
      </c>
      <c r="PF39" s="319" t="str">
        <f t="shared" ref="PF39" ca="1" si="12617">IF(OO39&lt;&gt;"",SUMPRODUCT((OZ37:OZ41=OZ39)*(OU37:OU41=OU39)*(OS37:OS41=OS39)*(OW37:OW41=OW39)*(OX37:OX41=OX39)*(OY37:OY41&gt;OY39)),"")</f>
        <v/>
      </c>
      <c r="PG39" s="319" t="str">
        <f ca="1">IF(OO39&lt;&gt;"",IF(PG79&lt;&gt;"",IF(ON76=3,PG79,PG79+ON76),SUM(PA39:PF39)),"")</f>
        <v/>
      </c>
      <c r="PH39" s="319" t="str">
        <f t="shared" ref="PH39" ca="1" si="12618">IF(OO39&lt;&gt;"",INDEX(OO37:OO41,MATCH(3,PG37:PG41,0),0),"")</f>
        <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Czechia</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2</v>
      </c>
      <c r="ST39" s="319" t="str">
        <f t="shared" si="11838"/>
        <v>Türkiye</v>
      </c>
      <c r="SU39" s="319">
        <f t="shared" ref="SU39" ca="1" si="12656">SUMPRODUCT((WR3:WR42=ST39)*(WV3:WV42="W"))+SUMPRODUCT((WU3:WU42=ST39)*(WW3:WW42="W"))</f>
        <v>1</v>
      </c>
      <c r="SV39" s="319">
        <f t="shared" ref="SV39" ca="1" si="12657">SUMPRODUCT((WR3:WR42=ST39)*(WV3:WV42="D"))+SUMPRODUCT((WU3:WU42=ST39)*(WW3:WW42="D"))</f>
        <v>2</v>
      </c>
      <c r="SW39" s="319">
        <f t="shared" ref="SW39" ca="1" si="12658">SUMPRODUCT((WR3:WR42=ST39)*(WV3:WV42="L"))+SUMPRODUCT((WU3:WU42=ST39)*(WW3:WW42="L"))</f>
        <v>0</v>
      </c>
      <c r="SX39" s="319">
        <f t="shared" ref="SX39" ca="1" si="12659">SUMIF(WR3:WR60,ST39,WS3:WS60)+SUMIF(WU3:WU60,ST39,WT3:WT60)</f>
        <v>4</v>
      </c>
      <c r="SY39" s="319">
        <f t="shared" ref="SY39" ca="1" si="12660">SUMIF(WU3:WU60,ST39,WS3:WS60)+SUMIF(WR3:WR60,ST39,WT3:WT60)</f>
        <v>2</v>
      </c>
      <c r="SZ39" s="319">
        <f t="shared" ca="1" si="11844"/>
        <v>1002</v>
      </c>
      <c r="TA39" s="319">
        <f t="shared" ca="1" si="11845"/>
        <v>5</v>
      </c>
      <c r="TB39" s="319">
        <f t="shared" si="690"/>
        <v>47</v>
      </c>
      <c r="TC39" s="319">
        <f t="shared" ref="TC39" ca="1" si="12661">IF(COUNTIF(TA37:TA41,4)&lt;&gt;4,RANK(TA39,TA37:TA41),TA79)</f>
        <v>2</v>
      </c>
      <c r="TD39" s="319"/>
      <c r="TE39" s="319">
        <f t="shared" ref="TE39" ca="1" si="12662">SUMPRODUCT((TC37:TC40=TC39)*(TB37:TB40&lt;TB39))+TC39</f>
        <v>2</v>
      </c>
      <c r="TF39" s="319" t="str">
        <f t="shared" ref="TF39" ca="1" si="12663">INDEX(ST37:ST41,MATCH(3,TE37:TE41,0),0)</f>
        <v>Czechia</v>
      </c>
      <c r="TG39" s="319">
        <f t="shared" ref="TG39" ca="1" si="12664">INDEX(TC37:TC41,MATCH(TF39,ST37:ST41,0),0)</f>
        <v>3</v>
      </c>
      <c r="TH39" s="319" t="str">
        <f t="shared" ref="TH39:TH40" ca="1" si="12665">IF(AND(TH38&lt;&gt;"",TG39=1),TF39,"")</f>
        <v/>
      </c>
      <c r="TI39" s="319" t="str">
        <f t="shared" ref="TI39:TI40" ca="1" si="12666">IF(AND(TI38&lt;&gt;"",TG40=2),TF40,"")</f>
        <v/>
      </c>
      <c r="TJ39" s="319" t="str">
        <f t="shared" ref="TJ39" ca="1" si="12667">IF(AND(TJ38&lt;&gt;"",TG41=3),TF41,"")</f>
        <v/>
      </c>
      <c r="TK39" s="319"/>
      <c r="TL39" s="319"/>
      <c r="TM39" s="319" t="str">
        <f t="shared" ca="1" si="11854"/>
        <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t="str">
        <f t="shared" ca="1" si="11861"/>
        <v/>
      </c>
      <c r="TU39" s="319" t="str">
        <f t="shared" ref="TU39" ca="1" si="12673">IF(TM39&lt;&gt;"",VLOOKUP(TM39,ST4:SZ40,7,FALSE),"")</f>
        <v/>
      </c>
      <c r="TV39" s="319" t="str">
        <f t="shared" ref="TV39" ca="1" si="12674">IF(TM39&lt;&gt;"",VLOOKUP(TM39,ST4:SZ40,5,FALSE),"")</f>
        <v/>
      </c>
      <c r="TW39" s="319" t="str">
        <f t="shared" ref="TW39" ca="1" si="12675">IF(TM39&lt;&gt;"",VLOOKUP(TM39,ST4:TB40,9,FALSE),"")</f>
        <v/>
      </c>
      <c r="TX39" s="319" t="str">
        <f t="shared" ca="1" si="11865"/>
        <v/>
      </c>
      <c r="TY39" s="319" t="str">
        <f t="shared" ref="TY39" ca="1" si="12676">IF(TM39&lt;&gt;"",RANK(TX39,TX37:TX41),"")</f>
        <v/>
      </c>
      <c r="TZ39" s="319" t="str">
        <f t="shared" ref="TZ39" ca="1" si="12677">IF(TM39&lt;&gt;"",SUMPRODUCT((TX37:TX41=TX39)*(TS37:TS41&gt;TS39)),"")</f>
        <v/>
      </c>
      <c r="UA39" s="319" t="str">
        <f t="shared" ref="UA39" ca="1" si="12678">IF(TM39&lt;&gt;"",SUMPRODUCT((TX37:TX41=TX39)*(TS37:TS41=TS39)*(TQ37:TQ41&gt;TQ39)),"")</f>
        <v/>
      </c>
      <c r="UB39" s="319" t="str">
        <f t="shared" ref="UB39" ca="1" si="12679">IF(TM39&lt;&gt;"",SUMPRODUCT((TX37:TX41=TX39)*(TS37:TS41=TS39)*(TQ37:TQ41=TQ39)*(TU37:TU41&gt;TU39)),"")</f>
        <v/>
      </c>
      <c r="UC39" s="319" t="str">
        <f t="shared" ref="UC39" ca="1" si="12680">IF(TM39&lt;&gt;"",SUMPRODUCT((TX37:TX41=TX39)*(TS37:TS41=TS39)*(TQ37:TQ41=TQ39)*(TU37:TU41=TU39)*(TV37:TV41&gt;TV39)),"")</f>
        <v/>
      </c>
      <c r="UD39" s="319" t="str">
        <f t="shared" ref="UD39" ca="1" si="12681">IF(TM39&lt;&gt;"",SUMPRODUCT((TX37:TX41=TX39)*(TS37:TS41=TS39)*(TQ37:TQ41=TQ39)*(TU37:TU41=TU39)*(TV37:TV41=TV39)*(TW37:TW41&gt;TW39)),"")</f>
        <v/>
      </c>
      <c r="UE39" s="319" t="str">
        <f ca="1">IF(TM39&lt;&gt;"",IF(UE79&lt;&gt;"",IF(TL76=3,UE79,UE79+TL76),SUM(TY39:UD39)),"")</f>
        <v/>
      </c>
      <c r="UF39" s="319" t="str">
        <f t="shared" ref="UF39" ca="1" si="12682">IF(TM39&lt;&gt;"",INDEX(TM37:TM41,MATCH(3,UE37:UE41,0),0),"")</f>
        <v/>
      </c>
      <c r="UG39" s="319" t="str">
        <f t="shared" ca="1" si="12222"/>
        <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0</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0</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0</v>
      </c>
      <c r="UM39" s="319">
        <f t="shared" ca="1" si="12228"/>
        <v>1000</v>
      </c>
      <c r="UN39" s="319" t="str">
        <f t="shared" ca="1" si="12229"/>
        <v/>
      </c>
      <c r="UO39" s="319" t="str">
        <f t="shared" ref="UO39" ca="1" si="12688">IF(UG39&lt;&gt;"",VLOOKUP(UG39,ST4:SZ40,7,FALSE),"")</f>
        <v/>
      </c>
      <c r="UP39" s="319" t="str">
        <f t="shared" ref="UP39" ca="1" si="12689">IF(UG39&lt;&gt;"",VLOOKUP(UG39,ST4:SZ40,5,FALSE),"")</f>
        <v/>
      </c>
      <c r="UQ39" s="319" t="str">
        <f t="shared" ref="UQ39" ca="1" si="12690">IF(UG39&lt;&gt;"",VLOOKUP(UG39,ST4:TB40,9,FALSE),"")</f>
        <v/>
      </c>
      <c r="UR39" s="319" t="str">
        <f t="shared" ca="1" si="12233"/>
        <v/>
      </c>
      <c r="US39" s="319" t="str">
        <f t="shared" ref="US39" ca="1" si="12691">IF(UG39&lt;&gt;"",RANK(UR39,UR37:UR40),"")</f>
        <v/>
      </c>
      <c r="UT39" s="319" t="str">
        <f t="shared" ref="UT39" ca="1" si="12692">IF(UG39&lt;&gt;"",SUMPRODUCT((UR37:UR41=UR39)*(UM37:UM41&gt;UM39)),"")</f>
        <v/>
      </c>
      <c r="UU39" s="319" t="str">
        <f t="shared" ref="UU39" ca="1" si="12693">IF(UG39&lt;&gt;"",SUMPRODUCT((UR37:UR41=UR39)*(UM37:UM41=UM39)*(UK37:UK41&gt;UK39)),"")</f>
        <v/>
      </c>
      <c r="UV39" s="319" t="str">
        <f t="shared" ref="UV39" ca="1" si="12694">IF(UG39&lt;&gt;"",SUMPRODUCT((UR37:UR41=UR39)*(UM37:UM41=UM39)*(UK37:UK41=UK39)*(UO37:UO41&gt;UO39)),"")</f>
        <v/>
      </c>
      <c r="UW39" s="319" t="str">
        <f t="shared" ref="UW39" ca="1" si="12695">IF(UG39&lt;&gt;"",SUMPRODUCT((UR37:UR41=UR39)*(UM37:UM41=UM39)*(UK37:UK41=UK39)*(UO37:UO41=UO39)*(UP37:UP41&gt;UP39)),"")</f>
        <v/>
      </c>
      <c r="UX39" s="319" t="str">
        <f t="shared" ref="UX39" ca="1" si="12696">IF(UG39&lt;&gt;"",SUMPRODUCT((UR37:UR41=UR39)*(UM37:UM41=UM39)*(UK37:UK41=UK39)*(UO37:UO41=UO39)*(UP37:UP41=UP39)*(UQ37:UQ41&gt;UQ39)),"")</f>
        <v/>
      </c>
      <c r="UY39" s="319" t="str">
        <f ca="1">IF(UG39&lt;&gt;"",IF(UY79&lt;&gt;"",IF(UF76=3,UY79,UY79+UF76),SUM(US39:UX39)+1),"")</f>
        <v/>
      </c>
      <c r="UZ39" s="319" t="str">
        <f t="shared" ref="UZ39" ca="1" si="12697">IF(UG39&lt;&gt;"",INDEX(UG38:UG41,MATCH(3,UY38:UY41,0),0),"")</f>
        <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Czechia</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2</v>
      </c>
      <c r="XR39" s="319" t="str">
        <f t="shared" si="11875"/>
        <v>Türkiye</v>
      </c>
      <c r="XS39" s="319">
        <f t="shared" ref="XS39" ca="1" si="12720">SUMPRODUCT((ABP3:ABP42=XR39)*(ABT3:ABT42="W"))+SUMPRODUCT((ABS3:ABS42=XR39)*(ABU3:ABU42="W"))</f>
        <v>2</v>
      </c>
      <c r="XT39" s="319">
        <f t="shared" ref="XT39" ca="1" si="12721">SUMPRODUCT((ABP3:ABP42=XR39)*(ABT3:ABT42="D"))+SUMPRODUCT((ABS3:ABS42=XR39)*(ABU3:ABU42="D"))</f>
        <v>1</v>
      </c>
      <c r="XU39" s="319">
        <f t="shared" ref="XU39" ca="1" si="12722">SUMPRODUCT((ABP3:ABP42=XR39)*(ABT3:ABT42="L"))+SUMPRODUCT((ABS3:ABS42=XR39)*(ABU3:ABU42="L"))</f>
        <v>0</v>
      </c>
      <c r="XV39" s="319">
        <f t="shared" ref="XV39" ca="1" si="12723">SUMIF(ABP3:ABP60,XR39,ABQ3:ABQ60)+SUMIF(ABS3:ABS60,XR39,ABR3:ABR60)</f>
        <v>6</v>
      </c>
      <c r="XW39" s="319">
        <f t="shared" ref="XW39" ca="1" si="12724">SUMIF(ABS3:ABS60,XR39,ABQ3:ABQ60)+SUMIF(ABP3:ABP60,XR39,ABR3:ABR60)</f>
        <v>3</v>
      </c>
      <c r="XX39" s="319">
        <f t="shared" ca="1" si="11881"/>
        <v>1003</v>
      </c>
      <c r="XY39" s="319">
        <f t="shared" ca="1" si="11882"/>
        <v>7</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Georgia</v>
      </c>
      <c r="YE39" s="319">
        <f t="shared" ref="YE39" ca="1" si="12728">INDEX(YA37:YA41,MATCH(YD39,XR37:XR41,0),0)</f>
        <v>3</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0</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0</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0</v>
      </c>
      <c r="ZK39" s="319">
        <f t="shared" ca="1" si="12277"/>
        <v>1000</v>
      </c>
      <c r="ZL39" s="319" t="str">
        <f t="shared" ca="1" si="12278"/>
        <v/>
      </c>
      <c r="ZM39" s="319" t="str">
        <f t="shared" ref="ZM39" ca="1" si="12752">IF(ZE39&lt;&gt;"",VLOOKUP(ZE39,XR4:XX40,7,FALSE),"")</f>
        <v/>
      </c>
      <c r="ZN39" s="319" t="str">
        <f t="shared" ref="ZN39" ca="1" si="12753">IF(ZE39&lt;&gt;"",VLOOKUP(ZE39,XR4:XX40,5,FALSE),"")</f>
        <v/>
      </c>
      <c r="ZO39" s="319" t="str">
        <f t="shared" ref="ZO39" ca="1" si="12754">IF(ZE39&lt;&gt;"",VLOOKUP(ZE39,XR4:XZ40,9,FALSE),"")</f>
        <v/>
      </c>
      <c r="ZP39" s="319" t="str">
        <f t="shared" ca="1" si="12282"/>
        <v/>
      </c>
      <c r="ZQ39" s="319" t="str">
        <f t="shared" ref="ZQ39" ca="1" si="12755">IF(ZE39&lt;&gt;"",RANK(ZP39,ZP37:ZP40),"")</f>
        <v/>
      </c>
      <c r="ZR39" s="319" t="str">
        <f t="shared" ref="ZR39" ca="1" si="12756">IF(ZE39&lt;&gt;"",SUMPRODUCT((ZP37:ZP41=ZP39)*(ZK37:ZK41&gt;ZK39)),"")</f>
        <v/>
      </c>
      <c r="ZS39" s="319" t="str">
        <f t="shared" ref="ZS39" ca="1" si="12757">IF(ZE39&lt;&gt;"",SUMPRODUCT((ZP37:ZP41=ZP39)*(ZK37:ZK41=ZK39)*(ZI37:ZI41&gt;ZI39)),"")</f>
        <v/>
      </c>
      <c r="ZT39" s="319" t="str">
        <f t="shared" ref="ZT39" ca="1" si="12758">IF(ZE39&lt;&gt;"",SUMPRODUCT((ZP37:ZP41=ZP39)*(ZK37:ZK41=ZK39)*(ZI37:ZI41=ZI39)*(ZM37:ZM41&gt;ZM39)),"")</f>
        <v/>
      </c>
      <c r="ZU39" s="319" t="str">
        <f t="shared" ref="ZU39" ca="1" si="12759">IF(ZE39&lt;&gt;"",SUMPRODUCT((ZP37:ZP41=ZP39)*(ZK37:ZK41=ZK39)*(ZI37:ZI41=ZI39)*(ZM37:ZM41=ZM39)*(ZN37:ZN41&gt;ZN39)),"")</f>
        <v/>
      </c>
      <c r="ZV39" s="319" t="str">
        <f t="shared" ref="ZV39" ca="1" si="12760">IF(ZE39&lt;&gt;"",SUMPRODUCT((ZP37:ZP41=ZP39)*(ZK37:ZK41=ZK39)*(ZI37:ZI41=ZI39)*(ZM37:ZM41=ZM39)*(ZN37:ZN41=ZN39)*(ZO37:ZO41&gt;ZO39)),"")</f>
        <v/>
      </c>
      <c r="ZW39" s="319" t="str">
        <f ca="1">IF(ZE39&lt;&gt;"",IF(ZW79&lt;&gt;"",IF(ZD76=3,ZW79,ZW79+ZD76),SUM(ZQ39:ZV39)+1),"")</f>
        <v/>
      </c>
      <c r="ZX39" s="319" t="str">
        <f t="shared" ref="ZX39" ca="1" si="12761">IF(ZE39&lt;&gt;"",INDEX(ZE38:ZE41,MATCH(3,ZW38:ZW41,0),0),"")</f>
        <v/>
      </c>
      <c r="ZY39" s="319" t="str">
        <f t="shared" ref="ZY39:ZY40" ca="1" si="12762">IF(YH37&lt;&gt;"",YH37,"")</f>
        <v>Georgia</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1</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1</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1</v>
      </c>
      <c r="AAE39" s="319">
        <f t="shared" ref="AAE39:AAE40" ca="1" si="12768">AAC39-AAD39+1000</f>
        <v>1000</v>
      </c>
      <c r="AAF39" s="319">
        <f t="shared" ref="AAF39:AAF40" ca="1" si="12769">IF(ZY39&lt;&gt;"",ZZ39*3+AAA39*1,"")</f>
        <v>1</v>
      </c>
      <c r="AAG39" s="319">
        <f t="shared" ref="AAG39" ca="1" si="12770">IF(ZY39&lt;&gt;"",VLOOKUP(ZY39,XR4:XX40,7,FALSE),"")</f>
        <v>994</v>
      </c>
      <c r="AAH39" s="319">
        <f t="shared" ref="AAH39" ca="1" si="12771">IF(ZY39&lt;&gt;"",VLOOKUP(ZY39,XR4:XX40,5,FALSE),"")</f>
        <v>1</v>
      </c>
      <c r="AAI39" s="319">
        <f t="shared" ref="AAI39" ca="1" si="12772">IF(ZY39&lt;&gt;"",VLOOKUP(ZY39,XR4:XZ40,9,FALSE),"")</f>
        <v>0</v>
      </c>
      <c r="AAJ39" s="319">
        <f t="shared" ref="AAJ39:AAJ40" ca="1" si="12773">AAF39</f>
        <v>1</v>
      </c>
      <c r="AAK39" s="319">
        <f t="shared" ref="AAK39" ca="1" si="12774">IF(ZY39&lt;&gt;"",RANK(AAJ39,AAJ38:AAJ40),"")</f>
        <v>1</v>
      </c>
      <c r="AAL39" s="319">
        <f t="shared" ref="AAL39" ca="1" si="12775">IF(ZY39&lt;&gt;"",SUMPRODUCT((AAJ37:AAJ41=AAJ39)*(AAE37:AAE41&gt;AAE39)),"")</f>
        <v>0</v>
      </c>
      <c r="AAM39" s="319">
        <f t="shared" ref="AAM39" ca="1" si="12776">IF(ZY39&lt;&gt;"",SUMPRODUCT((AAJ37:AAJ41=AAJ39)*(AAE37:AAE41=AAE39)*(AAC37:AAC41&gt;AAC39)),"")</f>
        <v>0</v>
      </c>
      <c r="AAN39" s="319">
        <f t="shared" ref="AAN39" ca="1" si="12777">IF(ZY39&lt;&gt;"",SUMPRODUCT((AAJ37:AAJ41=AAJ39)*(AAE37:AAE41=AAE39)*(AAC37:AAC41=AAC39)*(AAG37:AAG41&gt;AAG39)),"")</f>
        <v>1</v>
      </c>
      <c r="AAO39" s="319">
        <f t="shared" ref="AAO39" ca="1" si="12778">IF(ZY39&lt;&gt;"",SUMPRODUCT((AAJ37:AAJ41=AAJ39)*(AAE37:AAE41=AAE39)*(AAC37:AAC41=AAC39)*(AAG37:AAG41=AAG39)*(AAH37:AAH41&gt;AAH39)),"")</f>
        <v>0</v>
      </c>
      <c r="AAP39" s="319">
        <f t="shared" ref="AAP39" ca="1" si="12779">IF(ZY39&lt;&gt;"",SUMPRODUCT((AAJ37:AAJ41=AAJ39)*(AAE37:AAE41=AAE39)*(AAC37:AAC41=AAC39)*(AAG37:AAG41=AAG39)*(AAH37:AAH41=AAH39)*(AAI37:AAI41&gt;AAI39)),"")</f>
        <v>0</v>
      </c>
      <c r="AAQ39" s="319">
        <f t="shared" ref="AAQ39:AAQ40" ca="1" si="12780">IF(ZY39&lt;&gt;"",SUM(AAK39:AAP39)+2,"")</f>
        <v>4</v>
      </c>
      <c r="AAR39" s="319" t="str">
        <f t="shared" ref="AAR39" ca="1" si="12781">IF(ZY39&lt;&gt;"",INDEX(ZY39:ZY41,MATCH(3,AAQ39:AAQ41,0),0),"")</f>
        <v>Czechia</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3</v>
      </c>
      <c r="ACP39" s="319" t="str">
        <f t="shared" si="11912"/>
        <v>Türkiye</v>
      </c>
      <c r="ACQ39" s="319">
        <f t="shared" ref="ACQ39" ca="1" si="12784">SUMPRODUCT((AGN3:AGN42=ACP39)*(AGR3:AGR42="W"))+SUMPRODUCT((AGQ3:AGQ42=ACP39)*(AGS3:AGS42="W"))</f>
        <v>1</v>
      </c>
      <c r="ACR39" s="319">
        <f t="shared" ref="ACR39" ca="1" si="12785">SUMPRODUCT((AGN3:AGN42=ACP39)*(AGR3:AGR42="D"))+SUMPRODUCT((AGQ3:AGQ42=ACP39)*(AGS3:AGS42="D"))</f>
        <v>1</v>
      </c>
      <c r="ACS39" s="319">
        <f t="shared" ref="ACS39" ca="1" si="12786">SUMPRODUCT((AGN3:AGN42=ACP39)*(AGR3:AGR42="L"))+SUMPRODUCT((AGQ3:AGQ42=ACP39)*(AGS3:AGS42="L"))</f>
        <v>1</v>
      </c>
      <c r="ACT39" s="319">
        <f t="shared" ref="ACT39" ca="1" si="12787">SUMIF(AGN3:AGN60,ACP39,AGO3:AGO60)+SUMIF(AGQ3:AGQ60,ACP39,AGP3:AGP60)</f>
        <v>4</v>
      </c>
      <c r="ACU39" s="319">
        <f t="shared" ref="ACU39" ca="1" si="12788">SUMIF(AGQ3:AGQ60,ACP39,AGO3:AGO60)+SUMIF(AGN3:AGN60,ACP39,AGP3:AGP60)</f>
        <v>5</v>
      </c>
      <c r="ACV39" s="319">
        <f t="shared" ca="1" si="11918"/>
        <v>999</v>
      </c>
      <c r="ACW39" s="319">
        <f t="shared" ca="1" si="11919"/>
        <v>4</v>
      </c>
      <c r="ACX39" s="319">
        <f t="shared" si="810"/>
        <v>47</v>
      </c>
      <c r="ACY39" s="319">
        <f t="shared" ref="ACY39" ca="1" si="12789">IF(COUNTIF(ACW37:ACW41,4)&lt;&gt;4,RANK(ACW39,ACW37:ACW41),ACW79)</f>
        <v>2</v>
      </c>
      <c r="ACZ39" s="319"/>
      <c r="ADA39" s="319">
        <f t="shared" ref="ADA39" ca="1" si="12790">SUMPRODUCT((ACY37:ACY40=ACY39)*(ACX37:ACX40&lt;ACX39))+ACY39</f>
        <v>3</v>
      </c>
      <c r="ADB39" s="319" t="str">
        <f t="shared" ref="ADB39" ca="1" si="12791">INDEX(ACP37:ACP41,MATCH(3,ADA37:ADA41,0),0)</f>
        <v>Türkiye</v>
      </c>
      <c r="ADC39" s="319">
        <f t="shared" ref="ADC39" ca="1" si="12792">INDEX(ACY37:ACY41,MATCH(ADB39,ACP37:ACP41,0),0)</f>
        <v>2</v>
      </c>
      <c r="ADD39" s="319" t="str">
        <f t="shared" ref="ADD39:ADD40" ca="1" si="12793">IF(AND(ADD38&lt;&gt;"",ADC39=1),ADB39,"")</f>
        <v/>
      </c>
      <c r="ADE39" s="319" t="str">
        <f t="shared" ref="ADE39:ADE40" ca="1" si="12794">IF(AND(ADE38&lt;&gt;"",ADC40=2),ADB40,"")</f>
        <v/>
      </c>
      <c r="ADF39" s="319" t="str">
        <f t="shared" ref="ADF39" ca="1" si="12795">IF(AND(ADF38&lt;&gt;"",ADC41=3),ADB41,"")</f>
        <v/>
      </c>
      <c r="ADG39" s="319"/>
      <c r="ADH39" s="319"/>
      <c r="ADI39" s="319" t="str">
        <f t="shared" ca="1" si="11928"/>
        <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t="str">
        <f t="shared" ca="1" si="11935"/>
        <v/>
      </c>
      <c r="ADQ39" s="319" t="str">
        <f t="shared" ref="ADQ39" ca="1" si="12801">IF(ADI39&lt;&gt;"",VLOOKUP(ADI39,ACP4:ACV40,7,FALSE),"")</f>
        <v/>
      </c>
      <c r="ADR39" s="319" t="str">
        <f t="shared" ref="ADR39" ca="1" si="12802">IF(ADI39&lt;&gt;"",VLOOKUP(ADI39,ACP4:ACV40,5,FALSE),"")</f>
        <v/>
      </c>
      <c r="ADS39" s="319" t="str">
        <f t="shared" ref="ADS39" ca="1" si="12803">IF(ADI39&lt;&gt;"",VLOOKUP(ADI39,ACP4:ACX40,9,FALSE),"")</f>
        <v/>
      </c>
      <c r="ADT39" s="319" t="str">
        <f t="shared" ca="1" si="11939"/>
        <v/>
      </c>
      <c r="ADU39" s="319" t="str">
        <f t="shared" ref="ADU39" ca="1" si="12804">IF(ADI39&lt;&gt;"",RANK(ADT39,ADT37:ADT41),"")</f>
        <v/>
      </c>
      <c r="ADV39" s="319" t="str">
        <f t="shared" ref="ADV39" ca="1" si="12805">IF(ADI39&lt;&gt;"",SUMPRODUCT((ADT37:ADT41=ADT39)*(ADO37:ADO41&gt;ADO39)),"")</f>
        <v/>
      </c>
      <c r="ADW39" s="319" t="str">
        <f t="shared" ref="ADW39" ca="1" si="12806">IF(ADI39&lt;&gt;"",SUMPRODUCT((ADT37:ADT41=ADT39)*(ADO37:ADO41=ADO39)*(ADM37:ADM41&gt;ADM39)),"")</f>
        <v/>
      </c>
      <c r="ADX39" s="319" t="str">
        <f t="shared" ref="ADX39" ca="1" si="12807">IF(ADI39&lt;&gt;"",SUMPRODUCT((ADT37:ADT41=ADT39)*(ADO37:ADO41=ADO39)*(ADM37:ADM41=ADM39)*(ADQ37:ADQ41&gt;ADQ39)),"")</f>
        <v/>
      </c>
      <c r="ADY39" s="319" t="str">
        <f t="shared" ref="ADY39" ca="1" si="12808">IF(ADI39&lt;&gt;"",SUMPRODUCT((ADT37:ADT41=ADT39)*(ADO37:ADO41=ADO39)*(ADM37:ADM41=ADM39)*(ADQ37:ADQ41=ADQ39)*(ADR37:ADR41&gt;ADR39)),"")</f>
        <v/>
      </c>
      <c r="ADZ39" s="319" t="str">
        <f t="shared" ref="ADZ39" ca="1" si="12809">IF(ADI39&lt;&gt;"",SUMPRODUCT((ADT37:ADT41=ADT39)*(ADO37:ADO41=ADO39)*(ADM37:ADM41=ADM39)*(ADQ37:ADQ41=ADQ39)*(ADR37:ADR41=ADR39)*(ADS37:ADS41&gt;ADS39)),"")</f>
        <v/>
      </c>
      <c r="AEA39" s="319" t="str">
        <f ca="1">IF(ADI39&lt;&gt;"",IF(AEA79&lt;&gt;"",IF(ADH76=3,AEA79,AEA79+ADH76),SUM(ADU39:ADZ39)),"")</f>
        <v/>
      </c>
      <c r="AEB39" s="319" t="str">
        <f t="shared" ref="AEB39" ca="1" si="12810">IF(ADI39&lt;&gt;"",INDEX(ADI37:ADI41,MATCH(3,AEA37:AEA41,0),0),"")</f>
        <v/>
      </c>
      <c r="AEC39" s="319" t="str">
        <f t="shared" ca="1" si="12320"/>
        <v>Türkiye</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1</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1</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1</v>
      </c>
      <c r="AEI39" s="319">
        <f t="shared" ca="1" si="12326"/>
        <v>1000</v>
      </c>
      <c r="AEJ39" s="319">
        <f t="shared" ca="1" si="12327"/>
        <v>1</v>
      </c>
      <c r="AEK39" s="319">
        <f t="shared" ref="AEK39" ca="1" si="12816">IF(AEC39&lt;&gt;"",VLOOKUP(AEC39,ACP4:ACV40,7,FALSE),"")</f>
        <v>999</v>
      </c>
      <c r="AEL39" s="319">
        <f t="shared" ref="AEL39" ca="1" si="12817">IF(AEC39&lt;&gt;"",VLOOKUP(AEC39,ACP4:ACV40,5,FALSE),"")</f>
        <v>4</v>
      </c>
      <c r="AEM39" s="319">
        <f t="shared" ref="AEM39" ca="1" si="12818">IF(AEC39&lt;&gt;"",VLOOKUP(AEC39,ACP4:ACX40,9,FALSE),"")</f>
        <v>47</v>
      </c>
      <c r="AEN39" s="319">
        <f t="shared" ca="1" si="12331"/>
        <v>1</v>
      </c>
      <c r="AEO39" s="319">
        <f t="shared" ref="AEO39" ca="1" si="12819">IF(AEC39&lt;&gt;"",RANK(AEN39,AEN37:AEN40),"")</f>
        <v>1</v>
      </c>
      <c r="AEP39" s="319">
        <f t="shared" ref="AEP39" ca="1" si="12820">IF(AEC39&lt;&gt;"",SUMPRODUCT((AEN37:AEN41=AEN39)*(AEI37:AEI41&gt;AEI39)),"")</f>
        <v>0</v>
      </c>
      <c r="AEQ39" s="319">
        <f t="shared" ref="AEQ39" ca="1" si="12821">IF(AEC39&lt;&gt;"",SUMPRODUCT((AEN37:AEN41=AEN39)*(AEI37:AEI41=AEI39)*(AEG37:AEG41&gt;AEG39)),"")</f>
        <v>0</v>
      </c>
      <c r="AER39" s="319">
        <f t="shared" ref="AER39" ca="1" si="12822">IF(AEC39&lt;&gt;"",SUMPRODUCT((AEN37:AEN41=AEN39)*(AEI37:AEI41=AEI39)*(AEG37:AEG41=AEG39)*(AEK37:AEK41&gt;AEK39)),"")</f>
        <v>1</v>
      </c>
      <c r="AES39" s="319">
        <f t="shared" ref="AES39" ca="1" si="12823">IF(AEC39&lt;&gt;"",SUMPRODUCT((AEN37:AEN41=AEN39)*(AEI37:AEI41=AEI39)*(AEG37:AEG41=AEG39)*(AEK37:AEK41=AEK39)*(AEL37:AEL41&gt;AEL39)),"")</f>
        <v>0</v>
      </c>
      <c r="AET39" s="319">
        <f t="shared" ref="AET39" ca="1" si="12824">IF(AEC39&lt;&gt;"",SUMPRODUCT((AEN37:AEN41=AEN39)*(AEI37:AEI41=AEI39)*(AEG37:AEG41=AEG39)*(AEK37:AEK41=AEK39)*(AEL37:AEL41=AEL39)*(AEM37:AEM41&gt;AEM39)),"")</f>
        <v>0</v>
      </c>
      <c r="AEU39" s="319">
        <f ca="1">IF(AEC39&lt;&gt;"",IF(AEU79&lt;&gt;"",IF(AEB76=3,AEU79,AEU79+AEB76),SUM(AEO39:AET39)+1),"")</f>
        <v>3</v>
      </c>
      <c r="AEV39" s="319" t="str">
        <f t="shared" ref="AEV39" ca="1" si="12825">IF(AEC39&lt;&gt;"",INDEX(AEC38:AEC41,MATCH(3,AEU38:AEU41,0),0),"")</f>
        <v>Türkiye</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Türkiye</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0</v>
      </c>
      <c r="AHP39" s="319">
        <f t="shared" ref="AHP39" ca="1" si="12849">SUMPRODUCT((ALL3:ALL42=AHN39)*(ALP3:ALP42="D"))+SUMPRODUCT((ALO3:ALO42=AHN39)*(ALQ3:ALQ42="D"))</f>
        <v>0</v>
      </c>
      <c r="AHQ39" s="319">
        <f t="shared" ref="AHQ39" ca="1" si="12850">SUMPRODUCT((ALL3:ALL42=AHN39)*(ALP3:ALP42="L"))+SUMPRODUCT((ALO3:ALO42=AHN39)*(ALQ3:ALQ42="L"))</f>
        <v>0</v>
      </c>
      <c r="AHR39" s="319">
        <f t="shared" ref="AHR39" ca="1" si="12851">SUMIF(ALL3:ALL60,AHN39,ALM3:ALM60)+SUMIF(ALO3:ALO60,AHN39,ALN3:ALN60)</f>
        <v>0</v>
      </c>
      <c r="AHS39" s="319">
        <f t="shared" ref="AHS39" ca="1" si="12852">SUMIF(ALO3:ALO60,AHN39,ALM3:ALM60)+SUMIF(ALL3:ALL60,AHN39,ALN3:ALN60)</f>
        <v>0</v>
      </c>
      <c r="AHT39" s="319">
        <f t="shared" ca="1" si="11955"/>
        <v>1000</v>
      </c>
      <c r="AHU39" s="319">
        <f t="shared" ca="1" si="11956"/>
        <v>0</v>
      </c>
      <c r="AHV39" s="319">
        <f t="shared" si="870"/>
        <v>47</v>
      </c>
      <c r="AHW39" s="319">
        <f t="shared" ref="AHW39" ca="1" si="12853">IF(COUNTIF(AHU37:AHU41,4)&lt;&gt;4,RANK(AHU39,AHU37:AHU41),AHU79)</f>
        <v>1</v>
      </c>
      <c r="AHX39" s="319"/>
      <c r="AHY39" s="319">
        <f t="shared" ref="AHY39" ca="1" si="12854">SUMPRODUCT((AHW37:AHW40=AHW39)*(AHV37:AHV40&lt;AHV39))+AHW39</f>
        <v>3</v>
      </c>
      <c r="AHZ39" s="319" t="str">
        <f t="shared" ref="AHZ39" ca="1" si="12855">INDEX(AHN37:AHN41,MATCH(3,AHY37:AHY41,0),0)</f>
        <v>Türkiye</v>
      </c>
      <c r="AIA39" s="319">
        <f t="shared" ref="AIA39" ca="1" si="12856">INDEX(AHW37:AHW41,MATCH(AHZ39,AHN37:AHN41,0),0)</f>
        <v>1</v>
      </c>
      <c r="AIB39" s="319" t="str">
        <f t="shared" ref="AIB39:AIB40" ca="1" si="12857">IF(AND(AIB38&lt;&gt;"",AIA39=1),AHZ39,"")</f>
        <v>Türkiye</v>
      </c>
      <c r="AIC39" s="319" t="str">
        <f t="shared" ref="AIC39:AIC40" ca="1" si="12858">IF(AND(AIC38&lt;&gt;"",AIA40=2),AHZ40,"")</f>
        <v/>
      </c>
      <c r="AID39" s="319" t="str">
        <f t="shared" ref="AID39" ca="1" si="12859">IF(AND(AID38&lt;&gt;"",AIA41=3),AHZ41,"")</f>
        <v/>
      </c>
      <c r="AIE39" s="319"/>
      <c r="AIF39" s="319"/>
      <c r="AIG39" s="319" t="str">
        <f t="shared" ca="1" si="11965"/>
        <v>Türkiye</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f t="shared" ca="1" si="11972"/>
        <v>0</v>
      </c>
      <c r="AIO39" s="319">
        <f t="shared" ref="AIO39" ca="1" si="12865">IF(AIG39&lt;&gt;"",VLOOKUP(AIG39,AHN4:AHT40,7,FALSE),"")</f>
        <v>1000</v>
      </c>
      <c r="AIP39" s="319">
        <f t="shared" ref="AIP39" ca="1" si="12866">IF(AIG39&lt;&gt;"",VLOOKUP(AIG39,AHN4:AHT40,5,FALSE),"")</f>
        <v>0</v>
      </c>
      <c r="AIQ39" s="319">
        <f t="shared" ref="AIQ39" ca="1" si="12867">IF(AIG39&lt;&gt;"",VLOOKUP(AIG39,AHN4:AHV40,9,FALSE),"")</f>
        <v>47</v>
      </c>
      <c r="AIR39" s="319">
        <f t="shared" ca="1" si="11976"/>
        <v>0</v>
      </c>
      <c r="AIS39" s="319">
        <f t="shared" ref="AIS39" ca="1" si="12868">IF(AIG39&lt;&gt;"",RANK(AIR39,AIR37:AIR41),"")</f>
        <v>1</v>
      </c>
      <c r="AIT39" s="319">
        <f t="shared" ref="AIT39" ca="1" si="12869">IF(AIG39&lt;&gt;"",SUMPRODUCT((AIR37:AIR41=AIR39)*(AIM37:AIM41&gt;AIM39)),"")</f>
        <v>0</v>
      </c>
      <c r="AIU39" s="319">
        <f t="shared" ref="AIU39" ca="1" si="12870">IF(AIG39&lt;&gt;"",SUMPRODUCT((AIR37:AIR41=AIR39)*(AIM37:AIM41=AIM39)*(AIK37:AIK41&gt;AIK39)),"")</f>
        <v>0</v>
      </c>
      <c r="AIV39" s="319">
        <f t="shared" ref="AIV39" ca="1" si="12871">IF(AIG39&lt;&gt;"",SUMPRODUCT((AIR37:AIR41=AIR39)*(AIM37:AIM41=AIM39)*(AIK37:AIK41=AIK39)*(AIO37:AIO41&gt;AIO39)),"")</f>
        <v>0</v>
      </c>
      <c r="AIW39" s="319">
        <f t="shared" ref="AIW39" ca="1" si="12872">IF(AIG39&lt;&gt;"",SUMPRODUCT((AIR37:AIR41=AIR39)*(AIM37:AIM41=AIM39)*(AIK37:AIK41=AIK39)*(AIO37:AIO41=AIO39)*(AIP37:AIP41&gt;AIP39)),"")</f>
        <v>0</v>
      </c>
      <c r="AIX39" s="319">
        <f t="shared" ref="AIX39" ca="1" si="12873">IF(AIG39&lt;&gt;"",SUMPRODUCT((AIR37:AIR41=AIR39)*(AIM37:AIM41=AIM39)*(AIK37:AIK41=AIK39)*(AIO37:AIO41=AIO39)*(AIP37:AIP41=AIP39)*(AIQ37:AIQ41&gt;AIQ39)),"")</f>
        <v>1</v>
      </c>
      <c r="AIY39" s="319">
        <f ca="1">IF(AIG39&lt;&gt;"",IF(AIY79&lt;&gt;"",IF(AIF76=3,AIY79,AIY79+AIF76),SUM(AIS39:AIX39)),"")</f>
        <v>2</v>
      </c>
      <c r="AIZ39" s="319" t="str">
        <f t="shared" ref="AIZ39" ca="1" si="12874">IF(AIG39&lt;&gt;"",INDEX(AIG37:AIG41,MATCH(3,AIY37:AIY41,0),0),"")</f>
        <v>Czechia</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0</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t="str">
        <f t="shared" ref="AKB39:AKB40" ca="1" si="12897">IF(AJU39&lt;&gt;"",AJV39*3+AJW39*1,"")</f>
        <v/>
      </c>
      <c r="AKC39" s="319" t="str">
        <f t="shared" ref="AKC39" ca="1" si="12898">IF(AJU39&lt;&gt;"",VLOOKUP(AJU39,AHN4:AHT40,7,FALSE),"")</f>
        <v/>
      </c>
      <c r="AKD39" s="319" t="str">
        <f t="shared" ref="AKD39" ca="1" si="12899">IF(AJU39&lt;&gt;"",VLOOKUP(AJU39,AHN4:AHT40,5,FALSE),"")</f>
        <v/>
      </c>
      <c r="AKE39" s="319" t="str">
        <f t="shared" ref="AKE39" ca="1" si="12900">IF(AJU39&lt;&gt;"",VLOOKUP(AJU39,AHN4:AHV40,9,FALSE),"")</f>
        <v/>
      </c>
      <c r="AKF39" s="319" t="str">
        <f t="shared" ref="AKF39:AKF40" ca="1" si="12901">AKB39</f>
        <v/>
      </c>
      <c r="AKG39" s="319" t="str">
        <f t="shared" ref="AKG39" ca="1" si="12902">IF(AJU39&lt;&gt;"",RANK(AKF39,AKF38:AKF40),"")</f>
        <v/>
      </c>
      <c r="AKH39" s="319" t="str">
        <f t="shared" ref="AKH39" ca="1" si="12903">IF(AJU39&lt;&gt;"",SUMPRODUCT((AKF37:AKF41=AKF39)*(AKA37:AKA41&gt;AKA39)),"")</f>
        <v/>
      </c>
      <c r="AKI39" s="319" t="str">
        <f t="shared" ref="AKI39" ca="1" si="12904">IF(AJU39&lt;&gt;"",SUMPRODUCT((AKF37:AKF41=AKF39)*(AKA37:AKA41=AKA39)*(AJY37:AJY41&gt;AJY39)),"")</f>
        <v/>
      </c>
      <c r="AKJ39" s="319" t="str">
        <f t="shared" ref="AKJ39" ca="1" si="12905">IF(AJU39&lt;&gt;"",SUMPRODUCT((AKF37:AKF41=AKF39)*(AKA37:AKA41=AKA39)*(AJY37:AJY41=AJY39)*(AKC37:AKC41&gt;AKC39)),"")</f>
        <v/>
      </c>
      <c r="AKK39" s="319" t="str">
        <f t="shared" ref="AKK39" ca="1" si="12906">IF(AJU39&lt;&gt;"",SUMPRODUCT((AKF37:AKF41=AKF39)*(AKA37:AKA41=AKA39)*(AJY37:AJY41=AJY39)*(AKC37:AKC41=AKC39)*(AKD37:AKD41&gt;AKD39)),"")</f>
        <v/>
      </c>
      <c r="AKL39" s="319" t="str">
        <f t="shared" ref="AKL39" ca="1" si="12907">IF(AJU39&lt;&gt;"",SUMPRODUCT((AKF37:AKF41=AKF39)*(AKA37:AKA41=AKA39)*(AJY37:AJY41=AJY39)*(AKC37:AKC41=AKC39)*(AKD37:AKD41=AKD39)*(AKE37:AKE41&gt;AKE39)),"")</f>
        <v/>
      </c>
      <c r="AKM39" s="319" t="str">
        <f t="shared" ref="AKM39:AKM40" ca="1" si="12908">IF(AJU39&lt;&gt;"",SUM(AKG39:AKL39)+2,"")</f>
        <v/>
      </c>
      <c r="AKN39" s="319" t="str">
        <f t="shared" ref="AKN39" ca="1" si="12909">IF(AJU39&lt;&gt;"",INDEX(AJU39:AJU41,MATCH(3,AKM39:AKM41,0),0),"")</f>
        <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2</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0</v>
      </c>
      <c r="AMO39" s="319">
        <f t="shared" ref="AMO39" ca="1" si="12914">SUMPRODUCT((AQJ3:AQJ42=AML39)*(AQN3:AQN42="L"))+SUMPRODUCT((AQM3:AQM42=AML39)*(AQO3:AQO42="L"))</f>
        <v>0</v>
      </c>
      <c r="AMP39" s="319">
        <f t="shared" ref="AMP39" ca="1" si="12915">SUMIF(AQJ3:AQJ60,AML39,AQK3:AQK60)+SUMIF(AQM3:AQM60,AML39,AQL3:AQL60)</f>
        <v>0</v>
      </c>
      <c r="AMQ39" s="319">
        <f t="shared" ref="AMQ39" ca="1" si="12916">SUMIF(AQM3:AQM60,AML39,AQK3:AQK60)+SUMIF(AQJ3:AQJ60,AML39,AQL3:AQL60)</f>
        <v>0</v>
      </c>
      <c r="AMR39" s="319">
        <f t="shared" ca="1" si="11992"/>
        <v>1000</v>
      </c>
      <c r="AMS39" s="319">
        <f t="shared" ca="1" si="11993"/>
        <v>0</v>
      </c>
      <c r="AMT39" s="319">
        <f t="shared" si="930"/>
        <v>47</v>
      </c>
      <c r="AMU39" s="319">
        <f t="shared" ref="AMU39" ca="1" si="12917">IF(COUNTIF(AMS37:AMS41,4)&lt;&gt;4,RANK(AMS39,AMS37:AMS41),AMS79)</f>
        <v>1</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1</v>
      </c>
      <c r="AMZ39" s="319" t="str">
        <f t="shared" ref="AMZ39:AMZ40" ca="1" si="12921">IF(AND(AMZ38&lt;&gt;"",AMY39=1),AMX39,"")</f>
        <v>Türkiye</v>
      </c>
      <c r="ANA39" s="319" t="str">
        <f t="shared" ref="ANA39:ANA40" ca="1" si="12922">IF(AND(ANA38&lt;&gt;"",AMY40=2),AMX40,"")</f>
        <v/>
      </c>
      <c r="ANB39" s="319" t="str">
        <f t="shared" ref="ANB39" ca="1" si="12923">IF(AND(ANB38&lt;&gt;"",AMY41=3),AMX41,"")</f>
        <v/>
      </c>
      <c r="ANC39" s="319"/>
      <c r="AND39" s="319"/>
      <c r="ANE39" s="319" t="str">
        <f t="shared" ca="1" si="12002"/>
        <v>Türkiye</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f t="shared" ca="1" si="12009"/>
        <v>0</v>
      </c>
      <c r="ANM39" s="319">
        <f t="shared" ref="ANM39" ca="1" si="12929">IF(ANE39&lt;&gt;"",VLOOKUP(ANE39,AML4:AMR40,7,FALSE),"")</f>
        <v>1000</v>
      </c>
      <c r="ANN39" s="319">
        <f t="shared" ref="ANN39" ca="1" si="12930">IF(ANE39&lt;&gt;"",VLOOKUP(ANE39,AML4:AMR40,5,FALSE),"")</f>
        <v>0</v>
      </c>
      <c r="ANO39" s="319">
        <f t="shared" ref="ANO39" ca="1" si="12931">IF(ANE39&lt;&gt;"",VLOOKUP(ANE39,AML4:AMT40,9,FALSE),"")</f>
        <v>47</v>
      </c>
      <c r="ANP39" s="319">
        <f t="shared" ca="1" si="12013"/>
        <v>0</v>
      </c>
      <c r="ANQ39" s="319">
        <f t="shared" ref="ANQ39" ca="1" si="12932">IF(ANE39&lt;&gt;"",RANK(ANP39,ANP37:ANP41),"")</f>
        <v>1</v>
      </c>
      <c r="ANR39" s="319">
        <f t="shared" ref="ANR39" ca="1" si="12933">IF(ANE39&lt;&gt;"",SUMPRODUCT((ANP37:ANP41=ANP39)*(ANK37:ANK41&gt;ANK39)),"")</f>
        <v>0</v>
      </c>
      <c r="ANS39" s="319">
        <f t="shared" ref="ANS39" ca="1" si="12934">IF(ANE39&lt;&gt;"",SUMPRODUCT((ANP37:ANP41=ANP39)*(ANK37:ANK41=ANK39)*(ANI37:ANI41&gt;ANI39)),"")</f>
        <v>0</v>
      </c>
      <c r="ANT39" s="319">
        <f t="shared" ref="ANT39" ca="1" si="12935">IF(ANE39&lt;&gt;"",SUMPRODUCT((ANP37:ANP41=ANP39)*(ANK37:ANK41=ANK39)*(ANI37:ANI41=ANI39)*(ANM37:ANM41&gt;ANM39)),"")</f>
        <v>0</v>
      </c>
      <c r="ANU39" s="319">
        <f t="shared" ref="ANU39" ca="1" si="12936">IF(ANE39&lt;&gt;"",SUMPRODUCT((ANP37:ANP41=ANP39)*(ANK37:ANK41=ANK39)*(ANI37:ANI41=ANI39)*(ANM37:ANM41=ANM39)*(ANN37:ANN41&gt;ANN39)),"")</f>
        <v>0</v>
      </c>
      <c r="ANV39" s="319">
        <f t="shared" ref="ANV39" ca="1" si="12937">IF(ANE39&lt;&gt;"",SUMPRODUCT((ANP37:ANP41=ANP39)*(ANK37:ANK41=ANK39)*(ANI37:ANI41=ANI39)*(ANM37:ANM41=ANM39)*(ANN37:ANN41=ANN39)*(ANO37:ANO41&gt;ANO39)),"")</f>
        <v>1</v>
      </c>
      <c r="ANW39" s="319">
        <f ca="1">IF(ANE39&lt;&gt;"",IF(ANW79&lt;&gt;"",IF(AND76=3,ANW79,ANW79+AND76),SUM(ANQ39:ANV39)),"")</f>
        <v>2</v>
      </c>
      <c r="ANX39" s="319" t="str">
        <f t="shared" ref="ANX39" ca="1" si="12938">IF(ANE39&lt;&gt;"",INDEX(ANE37:ANE41,MATCH(3,ANW37:ANW41,0),0),"")</f>
        <v>Czechia</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Czechia</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2</v>
      </c>
      <c r="ARJ39" s="319" t="str">
        <f t="shared" si="12023"/>
        <v>Türkiye</v>
      </c>
      <c r="ARK39" s="319">
        <f t="shared" ref="ARK39" ca="1" si="12976">SUMPRODUCT((AVH3:AVH42=ARJ39)*(AVL3:AVL42="W"))+SUMPRODUCT((AVK3:AVK42=ARJ39)*(AVM3:AVM42="W"))</f>
        <v>0</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0</v>
      </c>
      <c r="ARO39" s="319">
        <f t="shared" ref="ARO39" ca="1" si="12980">SUMIF(AVK3:AVK60,ARJ39,AVI3:AVI60)+SUMIF(AVH3:AVH60,ARJ39,AVJ3:AVJ60)</f>
        <v>0</v>
      </c>
      <c r="ARP39" s="319">
        <f t="shared" ca="1" si="12029"/>
        <v>1000</v>
      </c>
      <c r="ARQ39" s="319">
        <f t="shared" ca="1" si="12030"/>
        <v>0</v>
      </c>
      <c r="ARR39" s="319">
        <f t="shared" si="990"/>
        <v>47</v>
      </c>
      <c r="ARS39" s="319">
        <f t="shared" ref="ARS39" ca="1" si="12981">IF(COUNTIF(ARQ37:ARQ41,4)&lt;&gt;4,RANK(ARQ39,ARQ37:ARQ41),ARQ79)</f>
        <v>1</v>
      </c>
      <c r="ART39" s="319"/>
      <c r="ARU39" s="319">
        <f t="shared" ref="ARU39" ca="1" si="12982">SUMPRODUCT((ARS37:ARS40=ARS39)*(ARR37:ARR40&lt;ARR39))+ARS39</f>
        <v>3</v>
      </c>
      <c r="ARV39" s="319" t="str">
        <f t="shared" ref="ARV39" ca="1" si="12983">INDEX(ARJ37:ARJ41,MATCH(3,ARU37:ARU41,0),0)</f>
        <v>Türkiye</v>
      </c>
      <c r="ARW39" s="319">
        <f t="shared" ref="ARW39" ca="1" si="12984">INDEX(ARS37:ARS41,MATCH(ARV39,ARJ37:ARJ41,0),0)</f>
        <v>1</v>
      </c>
      <c r="ARX39" s="319" t="str">
        <f t="shared" ref="ARX39:ARX40" ca="1" si="12985">IF(AND(ARX38&lt;&gt;"",ARW39=1),ARV39,"")</f>
        <v>Türkiye</v>
      </c>
      <c r="ARY39" s="319" t="str">
        <f t="shared" ref="ARY39:ARY40" ca="1" si="12986">IF(AND(ARY38&lt;&gt;"",ARW40=2),ARV40,"")</f>
        <v/>
      </c>
      <c r="ARZ39" s="319" t="str">
        <f t="shared" ref="ARZ39" ca="1" si="12987">IF(AND(ARZ38&lt;&gt;"",ARW41=3),ARV41,"")</f>
        <v/>
      </c>
      <c r="ASA39" s="319"/>
      <c r="ASB39" s="319"/>
      <c r="ASC39" s="319" t="str">
        <f t="shared" ca="1" si="12039"/>
        <v>Türkiye</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f t="shared" ca="1" si="12046"/>
        <v>0</v>
      </c>
      <c r="ASK39" s="319">
        <f t="shared" ref="ASK39" ca="1" si="12993">IF(ASC39&lt;&gt;"",VLOOKUP(ASC39,ARJ4:ARP40,7,FALSE),"")</f>
        <v>1000</v>
      </c>
      <c r="ASL39" s="319">
        <f t="shared" ref="ASL39" ca="1" si="12994">IF(ASC39&lt;&gt;"",VLOOKUP(ASC39,ARJ4:ARP40,5,FALSE),"")</f>
        <v>0</v>
      </c>
      <c r="ASM39" s="319">
        <f t="shared" ref="ASM39" ca="1" si="12995">IF(ASC39&lt;&gt;"",VLOOKUP(ASC39,ARJ4:ARR40,9,FALSE),"")</f>
        <v>47</v>
      </c>
      <c r="ASN39" s="319">
        <f t="shared" ca="1" si="12050"/>
        <v>0</v>
      </c>
      <c r="ASO39" s="319">
        <f t="shared" ref="ASO39" ca="1" si="12996">IF(ASC39&lt;&gt;"",RANK(ASN39,ASN37:ASN41),"")</f>
        <v>1</v>
      </c>
      <c r="ASP39" s="319">
        <f t="shared" ref="ASP39" ca="1" si="12997">IF(ASC39&lt;&gt;"",SUMPRODUCT((ASN37:ASN41=ASN39)*(ASI37:ASI41&gt;ASI39)),"")</f>
        <v>0</v>
      </c>
      <c r="ASQ39" s="319">
        <f t="shared" ref="ASQ39" ca="1" si="12998">IF(ASC39&lt;&gt;"",SUMPRODUCT((ASN37:ASN41=ASN39)*(ASI37:ASI41=ASI39)*(ASG37:ASG41&gt;ASG39)),"")</f>
        <v>0</v>
      </c>
      <c r="ASR39" s="319">
        <f t="shared" ref="ASR39" ca="1" si="12999">IF(ASC39&lt;&gt;"",SUMPRODUCT((ASN37:ASN41=ASN39)*(ASI37:ASI41=ASI39)*(ASG37:ASG41=ASG39)*(ASK37:ASK41&gt;ASK39)),"")</f>
        <v>0</v>
      </c>
      <c r="ASS39" s="319">
        <f t="shared" ref="ASS39" ca="1" si="13000">IF(ASC39&lt;&gt;"",SUMPRODUCT((ASN37:ASN41=ASN39)*(ASI37:ASI41=ASI39)*(ASG37:ASG41=ASG39)*(ASK37:ASK41=ASK39)*(ASL37:ASL41&gt;ASL39)),"")</f>
        <v>0</v>
      </c>
      <c r="AST39" s="319">
        <f t="shared" ref="AST39" ca="1" si="13001">IF(ASC39&lt;&gt;"",SUMPRODUCT((ASN37:ASN41=ASN39)*(ASI37:ASI41=ASI39)*(ASG37:ASG41=ASG39)*(ASK37:ASK41=ASK39)*(ASL37:ASL41=ASL39)*(ASM37:ASM41&gt;ASM39)),"")</f>
        <v>1</v>
      </c>
      <c r="ASU39" s="319">
        <f ca="1">IF(ASC39&lt;&gt;"",IF(ASU79&lt;&gt;"",IF(ASB76=3,ASU79,ASU79+ASB76),SUM(ASO39:AST39)),"")</f>
        <v>2</v>
      </c>
      <c r="ASV39" s="319" t="str">
        <f t="shared" ref="ASV39" ca="1" si="13002">IF(ASC39&lt;&gt;"",INDEX(ASC37:ASC41,MATCH(3,ASU37:ASU41,0),0),"")</f>
        <v>Czechia</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Czechia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0</v>
      </c>
      <c r="AWJ39" s="319">
        <f t="shared" ref="AWJ39" ca="1" si="13041">SUMPRODUCT((BAF3:BAF42=AWH39)*(BAJ3:BAJ42="D"))+SUMPRODUCT((BAI3:BAI42=AWH39)*(BAK3:BAK42="D"))</f>
        <v>0</v>
      </c>
      <c r="AWK39" s="319">
        <f t="shared" ref="AWK39" ca="1" si="13042">SUMPRODUCT((BAF3:BAF42=AWH39)*(BAJ3:BAJ42="L"))+SUMPRODUCT((BAI3:BAI42=AWH39)*(BAK3:BAK42="L"))</f>
        <v>0</v>
      </c>
      <c r="AWL39" s="319">
        <f t="shared" ref="AWL39" ca="1" si="13043">SUMIF(BAF3:BAF60,AWH39,BAG3:BAG60)+SUMIF(BAI3:BAI60,AWH39,BAH3:BAH60)</f>
        <v>0</v>
      </c>
      <c r="AWM39" s="319">
        <f t="shared" ref="AWM39" ca="1" si="13044">SUMIF(BAI3:BAI60,AWH39,BAG3:BAG60)+SUMIF(BAF3:BAF60,AWH39,BAH3:BAH60)</f>
        <v>0</v>
      </c>
      <c r="AWN39" s="319">
        <f t="shared" ca="1" si="12066"/>
        <v>1000</v>
      </c>
      <c r="AWO39" s="319">
        <f t="shared" ca="1" si="12067"/>
        <v>0</v>
      </c>
      <c r="AWP39" s="319">
        <f t="shared" si="1050"/>
        <v>47</v>
      </c>
      <c r="AWQ39" s="319">
        <f t="shared" ref="AWQ39" ca="1" si="13045">IF(COUNTIF(AWO37:AWO41,4)&lt;&gt;4,RANK(AWO39,AWO37:AWO41),AWO79)</f>
        <v>1</v>
      </c>
      <c r="AWR39" s="319"/>
      <c r="AWS39" s="319">
        <f t="shared" ref="AWS39" ca="1" si="13046">SUMPRODUCT((AWQ37:AWQ40=AWQ39)*(AWP37:AWP40&lt;AWP39))+AWQ39</f>
        <v>3</v>
      </c>
      <c r="AWT39" s="319" t="str">
        <f t="shared" ref="AWT39" ca="1" si="13047">INDEX(AWH37:AWH41,MATCH(3,AWS37:AWS41,0),0)</f>
        <v>Türkiye</v>
      </c>
      <c r="AWU39" s="319">
        <f t="shared" ref="AWU39" ca="1" si="13048">INDEX(AWQ37:AWQ41,MATCH(AWT39,AWH37:AWH41,0),0)</f>
        <v>1</v>
      </c>
      <c r="AWV39" s="319" t="str">
        <f t="shared" ref="AWV39:AWV40" ca="1" si="13049">IF(AND(AWV38&lt;&gt;"",AWU39=1),AWT39,"")</f>
        <v>Türkiye</v>
      </c>
      <c r="AWW39" s="319" t="str">
        <f t="shared" ref="AWW39:AWW40" ca="1" si="13050">IF(AND(AWW38&lt;&gt;"",AWU40=2),AWT40,"")</f>
        <v/>
      </c>
      <c r="AWX39" s="319" t="str">
        <f t="shared" ref="AWX39" ca="1" si="13051">IF(AND(AWX38&lt;&gt;"",AWU41=3),AWT41,"")</f>
        <v/>
      </c>
      <c r="AWY39" s="319"/>
      <c r="AWZ39" s="319"/>
      <c r="AXA39" s="319" t="str">
        <f t="shared" ca="1" si="12076"/>
        <v>Türkiye</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f t="shared" ca="1" si="12083"/>
        <v>0</v>
      </c>
      <c r="AXI39" s="319">
        <f t="shared" ref="AXI39" ca="1" si="13057">IF(AXA39&lt;&gt;"",VLOOKUP(AXA39,AWH4:AWN40,7,FALSE),"")</f>
        <v>1000</v>
      </c>
      <c r="AXJ39" s="319">
        <f t="shared" ref="AXJ39" ca="1" si="13058">IF(AXA39&lt;&gt;"",VLOOKUP(AXA39,AWH4:AWN40,5,FALSE),"")</f>
        <v>0</v>
      </c>
      <c r="AXK39" s="319">
        <f t="shared" ref="AXK39" ca="1" si="13059">IF(AXA39&lt;&gt;"",VLOOKUP(AXA39,AWH4:AWP40,9,FALSE),"")</f>
        <v>47</v>
      </c>
      <c r="AXL39" s="319">
        <f t="shared" ca="1" si="12087"/>
        <v>0</v>
      </c>
      <c r="AXM39" s="319">
        <f t="shared" ref="AXM39" ca="1" si="13060">IF(AXA39&lt;&gt;"",RANK(AXL39,AXL37:AXL41),"")</f>
        <v>1</v>
      </c>
      <c r="AXN39" s="319">
        <f t="shared" ref="AXN39" ca="1" si="13061">IF(AXA39&lt;&gt;"",SUMPRODUCT((AXL37:AXL41=AXL39)*(AXG37:AXG41&gt;AXG39)),"")</f>
        <v>0</v>
      </c>
      <c r="AXO39" s="319">
        <f t="shared" ref="AXO39" ca="1" si="13062">IF(AXA39&lt;&gt;"",SUMPRODUCT((AXL37:AXL41=AXL39)*(AXG37:AXG41=AXG39)*(AXE37:AXE41&gt;AXE39)),"")</f>
        <v>0</v>
      </c>
      <c r="AXP39" s="319">
        <f t="shared" ref="AXP39" ca="1" si="13063">IF(AXA39&lt;&gt;"",SUMPRODUCT((AXL37:AXL41=AXL39)*(AXG37:AXG41=AXG39)*(AXE37:AXE41=AXE39)*(AXI37:AXI41&gt;AXI39)),"")</f>
        <v>0</v>
      </c>
      <c r="AXQ39" s="319">
        <f t="shared" ref="AXQ39" ca="1" si="13064">IF(AXA39&lt;&gt;"",SUMPRODUCT((AXL37:AXL41=AXL39)*(AXG37:AXG41=AXG39)*(AXE37:AXE41=AXE39)*(AXI37:AXI41=AXI39)*(AXJ37:AXJ41&gt;AXJ39)),"")</f>
        <v>0</v>
      </c>
      <c r="AXR39" s="319">
        <f t="shared" ref="AXR39" ca="1" si="13065">IF(AXA39&lt;&gt;"",SUMPRODUCT((AXL37:AXL41=AXL39)*(AXG37:AXG41=AXG39)*(AXE37:AXE41=AXE39)*(AXI37:AXI41=AXI39)*(AXJ37:AXJ41=AXJ39)*(AXK37:AXK41&gt;AXK39)),"")</f>
        <v>1</v>
      </c>
      <c r="AXS39" s="319">
        <f ca="1">IF(AXA39&lt;&gt;"",IF(AXS79&lt;&gt;"",IF(AWZ76=3,AXS79,AXS79+AWZ76),SUM(AXM39:AXR39)),"")</f>
        <v>2</v>
      </c>
      <c r="AXT39" s="319" t="str">
        <f t="shared" ref="AXT39" ca="1" si="13066">IF(AXA39&lt;&gt;"",INDEX(AXA37:AXA41,MATCH(3,AXS37:AXS41,0),0),"")</f>
        <v>Czechia</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Czechia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ht="13.8" x14ac:dyDescent="0.3">
      <c r="A40" s="319">
        <f>VLOOKUP(B40,CW37:CX41,2,FALSE)</f>
        <v>4</v>
      </c>
      <c r="B40" s="319" t="str">
        <f>'Language Table'!C29</f>
        <v>Georgia</v>
      </c>
      <c r="C40" s="319">
        <f>SUMPRODUCT((CZ3:CZ42=B40)*(DD3:DD42="W"))+SUMPRODUCT((DC3:DC42=B40)*(DE3:DE42="W"))</f>
        <v>0</v>
      </c>
      <c r="D40" s="319">
        <f>SUMPRODUCT((CZ3:CZ42=B40)*(DD3:DD42="D"))+SUMPRODUCT((DC3:DC42=B40)*(DE3:DE42="D"))</f>
        <v>0</v>
      </c>
      <c r="E40" s="319">
        <f>SUMPRODUCT((CZ3:CZ42=B40)*(DD3:DD42="L"))+SUMPRODUCT((DC3:DC42=B40)*(DE3:DE42="L"))</f>
        <v>1</v>
      </c>
      <c r="F40" s="319">
        <f>SUMIF(CZ3:CZ60,B40,DA3:DA60)+SUMIF(DC3:DC60,B40,DB3:DB60)</f>
        <v>1</v>
      </c>
      <c r="G40" s="319">
        <f>SUMIF(DC3:DC60,B40,DA3:DA60)+SUMIF(CZ3:CZ60,B40,DB3:DB60)</f>
        <v>3</v>
      </c>
      <c r="H40" s="319">
        <f t="shared" si="11788"/>
        <v>998</v>
      </c>
      <c r="I40" s="319">
        <f t="shared" si="11789"/>
        <v>0</v>
      </c>
      <c r="J40" s="319">
        <v>0</v>
      </c>
      <c r="K40" s="319">
        <f>IF(COUNTIF(I37:I41,4)&lt;&gt;4,RANK(I40,I37:I41),I80)</f>
        <v>3</v>
      </c>
      <c r="L40" s="319"/>
      <c r="M40" s="319">
        <f>SUMPRODUCT((K37:K40=K40)*(J37:J40&lt;J40))+K40</f>
        <v>3</v>
      </c>
      <c r="N40" s="319" t="str">
        <f>INDEX(B37:B41,MATCH(4,M37:M41,0),0)</f>
        <v>Czechia</v>
      </c>
      <c r="O40" s="319">
        <f>INDEX(K37:K41,MATCH(N40,B37:B41,0),0)</f>
        <v>3</v>
      </c>
      <c r="P40" s="319" t="str">
        <f>IF(AND(P39&lt;&gt;"",O40=1),N40,"")</f>
        <v/>
      </c>
      <c r="Q40" s="319" t="str">
        <f>IF(AND(Q39&lt;&gt;"",O41=2),N41,"")</f>
        <v/>
      </c>
      <c r="R40" s="319"/>
      <c r="S40" s="319"/>
      <c r="T40" s="319"/>
      <c r="U40" s="319" t="str">
        <f t="shared" si="12133"/>
        <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t="str">
        <f t="shared" si="11790"/>
        <v/>
      </c>
      <c r="AC40" s="319" t="str">
        <f>IF(U40&lt;&gt;"",VLOOKUP(U40,B4:H40,7,FALSE),"")</f>
        <v/>
      </c>
      <c r="AD40" s="319" t="str">
        <f>IF(U40&lt;&gt;"",VLOOKUP(U40,B4:H40,5,FALSE),"")</f>
        <v/>
      </c>
      <c r="AE40" s="319" t="str">
        <f>IF(U40&lt;&gt;"",VLOOKUP(U40,B4:J40,9,FALSE),"")</f>
        <v/>
      </c>
      <c r="AF40" s="319" t="str">
        <f t="shared" si="11791"/>
        <v/>
      </c>
      <c r="AG40" s="319" t="str">
        <f>IF(U40&lt;&gt;"",RANK(AF40,AF37:AF41),"")</f>
        <v/>
      </c>
      <c r="AH40" s="319" t="str">
        <f>IF(U40&lt;&gt;"",SUMPRODUCT((AF37:AF41=AF40)*(AA37:AA41&gt;AA40)),"")</f>
        <v/>
      </c>
      <c r="AI40" s="319" t="str">
        <f>IF(U40&lt;&gt;"",SUMPRODUCT((AF37:AF41=AF40)*(AA37:AA41=AA40)*(Y37:Y41&gt;Y40)),"")</f>
        <v/>
      </c>
      <c r="AJ40" s="319" t="str">
        <f>IF(U40&lt;&gt;"",SUMPRODUCT((AF37:AF41=AF40)*(AA37:AA41=AA40)*(Y37:Y41=Y40)*(AC37:AC41&gt;AC40)),"")</f>
        <v/>
      </c>
      <c r="AK40" s="319" t="str">
        <f>IF(U40&lt;&gt;"",SUMPRODUCT((AF37:AF41=AF40)*(AA37:AA41=AA40)*(Y37:Y41=Y40)*(AC37:AC41=AC40)*(AD37:AD41&gt;AD40)),"")</f>
        <v/>
      </c>
      <c r="AL40" s="319" t="str">
        <f>IF(U40&lt;&gt;"",SUMPRODUCT((AF37:AF41=AF40)*(AA37:AA41=AA40)*(Y37:Y41=Y40)*(AC37:AC41=AC40)*(AD37:AD41=AD40)*(AE37:AE41&gt;AE40)),"")</f>
        <v/>
      </c>
      <c r="AM40" s="319" t="str">
        <f>IF(U40&lt;&gt;"",IF(AM80&lt;&gt;"",IF(T76=3,AM80,AM80+T76),SUM(AG40:AL40)),"")</f>
        <v/>
      </c>
      <c r="AN40" s="319" t="str">
        <f>IF(U40&lt;&gt;"",INDEX(U37:U41,MATCH(4,AM37:AM41,0),0),"")</f>
        <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Czechia</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0</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19">
        <f>BM40-BN40+1000</f>
        <v>1000</v>
      </c>
      <c r="BP40" s="319">
        <f t="shared" si="12585"/>
        <v>0</v>
      </c>
      <c r="BQ40" s="319">
        <f>IF(BI40&lt;&gt;"",VLOOKUP(BI40,B4:H40,7,FALSE),"")</f>
        <v>999</v>
      </c>
      <c r="BR40" s="319">
        <f>IF(BI40&lt;&gt;"",VLOOKUP(BI40,B4:H40,5,FALSE),"")</f>
        <v>1</v>
      </c>
      <c r="BS40" s="319">
        <f>IF(BI40&lt;&gt;"",VLOOKUP(BI40,B4:J40,9,FALSE),"")</f>
        <v>37</v>
      </c>
      <c r="BT40" s="319">
        <f t="shared" si="12586"/>
        <v>0</v>
      </c>
      <c r="BU40" s="319">
        <f>IF(BI40&lt;&gt;"",RANK(BT40,BT38:BT40),"")</f>
        <v>1</v>
      </c>
      <c r="BV40" s="319">
        <f>IF(BI40&lt;&gt;"",SUMPRODUCT((BT37:BT41=BT40)*(BO37:BO41&gt;BO40)),"")</f>
        <v>0</v>
      </c>
      <c r="BW40" s="319">
        <f>IF(BI40&lt;&gt;"",SUMPRODUCT((BT37:BT41=BT40)*(BO37:BO41=BO40)*(BM37:BM41&gt;BM40)),"")</f>
        <v>0</v>
      </c>
      <c r="BX40" s="319">
        <f>IF(BI40&lt;&gt;"",SUMPRODUCT((BT37:BT41=BT40)*(BO37:BO41=BO40)*(BM37:BM41=BM40)*(BQ37:BQ41&gt;BQ40)),"")</f>
        <v>0</v>
      </c>
      <c r="BY40" s="319">
        <f>IF(BI40&lt;&gt;"",SUMPRODUCT((BT37:BT41=BT40)*(BO37:BO41=BO40)*(BM37:BM41=BM40)*(BQ37:BQ41=BQ40)*(BR37:BR41&gt;BR40)),"")</f>
        <v>0</v>
      </c>
      <c r="BZ40" s="319">
        <f>IF(BI40&lt;&gt;"",SUMPRODUCT((BT37:BT41=BT40)*(BO37:BO41=BO40)*(BM37:BM41=BM40)*(BQ37:BQ41=BQ40)*(BR37:BR41=BR40)*(BS37:BS41&gt;BS40)),"")</f>
        <v>0</v>
      </c>
      <c r="CA40" s="319">
        <f>IF(BI40&lt;&gt;"",SUM(BU40:BZ40)+2,"")</f>
        <v>3</v>
      </c>
      <c r="CB40" s="319" t="str">
        <f>IF(BI40&lt;&gt;"",INDEX(BI39:BI41,MATCH(4,CA39:CA41,0),0),"")</f>
        <v>Georgia</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0</v>
      </c>
      <c r="EC40" s="319">
        <f ca="1">SUMPRODUCT((HX3:HX42=DZ40)*(IB3:IB42="L"))+SUMPRODUCT((IA3:IA42=DZ40)*(IC3:IC42="L"))</f>
        <v>3</v>
      </c>
      <c r="ED40" s="319">
        <f ca="1">SUMIF(HX3:HX60,DZ40,HY3:HY60)+SUMIF(IA3:IA60,DZ40,HZ3:HZ60)</f>
        <v>1</v>
      </c>
      <c r="EE40" s="319">
        <f ca="1">SUMIF(IA3:IA60,DZ40,HY3:HY60)+SUMIF(HX3:HX60,DZ40,HZ3:HZ60)</f>
        <v>13</v>
      </c>
      <c r="EF40" s="319">
        <f t="shared" ca="1" si="11792"/>
        <v>988</v>
      </c>
      <c r="EG40" s="319">
        <f t="shared" ca="1" si="11793"/>
        <v>0</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1</v>
      </c>
      <c r="JA40" s="319">
        <f ca="1">SUMPRODUCT((MV3:MV42=IX40)*(MZ3:MZ42="L"))+SUMPRODUCT((MY3:MY42=IX40)*(NA3:NA42="L"))</f>
        <v>2</v>
      </c>
      <c r="JB40" s="319">
        <f ca="1">SUMIF(MV3:MV60,IX40,MW3:MW60)+SUMIF(MY3:MY60,IX40,MX3:MX60)</f>
        <v>3</v>
      </c>
      <c r="JC40" s="319">
        <f ca="1">SUMIF(MY3:MY60,IX40,MW3:MW60)+SUMIF(MV3:MV60,IX40,MX3:MX60)</f>
        <v>6</v>
      </c>
      <c r="JD40" s="319">
        <f t="shared" ca="1" si="11796"/>
        <v>997</v>
      </c>
      <c r="JE40" s="319">
        <f t="shared" ca="1" si="11797"/>
        <v>1</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4</v>
      </c>
      <c r="NV40" s="319" t="str">
        <f t="shared" si="11801"/>
        <v>Georgia</v>
      </c>
      <c r="NW40" s="319">
        <f t="shared" ref="NW40" ca="1" si="13174">SUMPRODUCT((RT3:RT42=NV40)*(RX3:RX42="W"))+SUMPRODUCT((RW3:RW42=NV40)*(RY3:RY42="W"))</f>
        <v>0</v>
      </c>
      <c r="NX40" s="319">
        <f t="shared" ref="NX40" ca="1" si="13175">SUMPRODUCT((RT3:RT42=NV40)*(RX3:RX42="D"))+SUMPRODUCT((RW3:RW42=NV40)*(RY3:RY42="D"))</f>
        <v>0</v>
      </c>
      <c r="NY40" s="319">
        <f t="shared" ref="NY40" ca="1" si="13176">SUMPRODUCT((RT3:RT42=NV40)*(RX3:RX42="L"))+SUMPRODUCT((RW3:RW42=NV40)*(RY3:RY42="L"))</f>
        <v>3</v>
      </c>
      <c r="NZ40" s="319">
        <f t="shared" ref="NZ40" ca="1" si="13177">SUMIF(RT3:RT60,NV40,RU3:RU60)+SUMIF(RW3:RW60,NV40,RV3:RV60)</f>
        <v>0</v>
      </c>
      <c r="OA40" s="319">
        <f t="shared" ref="OA40" ca="1" si="13178">SUMIF(RW3:RW60,NV40,RU3:RU60)+SUMIF(RT3:RT60,NV40,RV3:RV60)</f>
        <v>4</v>
      </c>
      <c r="OB40" s="319">
        <f t="shared" ca="1" si="11807"/>
        <v>996</v>
      </c>
      <c r="OC40" s="319">
        <f t="shared" ca="1" si="11808"/>
        <v>0</v>
      </c>
      <c r="OD40" s="319">
        <f t="shared" si="630"/>
        <v>0</v>
      </c>
      <c r="OE40" s="319">
        <f t="shared" ref="OE40" ca="1" si="13179">IF(COUNTIF(OC37:OC41,4)&lt;&gt;4,RANK(OC40,OC37:OC41),OC80)</f>
        <v>4</v>
      </c>
      <c r="OF40" s="319"/>
      <c r="OG40" s="319">
        <f t="shared" ref="OG40" ca="1" si="13180">SUMPRODUCT((OE37:OE40=OE40)*(OD37:OD40&lt;OD40))+OE40</f>
        <v>4</v>
      </c>
      <c r="OH40" s="319" t="str">
        <f t="shared" ref="OH40" ca="1" si="13181">INDEX(NV37:NV41,MATCH(4,OG37:OG41,0),0)</f>
        <v>Georgia</v>
      </c>
      <c r="OI40" s="319">
        <f t="shared" ref="OI40" ca="1" si="13182">INDEX(OE37:OE41,MATCH(OH40,NV37:NV41,0),0)</f>
        <v>4</v>
      </c>
      <c r="OJ40" s="319" t="str">
        <f t="shared" ca="1" si="12601"/>
        <v/>
      </c>
      <c r="OK40" s="319" t="str">
        <f t="shared" ca="1" si="12602"/>
        <v/>
      </c>
      <c r="OL40" s="319"/>
      <c r="OM40" s="319"/>
      <c r="ON40" s="319"/>
      <c r="OO40" s="319" t="str">
        <f t="shared" ca="1" si="11817"/>
        <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t="str">
        <f t="shared" ca="1" si="11824"/>
        <v/>
      </c>
      <c r="OW40" s="319" t="str">
        <f t="shared" ref="OW40" ca="1" si="13188">IF(OO40&lt;&gt;"",VLOOKUP(OO40,NV4:OB40,7,FALSE),"")</f>
        <v/>
      </c>
      <c r="OX40" s="319" t="str">
        <f t="shared" ref="OX40" ca="1" si="13189">IF(OO40&lt;&gt;"",VLOOKUP(OO40,NV4:OB40,5,FALSE),"")</f>
        <v/>
      </c>
      <c r="OY40" s="319" t="str">
        <f t="shared" ref="OY40" ca="1" si="13190">IF(OO40&lt;&gt;"",VLOOKUP(OO40,NV4:OD40,9,FALSE),"")</f>
        <v/>
      </c>
      <c r="OZ40" s="319" t="str">
        <f t="shared" ca="1" si="11828"/>
        <v/>
      </c>
      <c r="PA40" s="319" t="str">
        <f t="shared" ref="PA40" ca="1" si="13191">IF(OO40&lt;&gt;"",RANK(OZ40,OZ37:OZ41),"")</f>
        <v/>
      </c>
      <c r="PB40" s="319" t="str">
        <f t="shared" ref="PB40" ca="1" si="13192">IF(OO40&lt;&gt;"",SUMPRODUCT((OZ37:OZ41=OZ40)*(OU37:OU41&gt;OU40)),"")</f>
        <v/>
      </c>
      <c r="PC40" s="319" t="str">
        <f t="shared" ref="PC40" ca="1" si="13193">IF(OO40&lt;&gt;"",SUMPRODUCT((OZ37:OZ41=OZ40)*(OU37:OU41=OU40)*(OS37:OS41&gt;OS40)),"")</f>
        <v/>
      </c>
      <c r="PD40" s="319" t="str">
        <f t="shared" ref="PD40" ca="1" si="13194">IF(OO40&lt;&gt;"",SUMPRODUCT((OZ37:OZ41=OZ40)*(OU37:OU41=OU40)*(OS37:OS41=OS40)*(OW37:OW41&gt;OW40)),"")</f>
        <v/>
      </c>
      <c r="PE40" s="319" t="str">
        <f t="shared" ref="PE40" ca="1" si="13195">IF(OO40&lt;&gt;"",SUMPRODUCT((OZ37:OZ41=OZ40)*(OU37:OU41=OU40)*(OS37:OS41=OS40)*(OW37:OW41=OW40)*(OX37:OX41&gt;OX40)),"")</f>
        <v/>
      </c>
      <c r="PF40" s="319" t="str">
        <f t="shared" ref="PF40" ca="1" si="13196">IF(OO40&lt;&gt;"",SUMPRODUCT((OZ37:OZ41=OZ40)*(OU37:OU41=OU40)*(OS37:OS41=OS40)*(OW37:OW41=OW40)*(OX37:OX41=OX40)*(OY37:OY41&gt;OY40)),"")</f>
        <v/>
      </c>
      <c r="PG40" s="319" t="str">
        <f ca="1">IF(OO40&lt;&gt;"",IF(PG80&lt;&gt;"",IF(ON76=3,PG80,PG80+ON76),SUM(PA40:PF40)),"")</f>
        <v/>
      </c>
      <c r="PH40" s="319" t="str">
        <f t="shared" ref="PH40" ca="1" si="13197">IF(OO40&lt;&gt;"",INDEX(OO37:OO41,MATCH(4,PG37:PG41,0),0),"")</f>
        <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Georgia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3</v>
      </c>
      <c r="SX40" s="319">
        <f t="shared" ref="SX40" ca="1" si="13253">SUMIF(WR3:WR60,ST40,WS3:WS60)+SUMIF(WU3:WU60,ST40,WT3:WT60)</f>
        <v>0</v>
      </c>
      <c r="SY40" s="319">
        <f t="shared" ref="SY40" ca="1" si="13254">SUMIF(WU3:WU60,ST40,WS3:WS60)+SUMIF(WR3:WR60,ST40,WT3:WT60)</f>
        <v>9</v>
      </c>
      <c r="SZ40" s="319">
        <f t="shared" ca="1" si="11844"/>
        <v>991</v>
      </c>
      <c r="TA40" s="319">
        <f t="shared" ca="1" si="11845"/>
        <v>0</v>
      </c>
      <c r="TB40" s="319">
        <f t="shared" si="690"/>
        <v>0</v>
      </c>
      <c r="TC40" s="319">
        <f t="shared" ref="TC40" ca="1" si="13255">IF(COUNTIF(TA37:TA41,4)&lt;&gt;4,RANK(TA40,TA37:TA41),TA80)</f>
        <v>4</v>
      </c>
      <c r="TD40" s="319"/>
      <c r="TE40" s="319">
        <f t="shared" ref="TE40" ca="1" si="13256">SUMPRODUCT((TC37:TC40=TC40)*(TB37:TB40&lt;TB40))+TC40</f>
        <v>4</v>
      </c>
      <c r="TF40" s="319" t="str">
        <f t="shared" ref="TF40" ca="1" si="13257">INDEX(ST37:ST41,MATCH(4,TE37:TE41,0),0)</f>
        <v>Georgia</v>
      </c>
      <c r="TG40" s="319">
        <f t="shared" ref="TG40" ca="1" si="13258">INDEX(TC37:TC41,MATCH(TF40,ST37:ST41,0),0)</f>
        <v>4</v>
      </c>
      <c r="TH40" s="319" t="str">
        <f t="shared" ca="1" si="12665"/>
        <v/>
      </c>
      <c r="TI40" s="319" t="str">
        <f t="shared" ca="1" si="12666"/>
        <v/>
      </c>
      <c r="TJ40" s="319"/>
      <c r="TK40" s="319"/>
      <c r="TL40" s="319"/>
      <c r="TM40" s="319" t="str">
        <f t="shared" ca="1" si="11854"/>
        <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t="str">
        <f t="shared" ca="1" si="11861"/>
        <v/>
      </c>
      <c r="TU40" s="319" t="str">
        <f t="shared" ref="TU40" ca="1" si="13264">IF(TM40&lt;&gt;"",VLOOKUP(TM40,ST4:SZ40,7,FALSE),"")</f>
        <v/>
      </c>
      <c r="TV40" s="319" t="str">
        <f t="shared" ref="TV40" ca="1" si="13265">IF(TM40&lt;&gt;"",VLOOKUP(TM40,ST4:SZ40,5,FALSE),"")</f>
        <v/>
      </c>
      <c r="TW40" s="319" t="str">
        <f t="shared" ref="TW40" ca="1" si="13266">IF(TM40&lt;&gt;"",VLOOKUP(TM40,ST4:TB40,9,FALSE),"")</f>
        <v/>
      </c>
      <c r="TX40" s="319" t="str">
        <f t="shared" ca="1" si="11865"/>
        <v/>
      </c>
      <c r="TY40" s="319" t="str">
        <f t="shared" ref="TY40" ca="1" si="13267">IF(TM40&lt;&gt;"",RANK(TX40,TX37:TX41),"")</f>
        <v/>
      </c>
      <c r="TZ40" s="319" t="str">
        <f t="shared" ref="TZ40" ca="1" si="13268">IF(TM40&lt;&gt;"",SUMPRODUCT((TX37:TX41=TX40)*(TS37:TS41&gt;TS40)),"")</f>
        <v/>
      </c>
      <c r="UA40" s="319" t="str">
        <f t="shared" ref="UA40" ca="1" si="13269">IF(TM40&lt;&gt;"",SUMPRODUCT((TX37:TX41=TX40)*(TS37:TS41=TS40)*(TQ37:TQ41&gt;TQ40)),"")</f>
        <v/>
      </c>
      <c r="UB40" s="319" t="str">
        <f t="shared" ref="UB40" ca="1" si="13270">IF(TM40&lt;&gt;"",SUMPRODUCT((TX37:TX41=TX40)*(TS37:TS41=TS40)*(TQ37:TQ41=TQ40)*(TU37:TU41&gt;TU40)),"")</f>
        <v/>
      </c>
      <c r="UC40" s="319" t="str">
        <f t="shared" ref="UC40" ca="1" si="13271">IF(TM40&lt;&gt;"",SUMPRODUCT((TX37:TX41=TX40)*(TS37:TS41=TS40)*(TQ37:TQ41=TQ40)*(TU37:TU41=TU40)*(TV37:TV41&gt;TV40)),"")</f>
        <v/>
      </c>
      <c r="UD40" s="319" t="str">
        <f t="shared" ref="UD40" ca="1" si="13272">IF(TM40&lt;&gt;"",SUMPRODUCT((TX37:TX41=TX40)*(TS37:TS41=TS40)*(TQ37:TQ41=TQ40)*(TU37:TU41=TU40)*(TV37:TV41=TV40)*(TW37:TW41&gt;TW40)),"")</f>
        <v/>
      </c>
      <c r="UE40" s="319" t="str">
        <f ca="1">IF(TM40&lt;&gt;"",IF(UE80&lt;&gt;"",IF(TL76=3,UE80,UE80+TL76),SUM(TY40:UD40)),"")</f>
        <v/>
      </c>
      <c r="UF40" s="319" t="str">
        <f t="shared" ref="UF40" ca="1" si="13273">IF(TM40&lt;&gt;"",INDEX(TM37:TM41,MATCH(4,UE37:UE41,0),0),"")</f>
        <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1</v>
      </c>
      <c r="XU40" s="319">
        <f t="shared" ref="XU40" ca="1" si="13328">SUMPRODUCT((ABP3:ABP42=XR40)*(ABT3:ABT42="L"))+SUMPRODUCT((ABS3:ABS42=XR40)*(ABU3:ABU42="L"))</f>
        <v>2</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1</v>
      </c>
      <c r="XZ40" s="319">
        <f t="shared" si="750"/>
        <v>0</v>
      </c>
      <c r="YA40" s="319">
        <f t="shared" ref="YA40" ca="1" si="13331">IF(COUNTIF(XY37:XY41,4)&lt;&gt;4,RANK(XY40,XY37:XY41),XY80)</f>
        <v>3</v>
      </c>
      <c r="YB40" s="319"/>
      <c r="YC40" s="319">
        <f t="shared" ref="YC40" ca="1" si="13332">SUMPRODUCT((YA37:YA40=YA40)*(XZ37:XZ40&lt;XZ40))+YA40</f>
        <v>3</v>
      </c>
      <c r="YD40" s="319" t="str">
        <f t="shared" ref="YD40" ca="1" si="13333">INDEX(XR37:XR41,MATCH(4,YC37:YC41,0),0)</f>
        <v>Czechia</v>
      </c>
      <c r="YE40" s="319">
        <f t="shared" ref="YE40" ca="1" si="13334">INDEX(YA37:YA41,MATCH(YD40,XR37:XR41,0),0)</f>
        <v>3</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Czechia</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1</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1</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1</v>
      </c>
      <c r="AAE40" s="319">
        <f t="shared" ca="1" si="12768"/>
        <v>1000</v>
      </c>
      <c r="AAF40" s="319">
        <f t="shared" ca="1" si="12769"/>
        <v>1</v>
      </c>
      <c r="AAG40" s="319">
        <f t="shared" ref="AAG40" ca="1" si="13370">IF(ZY40&lt;&gt;"",VLOOKUP(ZY40,XR4:XX40,7,FALSE),"")</f>
        <v>997</v>
      </c>
      <c r="AAH40" s="319">
        <f t="shared" ref="AAH40" ca="1" si="13371">IF(ZY40&lt;&gt;"",VLOOKUP(ZY40,XR4:XX40,5,FALSE),"")</f>
        <v>3</v>
      </c>
      <c r="AAI40" s="319">
        <f t="shared" ref="AAI40" ca="1" si="13372">IF(ZY40&lt;&gt;"",VLOOKUP(ZY40,XR4:XZ40,9,FALSE),"")</f>
        <v>37</v>
      </c>
      <c r="AAJ40" s="319">
        <f t="shared" ca="1" si="12773"/>
        <v>1</v>
      </c>
      <c r="AAK40" s="319">
        <f t="shared" ref="AAK40" ca="1" si="13373">IF(ZY40&lt;&gt;"",RANK(AAJ40,AAJ38:AAJ40),"")</f>
        <v>1</v>
      </c>
      <c r="AAL40" s="319">
        <f t="shared" ref="AAL40" ca="1" si="13374">IF(ZY40&lt;&gt;"",SUMPRODUCT((AAJ37:AAJ41=AAJ40)*(AAE37:AAE41&gt;AAE40)),"")</f>
        <v>0</v>
      </c>
      <c r="AAM40" s="319">
        <f t="shared" ref="AAM40" ca="1" si="13375">IF(ZY40&lt;&gt;"",SUMPRODUCT((AAJ37:AAJ41=AAJ40)*(AAE37:AAE41=AAE40)*(AAC37:AAC41&gt;AAC40)),"")</f>
        <v>0</v>
      </c>
      <c r="AAN40" s="319">
        <f t="shared" ref="AAN40" ca="1" si="13376">IF(ZY40&lt;&gt;"",SUMPRODUCT((AAJ37:AAJ41=AAJ40)*(AAE37:AAE41=AAE40)*(AAC37:AAC41=AAC40)*(AAG37:AAG41&gt;AAG40)),"")</f>
        <v>0</v>
      </c>
      <c r="AAO40" s="319">
        <f t="shared" ref="AAO40" ca="1" si="13377">IF(ZY40&lt;&gt;"",SUMPRODUCT((AAJ37:AAJ41=AAJ40)*(AAE37:AAE41=AAE40)*(AAC37:AAC41=AAC40)*(AAG37:AAG41=AAG40)*(AAH37:AAH41&gt;AAH40)),"")</f>
        <v>0</v>
      </c>
      <c r="AAP40" s="319">
        <f t="shared" ref="AAP40" ca="1" si="13378">IF(ZY40&lt;&gt;"",SUMPRODUCT((AAJ37:AAJ41=AAJ40)*(AAE37:AAE41=AAE40)*(AAC37:AAC41=AAC40)*(AAG37:AAG41=AAG40)*(AAH37:AAH41=AAH40)*(AAI37:AAI41&gt;AAI40)),"")</f>
        <v>0</v>
      </c>
      <c r="AAQ40" s="319">
        <f t="shared" ca="1" si="12780"/>
        <v>3</v>
      </c>
      <c r="AAR40" s="319" t="str">
        <f t="shared" ref="AAR40" ca="1" si="13379">IF(ZY40&lt;&gt;"",INDEX(ZY39:ZY41,MATCH(4,AAQ39:AAQ41,0),0),"")</f>
        <v>Georgia</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3</v>
      </c>
      <c r="ACT40" s="319">
        <f t="shared" ref="ACT40" ca="1" si="13405">SUMIF(AGN3:AGN60,ACP40,AGO3:AGO60)+SUMIF(AGQ3:AGQ60,ACP40,AGP3:AGP60)</f>
        <v>2</v>
      </c>
      <c r="ACU40" s="319">
        <f t="shared" ref="ACU40" ca="1" si="13406">SUMIF(AGQ3:AGQ60,ACP40,AGO3:AGO60)+SUMIF(AGN3:AGN60,ACP40,AGP3:AGP60)</f>
        <v>9</v>
      </c>
      <c r="ACV40" s="319">
        <f t="shared" ca="1" si="11918"/>
        <v>993</v>
      </c>
      <c r="ACW40" s="319">
        <f t="shared" ca="1" si="11919"/>
        <v>0</v>
      </c>
      <c r="ACX40" s="319">
        <f t="shared" si="810"/>
        <v>0</v>
      </c>
      <c r="ACY40" s="319">
        <f t="shared" ref="ACY40" ca="1" si="13407">IF(COUNTIF(ACW37:ACW41,4)&lt;&gt;4,RANK(ACW40,ACW37:ACW41),ACW80)</f>
        <v>4</v>
      </c>
      <c r="ACZ40" s="319"/>
      <c r="ADA40" s="319">
        <f t="shared" ref="ADA40" ca="1" si="13408">SUMPRODUCT((ACY37:ACY40=ACY40)*(ACX37:ACX40&lt;ACX40))+ACY40</f>
        <v>4</v>
      </c>
      <c r="ADB40" s="319" t="str">
        <f t="shared" ref="ADB40" ca="1" si="13409">INDEX(ACP37:ACP41,MATCH(4,ADA37:ADA41,0),0)</f>
        <v>Georgia</v>
      </c>
      <c r="ADC40" s="319">
        <f t="shared" ref="ADC40" ca="1" si="13410">INDEX(ACY37:ACY41,MATCH(ADB40,ACP37:ACP41,0),0)</f>
        <v>4</v>
      </c>
      <c r="ADD40" s="319" t="str">
        <f t="shared" ca="1" si="12793"/>
        <v/>
      </c>
      <c r="ADE40" s="319" t="str">
        <f t="shared" ca="1" si="12794"/>
        <v/>
      </c>
      <c r="ADF40" s="319"/>
      <c r="ADG40" s="319"/>
      <c r="ADH40" s="319"/>
      <c r="ADI40" s="319" t="str">
        <f t="shared" ca="1" si="11928"/>
        <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t="str">
        <f t="shared" ca="1" si="11935"/>
        <v/>
      </c>
      <c r="ADQ40" s="319" t="str">
        <f t="shared" ref="ADQ40" ca="1" si="13416">IF(ADI40&lt;&gt;"",VLOOKUP(ADI40,ACP4:ACV40,7,FALSE),"")</f>
        <v/>
      </c>
      <c r="ADR40" s="319" t="str">
        <f t="shared" ref="ADR40" ca="1" si="13417">IF(ADI40&lt;&gt;"",VLOOKUP(ADI40,ACP4:ACV40,5,FALSE),"")</f>
        <v/>
      </c>
      <c r="ADS40" s="319" t="str">
        <f t="shared" ref="ADS40" ca="1" si="13418">IF(ADI40&lt;&gt;"",VLOOKUP(ADI40,ACP4:ACX40,9,FALSE),"")</f>
        <v/>
      </c>
      <c r="ADT40" s="319" t="str">
        <f t="shared" ca="1" si="11939"/>
        <v/>
      </c>
      <c r="ADU40" s="319" t="str">
        <f t="shared" ref="ADU40" ca="1" si="13419">IF(ADI40&lt;&gt;"",RANK(ADT40,ADT37:ADT41),"")</f>
        <v/>
      </c>
      <c r="ADV40" s="319" t="str">
        <f t="shared" ref="ADV40" ca="1" si="13420">IF(ADI40&lt;&gt;"",SUMPRODUCT((ADT37:ADT41=ADT40)*(ADO37:ADO41&gt;ADO40)),"")</f>
        <v/>
      </c>
      <c r="ADW40" s="319" t="str">
        <f t="shared" ref="ADW40" ca="1" si="13421">IF(ADI40&lt;&gt;"",SUMPRODUCT((ADT37:ADT41=ADT40)*(ADO37:ADO41=ADO40)*(ADM37:ADM41&gt;ADM40)),"")</f>
        <v/>
      </c>
      <c r="ADX40" s="319" t="str">
        <f t="shared" ref="ADX40" ca="1" si="13422">IF(ADI40&lt;&gt;"",SUMPRODUCT((ADT37:ADT41=ADT40)*(ADO37:ADO41=ADO40)*(ADM37:ADM41=ADM40)*(ADQ37:ADQ41&gt;ADQ40)),"")</f>
        <v/>
      </c>
      <c r="ADY40" s="319" t="str">
        <f t="shared" ref="ADY40" ca="1" si="13423">IF(ADI40&lt;&gt;"",SUMPRODUCT((ADT37:ADT41=ADT40)*(ADO37:ADO41=ADO40)*(ADM37:ADM41=ADM40)*(ADQ37:ADQ41=ADQ40)*(ADR37:ADR41&gt;ADR40)),"")</f>
        <v/>
      </c>
      <c r="ADZ40" s="319" t="str">
        <f t="shared" ref="ADZ40" ca="1" si="13424">IF(ADI40&lt;&gt;"",SUMPRODUCT((ADT37:ADT41=ADT40)*(ADO37:ADO41=ADO40)*(ADM37:ADM41=ADM40)*(ADQ37:ADQ41=ADQ40)*(ADR37:ADR41=ADR40)*(ADS37:ADS41&gt;ADS40)),"")</f>
        <v/>
      </c>
      <c r="AEA40" s="319" t="str">
        <f ca="1">IF(ADI40&lt;&gt;"",IF(AEA80&lt;&gt;"",IF(ADH76=3,AEA80,AEA80+ADH76),SUM(ADU40:ADZ40)),"")</f>
        <v/>
      </c>
      <c r="AEB40" s="319" t="str">
        <f t="shared" ref="AEB40" ca="1" si="13425">IF(ADI40&lt;&gt;"",INDEX(ADI37:ADI41,MATCH(4,AEA37:AEA41,0),0),"")</f>
        <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0</v>
      </c>
      <c r="AHQ40" s="319">
        <f t="shared" ref="AHQ40" ca="1" si="13480">SUMPRODUCT((ALL3:ALL42=AHN40)*(ALP3:ALP42="L"))+SUMPRODUCT((ALO3:ALO42=AHN40)*(ALQ3:ALQ42="L"))</f>
        <v>0</v>
      </c>
      <c r="AHR40" s="319">
        <f t="shared" ref="AHR40" ca="1" si="13481">SUMIF(ALL3:ALL60,AHN40,ALM3:ALM60)+SUMIF(ALO3:ALO60,AHN40,ALN3:ALN60)</f>
        <v>0</v>
      </c>
      <c r="AHS40" s="319">
        <f t="shared" ref="AHS40" ca="1" si="13482">SUMIF(ALO3:ALO60,AHN40,ALM3:ALM60)+SUMIF(ALL3:ALL60,AHN40,ALN3:ALN60)</f>
        <v>0</v>
      </c>
      <c r="AHT40" s="319">
        <f t="shared" ca="1" si="11955"/>
        <v>1000</v>
      </c>
      <c r="AHU40" s="319">
        <f t="shared" ca="1" si="11956"/>
        <v>0</v>
      </c>
      <c r="AHV40" s="319">
        <f t="shared" si="870"/>
        <v>0</v>
      </c>
      <c r="AHW40" s="319">
        <f t="shared" ref="AHW40" ca="1" si="13483">IF(COUNTIF(AHU37:AHU41,4)&lt;&gt;4,RANK(AHU40,AHU37:AHU41),AHU80)</f>
        <v>1</v>
      </c>
      <c r="AHX40" s="319"/>
      <c r="AHY40" s="319">
        <f t="shared" ref="AHY40" ca="1" si="13484">SUMPRODUCT((AHW37:AHW40=AHW40)*(AHV37:AHV40&lt;AHV40))+AHW40</f>
        <v>1</v>
      </c>
      <c r="AHZ40" s="319" t="str">
        <f t="shared" ref="AHZ40" ca="1" si="13485">INDEX(AHN37:AHN41,MATCH(4,AHY37:AHY41,0),0)</f>
        <v>Portugal</v>
      </c>
      <c r="AIA40" s="319">
        <f t="shared" ref="AIA40" ca="1" si="13486">INDEX(AHW37:AHW41,MATCH(AHZ40,AHN37:AHN41,0),0)</f>
        <v>1</v>
      </c>
      <c r="AIB40" s="319" t="str">
        <f t="shared" ca="1" si="12857"/>
        <v>Portugal</v>
      </c>
      <c r="AIC40" s="319" t="str">
        <f t="shared" ca="1" si="12858"/>
        <v/>
      </c>
      <c r="AID40" s="319"/>
      <c r="AIE40" s="319"/>
      <c r="AIF40" s="319"/>
      <c r="AIG40" s="319" t="str">
        <f t="shared" ca="1" si="11965"/>
        <v>Portugal</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f t="shared" ca="1" si="11972"/>
        <v>0</v>
      </c>
      <c r="AIO40" s="319">
        <f t="shared" ref="AIO40" ca="1" si="13492">IF(AIG40&lt;&gt;"",VLOOKUP(AIG40,AHN4:AHT40,7,FALSE),"")</f>
        <v>1000</v>
      </c>
      <c r="AIP40" s="319">
        <f t="shared" ref="AIP40" ca="1" si="13493">IF(AIG40&lt;&gt;"",VLOOKUP(AIG40,AHN4:AHT40,5,FALSE),"")</f>
        <v>0</v>
      </c>
      <c r="AIQ40" s="319">
        <f t="shared" ref="AIQ40" ca="1" si="13494">IF(AIG40&lt;&gt;"",VLOOKUP(AIG40,AHN4:AHV40,9,FALSE),"")</f>
        <v>53</v>
      </c>
      <c r="AIR40" s="319">
        <f t="shared" ca="1" si="11976"/>
        <v>0</v>
      </c>
      <c r="AIS40" s="319">
        <f t="shared" ref="AIS40" ca="1" si="13495">IF(AIG40&lt;&gt;"",RANK(AIR40,AIR37:AIR41),"")</f>
        <v>1</v>
      </c>
      <c r="AIT40" s="319">
        <f t="shared" ref="AIT40" ca="1" si="13496">IF(AIG40&lt;&gt;"",SUMPRODUCT((AIR37:AIR41=AIR40)*(AIM37:AIM41&gt;AIM40)),"")</f>
        <v>0</v>
      </c>
      <c r="AIU40" s="319">
        <f t="shared" ref="AIU40" ca="1" si="13497">IF(AIG40&lt;&gt;"",SUMPRODUCT((AIR37:AIR41=AIR40)*(AIM37:AIM41=AIM40)*(AIK37:AIK41&gt;AIK40)),"")</f>
        <v>0</v>
      </c>
      <c r="AIV40" s="319">
        <f t="shared" ref="AIV40" ca="1" si="13498">IF(AIG40&lt;&gt;"",SUMPRODUCT((AIR37:AIR41=AIR40)*(AIM37:AIM41=AIM40)*(AIK37:AIK41=AIK40)*(AIO37:AIO41&gt;AIO40)),"")</f>
        <v>0</v>
      </c>
      <c r="AIW40" s="319">
        <f t="shared" ref="AIW40" ca="1" si="13499">IF(AIG40&lt;&gt;"",SUMPRODUCT((AIR37:AIR41=AIR40)*(AIM37:AIM41=AIM40)*(AIK37:AIK41=AIK40)*(AIO37:AIO41=AIO40)*(AIP37:AIP41&gt;AIP40)),"")</f>
        <v>0</v>
      </c>
      <c r="AIX40" s="319">
        <f t="shared" ref="AIX40" ca="1" si="13500">IF(AIG40&lt;&gt;"",SUMPRODUCT((AIR37:AIR41=AIR40)*(AIM37:AIM41=AIM40)*(AIK37:AIK41=AIK40)*(AIO37:AIO41=AIO40)*(AIP37:AIP41=AIP40)*(AIQ37:AIQ41&gt;AIQ40)),"")</f>
        <v>0</v>
      </c>
      <c r="AIY40" s="319">
        <f ca="1">IF(AIG40&lt;&gt;"",IF(AIY80&lt;&gt;"",IF(AIF76=3,AIY80,AIY80+AIF76),SUM(AIS40:AIX40)),"")</f>
        <v>1</v>
      </c>
      <c r="AIZ40" s="319" t="str">
        <f t="shared" ref="AIZ40" ca="1" si="13501">IF(AIG40&lt;&gt;"",INDEX(AIG37:AIG41,MATCH(4,AIY37:AIY41,0),0),"")</f>
        <v>Georgia</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0</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t="str">
        <f t="shared" ca="1" si="12897"/>
        <v/>
      </c>
      <c r="AKC40" s="319" t="str">
        <f t="shared" ref="AKC40" ca="1" si="13522">IF(AJU40&lt;&gt;"",VLOOKUP(AJU40,AHN4:AHT40,7,FALSE),"")</f>
        <v/>
      </c>
      <c r="AKD40" s="319" t="str">
        <f t="shared" ref="AKD40" ca="1" si="13523">IF(AJU40&lt;&gt;"",VLOOKUP(AJU40,AHN4:AHT40,5,FALSE),"")</f>
        <v/>
      </c>
      <c r="AKE40" s="319" t="str">
        <f t="shared" ref="AKE40" ca="1" si="13524">IF(AJU40&lt;&gt;"",VLOOKUP(AJU40,AHN4:AHV40,9,FALSE),"")</f>
        <v/>
      </c>
      <c r="AKF40" s="319" t="str">
        <f t="shared" ca="1" si="12901"/>
        <v/>
      </c>
      <c r="AKG40" s="319" t="str">
        <f t="shared" ref="AKG40" ca="1" si="13525">IF(AJU40&lt;&gt;"",RANK(AKF40,AKF38:AKF40),"")</f>
        <v/>
      </c>
      <c r="AKH40" s="319" t="str">
        <f t="shared" ref="AKH40" ca="1" si="13526">IF(AJU40&lt;&gt;"",SUMPRODUCT((AKF37:AKF41=AKF40)*(AKA37:AKA41&gt;AKA40)),"")</f>
        <v/>
      </c>
      <c r="AKI40" s="319" t="str">
        <f t="shared" ref="AKI40" ca="1" si="13527">IF(AJU40&lt;&gt;"",SUMPRODUCT((AKF37:AKF41=AKF40)*(AKA37:AKA41=AKA40)*(AJY37:AJY41&gt;AJY40)),"")</f>
        <v/>
      </c>
      <c r="AKJ40" s="319" t="str">
        <f t="shared" ref="AKJ40" ca="1" si="13528">IF(AJU40&lt;&gt;"",SUMPRODUCT((AKF37:AKF41=AKF40)*(AKA37:AKA41=AKA40)*(AJY37:AJY41=AJY40)*(AKC37:AKC41&gt;AKC40)),"")</f>
        <v/>
      </c>
      <c r="AKK40" s="319" t="str">
        <f t="shared" ref="AKK40" ca="1" si="13529">IF(AJU40&lt;&gt;"",SUMPRODUCT((AKF37:AKF41=AKF40)*(AKA37:AKA41=AKA40)*(AJY37:AJY41=AJY40)*(AKC37:AKC41=AKC40)*(AKD37:AKD41&gt;AKD40)),"")</f>
        <v/>
      </c>
      <c r="AKL40" s="319" t="str">
        <f t="shared" ref="AKL40" ca="1" si="13530">IF(AJU40&lt;&gt;"",SUMPRODUCT((AKF37:AKF41=AKF40)*(AKA37:AKA41=AKA40)*(AJY37:AJY41=AJY40)*(AKC37:AKC41=AKC40)*(AKD37:AKD41=AKD40)*(AKE37:AKE41&gt;AKE40)),"")</f>
        <v/>
      </c>
      <c r="AKM40" s="319" t="str">
        <f t="shared" ca="1" si="12908"/>
        <v/>
      </c>
      <c r="AKN40" s="319" t="str">
        <f t="shared" ref="AKN40" ca="1" si="13531">IF(AJU40&lt;&gt;"",INDEX(AJU39:AJU41,MATCH(4,AKM39:AKM41,0),0),"")</f>
        <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0</v>
      </c>
      <c r="AMO40" s="319">
        <f t="shared" ref="AMO40" ca="1" si="13556">SUMPRODUCT((AQJ3:AQJ42=AML40)*(AQN3:AQN42="L"))+SUMPRODUCT((AQM3:AQM42=AML40)*(AQO3:AQO42="L"))</f>
        <v>0</v>
      </c>
      <c r="AMP40" s="319">
        <f t="shared" ref="AMP40" ca="1" si="13557">SUMIF(AQJ3:AQJ60,AML40,AQK3:AQK60)+SUMIF(AQM3:AQM60,AML40,AQL3:AQL60)</f>
        <v>0</v>
      </c>
      <c r="AMQ40" s="319">
        <f t="shared" ref="AMQ40" ca="1" si="13558">SUMIF(AQM3:AQM60,AML40,AQK3:AQK60)+SUMIF(AQJ3:AQJ60,AML40,AQL3:AQL60)</f>
        <v>0</v>
      </c>
      <c r="AMR40" s="319">
        <f t="shared" ca="1" si="11992"/>
        <v>1000</v>
      </c>
      <c r="AMS40" s="319">
        <f t="shared" ca="1" si="11993"/>
        <v>0</v>
      </c>
      <c r="AMT40" s="319">
        <f t="shared" si="930"/>
        <v>0</v>
      </c>
      <c r="AMU40" s="319">
        <f t="shared" ref="AMU40" ca="1" si="13559">IF(COUNTIF(AMS37:AMS41,4)&lt;&gt;4,RANK(AMS40,AMS37:AMS41),AMS80)</f>
        <v>1</v>
      </c>
      <c r="AMV40" s="319"/>
      <c r="AMW40" s="319">
        <f t="shared" ref="AMW40" ca="1" si="13560">SUMPRODUCT((AMU37:AMU40=AMU40)*(AMT37:AMT40&lt;AMT40))+AMU40</f>
        <v>1</v>
      </c>
      <c r="AMX40" s="319" t="str">
        <f t="shared" ref="AMX40" ca="1" si="13561">INDEX(AML37:AML41,MATCH(4,AMW37:AMW41,0),0)</f>
        <v>Portugal</v>
      </c>
      <c r="AMY40" s="319">
        <f t="shared" ref="AMY40" ca="1" si="13562">INDEX(AMU37:AMU41,MATCH(AMX40,AML37:AML41,0),0)</f>
        <v>1</v>
      </c>
      <c r="AMZ40" s="319" t="str">
        <f t="shared" ca="1" si="12921"/>
        <v>Portugal</v>
      </c>
      <c r="ANA40" s="319" t="str">
        <f t="shared" ca="1" si="12922"/>
        <v/>
      </c>
      <c r="ANB40" s="319"/>
      <c r="ANC40" s="319"/>
      <c r="AND40" s="319"/>
      <c r="ANE40" s="319" t="str">
        <f t="shared" ca="1" si="12002"/>
        <v>Portugal</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f t="shared" ca="1" si="12009"/>
        <v>0</v>
      </c>
      <c r="ANM40" s="319">
        <f t="shared" ref="ANM40" ca="1" si="13568">IF(ANE40&lt;&gt;"",VLOOKUP(ANE40,AML4:AMR40,7,FALSE),"")</f>
        <v>1000</v>
      </c>
      <c r="ANN40" s="319">
        <f t="shared" ref="ANN40" ca="1" si="13569">IF(ANE40&lt;&gt;"",VLOOKUP(ANE40,AML4:AMR40,5,FALSE),"")</f>
        <v>0</v>
      </c>
      <c r="ANO40" s="319">
        <f t="shared" ref="ANO40" ca="1" si="13570">IF(ANE40&lt;&gt;"",VLOOKUP(ANE40,AML4:AMT40,9,FALSE),"")</f>
        <v>53</v>
      </c>
      <c r="ANP40" s="319">
        <f t="shared" ca="1" si="12013"/>
        <v>0</v>
      </c>
      <c r="ANQ40" s="319">
        <f t="shared" ref="ANQ40" ca="1" si="13571">IF(ANE40&lt;&gt;"",RANK(ANP40,ANP37:ANP41),"")</f>
        <v>1</v>
      </c>
      <c r="ANR40" s="319">
        <f t="shared" ref="ANR40" ca="1" si="13572">IF(ANE40&lt;&gt;"",SUMPRODUCT((ANP37:ANP41=ANP40)*(ANK37:ANK41&gt;ANK40)),"")</f>
        <v>0</v>
      </c>
      <c r="ANS40" s="319">
        <f t="shared" ref="ANS40" ca="1" si="13573">IF(ANE40&lt;&gt;"",SUMPRODUCT((ANP37:ANP41=ANP40)*(ANK37:ANK41=ANK40)*(ANI37:ANI41&gt;ANI40)),"")</f>
        <v>0</v>
      </c>
      <c r="ANT40" s="319">
        <f t="shared" ref="ANT40" ca="1" si="13574">IF(ANE40&lt;&gt;"",SUMPRODUCT((ANP37:ANP41=ANP40)*(ANK37:ANK41=ANK40)*(ANI37:ANI41=ANI40)*(ANM37:ANM41&gt;ANM40)),"")</f>
        <v>0</v>
      </c>
      <c r="ANU40" s="319">
        <f t="shared" ref="ANU40" ca="1" si="13575">IF(ANE40&lt;&gt;"",SUMPRODUCT((ANP37:ANP41=ANP40)*(ANK37:ANK41=ANK40)*(ANI37:ANI41=ANI40)*(ANM37:ANM41=ANM40)*(ANN37:ANN41&gt;ANN40)),"")</f>
        <v>0</v>
      </c>
      <c r="ANV40" s="319">
        <f t="shared" ref="ANV40" ca="1" si="13576">IF(ANE40&lt;&gt;"",SUMPRODUCT((ANP37:ANP41=ANP40)*(ANK37:ANK41=ANK40)*(ANI37:ANI41=ANI40)*(ANM37:ANM41=ANM40)*(ANN37:ANN41=ANN40)*(ANO37:ANO41&gt;ANO40)),"")</f>
        <v>0</v>
      </c>
      <c r="ANW40" s="319">
        <f ca="1">IF(ANE40&lt;&gt;"",IF(ANW80&lt;&gt;"",IF(AND76=3,ANW80,ANW80+AND76),SUM(ANQ40:ANV40)),"")</f>
        <v>1</v>
      </c>
      <c r="ANX40" s="319" t="str">
        <f t="shared" ref="ANX40" ca="1" si="13577">IF(ANE40&lt;&gt;"",INDEX(ANE37:ANE41,MATCH(4,ANW37:ANW41,0),0),"")</f>
        <v>Georgia</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4</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0</v>
      </c>
      <c r="ARM40" s="319">
        <f t="shared" ref="ARM40" ca="1" si="13632">SUMPRODUCT((AVH3:AVH42=ARJ40)*(AVL3:AVL42="L"))+SUMPRODUCT((AVK3:AVK42=ARJ40)*(AVM3:AVM42="L"))</f>
        <v>0</v>
      </c>
      <c r="ARN40" s="319">
        <f t="shared" ref="ARN40" ca="1" si="13633">SUMIF(AVH3:AVH60,ARJ40,AVI3:AVI60)+SUMIF(AVK3:AVK60,ARJ40,AVJ3:AVJ60)</f>
        <v>0</v>
      </c>
      <c r="ARO40" s="319">
        <f t="shared" ref="ARO40" ca="1" si="13634">SUMIF(AVK3:AVK60,ARJ40,AVI3:AVI60)+SUMIF(AVH3:AVH60,ARJ40,AVJ3:AVJ60)</f>
        <v>0</v>
      </c>
      <c r="ARP40" s="319">
        <f t="shared" ca="1" si="12029"/>
        <v>1000</v>
      </c>
      <c r="ARQ40" s="319">
        <f t="shared" ca="1" si="12030"/>
        <v>0</v>
      </c>
      <c r="ARR40" s="319">
        <f t="shared" si="990"/>
        <v>0</v>
      </c>
      <c r="ARS40" s="319">
        <f t="shared" ref="ARS40" ca="1" si="13635">IF(COUNTIF(ARQ37:ARQ41,4)&lt;&gt;4,RANK(ARQ40,ARQ37:ARQ41),ARQ80)</f>
        <v>1</v>
      </c>
      <c r="ART40" s="319"/>
      <c r="ARU40" s="319">
        <f t="shared" ref="ARU40" ca="1" si="13636">SUMPRODUCT((ARS37:ARS40=ARS40)*(ARR37:ARR40&lt;ARR40))+ARS40</f>
        <v>1</v>
      </c>
      <c r="ARV40" s="319" t="str">
        <f t="shared" ref="ARV40" ca="1" si="13637">INDEX(ARJ37:ARJ41,MATCH(4,ARU37:ARU41,0),0)</f>
        <v>Portugal</v>
      </c>
      <c r="ARW40" s="319">
        <f t="shared" ref="ARW40" ca="1" si="13638">INDEX(ARS37:ARS41,MATCH(ARV40,ARJ37:ARJ41,0),0)</f>
        <v>1</v>
      </c>
      <c r="ARX40" s="319" t="str">
        <f t="shared" ca="1" si="12985"/>
        <v>Portugal</v>
      </c>
      <c r="ARY40" s="319" t="str">
        <f t="shared" ca="1" si="12986"/>
        <v/>
      </c>
      <c r="ARZ40" s="319"/>
      <c r="ASA40" s="319"/>
      <c r="ASB40" s="319"/>
      <c r="ASC40" s="319" t="str">
        <f t="shared" ca="1" si="12039"/>
        <v>Portugal</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f t="shared" ca="1" si="12046"/>
        <v>0</v>
      </c>
      <c r="ASK40" s="319">
        <f t="shared" ref="ASK40" ca="1" si="13644">IF(ASC40&lt;&gt;"",VLOOKUP(ASC40,ARJ4:ARP40,7,FALSE),"")</f>
        <v>1000</v>
      </c>
      <c r="ASL40" s="319">
        <f t="shared" ref="ASL40" ca="1" si="13645">IF(ASC40&lt;&gt;"",VLOOKUP(ASC40,ARJ4:ARP40,5,FALSE),"")</f>
        <v>0</v>
      </c>
      <c r="ASM40" s="319">
        <f t="shared" ref="ASM40" ca="1" si="13646">IF(ASC40&lt;&gt;"",VLOOKUP(ASC40,ARJ4:ARR40,9,FALSE),"")</f>
        <v>53</v>
      </c>
      <c r="ASN40" s="319">
        <f t="shared" ca="1" si="12050"/>
        <v>0</v>
      </c>
      <c r="ASO40" s="319">
        <f t="shared" ref="ASO40" ca="1" si="13647">IF(ASC40&lt;&gt;"",RANK(ASN40,ASN37:ASN41),"")</f>
        <v>1</v>
      </c>
      <c r="ASP40" s="319">
        <f t="shared" ref="ASP40" ca="1" si="13648">IF(ASC40&lt;&gt;"",SUMPRODUCT((ASN37:ASN41=ASN40)*(ASI37:ASI41&gt;ASI40)),"")</f>
        <v>0</v>
      </c>
      <c r="ASQ40" s="319">
        <f t="shared" ref="ASQ40" ca="1" si="13649">IF(ASC40&lt;&gt;"",SUMPRODUCT((ASN37:ASN41=ASN40)*(ASI37:ASI41=ASI40)*(ASG37:ASG41&gt;ASG40)),"")</f>
        <v>0</v>
      </c>
      <c r="ASR40" s="319">
        <f t="shared" ref="ASR40" ca="1" si="13650">IF(ASC40&lt;&gt;"",SUMPRODUCT((ASN37:ASN41=ASN40)*(ASI37:ASI41=ASI40)*(ASG37:ASG41=ASG40)*(ASK37:ASK41&gt;ASK40)),"")</f>
        <v>0</v>
      </c>
      <c r="ASS40" s="319">
        <f t="shared" ref="ASS40" ca="1" si="13651">IF(ASC40&lt;&gt;"",SUMPRODUCT((ASN37:ASN41=ASN40)*(ASI37:ASI41=ASI40)*(ASG37:ASG41=ASG40)*(ASK37:ASK41=ASK40)*(ASL37:ASL41&gt;ASL40)),"")</f>
        <v>0</v>
      </c>
      <c r="AST40" s="319">
        <f t="shared" ref="AST40" ca="1" si="13652">IF(ASC40&lt;&gt;"",SUMPRODUCT((ASN37:ASN41=ASN40)*(ASI37:ASI41=ASI40)*(ASG37:ASG41=ASG40)*(ASK37:ASK41=ASK40)*(ASL37:ASL41=ASL40)*(ASM37:ASM41&gt;ASM40)),"")</f>
        <v>0</v>
      </c>
      <c r="ASU40" s="319">
        <f ca="1">IF(ASC40&lt;&gt;"",IF(ASU80&lt;&gt;"",IF(ASB76=3,ASU80,ASU80+ASB76),SUM(ASO40:AST40)),"")</f>
        <v>1</v>
      </c>
      <c r="ASV40" s="319" t="str">
        <f t="shared" ref="ASV40" ca="1" si="13653">IF(ASC40&lt;&gt;"",INDEX(ASC37:ASC41,MATCH(4,ASU37:ASU41,0),0),"")</f>
        <v>Georgia</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Georgia</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4</v>
      </c>
      <c r="AWH40" s="319" t="str">
        <f t="shared" si="12060"/>
        <v>Georgia</v>
      </c>
      <c r="AWI40" s="319">
        <f t="shared" ref="AWI40" ca="1" si="13706">SUMPRODUCT((BAF3:BAF42=AWH40)*(BAJ3:BAJ42="W"))+SUMPRODUCT((BAI3:BAI42=AWH40)*(BAK3:BAK42="W"))</f>
        <v>0</v>
      </c>
      <c r="AWJ40" s="319">
        <f t="shared" ref="AWJ40" ca="1" si="13707">SUMPRODUCT((BAF3:BAF42=AWH40)*(BAJ3:BAJ42="D"))+SUMPRODUCT((BAI3:BAI42=AWH40)*(BAK3:BAK42="D"))</f>
        <v>0</v>
      </c>
      <c r="AWK40" s="319">
        <f t="shared" ref="AWK40" ca="1" si="13708">SUMPRODUCT((BAF3:BAF42=AWH40)*(BAJ3:BAJ42="L"))+SUMPRODUCT((BAI3:BAI42=AWH40)*(BAK3:BAK42="L"))</f>
        <v>0</v>
      </c>
      <c r="AWL40" s="319">
        <f t="shared" ref="AWL40" ca="1" si="13709">SUMIF(BAF3:BAF60,AWH40,BAG3:BAG60)+SUMIF(BAI3:BAI60,AWH40,BAH3:BAH60)</f>
        <v>0</v>
      </c>
      <c r="AWM40" s="319">
        <f t="shared" ref="AWM40" ca="1" si="13710">SUMIF(BAI3:BAI60,AWH40,BAG3:BAG60)+SUMIF(BAF3:BAF60,AWH40,BAH3:BAH60)</f>
        <v>0</v>
      </c>
      <c r="AWN40" s="319">
        <f t="shared" ca="1" si="12066"/>
        <v>1000</v>
      </c>
      <c r="AWO40" s="319">
        <f t="shared" ca="1" si="12067"/>
        <v>0</v>
      </c>
      <c r="AWP40" s="319">
        <f t="shared" si="1050"/>
        <v>0</v>
      </c>
      <c r="AWQ40" s="319">
        <f t="shared" ref="AWQ40" ca="1" si="13711">IF(COUNTIF(AWO37:AWO41,4)&lt;&gt;4,RANK(AWO40,AWO37:AWO41),AWO80)</f>
        <v>1</v>
      </c>
      <c r="AWR40" s="319"/>
      <c r="AWS40" s="319">
        <f t="shared" ref="AWS40" ca="1" si="13712">SUMPRODUCT((AWQ37:AWQ40=AWQ40)*(AWP37:AWP40&lt;AWP40))+AWQ40</f>
        <v>1</v>
      </c>
      <c r="AWT40" s="319" t="str">
        <f t="shared" ref="AWT40" ca="1" si="13713">INDEX(AWH37:AWH41,MATCH(4,AWS37:AWS41,0),0)</f>
        <v>Portugal</v>
      </c>
      <c r="AWU40" s="319">
        <f t="shared" ref="AWU40" ca="1" si="13714">INDEX(AWQ37:AWQ41,MATCH(AWT40,AWH37:AWH41,0),0)</f>
        <v>1</v>
      </c>
      <c r="AWV40" s="319" t="str">
        <f t="shared" ca="1" si="13049"/>
        <v>Portugal</v>
      </c>
      <c r="AWW40" s="319" t="str">
        <f t="shared" ca="1" si="13050"/>
        <v/>
      </c>
      <c r="AWX40" s="319"/>
      <c r="AWY40" s="319"/>
      <c r="AWZ40" s="319"/>
      <c r="AXA40" s="319" t="str">
        <f t="shared" ca="1" si="12076"/>
        <v>Portugal</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f t="shared" ca="1" si="12083"/>
        <v>0</v>
      </c>
      <c r="AXI40" s="319">
        <f t="shared" ref="AXI40" ca="1" si="13720">IF(AXA40&lt;&gt;"",VLOOKUP(AXA40,AWH4:AWN40,7,FALSE),"")</f>
        <v>1000</v>
      </c>
      <c r="AXJ40" s="319">
        <f t="shared" ref="AXJ40" ca="1" si="13721">IF(AXA40&lt;&gt;"",VLOOKUP(AXA40,AWH4:AWN40,5,FALSE),"")</f>
        <v>0</v>
      </c>
      <c r="AXK40" s="319">
        <f t="shared" ref="AXK40" ca="1" si="13722">IF(AXA40&lt;&gt;"",VLOOKUP(AXA40,AWH4:AWP40,9,FALSE),"")</f>
        <v>53</v>
      </c>
      <c r="AXL40" s="319">
        <f t="shared" ca="1" si="12087"/>
        <v>0</v>
      </c>
      <c r="AXM40" s="319">
        <f t="shared" ref="AXM40" ca="1" si="13723">IF(AXA40&lt;&gt;"",RANK(AXL40,AXL37:AXL41),"")</f>
        <v>1</v>
      </c>
      <c r="AXN40" s="319">
        <f t="shared" ref="AXN40" ca="1" si="13724">IF(AXA40&lt;&gt;"",SUMPRODUCT((AXL37:AXL41=AXL40)*(AXG37:AXG41&gt;AXG40)),"")</f>
        <v>0</v>
      </c>
      <c r="AXO40" s="319">
        <f t="shared" ref="AXO40" ca="1" si="13725">IF(AXA40&lt;&gt;"",SUMPRODUCT((AXL37:AXL41=AXL40)*(AXG37:AXG41=AXG40)*(AXE37:AXE41&gt;AXE40)),"")</f>
        <v>0</v>
      </c>
      <c r="AXP40" s="319">
        <f t="shared" ref="AXP40" ca="1" si="13726">IF(AXA40&lt;&gt;"",SUMPRODUCT((AXL37:AXL41=AXL40)*(AXG37:AXG41=AXG40)*(AXE37:AXE41=AXE40)*(AXI37:AXI41&gt;AXI40)),"")</f>
        <v>0</v>
      </c>
      <c r="AXQ40" s="319">
        <f t="shared" ref="AXQ40" ca="1" si="13727">IF(AXA40&lt;&gt;"",SUMPRODUCT((AXL37:AXL41=AXL40)*(AXG37:AXG41=AXG40)*(AXE37:AXE41=AXE40)*(AXI37:AXI41=AXI40)*(AXJ37:AXJ41&gt;AXJ40)),"")</f>
        <v>0</v>
      </c>
      <c r="AXR40" s="319">
        <f t="shared" ref="AXR40" ca="1" si="13728">IF(AXA40&lt;&gt;"",SUMPRODUCT((AXL37:AXL41=AXL40)*(AXG37:AXG41=AXG40)*(AXE37:AXE41=AXE40)*(AXI37:AXI41=AXI40)*(AXJ37:AXJ41=AXJ40)*(AXK37:AXK41&gt;AXK40)),"")</f>
        <v>0</v>
      </c>
      <c r="AXS40" s="319">
        <f ca="1">IF(AXA40&lt;&gt;"",IF(AXS80&lt;&gt;"",IF(AWZ76=3,AXS80,AXS80+AWZ76),SUM(AXM40:AXR40)),"")</f>
        <v>1</v>
      </c>
      <c r="AXT40" s="319" t="str">
        <f t="shared" ref="AXT40" ca="1" si="13729">IF(AXA40&lt;&gt;"",INDEX(AXA37:AXA41,MATCH(4,AXS37:AXS41,0),0),"")</f>
        <v>Georgia</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Georgia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ht="13.8" x14ac:dyDescent="0.3">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4" customHeight="1" x14ac:dyDescent="0.2"/>
    <row r="43" spans="1:1536" x14ac:dyDescent="0.2">
      <c r="T43" s="321">
        <f>IF(U44="",SUM(AG4:AL4),IF(U45="",SUM(AG5:AL5),IF(U46="",SUM(AG6:AL6),IF(U47="",SUM(AG7:AL7),0))))</f>
        <v>0</v>
      </c>
      <c r="U43" s="321" t="s">
        <v>360</v>
      </c>
      <c r="V43" s="321" t="s">
        <v>152</v>
      </c>
      <c r="W43" s="321" t="s">
        <v>104</v>
      </c>
      <c r="X43" s="321" t="s">
        <v>153</v>
      </c>
      <c r="Y43" s="321" t="s">
        <v>330</v>
      </c>
      <c r="Z43" s="321" t="s">
        <v>331</v>
      </c>
      <c r="AA43" s="321" t="s">
        <v>338</v>
      </c>
      <c r="AB43" s="321" t="s">
        <v>151</v>
      </c>
      <c r="AC43" s="321" t="s">
        <v>347</v>
      </c>
      <c r="AD43" s="321" t="s">
        <v>348</v>
      </c>
      <c r="AE43" s="321" t="s">
        <v>333</v>
      </c>
      <c r="AF43" s="321" t="s">
        <v>155</v>
      </c>
      <c r="AG43" s="321" t="s">
        <v>349</v>
      </c>
      <c r="AH43" s="321" t="s">
        <v>332</v>
      </c>
      <c r="AI43" s="321" t="s">
        <v>330</v>
      </c>
      <c r="AJ43" s="321" t="s">
        <v>350</v>
      </c>
      <c r="AK43" s="321" t="s">
        <v>348</v>
      </c>
      <c r="AL43" s="321" t="s">
        <v>333</v>
      </c>
      <c r="AM43" s="321" t="s">
        <v>351</v>
      </c>
      <c r="AN43" s="321">
        <f>IF(AO45="",SUM(BA5:BF5),IF(AO46="",SUM(BA6:BF6),IF(AO47="",SUM(BA7:BF7),0)))</f>
        <v>0</v>
      </c>
      <c r="AO43" s="321" t="s">
        <v>361</v>
      </c>
      <c r="AP43" s="321" t="s">
        <v>152</v>
      </c>
      <c r="AQ43" s="321" t="s">
        <v>104</v>
      </c>
      <c r="AR43" s="321" t="s">
        <v>153</v>
      </c>
      <c r="AS43" s="321" t="s">
        <v>330</v>
      </c>
      <c r="AT43" s="321" t="s">
        <v>331</v>
      </c>
      <c r="AU43" s="321" t="s">
        <v>338</v>
      </c>
      <c r="AV43" s="321" t="s">
        <v>151</v>
      </c>
      <c r="AW43" s="321" t="s">
        <v>347</v>
      </c>
      <c r="AX43" s="321" t="s">
        <v>348</v>
      </c>
      <c r="AY43" s="321" t="s">
        <v>333</v>
      </c>
      <c r="AZ43" s="321" t="s">
        <v>155</v>
      </c>
      <c r="BA43" s="321" t="s">
        <v>349</v>
      </c>
      <c r="BB43" s="321" t="s">
        <v>332</v>
      </c>
      <c r="BC43" s="321" t="s">
        <v>330</v>
      </c>
      <c r="BD43" s="321" t="s">
        <v>350</v>
      </c>
      <c r="BE43" s="321" t="s">
        <v>348</v>
      </c>
      <c r="BF43" s="321" t="s">
        <v>333</v>
      </c>
      <c r="BG43" s="321" t="s">
        <v>351</v>
      </c>
      <c r="ER43" s="321">
        <f ca="1">IF(ES44="",SUM(FE4:FJ4),IF(ES45="",SUM(FE5:FJ5),IF(ES46="",SUM(FE6:FJ6),IF(ES47="",SUM(FE7:FJ7),0))))</f>
        <v>0</v>
      </c>
      <c r="ES43" s="321" t="s">
        <v>360</v>
      </c>
      <c r="ET43" s="321" t="s">
        <v>152</v>
      </c>
      <c r="EU43" s="321" t="s">
        <v>104</v>
      </c>
      <c r="EV43" s="321" t="s">
        <v>153</v>
      </c>
      <c r="EW43" s="321" t="s">
        <v>330</v>
      </c>
      <c r="EX43" s="321" t="s">
        <v>331</v>
      </c>
      <c r="EY43" s="321" t="s">
        <v>338</v>
      </c>
      <c r="EZ43" s="321" t="s">
        <v>151</v>
      </c>
      <c r="FA43" s="321" t="s">
        <v>347</v>
      </c>
      <c r="FB43" s="321" t="s">
        <v>348</v>
      </c>
      <c r="FC43" s="321" t="s">
        <v>333</v>
      </c>
      <c r="FD43" s="321" t="s">
        <v>155</v>
      </c>
      <c r="FE43" s="321" t="s">
        <v>349</v>
      </c>
      <c r="FF43" s="321" t="s">
        <v>332</v>
      </c>
      <c r="FG43" s="321" t="s">
        <v>330</v>
      </c>
      <c r="FH43" s="321" t="s">
        <v>350</v>
      </c>
      <c r="FI43" s="321" t="s">
        <v>348</v>
      </c>
      <c r="FJ43" s="321" t="s">
        <v>333</v>
      </c>
      <c r="FK43" s="321" t="s">
        <v>351</v>
      </c>
      <c r="FL43" s="321">
        <f ca="1">IF(FM45="",SUM(FY5:GD5),IF(FM46="",SUM(FY6:GD6),IF(FM47="",SUM(FY7:GD7),0)))</f>
        <v>0</v>
      </c>
      <c r="FM43" s="321" t="s">
        <v>361</v>
      </c>
      <c r="FN43" s="321" t="s">
        <v>152</v>
      </c>
      <c r="FO43" s="321" t="s">
        <v>104</v>
      </c>
      <c r="FP43" s="321" t="s">
        <v>153</v>
      </c>
      <c r="FQ43" s="321" t="s">
        <v>330</v>
      </c>
      <c r="FR43" s="321" t="s">
        <v>331</v>
      </c>
      <c r="FS43" s="321" t="s">
        <v>338</v>
      </c>
      <c r="FT43" s="321" t="s">
        <v>151</v>
      </c>
      <c r="FU43" s="321" t="s">
        <v>347</v>
      </c>
      <c r="FV43" s="321" t="s">
        <v>348</v>
      </c>
      <c r="FW43" s="321" t="s">
        <v>333</v>
      </c>
      <c r="FX43" s="321" t="s">
        <v>155</v>
      </c>
      <c r="FY43" s="321" t="s">
        <v>349</v>
      </c>
      <c r="FZ43" s="321" t="s">
        <v>332</v>
      </c>
      <c r="GA43" s="321" t="s">
        <v>330</v>
      </c>
      <c r="GB43" s="321" t="s">
        <v>350</v>
      </c>
      <c r="GC43" s="321" t="s">
        <v>348</v>
      </c>
      <c r="GD43" s="321" t="s">
        <v>333</v>
      </c>
      <c r="GE43" s="321" t="s">
        <v>351</v>
      </c>
      <c r="JP43" s="321">
        <f ca="1">IF(JQ44="",SUM(KC4:KH4),IF(JQ45="",SUM(KC5:KH5),IF(JQ46="",SUM(KC6:KH6),IF(JQ47="",SUM(KC7:KH7),0))))</f>
        <v>0</v>
      </c>
      <c r="JQ43" s="321" t="s">
        <v>360</v>
      </c>
      <c r="JR43" s="321" t="s">
        <v>152</v>
      </c>
      <c r="JS43" s="321" t="s">
        <v>104</v>
      </c>
      <c r="JT43" s="321" t="s">
        <v>153</v>
      </c>
      <c r="JU43" s="321" t="s">
        <v>330</v>
      </c>
      <c r="JV43" s="321" t="s">
        <v>331</v>
      </c>
      <c r="JW43" s="321" t="s">
        <v>338</v>
      </c>
      <c r="JX43" s="321" t="s">
        <v>151</v>
      </c>
      <c r="JY43" s="321" t="s">
        <v>347</v>
      </c>
      <c r="JZ43" s="321" t="s">
        <v>348</v>
      </c>
      <c r="KA43" s="321" t="s">
        <v>333</v>
      </c>
      <c r="KB43" s="321" t="s">
        <v>155</v>
      </c>
      <c r="KC43" s="321" t="s">
        <v>349</v>
      </c>
      <c r="KD43" s="321" t="s">
        <v>332</v>
      </c>
      <c r="KE43" s="321" t="s">
        <v>330</v>
      </c>
      <c r="KF43" s="321" t="s">
        <v>350</v>
      </c>
      <c r="KG43" s="321" t="s">
        <v>348</v>
      </c>
      <c r="KH43" s="321" t="s">
        <v>333</v>
      </c>
      <c r="KI43" s="321" t="s">
        <v>351</v>
      </c>
      <c r="KJ43" s="321">
        <f ca="1">IF(KK45="",SUM(KW5:LB5),IF(KK46="",SUM(KW6:LB6),IF(KK47="",SUM(KW7:LB7),0)))</f>
        <v>0</v>
      </c>
      <c r="KK43" s="321" t="s">
        <v>361</v>
      </c>
      <c r="KL43" s="321" t="s">
        <v>152</v>
      </c>
      <c r="KM43" s="321" t="s">
        <v>104</v>
      </c>
      <c r="KN43" s="321" t="s">
        <v>153</v>
      </c>
      <c r="KO43" s="321" t="s">
        <v>330</v>
      </c>
      <c r="KP43" s="321" t="s">
        <v>331</v>
      </c>
      <c r="KQ43" s="321" t="s">
        <v>338</v>
      </c>
      <c r="KR43" s="321" t="s">
        <v>151</v>
      </c>
      <c r="KS43" s="321" t="s">
        <v>347</v>
      </c>
      <c r="KT43" s="321" t="s">
        <v>348</v>
      </c>
      <c r="KU43" s="321" t="s">
        <v>333</v>
      </c>
      <c r="KV43" s="321" t="s">
        <v>155</v>
      </c>
      <c r="KW43" s="321" t="s">
        <v>349</v>
      </c>
      <c r="KX43" s="321" t="s">
        <v>332</v>
      </c>
      <c r="KY43" s="321" t="s">
        <v>330</v>
      </c>
      <c r="KZ43" s="321" t="s">
        <v>350</v>
      </c>
      <c r="LA43" s="321" t="s">
        <v>348</v>
      </c>
      <c r="LB43" s="321" t="s">
        <v>333</v>
      </c>
      <c r="LC43" s="321" t="s">
        <v>351</v>
      </c>
      <c r="ON43" s="321">
        <f t="shared" ref="ON43" ca="1" si="13857">IF(OO44="",SUM(PA4:PF4),IF(OO45="",SUM(PA5:PF5),IF(OO46="",SUM(PA6:PF6),IF(OO47="",SUM(PA7:PF7),0))))</f>
        <v>0</v>
      </c>
      <c r="OO43" s="321" t="s">
        <v>360</v>
      </c>
      <c r="OP43" s="321" t="s">
        <v>152</v>
      </c>
      <c r="OQ43" s="321" t="s">
        <v>104</v>
      </c>
      <c r="OR43" s="321" t="s">
        <v>153</v>
      </c>
      <c r="OS43" s="321" t="s">
        <v>330</v>
      </c>
      <c r="OT43" s="321" t="s">
        <v>331</v>
      </c>
      <c r="OU43" s="321" t="s">
        <v>338</v>
      </c>
      <c r="OV43" s="321" t="s">
        <v>151</v>
      </c>
      <c r="OW43" s="321" t="s">
        <v>347</v>
      </c>
      <c r="OX43" s="321" t="s">
        <v>348</v>
      </c>
      <c r="OY43" s="321" t="s">
        <v>333</v>
      </c>
      <c r="OZ43" s="321" t="s">
        <v>155</v>
      </c>
      <c r="PA43" s="321" t="s">
        <v>349</v>
      </c>
      <c r="PB43" s="321" t="s">
        <v>332</v>
      </c>
      <c r="PC43" s="321" t="s">
        <v>330</v>
      </c>
      <c r="PD43" s="321" t="s">
        <v>350</v>
      </c>
      <c r="PE43" s="321" t="s">
        <v>348</v>
      </c>
      <c r="PF43" s="321" t="s">
        <v>333</v>
      </c>
      <c r="PG43" s="321" t="s">
        <v>351</v>
      </c>
      <c r="PH43" s="321">
        <f t="shared" ref="PH43" ca="1" si="13858">IF(PI45="",SUM(PU5:PZ5),IF(PI46="",SUM(PU6:PZ6),IF(PI47="",SUM(PU7:PZ7),0)))</f>
        <v>0</v>
      </c>
      <c r="PI43" s="321" t="s">
        <v>361</v>
      </c>
      <c r="PJ43" s="321" t="s">
        <v>152</v>
      </c>
      <c r="PK43" s="321" t="s">
        <v>104</v>
      </c>
      <c r="PL43" s="321" t="s">
        <v>153</v>
      </c>
      <c r="PM43" s="321" t="s">
        <v>330</v>
      </c>
      <c r="PN43" s="321" t="s">
        <v>331</v>
      </c>
      <c r="PO43" s="321" t="s">
        <v>338</v>
      </c>
      <c r="PP43" s="321" t="s">
        <v>151</v>
      </c>
      <c r="PQ43" s="321" t="s">
        <v>347</v>
      </c>
      <c r="PR43" s="321" t="s">
        <v>348</v>
      </c>
      <c r="PS43" s="321" t="s">
        <v>333</v>
      </c>
      <c r="PT43" s="321" t="s">
        <v>155</v>
      </c>
      <c r="PU43" s="321" t="s">
        <v>349</v>
      </c>
      <c r="PV43" s="321" t="s">
        <v>332</v>
      </c>
      <c r="PW43" s="321" t="s">
        <v>330</v>
      </c>
      <c r="PX43" s="321" t="s">
        <v>350</v>
      </c>
      <c r="PY43" s="321" t="s">
        <v>348</v>
      </c>
      <c r="PZ43" s="321" t="s">
        <v>333</v>
      </c>
      <c r="QA43" s="321" t="s">
        <v>351</v>
      </c>
      <c r="TL43" s="321">
        <f t="shared" ref="TL43" ca="1" si="13859">IF(TM44="",SUM(TY4:UD4),IF(TM45="",SUM(TY5:UD5),IF(TM46="",SUM(TY6:UD6),IF(TM47="",SUM(TY7:UD7),0))))</f>
        <v>0</v>
      </c>
      <c r="TM43" s="321" t="s">
        <v>360</v>
      </c>
      <c r="TN43" s="321" t="s">
        <v>152</v>
      </c>
      <c r="TO43" s="321" t="s">
        <v>104</v>
      </c>
      <c r="TP43" s="321" t="s">
        <v>153</v>
      </c>
      <c r="TQ43" s="321" t="s">
        <v>330</v>
      </c>
      <c r="TR43" s="321" t="s">
        <v>331</v>
      </c>
      <c r="TS43" s="321" t="s">
        <v>338</v>
      </c>
      <c r="TT43" s="321" t="s">
        <v>151</v>
      </c>
      <c r="TU43" s="321" t="s">
        <v>347</v>
      </c>
      <c r="TV43" s="321" t="s">
        <v>348</v>
      </c>
      <c r="TW43" s="321" t="s">
        <v>333</v>
      </c>
      <c r="TX43" s="321" t="s">
        <v>155</v>
      </c>
      <c r="TY43" s="321" t="s">
        <v>349</v>
      </c>
      <c r="TZ43" s="321" t="s">
        <v>332</v>
      </c>
      <c r="UA43" s="321" t="s">
        <v>330</v>
      </c>
      <c r="UB43" s="321" t="s">
        <v>350</v>
      </c>
      <c r="UC43" s="321" t="s">
        <v>348</v>
      </c>
      <c r="UD43" s="321" t="s">
        <v>333</v>
      </c>
      <c r="UE43" s="321" t="s">
        <v>351</v>
      </c>
      <c r="UF43" s="321">
        <f t="shared" ref="UF43" ca="1" si="13860">IF(UG45="",SUM(US5:UX5),IF(UG46="",SUM(US6:UX6),IF(UG47="",SUM(US7:UX7),0)))</f>
        <v>0</v>
      </c>
      <c r="UG43" s="321" t="s">
        <v>361</v>
      </c>
      <c r="UH43" s="321" t="s">
        <v>152</v>
      </c>
      <c r="UI43" s="321" t="s">
        <v>104</v>
      </c>
      <c r="UJ43" s="321" t="s">
        <v>153</v>
      </c>
      <c r="UK43" s="321" t="s">
        <v>330</v>
      </c>
      <c r="UL43" s="321" t="s">
        <v>331</v>
      </c>
      <c r="UM43" s="321" t="s">
        <v>338</v>
      </c>
      <c r="UN43" s="321" t="s">
        <v>151</v>
      </c>
      <c r="UO43" s="321" t="s">
        <v>347</v>
      </c>
      <c r="UP43" s="321" t="s">
        <v>348</v>
      </c>
      <c r="UQ43" s="321" t="s">
        <v>333</v>
      </c>
      <c r="UR43" s="321" t="s">
        <v>155</v>
      </c>
      <c r="US43" s="321" t="s">
        <v>349</v>
      </c>
      <c r="UT43" s="321" t="s">
        <v>332</v>
      </c>
      <c r="UU43" s="321" t="s">
        <v>330</v>
      </c>
      <c r="UV43" s="321" t="s">
        <v>350</v>
      </c>
      <c r="UW43" s="321" t="s">
        <v>348</v>
      </c>
      <c r="UX43" s="321" t="s">
        <v>333</v>
      </c>
      <c r="UY43" s="321" t="s">
        <v>351</v>
      </c>
      <c r="YJ43" s="321">
        <f t="shared" ref="YJ43" ca="1" si="13861">IF(YK44="",SUM(YW4:ZB4),IF(YK45="",SUM(YW5:ZB5),IF(YK46="",SUM(YW6:ZB6),IF(YK47="",SUM(YW7:ZB7),0))))</f>
        <v>0</v>
      </c>
      <c r="YK43" s="321" t="s">
        <v>360</v>
      </c>
      <c r="YL43" s="321" t="s">
        <v>152</v>
      </c>
      <c r="YM43" s="321" t="s">
        <v>104</v>
      </c>
      <c r="YN43" s="321" t="s">
        <v>153</v>
      </c>
      <c r="YO43" s="321" t="s">
        <v>330</v>
      </c>
      <c r="YP43" s="321" t="s">
        <v>331</v>
      </c>
      <c r="YQ43" s="321" t="s">
        <v>338</v>
      </c>
      <c r="YR43" s="321" t="s">
        <v>151</v>
      </c>
      <c r="YS43" s="321" t="s">
        <v>347</v>
      </c>
      <c r="YT43" s="321" t="s">
        <v>348</v>
      </c>
      <c r="YU43" s="321" t="s">
        <v>333</v>
      </c>
      <c r="YV43" s="321" t="s">
        <v>155</v>
      </c>
      <c r="YW43" s="321" t="s">
        <v>349</v>
      </c>
      <c r="YX43" s="321" t="s">
        <v>332</v>
      </c>
      <c r="YY43" s="321" t="s">
        <v>330</v>
      </c>
      <c r="YZ43" s="321" t="s">
        <v>350</v>
      </c>
      <c r="ZA43" s="321" t="s">
        <v>348</v>
      </c>
      <c r="ZB43" s="321" t="s">
        <v>333</v>
      </c>
      <c r="ZC43" s="321" t="s">
        <v>351</v>
      </c>
      <c r="ZD43" s="321">
        <f t="shared" ref="ZD43" ca="1" si="13862">IF(ZE45="",SUM(ZQ5:ZV5),IF(ZE46="",SUM(ZQ6:ZV6),IF(ZE47="",SUM(ZQ7:ZV7),0)))</f>
        <v>0</v>
      </c>
      <c r="ZE43" s="321" t="s">
        <v>361</v>
      </c>
      <c r="ZF43" s="321" t="s">
        <v>152</v>
      </c>
      <c r="ZG43" s="321" t="s">
        <v>104</v>
      </c>
      <c r="ZH43" s="321" t="s">
        <v>153</v>
      </c>
      <c r="ZI43" s="321" t="s">
        <v>330</v>
      </c>
      <c r="ZJ43" s="321" t="s">
        <v>331</v>
      </c>
      <c r="ZK43" s="321" t="s">
        <v>338</v>
      </c>
      <c r="ZL43" s="321" t="s">
        <v>151</v>
      </c>
      <c r="ZM43" s="321" t="s">
        <v>347</v>
      </c>
      <c r="ZN43" s="321" t="s">
        <v>348</v>
      </c>
      <c r="ZO43" s="321" t="s">
        <v>333</v>
      </c>
      <c r="ZP43" s="321" t="s">
        <v>155</v>
      </c>
      <c r="ZQ43" s="321" t="s">
        <v>349</v>
      </c>
      <c r="ZR43" s="321" t="s">
        <v>332</v>
      </c>
      <c r="ZS43" s="321" t="s">
        <v>330</v>
      </c>
      <c r="ZT43" s="321" t="s">
        <v>350</v>
      </c>
      <c r="ZU43" s="321" t="s">
        <v>348</v>
      </c>
      <c r="ZV43" s="321" t="s">
        <v>333</v>
      </c>
      <c r="ZW43" s="321" t="s">
        <v>351</v>
      </c>
      <c r="ADH43" s="321">
        <f t="shared" ref="ADH43" ca="1" si="13863">IF(ADI44="",SUM(ADU4:ADZ4),IF(ADI45="",SUM(ADU5:ADZ5),IF(ADI46="",SUM(ADU6:ADZ6),IF(ADI47="",SUM(ADU7:ADZ7),0))))</f>
        <v>0</v>
      </c>
      <c r="ADI43" s="321" t="s">
        <v>360</v>
      </c>
      <c r="ADJ43" s="321" t="s">
        <v>152</v>
      </c>
      <c r="ADK43" s="321" t="s">
        <v>104</v>
      </c>
      <c r="ADL43" s="321" t="s">
        <v>153</v>
      </c>
      <c r="ADM43" s="321" t="s">
        <v>330</v>
      </c>
      <c r="ADN43" s="321" t="s">
        <v>331</v>
      </c>
      <c r="ADO43" s="321" t="s">
        <v>338</v>
      </c>
      <c r="ADP43" s="321" t="s">
        <v>151</v>
      </c>
      <c r="ADQ43" s="321" t="s">
        <v>347</v>
      </c>
      <c r="ADR43" s="321" t="s">
        <v>348</v>
      </c>
      <c r="ADS43" s="321" t="s">
        <v>333</v>
      </c>
      <c r="ADT43" s="321" t="s">
        <v>155</v>
      </c>
      <c r="ADU43" s="321" t="s">
        <v>349</v>
      </c>
      <c r="ADV43" s="321" t="s">
        <v>332</v>
      </c>
      <c r="ADW43" s="321" t="s">
        <v>330</v>
      </c>
      <c r="ADX43" s="321" t="s">
        <v>350</v>
      </c>
      <c r="ADY43" s="321" t="s">
        <v>348</v>
      </c>
      <c r="ADZ43" s="321" t="s">
        <v>333</v>
      </c>
      <c r="AEA43" s="321" t="s">
        <v>351</v>
      </c>
      <c r="AEB43" s="321">
        <f t="shared" ref="AEB43" ca="1" si="13864">IF(AEC45="",SUM(AEO5:AET5),IF(AEC46="",SUM(AEO6:AET6),IF(AEC47="",SUM(AEO7:AET7),0)))</f>
        <v>0</v>
      </c>
      <c r="AEC43" s="321" t="s">
        <v>361</v>
      </c>
      <c r="AED43" s="321" t="s">
        <v>152</v>
      </c>
      <c r="AEE43" s="321" t="s">
        <v>104</v>
      </c>
      <c r="AEF43" s="321" t="s">
        <v>153</v>
      </c>
      <c r="AEG43" s="321" t="s">
        <v>330</v>
      </c>
      <c r="AEH43" s="321" t="s">
        <v>331</v>
      </c>
      <c r="AEI43" s="321" t="s">
        <v>338</v>
      </c>
      <c r="AEJ43" s="321" t="s">
        <v>151</v>
      </c>
      <c r="AEK43" s="321" t="s">
        <v>347</v>
      </c>
      <c r="AEL43" s="321" t="s">
        <v>348</v>
      </c>
      <c r="AEM43" s="321" t="s">
        <v>333</v>
      </c>
      <c r="AEN43" s="321" t="s">
        <v>155</v>
      </c>
      <c r="AEO43" s="321" t="s">
        <v>349</v>
      </c>
      <c r="AEP43" s="321" t="s">
        <v>332</v>
      </c>
      <c r="AEQ43" s="321" t="s">
        <v>330</v>
      </c>
      <c r="AER43" s="321" t="s">
        <v>350</v>
      </c>
      <c r="AES43" s="321" t="s">
        <v>348</v>
      </c>
      <c r="AET43" s="321" t="s">
        <v>333</v>
      </c>
      <c r="AEU43" s="321" t="s">
        <v>351</v>
      </c>
      <c r="AIF43" s="321">
        <f t="shared" ref="AIF43" ca="1" si="13865">IF(AIG44="",SUM(AIS4:AIX4),IF(AIG45="",SUM(AIS5:AIX5),IF(AIG46="",SUM(AIS6:AIX6),IF(AIG47="",SUM(AIS7:AIX7),0))))</f>
        <v>0</v>
      </c>
      <c r="AIG43" s="321" t="s">
        <v>360</v>
      </c>
      <c r="AIH43" s="321" t="s">
        <v>152</v>
      </c>
      <c r="AII43" s="321" t="s">
        <v>104</v>
      </c>
      <c r="AIJ43" s="321" t="s">
        <v>153</v>
      </c>
      <c r="AIK43" s="321" t="s">
        <v>330</v>
      </c>
      <c r="AIL43" s="321" t="s">
        <v>331</v>
      </c>
      <c r="AIM43" s="321" t="s">
        <v>338</v>
      </c>
      <c r="AIN43" s="321" t="s">
        <v>151</v>
      </c>
      <c r="AIO43" s="321" t="s">
        <v>347</v>
      </c>
      <c r="AIP43" s="321" t="s">
        <v>348</v>
      </c>
      <c r="AIQ43" s="321" t="s">
        <v>333</v>
      </c>
      <c r="AIR43" s="321" t="s">
        <v>155</v>
      </c>
      <c r="AIS43" s="321" t="s">
        <v>349</v>
      </c>
      <c r="AIT43" s="321" t="s">
        <v>332</v>
      </c>
      <c r="AIU43" s="321" t="s">
        <v>330</v>
      </c>
      <c r="AIV43" s="321" t="s">
        <v>350</v>
      </c>
      <c r="AIW43" s="321" t="s">
        <v>348</v>
      </c>
      <c r="AIX43" s="321" t="s">
        <v>333</v>
      </c>
      <c r="AIY43" s="321" t="s">
        <v>351</v>
      </c>
      <c r="AIZ43" s="321">
        <f t="shared" ref="AIZ43" ca="1" si="13866">IF(AJA45="",SUM(AJM5:AJR5),IF(AJA46="",SUM(AJM6:AJR6),IF(AJA47="",SUM(AJM7:AJR7),0)))</f>
        <v>0</v>
      </c>
      <c r="AJA43" s="321" t="s">
        <v>361</v>
      </c>
      <c r="AJB43" s="321" t="s">
        <v>152</v>
      </c>
      <c r="AJC43" s="321" t="s">
        <v>104</v>
      </c>
      <c r="AJD43" s="321" t="s">
        <v>153</v>
      </c>
      <c r="AJE43" s="321" t="s">
        <v>330</v>
      </c>
      <c r="AJF43" s="321" t="s">
        <v>331</v>
      </c>
      <c r="AJG43" s="321" t="s">
        <v>338</v>
      </c>
      <c r="AJH43" s="321" t="s">
        <v>151</v>
      </c>
      <c r="AJI43" s="321" t="s">
        <v>347</v>
      </c>
      <c r="AJJ43" s="321" t="s">
        <v>348</v>
      </c>
      <c r="AJK43" s="321" t="s">
        <v>333</v>
      </c>
      <c r="AJL43" s="321" t="s">
        <v>155</v>
      </c>
      <c r="AJM43" s="321" t="s">
        <v>349</v>
      </c>
      <c r="AJN43" s="321" t="s">
        <v>332</v>
      </c>
      <c r="AJO43" s="321" t="s">
        <v>330</v>
      </c>
      <c r="AJP43" s="321" t="s">
        <v>350</v>
      </c>
      <c r="AJQ43" s="321" t="s">
        <v>348</v>
      </c>
      <c r="AJR43" s="321" t="s">
        <v>333</v>
      </c>
      <c r="AJS43" s="321" t="s">
        <v>351</v>
      </c>
      <c r="AND43" s="321">
        <f t="shared" ref="AND43" ca="1" si="13867">IF(ANE44="",SUM(ANQ4:ANV4),IF(ANE45="",SUM(ANQ5:ANV5),IF(ANE46="",SUM(ANQ6:ANV6),IF(ANE47="",SUM(ANQ7:ANV7),0))))</f>
        <v>0</v>
      </c>
      <c r="ANE43" s="321" t="s">
        <v>360</v>
      </c>
      <c r="ANF43" s="321" t="s">
        <v>152</v>
      </c>
      <c r="ANG43" s="321" t="s">
        <v>104</v>
      </c>
      <c r="ANH43" s="321" t="s">
        <v>153</v>
      </c>
      <c r="ANI43" s="321" t="s">
        <v>330</v>
      </c>
      <c r="ANJ43" s="321" t="s">
        <v>331</v>
      </c>
      <c r="ANK43" s="321" t="s">
        <v>338</v>
      </c>
      <c r="ANL43" s="321" t="s">
        <v>151</v>
      </c>
      <c r="ANM43" s="321" t="s">
        <v>347</v>
      </c>
      <c r="ANN43" s="321" t="s">
        <v>348</v>
      </c>
      <c r="ANO43" s="321" t="s">
        <v>333</v>
      </c>
      <c r="ANP43" s="321" t="s">
        <v>155</v>
      </c>
      <c r="ANQ43" s="321" t="s">
        <v>349</v>
      </c>
      <c r="ANR43" s="321" t="s">
        <v>332</v>
      </c>
      <c r="ANS43" s="321" t="s">
        <v>330</v>
      </c>
      <c r="ANT43" s="321" t="s">
        <v>350</v>
      </c>
      <c r="ANU43" s="321" t="s">
        <v>348</v>
      </c>
      <c r="ANV43" s="321" t="s">
        <v>333</v>
      </c>
      <c r="ANW43" s="321" t="s">
        <v>351</v>
      </c>
      <c r="ANX43" s="321">
        <f t="shared" ref="ANX43" ca="1" si="13868">IF(ANY45="",SUM(AOK5:AOP5),IF(ANY46="",SUM(AOK6:AOP6),IF(ANY47="",SUM(AOK7:AOP7),0)))</f>
        <v>0</v>
      </c>
      <c r="ANY43" s="321" t="s">
        <v>361</v>
      </c>
      <c r="ANZ43" s="321" t="s">
        <v>152</v>
      </c>
      <c r="AOA43" s="321" t="s">
        <v>104</v>
      </c>
      <c r="AOB43" s="321" t="s">
        <v>153</v>
      </c>
      <c r="AOC43" s="321" t="s">
        <v>330</v>
      </c>
      <c r="AOD43" s="321" t="s">
        <v>331</v>
      </c>
      <c r="AOE43" s="321" t="s">
        <v>338</v>
      </c>
      <c r="AOF43" s="321" t="s">
        <v>151</v>
      </c>
      <c r="AOG43" s="321" t="s">
        <v>347</v>
      </c>
      <c r="AOH43" s="321" t="s">
        <v>348</v>
      </c>
      <c r="AOI43" s="321" t="s">
        <v>333</v>
      </c>
      <c r="AOJ43" s="321" t="s">
        <v>155</v>
      </c>
      <c r="AOK43" s="321" t="s">
        <v>349</v>
      </c>
      <c r="AOL43" s="321" t="s">
        <v>332</v>
      </c>
      <c r="AOM43" s="321" t="s">
        <v>330</v>
      </c>
      <c r="AON43" s="321" t="s">
        <v>350</v>
      </c>
      <c r="AOO43" s="321" t="s">
        <v>348</v>
      </c>
      <c r="AOP43" s="321" t="s">
        <v>333</v>
      </c>
      <c r="AOQ43" s="321" t="s">
        <v>351</v>
      </c>
      <c r="ASB43" s="321">
        <f t="shared" ref="ASB43" ca="1" si="13869">IF(ASC44="",SUM(ASO4:AST4),IF(ASC45="",SUM(ASO5:AST5),IF(ASC46="",SUM(ASO6:AST6),IF(ASC47="",SUM(ASO7:AST7),0))))</f>
        <v>0</v>
      </c>
      <c r="ASC43" s="321" t="s">
        <v>360</v>
      </c>
      <c r="ASD43" s="321" t="s">
        <v>152</v>
      </c>
      <c r="ASE43" s="321" t="s">
        <v>104</v>
      </c>
      <c r="ASF43" s="321" t="s">
        <v>153</v>
      </c>
      <c r="ASG43" s="321" t="s">
        <v>330</v>
      </c>
      <c r="ASH43" s="321" t="s">
        <v>331</v>
      </c>
      <c r="ASI43" s="321" t="s">
        <v>338</v>
      </c>
      <c r="ASJ43" s="321" t="s">
        <v>151</v>
      </c>
      <c r="ASK43" s="321" t="s">
        <v>347</v>
      </c>
      <c r="ASL43" s="321" t="s">
        <v>348</v>
      </c>
      <c r="ASM43" s="321" t="s">
        <v>333</v>
      </c>
      <c r="ASN43" s="321" t="s">
        <v>155</v>
      </c>
      <c r="ASO43" s="321" t="s">
        <v>349</v>
      </c>
      <c r="ASP43" s="321" t="s">
        <v>332</v>
      </c>
      <c r="ASQ43" s="321" t="s">
        <v>330</v>
      </c>
      <c r="ASR43" s="321" t="s">
        <v>350</v>
      </c>
      <c r="ASS43" s="321" t="s">
        <v>348</v>
      </c>
      <c r="AST43" s="321" t="s">
        <v>333</v>
      </c>
      <c r="ASU43" s="321" t="s">
        <v>351</v>
      </c>
      <c r="ASV43" s="321">
        <f t="shared" ref="ASV43" ca="1" si="13870">IF(ASW45="",SUM(ATI5:ATN5),IF(ASW46="",SUM(ATI6:ATN6),IF(ASW47="",SUM(ATI7:ATN7),0)))</f>
        <v>0</v>
      </c>
      <c r="ASW43" s="321" t="s">
        <v>361</v>
      </c>
      <c r="ASX43" s="321" t="s">
        <v>152</v>
      </c>
      <c r="ASY43" s="321" t="s">
        <v>104</v>
      </c>
      <c r="ASZ43" s="321" t="s">
        <v>153</v>
      </c>
      <c r="ATA43" s="321" t="s">
        <v>330</v>
      </c>
      <c r="ATB43" s="321" t="s">
        <v>331</v>
      </c>
      <c r="ATC43" s="321" t="s">
        <v>338</v>
      </c>
      <c r="ATD43" s="321" t="s">
        <v>151</v>
      </c>
      <c r="ATE43" s="321" t="s">
        <v>347</v>
      </c>
      <c r="ATF43" s="321" t="s">
        <v>348</v>
      </c>
      <c r="ATG43" s="321" t="s">
        <v>333</v>
      </c>
      <c r="ATH43" s="321" t="s">
        <v>155</v>
      </c>
      <c r="ATI43" s="321" t="s">
        <v>349</v>
      </c>
      <c r="ATJ43" s="321" t="s">
        <v>332</v>
      </c>
      <c r="ATK43" s="321" t="s">
        <v>330</v>
      </c>
      <c r="ATL43" s="321" t="s">
        <v>350</v>
      </c>
      <c r="ATM43" s="321" t="s">
        <v>348</v>
      </c>
      <c r="ATN43" s="321" t="s">
        <v>333</v>
      </c>
      <c r="ATO43" s="321" t="s">
        <v>351</v>
      </c>
      <c r="AWZ43" s="321">
        <f t="shared" ref="AWZ43" ca="1" si="13871">IF(AXA44="",SUM(AXM4:AXR4),IF(AXA45="",SUM(AXM5:AXR5),IF(AXA46="",SUM(AXM6:AXR6),IF(AXA47="",SUM(AXM7:AXR7),0))))</f>
        <v>0</v>
      </c>
      <c r="AXA43" s="321" t="s">
        <v>360</v>
      </c>
      <c r="AXB43" s="321" t="s">
        <v>152</v>
      </c>
      <c r="AXC43" s="321" t="s">
        <v>104</v>
      </c>
      <c r="AXD43" s="321" t="s">
        <v>153</v>
      </c>
      <c r="AXE43" s="321" t="s">
        <v>330</v>
      </c>
      <c r="AXF43" s="321" t="s">
        <v>331</v>
      </c>
      <c r="AXG43" s="321" t="s">
        <v>338</v>
      </c>
      <c r="AXH43" s="321" t="s">
        <v>151</v>
      </c>
      <c r="AXI43" s="321" t="s">
        <v>347</v>
      </c>
      <c r="AXJ43" s="321" t="s">
        <v>348</v>
      </c>
      <c r="AXK43" s="321" t="s">
        <v>333</v>
      </c>
      <c r="AXL43" s="321" t="s">
        <v>155</v>
      </c>
      <c r="AXM43" s="321" t="s">
        <v>349</v>
      </c>
      <c r="AXN43" s="321" t="s">
        <v>332</v>
      </c>
      <c r="AXO43" s="321" t="s">
        <v>330</v>
      </c>
      <c r="AXP43" s="321" t="s">
        <v>350</v>
      </c>
      <c r="AXQ43" s="321" t="s">
        <v>348</v>
      </c>
      <c r="AXR43" s="321" t="s">
        <v>333</v>
      </c>
      <c r="AXS43" s="321" t="s">
        <v>351</v>
      </c>
      <c r="AXT43" s="321">
        <f t="shared" ref="AXT43" ca="1" si="13872">IF(AXU45="",SUM(AYG5:AYL5),IF(AXU46="",SUM(AYG6:AYL6),IF(AXU47="",SUM(AYG7:AYL7),0)))</f>
        <v>0</v>
      </c>
      <c r="AXU43" s="321" t="s">
        <v>361</v>
      </c>
      <c r="AXV43" s="321" t="s">
        <v>152</v>
      </c>
      <c r="AXW43" s="321" t="s">
        <v>104</v>
      </c>
      <c r="AXX43" s="321" t="s">
        <v>153</v>
      </c>
      <c r="AXY43" s="321" t="s">
        <v>330</v>
      </c>
      <c r="AXZ43" s="321" t="s">
        <v>331</v>
      </c>
      <c r="AYA43" s="321" t="s">
        <v>338</v>
      </c>
      <c r="AYB43" s="321" t="s">
        <v>151</v>
      </c>
      <c r="AYC43" s="321" t="s">
        <v>347</v>
      </c>
      <c r="AYD43" s="321" t="s">
        <v>348</v>
      </c>
      <c r="AYE43" s="321" t="s">
        <v>333</v>
      </c>
      <c r="AYF43" s="321" t="s">
        <v>155</v>
      </c>
      <c r="AYG43" s="321" t="s">
        <v>349</v>
      </c>
      <c r="AYH43" s="321" t="s">
        <v>332</v>
      </c>
      <c r="AYI43" s="321" t="s">
        <v>330</v>
      </c>
      <c r="AYJ43" s="321" t="s">
        <v>350</v>
      </c>
      <c r="AYK43" s="321" t="s">
        <v>348</v>
      </c>
      <c r="AYL43" s="321" t="s">
        <v>333</v>
      </c>
      <c r="AYM43" s="321" t="s">
        <v>351</v>
      </c>
      <c r="BBX43" s="321">
        <f t="shared" ref="BBX43" ca="1" si="13873">IF(BBY44="",SUM(BCK4:BCP4),IF(BBY45="",SUM(BCK5:BCP5),IF(BBY46="",SUM(BCK6:BCP6),IF(BBY47="",SUM(BCK7:BCP7),0))))</f>
        <v>0</v>
      </c>
      <c r="BBY43" s="321" t="s">
        <v>360</v>
      </c>
      <c r="BBZ43" s="321" t="s">
        <v>152</v>
      </c>
      <c r="BCA43" s="321" t="s">
        <v>104</v>
      </c>
      <c r="BCB43" s="321" t="s">
        <v>153</v>
      </c>
      <c r="BCC43" s="321" t="s">
        <v>330</v>
      </c>
      <c r="BCD43" s="321" t="s">
        <v>331</v>
      </c>
      <c r="BCE43" s="321" t="s">
        <v>338</v>
      </c>
      <c r="BCF43" s="321" t="s">
        <v>151</v>
      </c>
      <c r="BCG43" s="321" t="s">
        <v>347</v>
      </c>
      <c r="BCH43" s="321" t="s">
        <v>348</v>
      </c>
      <c r="BCI43" s="321" t="s">
        <v>333</v>
      </c>
      <c r="BCJ43" s="321" t="s">
        <v>155</v>
      </c>
      <c r="BCK43" s="321" t="s">
        <v>349</v>
      </c>
      <c r="BCL43" s="321" t="s">
        <v>332</v>
      </c>
      <c r="BCM43" s="321" t="s">
        <v>330</v>
      </c>
      <c r="BCN43" s="321" t="s">
        <v>350</v>
      </c>
      <c r="BCO43" s="321" t="s">
        <v>348</v>
      </c>
      <c r="BCP43" s="321" t="s">
        <v>333</v>
      </c>
      <c r="BCQ43" s="321" t="s">
        <v>351</v>
      </c>
      <c r="BCR43" s="321">
        <f t="shared" ref="BCR43" ca="1" si="13874">IF(BCS45="",SUM(BDE5:BDJ5),IF(BCS46="",SUM(BDE6:BDJ6),IF(BCS47="",SUM(BDE7:BDJ7),0)))</f>
        <v>0</v>
      </c>
      <c r="BCS43" s="321" t="s">
        <v>361</v>
      </c>
      <c r="BCT43" s="321" t="s">
        <v>152</v>
      </c>
      <c r="BCU43" s="321" t="s">
        <v>104</v>
      </c>
      <c r="BCV43" s="321" t="s">
        <v>153</v>
      </c>
      <c r="BCW43" s="321" t="s">
        <v>330</v>
      </c>
      <c r="BCX43" s="321" t="s">
        <v>331</v>
      </c>
      <c r="BCY43" s="321" t="s">
        <v>338</v>
      </c>
      <c r="BCZ43" s="321" t="s">
        <v>151</v>
      </c>
      <c r="BDA43" s="321" t="s">
        <v>347</v>
      </c>
      <c r="BDB43" s="321" t="s">
        <v>348</v>
      </c>
      <c r="BDC43" s="321" t="s">
        <v>333</v>
      </c>
      <c r="BDD43" s="321" t="s">
        <v>155</v>
      </c>
      <c r="BDE43" s="321" t="s">
        <v>349</v>
      </c>
      <c r="BDF43" s="321" t="s">
        <v>332</v>
      </c>
      <c r="BDG43" s="321" t="s">
        <v>330</v>
      </c>
      <c r="BDH43" s="321" t="s">
        <v>350</v>
      </c>
      <c r="BDI43" s="321" t="s">
        <v>348</v>
      </c>
      <c r="BDJ43" s="321" t="s">
        <v>333</v>
      </c>
      <c r="BDK43" s="321" t="s">
        <v>351</v>
      </c>
    </row>
    <row r="44" spans="1:1536" x14ac:dyDescent="0.2">
      <c r="I44" s="321">
        <f>SUMPRODUCT((I4:I7=I4)*(H4:H7=H4)*(F4:F7&gt;F4))+1</f>
        <v>1</v>
      </c>
      <c r="T44" s="321">
        <f>IF(U4&lt;&gt;"",SUMPRODUCT((AB4:AB7=AB4)*(AA4:AA7=AA4)*(Y4:Y7=Y4)*(Z4:Z7=Z4)),"")</f>
        <v>2</v>
      </c>
      <c r="U44" s="321" t="str">
        <f>IF(AND(T44&lt;&gt;"",T44&gt;1),U4,"")</f>
        <v>Switzerland</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f>IF(U44&lt;&gt;"",V44*3+W44*1,"")</f>
        <v>0</v>
      </c>
      <c r="AC44" s="321">
        <f>IF(U44&lt;&gt;"",VLOOKUP(U44,B4:H40,7,FALSE),"")</f>
        <v>1002</v>
      </c>
      <c r="AD44" s="321">
        <f>IF(U44&lt;&gt;"",VLOOKUP(U44,B4:H40,5,FALSE),"")</f>
        <v>3</v>
      </c>
      <c r="AE44" s="321">
        <f>IF(U44&lt;&gt;"",VLOOKUP(U44,B4:J40,9,FALSE),"")</f>
        <v>34</v>
      </c>
      <c r="AF44" s="321">
        <f>AB44</f>
        <v>0</v>
      </c>
      <c r="AG44" s="321">
        <f>IF(U44&lt;&gt;"",RANK(AF44,AF44:AF48),"")</f>
        <v>1</v>
      </c>
      <c r="AH44" s="321">
        <f>IF(U44&lt;&gt;"",SUMPRODUCT((AF44:AF48=AF44)*(AA44:AA48&gt;AA44)),"")</f>
        <v>0</v>
      </c>
      <c r="AI44" s="321">
        <f>IF(U44&lt;&gt;"",SUMPRODUCT((AF44:AF48=AF44)*(AA44:AA48=AA44)*(Y44:Y48&gt;Y44)),"")</f>
        <v>0</v>
      </c>
      <c r="AJ44" s="321">
        <f>IF(U44&lt;&gt;"",SUMPRODUCT((AF44:AF48=AF44)*(AA44:AA48=AA44)*(Y44:Y48=Y44)*(AC44:AC48&gt;AC44)),"")</f>
        <v>1</v>
      </c>
      <c r="AK44" s="321">
        <f>IF(U44&lt;&gt;"",SUMPRODUCT((AF44:AF48=AF44)*(AA44:AA48=AA44)*(Y44:Y48=Y44)*(AC44:AC48=AC44)*(AD44:AD48&gt;AD44)),"")</f>
        <v>0</v>
      </c>
      <c r="AL44" s="321">
        <f>IF(U44&lt;&gt;"",SUMPRODUCT((AF44:AF48=AF44)*(AA44:AA48=AA44)*(Y44:Y48=Y44)*(AC44:AC48=AC44)*(AD44:AD48=AD44)*(AE44:AE48&gt;AE44)),"")</f>
        <v>0</v>
      </c>
      <c r="AM44" s="321">
        <f>IF(U44&lt;&gt;"",SUM(AG44:AL44),"")</f>
        <v>2</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t="str">
        <f t="shared" ref="ON44" ca="1" si="13875">IF(OO4&lt;&gt;"",SUMPRODUCT((OV4:OV7=OV4)*(OU4:OU7=OU4)*(OS4:OS7=OS4)*(OT4:OT7=OT4)),"")</f>
        <v/>
      </c>
      <c r="OO44" s="321" t="str">
        <f t="shared" ref="OO44:OO47" ca="1" si="13876">IF(AND(ON44&lt;&gt;"",ON44&gt;1),OO4,"")</f>
        <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t="str">
        <f t="shared" ref="OV44:OV47" ca="1" si="13883">IF(OO44&lt;&gt;"",OP44*3+OQ44*1,"")</f>
        <v/>
      </c>
      <c r="OW44" s="321" t="str">
        <f t="shared" ref="OW44" ca="1" si="13884">IF(OO44&lt;&gt;"",VLOOKUP(OO44,NV4:OB40,7,FALSE),"")</f>
        <v/>
      </c>
      <c r="OX44" s="321" t="str">
        <f t="shared" ref="OX44" ca="1" si="13885">IF(OO44&lt;&gt;"",VLOOKUP(OO44,NV4:OB40,5,FALSE),"")</f>
        <v/>
      </c>
      <c r="OY44" s="321" t="str">
        <f t="shared" ref="OY44" ca="1" si="13886">IF(OO44&lt;&gt;"",VLOOKUP(OO44,NV4:OD40,9,FALSE),"")</f>
        <v/>
      </c>
      <c r="OZ44" s="321" t="str">
        <f t="shared" ref="OZ44:OZ47" ca="1" si="13887">OV44</f>
        <v/>
      </c>
      <c r="PA44" s="321" t="str">
        <f t="shared" ref="PA44" ca="1" si="13888">IF(OO44&lt;&gt;"",RANK(OZ44,OZ44:OZ48),"")</f>
        <v/>
      </c>
      <c r="PB44" s="321" t="str">
        <f t="shared" ref="PB44" ca="1" si="13889">IF(OO44&lt;&gt;"",SUMPRODUCT((OZ44:OZ48=OZ44)*(OU44:OU48&gt;OU44)),"")</f>
        <v/>
      </c>
      <c r="PC44" s="321" t="str">
        <f t="shared" ref="PC44" ca="1" si="13890">IF(OO44&lt;&gt;"",SUMPRODUCT((OZ44:OZ48=OZ44)*(OU44:OU48=OU44)*(OS44:OS48&gt;OS44)),"")</f>
        <v/>
      </c>
      <c r="PD44" s="321" t="str">
        <f t="shared" ref="PD44" ca="1" si="13891">IF(OO44&lt;&gt;"",SUMPRODUCT((OZ44:OZ48=OZ44)*(OU44:OU48=OU44)*(OS44:OS48=OS44)*(OW44:OW48&gt;OW44)),"")</f>
        <v/>
      </c>
      <c r="PE44" s="321" t="str">
        <f t="shared" ref="PE44" ca="1" si="13892">IF(OO44&lt;&gt;"",SUMPRODUCT((OZ44:OZ48=OZ44)*(OU44:OU48=OU44)*(OS44:OS48=OS44)*(OW44:OW48=OW44)*(OX44:OX48&gt;OX44)),"")</f>
        <v/>
      </c>
      <c r="PF44" s="321" t="str">
        <f t="shared" ref="PF44" ca="1" si="13893">IF(OO44&lt;&gt;"",SUMPRODUCT((OZ44:OZ48=OZ44)*(OU44:OU48=OU44)*(OS44:OS48=OS44)*(OW44:OW48=OW44)*(OX44:OX48=OX44)*(OY44:OY48&gt;OY44)),"")</f>
        <v/>
      </c>
      <c r="PG44" s="321" t="str">
        <f t="shared" ref="PG44:PG47" ca="1" si="13894">IF(OO44&lt;&gt;"",SUM(PA44:PF44),"")</f>
        <v/>
      </c>
      <c r="TA44" s="321">
        <f ca="1">SUMPRODUCT((TA4:TA7=TA4)*(SZ4:SZ7=SZ4)*(SX4:SX7&gt;SX4))+1</f>
        <v>1</v>
      </c>
      <c r="TL44" s="321" t="str">
        <f t="shared" ref="TL44" ca="1" si="13895">IF(TM4&lt;&gt;"",SUMPRODUCT((TT4:TT7=TT4)*(TS4:TS7=TS4)*(TQ4:TQ7=TQ4)*(TR4:TR7=TR4)),"")</f>
        <v/>
      </c>
      <c r="TM44" s="321" t="str">
        <f t="shared" ref="TM44:TM47" ca="1" si="13896">IF(AND(TL44&lt;&gt;"",TL44&gt;1),TM4,"")</f>
        <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t="str">
        <f t="shared" ref="TT44:TT47" ca="1" si="13903">IF(TM44&lt;&gt;"",TN44*3+TO44*1,"")</f>
        <v/>
      </c>
      <c r="TU44" s="321" t="str">
        <f t="shared" ref="TU44" ca="1" si="13904">IF(TM44&lt;&gt;"",VLOOKUP(TM44,ST4:SZ40,7,FALSE),"")</f>
        <v/>
      </c>
      <c r="TV44" s="321" t="str">
        <f t="shared" ref="TV44" ca="1" si="13905">IF(TM44&lt;&gt;"",VLOOKUP(TM44,ST4:SZ40,5,FALSE),"")</f>
        <v/>
      </c>
      <c r="TW44" s="321" t="str">
        <f t="shared" ref="TW44" ca="1" si="13906">IF(TM44&lt;&gt;"",VLOOKUP(TM44,ST4:TB40,9,FALSE),"")</f>
        <v/>
      </c>
      <c r="TX44" s="321" t="str">
        <f t="shared" ref="TX44:TX47" ca="1" si="13907">TT44</f>
        <v/>
      </c>
      <c r="TY44" s="321" t="str">
        <f t="shared" ref="TY44" ca="1" si="13908">IF(TM44&lt;&gt;"",RANK(TX44,TX44:TX48),"")</f>
        <v/>
      </c>
      <c r="TZ44" s="321" t="str">
        <f t="shared" ref="TZ44" ca="1" si="13909">IF(TM44&lt;&gt;"",SUMPRODUCT((TX44:TX48=TX44)*(TS44:TS48&gt;TS44)),"")</f>
        <v/>
      </c>
      <c r="UA44" s="321" t="str">
        <f t="shared" ref="UA44" ca="1" si="13910">IF(TM44&lt;&gt;"",SUMPRODUCT((TX44:TX48=TX44)*(TS44:TS48=TS44)*(TQ44:TQ48&gt;TQ44)),"")</f>
        <v/>
      </c>
      <c r="UB44" s="321" t="str">
        <f t="shared" ref="UB44" ca="1" si="13911">IF(TM44&lt;&gt;"",SUMPRODUCT((TX44:TX48=TX44)*(TS44:TS48=TS44)*(TQ44:TQ48=TQ44)*(TU44:TU48&gt;TU44)),"")</f>
        <v/>
      </c>
      <c r="UC44" s="321" t="str">
        <f t="shared" ref="UC44" ca="1" si="13912">IF(TM44&lt;&gt;"",SUMPRODUCT((TX44:TX48=TX44)*(TS44:TS48=TS44)*(TQ44:TQ48=TQ44)*(TU44:TU48=TU44)*(TV44:TV48&gt;TV44)),"")</f>
        <v/>
      </c>
      <c r="UD44" s="321" t="str">
        <f t="shared" ref="UD44" ca="1" si="13913">IF(TM44&lt;&gt;"",SUMPRODUCT((TX44:TX48=TX44)*(TS44:TS48=TS44)*(TQ44:TQ48=TQ44)*(TU44:TU48=TU44)*(TV44:TV48=TV44)*(TW44:TW48&gt;TW44)),"")</f>
        <v/>
      </c>
      <c r="UE44" s="321" t="str">
        <f t="shared" ref="UE44:UE47" ca="1" si="13914">IF(TM44&lt;&gt;"",SUM(TY44:UD44),"")</f>
        <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t="str">
        <f t="shared" ref="ADH44" ca="1" si="13935">IF(ADI4&lt;&gt;"",SUMPRODUCT((ADP4:ADP7=ADP4)*(ADO4:ADO7=ADO4)*(ADM4:ADM7=ADM4)*(ADN4:ADN7=ADN4)),"")</f>
        <v/>
      </c>
      <c r="ADI44" s="321" t="str">
        <f t="shared" ref="ADI44:ADI47" ca="1" si="13936">IF(AND(ADH44&lt;&gt;"",ADH44&gt;1),ADI4,"")</f>
        <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t="str">
        <f t="shared" ref="ADP44:ADP47" ca="1" si="13943">IF(ADI44&lt;&gt;"",ADJ44*3+ADK44*1,"")</f>
        <v/>
      </c>
      <c r="ADQ44" s="321" t="str">
        <f t="shared" ref="ADQ44" ca="1" si="13944">IF(ADI44&lt;&gt;"",VLOOKUP(ADI44,ACP4:ACV40,7,FALSE),"")</f>
        <v/>
      </c>
      <c r="ADR44" s="321" t="str">
        <f t="shared" ref="ADR44" ca="1" si="13945">IF(ADI44&lt;&gt;"",VLOOKUP(ADI44,ACP4:ACV40,5,FALSE),"")</f>
        <v/>
      </c>
      <c r="ADS44" s="321" t="str">
        <f t="shared" ref="ADS44" ca="1" si="13946">IF(ADI44&lt;&gt;"",VLOOKUP(ADI44,ACP4:ACX40,9,FALSE),"")</f>
        <v/>
      </c>
      <c r="ADT44" s="321" t="str">
        <f t="shared" ref="ADT44:ADT47" ca="1" si="13947">ADP44</f>
        <v/>
      </c>
      <c r="ADU44" s="321" t="str">
        <f t="shared" ref="ADU44" ca="1" si="13948">IF(ADI44&lt;&gt;"",RANK(ADT44,ADT44:ADT48),"")</f>
        <v/>
      </c>
      <c r="ADV44" s="321" t="str">
        <f t="shared" ref="ADV44" ca="1" si="13949">IF(ADI44&lt;&gt;"",SUMPRODUCT((ADT44:ADT48=ADT44)*(ADO44:ADO48&gt;ADO44)),"")</f>
        <v/>
      </c>
      <c r="ADW44" s="321" t="str">
        <f t="shared" ref="ADW44" ca="1" si="13950">IF(ADI44&lt;&gt;"",SUMPRODUCT((ADT44:ADT48=ADT44)*(ADO44:ADO48=ADO44)*(ADM44:ADM48&gt;ADM44)),"")</f>
        <v/>
      </c>
      <c r="ADX44" s="321" t="str">
        <f t="shared" ref="ADX44" ca="1" si="13951">IF(ADI44&lt;&gt;"",SUMPRODUCT((ADT44:ADT48=ADT44)*(ADO44:ADO48=ADO44)*(ADM44:ADM48=ADM44)*(ADQ44:ADQ48&gt;ADQ44)),"")</f>
        <v/>
      </c>
      <c r="ADY44" s="321" t="str">
        <f t="shared" ref="ADY44" ca="1" si="13952">IF(ADI44&lt;&gt;"",SUMPRODUCT((ADT44:ADT48=ADT44)*(ADO44:ADO48=ADO44)*(ADM44:ADM48=ADM44)*(ADQ44:ADQ48=ADQ44)*(ADR44:ADR48&gt;ADR44)),"")</f>
        <v/>
      </c>
      <c r="ADZ44" s="321" t="str">
        <f t="shared" ref="ADZ44" ca="1" si="13953">IF(ADI44&lt;&gt;"",SUMPRODUCT((ADT44:ADT48=ADT44)*(ADO44:ADO48=ADO44)*(ADM44:ADM48=ADM44)*(ADQ44:ADQ48=ADQ44)*(ADR44:ADR48=ADR44)*(ADS44:ADS48&gt;ADS44)),"")</f>
        <v/>
      </c>
      <c r="AEA44" s="321" t="str">
        <f t="shared" ref="AEA44:AEA47" ca="1" si="13954">IF(ADI44&lt;&gt;"",SUM(ADU44:ADZ44),"")</f>
        <v/>
      </c>
      <c r="AHU44" s="321">
        <f ca="1">SUMPRODUCT((AHU4:AHU7=AHU4)*(AHT4:AHT7=AHT4)*(AHR4:AHR7&gt;AHR4))+1</f>
        <v>1</v>
      </c>
      <c r="AIF44" s="321">
        <f t="shared" ref="AIF44" ca="1" si="13955">IF(AIG4&lt;&gt;"",SUMPRODUCT((AIN4:AIN7=AIN4)*(AIM4:AIM7=AIM4)*(AIK4:AIK7=AIK4)*(AIL4:AIL7=AIL4)),"")</f>
        <v>4</v>
      </c>
      <c r="AIG44" s="321" t="str">
        <f t="shared" ref="AIG44:AIG47" ca="1" si="13956">IF(AND(AIF44&lt;&gt;"",AIF44&gt;1),AIG4,"")</f>
        <v>Switzerland</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f t="shared" ref="AIN44:AIN47" ca="1" si="13963">IF(AIG44&lt;&gt;"",AIH44*3+AII44*1,"")</f>
        <v>0</v>
      </c>
      <c r="AIO44" s="321">
        <f t="shared" ref="AIO44" ca="1" si="13964">IF(AIG44&lt;&gt;"",VLOOKUP(AIG44,AHN4:AHT40,7,FALSE),"")</f>
        <v>1000</v>
      </c>
      <c r="AIP44" s="321">
        <f t="shared" ref="AIP44" ca="1" si="13965">IF(AIG44&lt;&gt;"",VLOOKUP(AIG44,AHN4:AHT40,5,FALSE),"")</f>
        <v>0</v>
      </c>
      <c r="AIQ44" s="321">
        <f t="shared" ref="AIQ44" ca="1" si="13966">IF(AIG44&lt;&gt;"",VLOOKUP(AIG44,AHN4:AHV40,9,FALSE),"")</f>
        <v>34</v>
      </c>
      <c r="AIR44" s="321">
        <f t="shared" ref="AIR44:AIR47" ca="1" si="13967">AIN44</f>
        <v>0</v>
      </c>
      <c r="AIS44" s="321">
        <f t="shared" ref="AIS44" ca="1" si="13968">IF(AIG44&lt;&gt;"",RANK(AIR44,AIR44:AIR48),"")</f>
        <v>1</v>
      </c>
      <c r="AIT44" s="321">
        <f t="shared" ref="AIT44" ca="1" si="13969">IF(AIG44&lt;&gt;"",SUMPRODUCT((AIR44:AIR48=AIR44)*(AIM44:AIM48&gt;AIM44)),"")</f>
        <v>0</v>
      </c>
      <c r="AIU44" s="321">
        <f t="shared" ref="AIU44" ca="1" si="13970">IF(AIG44&lt;&gt;"",SUMPRODUCT((AIR44:AIR48=AIR44)*(AIM44:AIM48=AIM44)*(AIK44:AIK48&gt;AIK44)),"")</f>
        <v>0</v>
      </c>
      <c r="AIV44" s="321">
        <f t="shared" ref="AIV44" ca="1" si="13971">IF(AIG44&lt;&gt;"",SUMPRODUCT((AIR44:AIR48=AIR44)*(AIM44:AIM48=AIM44)*(AIK44:AIK48=AIK44)*(AIO44:AIO48&gt;AIO44)),"")</f>
        <v>0</v>
      </c>
      <c r="AIW44" s="321">
        <f t="shared" ref="AIW44" ca="1" si="13972">IF(AIG44&lt;&gt;"",SUMPRODUCT((AIR44:AIR48=AIR44)*(AIM44:AIM48=AIM44)*(AIK44:AIK48=AIK44)*(AIO44:AIO48=AIO44)*(AIP44:AIP48&gt;AIP44)),"")</f>
        <v>0</v>
      </c>
      <c r="AIX44" s="321">
        <f t="shared" ref="AIX44" ca="1" si="13973">IF(AIG44&lt;&gt;"",SUMPRODUCT((AIR44:AIR48=AIR44)*(AIM44:AIM48=AIM44)*(AIK44:AIK48=AIK44)*(AIO44:AIO48=AIO44)*(AIP44:AIP48=AIP44)*(AIQ44:AIQ48&gt;AIQ44)),"")</f>
        <v>3</v>
      </c>
      <c r="AIY44" s="321">
        <f t="shared" ref="AIY44:AIY47" ca="1" si="13974">IF(AIG44&lt;&gt;"",SUM(AIS44:AIX44),"")</f>
        <v>4</v>
      </c>
      <c r="AMS44" s="321">
        <f ca="1">SUMPRODUCT((AMS4:AMS7=AMS4)*(AMR4:AMR7=AMR4)*(AMP4:AMP7&gt;AMP4))+1</f>
        <v>1</v>
      </c>
      <c r="AND44" s="321">
        <f t="shared" ref="AND44" ca="1" si="13975">IF(ANE4&lt;&gt;"",SUMPRODUCT((ANL4:ANL7=ANL4)*(ANK4:ANK7=ANK4)*(ANI4:ANI7=ANI4)*(ANJ4:ANJ7=ANJ4)),"")</f>
        <v>4</v>
      </c>
      <c r="ANE44" s="321" t="str">
        <f t="shared" ref="ANE44:ANE47" ca="1" si="13976">IF(AND(AND44&lt;&gt;"",AND44&gt;1),ANE4,"")</f>
        <v>Switzerland</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f t="shared" ref="ANL44:ANL47" ca="1" si="13983">IF(ANE44&lt;&gt;"",ANF44*3+ANG44*1,"")</f>
        <v>0</v>
      </c>
      <c r="ANM44" s="321">
        <f t="shared" ref="ANM44" ca="1" si="13984">IF(ANE44&lt;&gt;"",VLOOKUP(ANE44,AML4:AMR40,7,FALSE),"")</f>
        <v>1000</v>
      </c>
      <c r="ANN44" s="321">
        <f t="shared" ref="ANN44" ca="1" si="13985">IF(ANE44&lt;&gt;"",VLOOKUP(ANE44,AML4:AMR40,5,FALSE),"")</f>
        <v>0</v>
      </c>
      <c r="ANO44" s="321">
        <f t="shared" ref="ANO44" ca="1" si="13986">IF(ANE44&lt;&gt;"",VLOOKUP(ANE44,AML4:AMT40,9,FALSE),"")</f>
        <v>34</v>
      </c>
      <c r="ANP44" s="321">
        <f t="shared" ref="ANP44:ANP47" ca="1" si="13987">ANL44</f>
        <v>0</v>
      </c>
      <c r="ANQ44" s="321">
        <f t="shared" ref="ANQ44" ca="1" si="13988">IF(ANE44&lt;&gt;"",RANK(ANP44,ANP44:ANP48),"")</f>
        <v>1</v>
      </c>
      <c r="ANR44" s="321">
        <f t="shared" ref="ANR44" ca="1" si="13989">IF(ANE44&lt;&gt;"",SUMPRODUCT((ANP44:ANP48=ANP44)*(ANK44:ANK48&gt;ANK44)),"")</f>
        <v>0</v>
      </c>
      <c r="ANS44" s="321">
        <f t="shared" ref="ANS44" ca="1" si="13990">IF(ANE44&lt;&gt;"",SUMPRODUCT((ANP44:ANP48=ANP44)*(ANK44:ANK48=ANK44)*(ANI44:ANI48&gt;ANI44)),"")</f>
        <v>0</v>
      </c>
      <c r="ANT44" s="321">
        <f t="shared" ref="ANT44" ca="1" si="13991">IF(ANE44&lt;&gt;"",SUMPRODUCT((ANP44:ANP48=ANP44)*(ANK44:ANK48=ANK44)*(ANI44:ANI48=ANI44)*(ANM44:ANM48&gt;ANM44)),"")</f>
        <v>0</v>
      </c>
      <c r="ANU44" s="321">
        <f t="shared" ref="ANU44" ca="1" si="13992">IF(ANE44&lt;&gt;"",SUMPRODUCT((ANP44:ANP48=ANP44)*(ANK44:ANK48=ANK44)*(ANI44:ANI48=ANI44)*(ANM44:ANM48=ANM44)*(ANN44:ANN48&gt;ANN44)),"")</f>
        <v>0</v>
      </c>
      <c r="ANV44" s="321">
        <f t="shared" ref="ANV44" ca="1" si="13993">IF(ANE44&lt;&gt;"",SUMPRODUCT((ANP44:ANP48=ANP44)*(ANK44:ANK48=ANK44)*(ANI44:ANI48=ANI44)*(ANM44:ANM48=ANM44)*(ANN44:ANN48=ANN44)*(ANO44:ANO48&gt;ANO44)),"")</f>
        <v>3</v>
      </c>
      <c r="ANW44" s="321">
        <f t="shared" ref="ANW44:ANW47" ca="1" si="13994">IF(ANE44&lt;&gt;"",SUM(ANQ44:ANV44),"")</f>
        <v>4</v>
      </c>
      <c r="ARQ44" s="321">
        <f ca="1">SUMPRODUCT((ARQ4:ARQ7=ARQ4)*(ARP4:ARP7=ARP4)*(ARN4:ARN7&gt;ARN4))+1</f>
        <v>1</v>
      </c>
      <c r="ASB44" s="321">
        <f t="shared" ref="ASB44" ca="1" si="13995">IF(ASC4&lt;&gt;"",SUMPRODUCT((ASJ4:ASJ7=ASJ4)*(ASI4:ASI7=ASI4)*(ASG4:ASG7=ASG4)*(ASH4:ASH7=ASH4)),"")</f>
        <v>4</v>
      </c>
      <c r="ASC44" s="321" t="str">
        <f t="shared" ref="ASC44:ASC47" ca="1" si="13996">IF(AND(ASB44&lt;&gt;"",ASB44&gt;1),ASC4,"")</f>
        <v>Switzerland</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f t="shared" ref="ASJ44:ASJ47" ca="1" si="14003">IF(ASC44&lt;&gt;"",ASD44*3+ASE44*1,"")</f>
        <v>0</v>
      </c>
      <c r="ASK44" s="321">
        <f t="shared" ref="ASK44" ca="1" si="14004">IF(ASC44&lt;&gt;"",VLOOKUP(ASC44,ARJ4:ARP40,7,FALSE),"")</f>
        <v>1000</v>
      </c>
      <c r="ASL44" s="321">
        <f t="shared" ref="ASL44" ca="1" si="14005">IF(ASC44&lt;&gt;"",VLOOKUP(ASC44,ARJ4:ARP40,5,FALSE),"")</f>
        <v>0</v>
      </c>
      <c r="ASM44" s="321">
        <f t="shared" ref="ASM44" ca="1" si="14006">IF(ASC44&lt;&gt;"",VLOOKUP(ASC44,ARJ4:ARR40,9,FALSE),"")</f>
        <v>34</v>
      </c>
      <c r="ASN44" s="321">
        <f t="shared" ref="ASN44:ASN47" ca="1" si="14007">ASJ44</f>
        <v>0</v>
      </c>
      <c r="ASO44" s="321">
        <f t="shared" ref="ASO44" ca="1" si="14008">IF(ASC44&lt;&gt;"",RANK(ASN44,ASN44:ASN48),"")</f>
        <v>1</v>
      </c>
      <c r="ASP44" s="321">
        <f t="shared" ref="ASP44" ca="1" si="14009">IF(ASC44&lt;&gt;"",SUMPRODUCT((ASN44:ASN48=ASN44)*(ASI44:ASI48&gt;ASI44)),"")</f>
        <v>0</v>
      </c>
      <c r="ASQ44" s="321">
        <f t="shared" ref="ASQ44" ca="1" si="14010">IF(ASC44&lt;&gt;"",SUMPRODUCT((ASN44:ASN48=ASN44)*(ASI44:ASI48=ASI44)*(ASG44:ASG48&gt;ASG44)),"")</f>
        <v>0</v>
      </c>
      <c r="ASR44" s="321">
        <f t="shared" ref="ASR44" ca="1" si="14011">IF(ASC44&lt;&gt;"",SUMPRODUCT((ASN44:ASN48=ASN44)*(ASI44:ASI48=ASI44)*(ASG44:ASG48=ASG44)*(ASK44:ASK48&gt;ASK44)),"")</f>
        <v>0</v>
      </c>
      <c r="ASS44" s="321">
        <f t="shared" ref="ASS44" ca="1" si="14012">IF(ASC44&lt;&gt;"",SUMPRODUCT((ASN44:ASN48=ASN44)*(ASI44:ASI48=ASI44)*(ASG44:ASG48=ASG44)*(ASK44:ASK48=ASK44)*(ASL44:ASL48&gt;ASL44)),"")</f>
        <v>0</v>
      </c>
      <c r="AST44" s="321">
        <f t="shared" ref="AST44" ca="1" si="14013">IF(ASC44&lt;&gt;"",SUMPRODUCT((ASN44:ASN48=ASN44)*(ASI44:ASI48=ASI44)*(ASG44:ASG48=ASG44)*(ASK44:ASK48=ASK44)*(ASL44:ASL48=ASL44)*(ASM44:ASM48&gt;ASM44)),"")</f>
        <v>3</v>
      </c>
      <c r="ASU44" s="321">
        <f t="shared" ref="ASU44:ASU47" ca="1" si="14014">IF(ASC44&lt;&gt;"",SUM(ASO44:AST44),"")</f>
        <v>4</v>
      </c>
      <c r="AWO44" s="321">
        <f ca="1">SUMPRODUCT((AWO4:AWO7=AWO4)*(AWN4:AWN7=AWN4)*(AWL4:AWL7&gt;AWL4))+1</f>
        <v>1</v>
      </c>
      <c r="AWZ44" s="321">
        <f t="shared" ref="AWZ44" ca="1" si="14015">IF(AXA4&lt;&gt;"",SUMPRODUCT((AXH4:AXH7=AXH4)*(AXG4:AXG7=AXG4)*(AXE4:AXE7=AXE4)*(AXF4:AXF7=AXF4)),"")</f>
        <v>4</v>
      </c>
      <c r="AXA44" s="321" t="str">
        <f t="shared" ref="AXA44:AXA47" ca="1" si="14016">IF(AND(AWZ44&lt;&gt;"",AWZ44&gt;1),AXA4,"")</f>
        <v>Switzerland</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f t="shared" ref="AXH44:AXH47" ca="1" si="14023">IF(AXA44&lt;&gt;"",AXB44*3+AXC44*1,"")</f>
        <v>0</v>
      </c>
      <c r="AXI44" s="321">
        <f t="shared" ref="AXI44" ca="1" si="14024">IF(AXA44&lt;&gt;"",VLOOKUP(AXA44,AWH4:AWN40,7,FALSE),"")</f>
        <v>1000</v>
      </c>
      <c r="AXJ44" s="321">
        <f t="shared" ref="AXJ44" ca="1" si="14025">IF(AXA44&lt;&gt;"",VLOOKUP(AXA44,AWH4:AWN40,5,FALSE),"")</f>
        <v>0</v>
      </c>
      <c r="AXK44" s="321">
        <f t="shared" ref="AXK44" ca="1" si="14026">IF(AXA44&lt;&gt;"",VLOOKUP(AXA44,AWH4:AWP40,9,FALSE),"")</f>
        <v>34</v>
      </c>
      <c r="AXL44" s="321">
        <f t="shared" ref="AXL44:AXL47" ca="1" si="14027">AXH44</f>
        <v>0</v>
      </c>
      <c r="AXM44" s="321">
        <f t="shared" ref="AXM44" ca="1" si="14028">IF(AXA44&lt;&gt;"",RANK(AXL44,AXL44:AXL48),"")</f>
        <v>1</v>
      </c>
      <c r="AXN44" s="321">
        <f t="shared" ref="AXN44" ca="1" si="14029">IF(AXA44&lt;&gt;"",SUMPRODUCT((AXL44:AXL48=AXL44)*(AXG44:AXG48&gt;AXG44)),"")</f>
        <v>0</v>
      </c>
      <c r="AXO44" s="321">
        <f t="shared" ref="AXO44" ca="1" si="14030">IF(AXA44&lt;&gt;"",SUMPRODUCT((AXL44:AXL48=AXL44)*(AXG44:AXG48=AXG44)*(AXE44:AXE48&gt;AXE44)),"")</f>
        <v>0</v>
      </c>
      <c r="AXP44" s="321">
        <f t="shared" ref="AXP44" ca="1" si="14031">IF(AXA44&lt;&gt;"",SUMPRODUCT((AXL44:AXL48=AXL44)*(AXG44:AXG48=AXG44)*(AXE44:AXE48=AXE44)*(AXI44:AXI48&gt;AXI44)),"")</f>
        <v>0</v>
      </c>
      <c r="AXQ44" s="321">
        <f t="shared" ref="AXQ44" ca="1" si="14032">IF(AXA44&lt;&gt;"",SUMPRODUCT((AXL44:AXL48=AXL44)*(AXG44:AXG48=AXG44)*(AXE44:AXE48=AXE44)*(AXI44:AXI48=AXI44)*(AXJ44:AXJ48&gt;AXJ44)),"")</f>
        <v>0</v>
      </c>
      <c r="AXR44" s="321">
        <f t="shared" ref="AXR44" ca="1" si="14033">IF(AXA44&lt;&gt;"",SUMPRODUCT((AXL44:AXL48=AXL44)*(AXG44:AXG48=AXG44)*(AXE44:AXE48=AXE44)*(AXI44:AXI48=AXI44)*(AXJ44:AXJ48=AXJ44)*(AXK44:AXK48&gt;AXK44)),"")</f>
        <v>3</v>
      </c>
      <c r="AXS44" s="321">
        <f t="shared" ref="AXS44:AXS47" ca="1" si="14034">IF(AXA44&lt;&gt;"",SUM(AXM44:AXR44),"")</f>
        <v>4</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2">
      <c r="I45" s="321">
        <f>SUMPRODUCT((I4:I7=I5)*(H4:H7=H5)*(F4:F7&gt;F5))+1</f>
        <v>1</v>
      </c>
      <c r="T45" s="321">
        <f>IF(U5&lt;&gt;"",SUMPRODUCT((AB4:AB7=AB5)*(AA4:AA7=AA5)*(Y4:Y7=Y5)*(Z4:Z7=Z5)),"")</f>
        <v>2</v>
      </c>
      <c r="U45" s="321" t="str">
        <f t="shared" ref="U45:U47" si="14055">IF(AND(T45&lt;&gt;"",T45&gt;1),U5,"")</f>
        <v>Germany</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f t="shared" ref="AB45:AB47" si="14056">IF(U45&lt;&gt;"",V45*3+W45*1,"")</f>
        <v>0</v>
      </c>
      <c r="AC45" s="321">
        <f>IF(U45&lt;&gt;"",VLOOKUP(U45,B4:H40,7,FALSE),"")</f>
        <v>1004</v>
      </c>
      <c r="AD45" s="321">
        <f>IF(U45&lt;&gt;"",VLOOKUP(U45,B4:H40,5,FALSE),"")</f>
        <v>5</v>
      </c>
      <c r="AE45" s="321">
        <f>IF(U45&lt;&gt;"",VLOOKUP(U45,B4:J40,9,FALSE),"")</f>
        <v>54</v>
      </c>
      <c r="AF45" s="321">
        <f t="shared" ref="AF45:AF47" si="14057">AB45</f>
        <v>0</v>
      </c>
      <c r="AG45" s="321">
        <f>IF(U45&lt;&gt;"",RANK(AF45,AF44:AF48),"")</f>
        <v>1</v>
      </c>
      <c r="AH45" s="321">
        <f>IF(U45&lt;&gt;"",SUMPRODUCT((AF44:AF48=AF45)*(AA44:AA48&gt;AA45)),"")</f>
        <v>0</v>
      </c>
      <c r="AI45" s="321">
        <f>IF(U45&lt;&gt;"",SUMPRODUCT((AF44:AF48=AF45)*(AA44:AA48=AA45)*(Y44:Y48&gt;Y45)),"")</f>
        <v>0</v>
      </c>
      <c r="AJ45" s="321">
        <f>IF(U45&lt;&gt;"",SUMPRODUCT((AF44:AF48=AF45)*(AA44:AA48=AA45)*(Y44:Y48=Y45)*(AC44:AC48&gt;AC45)),"")</f>
        <v>0</v>
      </c>
      <c r="AK45" s="321">
        <f>IF(U45&lt;&gt;"",SUMPRODUCT((AF44:AF48=AF45)*(AA44:AA48=AA45)*(Y44:Y48=Y45)*(AC44:AC48=AC45)*(AD44:AD48&gt;AD45)),"")</f>
        <v>0</v>
      </c>
      <c r="AL45" s="321">
        <f>IF(U45&lt;&gt;"",SUMPRODUCT((AF44:AF48=AF45)*(AA44:AA48=AA45)*(Y44:Y48=Y45)*(AC44:AC48=AC45)*(AD44:AD48=AD45)*(AE44:AE48&gt;AE45)),"")</f>
        <v>0</v>
      </c>
      <c r="AM45" s="321">
        <f>IF(U45&lt;&gt;"",SUM(AG45:AL45),"")</f>
        <v>1</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1</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t="str">
        <f ca="1">IF(FM5&lt;&gt;"",SUMPRODUCT((FT4:FT7=FT5)*(FS4:FS7=FS5)*(FQ4:FQ7=FQ5)*(FR4:FR7=FR5)),"")</f>
        <v/>
      </c>
      <c r="FM45" s="321" t="str">
        <f t="shared" ref="FM45:FM47" ca="1" si="14064">IF(AND(FL45&lt;&gt;"",FL45&gt;1),FM5,"")</f>
        <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0</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0</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0</v>
      </c>
      <c r="FS45" s="321">
        <f ca="1">FQ45-FR45+1000</f>
        <v>1000</v>
      </c>
      <c r="FT45" s="321" t="str">
        <f t="shared" ref="FT45:FT47" ca="1" si="14065">IF(FM45&lt;&gt;"",FN45*3+FO45*1,"")</f>
        <v/>
      </c>
      <c r="FU45" s="321" t="str">
        <f ca="1">IF(FM45&lt;&gt;"",VLOOKUP(FM45,DZ4:EF40,7,FALSE),"")</f>
        <v/>
      </c>
      <c r="FV45" s="321" t="str">
        <f ca="1">IF(FM45&lt;&gt;"",VLOOKUP(FM45,DZ4:EF40,5,FALSE),"")</f>
        <v/>
      </c>
      <c r="FW45" s="321" t="str">
        <f ca="1">IF(FM45&lt;&gt;"",VLOOKUP(FM45,DZ4:EH40,9,FALSE),"")</f>
        <v/>
      </c>
      <c r="FX45" s="321" t="str">
        <f t="shared" ref="FX45:FX47" ca="1" si="14066">FT45</f>
        <v/>
      </c>
      <c r="FY45" s="321" t="str">
        <f ca="1">IF(FM45&lt;&gt;"",RANK(FX45,FX44:FX47),"")</f>
        <v/>
      </c>
      <c r="FZ45" s="321" t="str">
        <f ca="1">IF(FM45&lt;&gt;"",SUMPRODUCT((FX44:FX47=FX45)*(FS44:FS47&gt;FS45)),"")</f>
        <v/>
      </c>
      <c r="GA45" s="321" t="str">
        <f ca="1">IF(FM45&lt;&gt;"",SUMPRODUCT((FX44:FX47=FX45)*(FS44:FS47=FS45)*(FQ44:FQ47&gt;FQ45)),"")</f>
        <v/>
      </c>
      <c r="GB45" s="321" t="str">
        <f ca="1">IF(FM45&lt;&gt;"",SUMPRODUCT((FX44:FX47=FX45)*(FS44:FS47=FS45)*(FQ44:FQ47=FQ45)*(FU44:FU47&gt;FU45)),"")</f>
        <v/>
      </c>
      <c r="GC45" s="321" t="str">
        <f ca="1">IF(FM45&lt;&gt;"",SUMPRODUCT((FX44:FX47=FX45)*(FS44:FS47=FS45)*(FQ44:FQ47=FQ45)*(FU44:FU47=FU45)*(FV44:FV47&gt;FV45)),"")</f>
        <v/>
      </c>
      <c r="GD45" s="321" t="str">
        <f ca="1">IF(FM45&lt;&gt;"",SUMPRODUCT((FX44:FX47=FX45)*(FS44:FS47=FS45)*(FQ44:FQ47=FQ45)*(FU44:FU47=FU45)*(FV44:FV47=FV45)*(FW44:FW47&gt;FW45)),"")</f>
        <v/>
      </c>
      <c r="GE45" s="321" t="str">
        <f ca="1">IF(FM45&lt;&gt;"",SUM(FY45:GD45)+1,"")</f>
        <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t="str">
        <f ca="1">IF(KK5&lt;&gt;"",SUMPRODUCT((KR4:KR7=KR5)*(KQ4:KQ7=KQ5)*(KO4:KO7=KO5)*(KP4:KP7=KP5)),"")</f>
        <v/>
      </c>
      <c r="KK45" s="321" t="str">
        <f t="shared" ref="KK45:KK47" ca="1" si="14070">IF(AND(KJ45&lt;&gt;"",KJ45&gt;1),KK5,"")</f>
        <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0</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1">
        <f ca="1">KO45-KP45+1000</f>
        <v>1000</v>
      </c>
      <c r="KR45" s="321" t="str">
        <f t="shared" ref="KR45:KR47" ca="1" si="14071">IF(KK45&lt;&gt;"",KL45*3+KM45*1,"")</f>
        <v/>
      </c>
      <c r="KS45" s="321" t="str">
        <f ca="1">IF(KK45&lt;&gt;"",VLOOKUP(KK45,IX4:JD40,7,FALSE),"")</f>
        <v/>
      </c>
      <c r="KT45" s="321" t="str">
        <f ca="1">IF(KK45&lt;&gt;"",VLOOKUP(KK45,IX4:JD40,5,FALSE),"")</f>
        <v/>
      </c>
      <c r="KU45" s="321" t="str">
        <f ca="1">IF(KK45&lt;&gt;"",VLOOKUP(KK45,IX4:JF40,9,FALSE),"")</f>
        <v/>
      </c>
      <c r="KV45" s="321" t="str">
        <f t="shared" ref="KV45:KV47" ca="1" si="14072">KR45</f>
        <v/>
      </c>
      <c r="KW45" s="321" t="str">
        <f ca="1">IF(KK45&lt;&gt;"",RANK(KV45,KV44:KV47),"")</f>
        <v/>
      </c>
      <c r="KX45" s="321" t="str">
        <f ca="1">IF(KK45&lt;&gt;"",SUMPRODUCT((KV44:KV47=KV45)*(KQ44:KQ47&gt;KQ45)),"")</f>
        <v/>
      </c>
      <c r="KY45" s="321" t="str">
        <f ca="1">IF(KK45&lt;&gt;"",SUMPRODUCT((KV44:KV47=KV45)*(KQ44:KQ47=KQ45)*(KO44:KO47&gt;KO45)),"")</f>
        <v/>
      </c>
      <c r="KZ45" s="321" t="str">
        <f ca="1">IF(KK45&lt;&gt;"",SUMPRODUCT((KV44:KV47=KV45)*(KQ44:KQ47=KQ45)*(KO44:KO47=KO45)*(KS44:KS47&gt;KS45)),"")</f>
        <v/>
      </c>
      <c r="LA45" s="321" t="str">
        <f ca="1">IF(KK45&lt;&gt;"",SUMPRODUCT((KV44:KV47=KV45)*(KQ44:KQ47=KQ45)*(KO44:KO47=KO45)*(KS44:KS47=KS45)*(KT44:KT47&gt;KT45)),"")</f>
        <v/>
      </c>
      <c r="LB45" s="321" t="str">
        <f ca="1">IF(KK45&lt;&gt;"",SUMPRODUCT((KV44:KV47=KV45)*(KQ44:KQ47=KQ45)*(KO44:KO47=KO45)*(KS44:KS47=KS45)*(KT44:KT47=KT45)*(KU44:KU47&gt;KU45)),"")</f>
        <v/>
      </c>
      <c r="LC45" s="321" t="str">
        <f ca="1">IF(KK45&lt;&gt;"",SUM(KW45:LB45)+1,"")</f>
        <v/>
      </c>
      <c r="OC45" s="321">
        <f ca="1">SUMPRODUCT((OC4:OC7=OC5)*(OB4:OB7=OB5)*(NZ4:NZ7&gt;NZ5))+1</f>
        <v>1</v>
      </c>
      <c r="ON45" s="321" t="str">
        <f t="shared" ref="ON45" ca="1" si="14073">IF(OO5&lt;&gt;"",SUMPRODUCT((OV4:OV7=OV5)*(OU4:OU7=OU5)*(OS4:OS7=OS5)*(OT4:OT7=OT5)),"")</f>
        <v/>
      </c>
      <c r="OO45" s="321" t="str">
        <f t="shared" ca="1" si="13876"/>
        <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t="str">
        <f t="shared" ca="1" si="13883"/>
        <v/>
      </c>
      <c r="OW45" s="321" t="str">
        <f t="shared" ref="OW45" ca="1" si="14079">IF(OO45&lt;&gt;"",VLOOKUP(OO45,NV4:OB40,7,FALSE),"")</f>
        <v/>
      </c>
      <c r="OX45" s="321" t="str">
        <f t="shared" ref="OX45" ca="1" si="14080">IF(OO45&lt;&gt;"",VLOOKUP(OO45,NV4:OB40,5,FALSE),"")</f>
        <v/>
      </c>
      <c r="OY45" s="321" t="str">
        <f t="shared" ref="OY45" ca="1" si="14081">IF(OO45&lt;&gt;"",VLOOKUP(OO45,NV4:OD40,9,FALSE),"")</f>
        <v/>
      </c>
      <c r="OZ45" s="321" t="str">
        <f t="shared" ca="1" si="13887"/>
        <v/>
      </c>
      <c r="PA45" s="321" t="str">
        <f t="shared" ref="PA45" ca="1" si="14082">IF(OO45&lt;&gt;"",RANK(OZ45,OZ44:OZ48),"")</f>
        <v/>
      </c>
      <c r="PB45" s="321" t="str">
        <f t="shared" ref="PB45" ca="1" si="14083">IF(OO45&lt;&gt;"",SUMPRODUCT((OZ44:OZ48=OZ45)*(OU44:OU48&gt;OU45)),"")</f>
        <v/>
      </c>
      <c r="PC45" s="321" t="str">
        <f t="shared" ref="PC45" ca="1" si="14084">IF(OO45&lt;&gt;"",SUMPRODUCT((OZ44:OZ48=OZ45)*(OU44:OU48=OU45)*(OS44:OS48&gt;OS45)),"")</f>
        <v/>
      </c>
      <c r="PD45" s="321" t="str">
        <f t="shared" ref="PD45" ca="1" si="14085">IF(OO45&lt;&gt;"",SUMPRODUCT((OZ44:OZ48=OZ45)*(OU44:OU48=OU45)*(OS44:OS48=OS45)*(OW44:OW48&gt;OW45)),"")</f>
        <v/>
      </c>
      <c r="PE45" s="321" t="str">
        <f t="shared" ref="PE45" ca="1" si="14086">IF(OO45&lt;&gt;"",SUMPRODUCT((OZ44:OZ48=OZ45)*(OU44:OU48=OU45)*(OS44:OS48=OS45)*(OW44:OW48=OW45)*(OX44:OX48&gt;OX45)),"")</f>
        <v/>
      </c>
      <c r="PF45" s="321" t="str">
        <f t="shared" ref="PF45" ca="1" si="14087">IF(OO45&lt;&gt;"",SUMPRODUCT((OZ44:OZ48=OZ45)*(OU44:OU48=OU45)*(OS44:OS48=OS45)*(OW44:OW48=OW45)*(OX44:OX48=OX45)*(OY44:OY48&gt;OY45)),"")</f>
        <v/>
      </c>
      <c r="PG45" s="321" t="str">
        <f t="shared" ca="1" si="13894"/>
        <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t="str">
        <f t="shared" ref="TL45" ca="1" si="14108">IF(TM5&lt;&gt;"",SUMPRODUCT((TT4:TT7=TT5)*(TS4:TS7=TS5)*(TQ4:TQ7=TQ5)*(TR4:TR7=TR5)),"")</f>
        <v/>
      </c>
      <c r="TM45" s="321" t="str">
        <f t="shared" ca="1" si="13896"/>
        <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t="str">
        <f t="shared" ca="1" si="13903"/>
        <v/>
      </c>
      <c r="TU45" s="321" t="str">
        <f t="shared" ref="TU45" ca="1" si="14114">IF(TM45&lt;&gt;"",VLOOKUP(TM45,ST4:SZ40,7,FALSE),"")</f>
        <v/>
      </c>
      <c r="TV45" s="321" t="str">
        <f t="shared" ref="TV45" ca="1" si="14115">IF(TM45&lt;&gt;"",VLOOKUP(TM45,ST4:SZ40,5,FALSE),"")</f>
        <v/>
      </c>
      <c r="TW45" s="321" t="str">
        <f t="shared" ref="TW45" ca="1" si="14116">IF(TM45&lt;&gt;"",VLOOKUP(TM45,ST4:TB40,9,FALSE),"")</f>
        <v/>
      </c>
      <c r="TX45" s="321" t="str">
        <f t="shared" ca="1" si="13907"/>
        <v/>
      </c>
      <c r="TY45" s="321" t="str">
        <f t="shared" ref="TY45" ca="1" si="14117">IF(TM45&lt;&gt;"",RANK(TX45,TX44:TX48),"")</f>
        <v/>
      </c>
      <c r="TZ45" s="321" t="str">
        <f t="shared" ref="TZ45" ca="1" si="14118">IF(TM45&lt;&gt;"",SUMPRODUCT((TX44:TX48=TX45)*(TS44:TS48&gt;TS45)),"")</f>
        <v/>
      </c>
      <c r="UA45" s="321" t="str">
        <f t="shared" ref="UA45" ca="1" si="14119">IF(TM45&lt;&gt;"",SUMPRODUCT((TX44:TX48=TX45)*(TS44:TS48=TS45)*(TQ44:TQ48&gt;TQ45)),"")</f>
        <v/>
      </c>
      <c r="UB45" s="321" t="str">
        <f t="shared" ref="UB45" ca="1" si="14120">IF(TM45&lt;&gt;"",SUMPRODUCT((TX44:TX48=TX45)*(TS44:TS48=TS45)*(TQ44:TQ48=TQ45)*(TU44:TU48&gt;TU45)),"")</f>
        <v/>
      </c>
      <c r="UC45" s="321" t="str">
        <f t="shared" ref="UC45" ca="1" si="14121">IF(TM45&lt;&gt;"",SUMPRODUCT((TX44:TX48=TX45)*(TS44:TS48=TS45)*(TQ44:TQ48=TQ45)*(TU44:TU48=TU45)*(TV44:TV48&gt;TV45)),"")</f>
        <v/>
      </c>
      <c r="UD45" s="321" t="str">
        <f t="shared" ref="UD45" ca="1" si="14122">IF(TM45&lt;&gt;"",SUMPRODUCT((TX44:TX48=TX45)*(TS44:TS48=TS45)*(TQ44:TQ48=TQ45)*(TU44:TU48=TU45)*(TV44:TV48=TV45)*(TW44:TW48&gt;TW45)),"")</f>
        <v/>
      </c>
      <c r="UE45" s="321" t="str">
        <f t="shared" ca="1" si="13914"/>
        <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t="str">
        <f t="shared" ref="ADH45" ca="1" si="14178">IF(ADI5&lt;&gt;"",SUMPRODUCT((ADP4:ADP7=ADP5)*(ADO4:ADO7=ADO5)*(ADM4:ADM7=ADM5)*(ADN4:ADN7=ADN5)),"")</f>
        <v/>
      </c>
      <c r="ADI45" s="321" t="str">
        <f t="shared" ca="1" si="13936"/>
        <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t="str">
        <f t="shared" ca="1" si="13943"/>
        <v/>
      </c>
      <c r="ADQ45" s="321" t="str">
        <f t="shared" ref="ADQ45" ca="1" si="14184">IF(ADI45&lt;&gt;"",VLOOKUP(ADI45,ACP4:ACV40,7,FALSE),"")</f>
        <v/>
      </c>
      <c r="ADR45" s="321" t="str">
        <f t="shared" ref="ADR45" ca="1" si="14185">IF(ADI45&lt;&gt;"",VLOOKUP(ADI45,ACP4:ACV40,5,FALSE),"")</f>
        <v/>
      </c>
      <c r="ADS45" s="321" t="str">
        <f t="shared" ref="ADS45" ca="1" si="14186">IF(ADI45&lt;&gt;"",VLOOKUP(ADI45,ACP4:ACX40,9,FALSE),"")</f>
        <v/>
      </c>
      <c r="ADT45" s="321" t="str">
        <f t="shared" ca="1" si="13947"/>
        <v/>
      </c>
      <c r="ADU45" s="321" t="str">
        <f t="shared" ref="ADU45" ca="1" si="14187">IF(ADI45&lt;&gt;"",RANK(ADT45,ADT44:ADT48),"")</f>
        <v/>
      </c>
      <c r="ADV45" s="321" t="str">
        <f t="shared" ref="ADV45" ca="1" si="14188">IF(ADI45&lt;&gt;"",SUMPRODUCT((ADT44:ADT48=ADT45)*(ADO44:ADO48&gt;ADO45)),"")</f>
        <v/>
      </c>
      <c r="ADW45" s="321" t="str">
        <f t="shared" ref="ADW45" ca="1" si="14189">IF(ADI45&lt;&gt;"",SUMPRODUCT((ADT44:ADT48=ADT45)*(ADO44:ADO48=ADO45)*(ADM44:ADM48&gt;ADM45)),"")</f>
        <v/>
      </c>
      <c r="ADX45" s="321" t="str">
        <f t="shared" ref="ADX45" ca="1" si="14190">IF(ADI45&lt;&gt;"",SUMPRODUCT((ADT44:ADT48=ADT45)*(ADO44:ADO48=ADO45)*(ADM44:ADM48=ADM45)*(ADQ44:ADQ48&gt;ADQ45)),"")</f>
        <v/>
      </c>
      <c r="ADY45" s="321" t="str">
        <f t="shared" ref="ADY45" ca="1" si="14191">IF(ADI45&lt;&gt;"",SUMPRODUCT((ADT44:ADT48=ADT45)*(ADO44:ADO48=ADO45)*(ADM44:ADM48=ADM45)*(ADQ44:ADQ48=ADQ45)*(ADR44:ADR48&gt;ADR45)),"")</f>
        <v/>
      </c>
      <c r="ADZ45" s="321" t="str">
        <f t="shared" ref="ADZ45" ca="1" si="14192">IF(ADI45&lt;&gt;"",SUMPRODUCT((ADT44:ADT48=ADT45)*(ADO44:ADO48=ADO45)*(ADM44:ADM48=ADM45)*(ADQ44:ADQ48=ADQ45)*(ADR44:ADR48=ADR45)*(ADS44:ADS48&gt;ADS45)),"")</f>
        <v/>
      </c>
      <c r="AEA45" s="321" t="str">
        <f t="shared" ca="1" si="13954"/>
        <v/>
      </c>
      <c r="AEB45" s="321">
        <f t="shared" ref="AEB45" ca="1" si="14193">IF(AEC5&lt;&gt;"",SUMPRODUCT((AEJ4:AEJ7=AEJ5)*(AEI4:AEI7=AEI5)*(AEG4:AEG7=AEG5)*(AEH4:AEH7=AEH5)),"")</f>
        <v>2</v>
      </c>
      <c r="AEC45" s="321" t="str">
        <f t="shared" ref="AEC45:AEC47" ca="1" si="14194">IF(AND(AEB45&lt;&gt;"",AEB45&gt;1),AEC5,"")</f>
        <v>Switzerland</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1</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1</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1</v>
      </c>
      <c r="AEI45" s="321">
        <f t="shared" ref="AEI45:AEI47" ca="1" si="14200">AEG45-AEH45+1000</f>
        <v>1000</v>
      </c>
      <c r="AEJ45" s="321">
        <f t="shared" ref="AEJ45:AEJ47" ca="1" si="14201">IF(AEC45&lt;&gt;"",AED45*3+AEE45*1,"")</f>
        <v>1</v>
      </c>
      <c r="AEK45" s="321">
        <f t="shared" ref="AEK45" ca="1" si="14202">IF(AEC45&lt;&gt;"",VLOOKUP(AEC45,ACP4:ACV40,7,FALSE),"")</f>
        <v>1000</v>
      </c>
      <c r="AEL45" s="321">
        <f t="shared" ref="AEL45" ca="1" si="14203">IF(AEC45&lt;&gt;"",VLOOKUP(AEC45,ACP4:ACV40,5,FALSE),"")</f>
        <v>4</v>
      </c>
      <c r="AEM45" s="321">
        <f t="shared" ref="AEM45" ca="1" si="14204">IF(AEC45&lt;&gt;"",VLOOKUP(AEC45,ACP4:ACX40,9,FALSE),"")</f>
        <v>34</v>
      </c>
      <c r="AEN45" s="321">
        <f t="shared" ref="AEN45:AEN47" ca="1" si="14205">AEJ45</f>
        <v>1</v>
      </c>
      <c r="AEO45" s="321">
        <f t="shared" ref="AEO45" ca="1" si="14206">IF(AEC45&lt;&gt;"",RANK(AEN45,AEN44:AEN47),"")</f>
        <v>1</v>
      </c>
      <c r="AEP45" s="321">
        <f t="shared" ref="AEP45" ca="1" si="14207">IF(AEC45&lt;&gt;"",SUMPRODUCT((AEN44:AEN47=AEN45)*(AEI44:AEI47&gt;AEI45)),"")</f>
        <v>0</v>
      </c>
      <c r="AEQ45" s="321">
        <f t="shared" ref="AEQ45" ca="1" si="14208">IF(AEC45&lt;&gt;"",SUMPRODUCT((AEN44:AEN47=AEN45)*(AEI44:AEI47=AEI45)*(AEG44:AEG47&gt;AEG45)),"")</f>
        <v>0</v>
      </c>
      <c r="AER45" s="321">
        <f t="shared" ref="AER45" ca="1" si="14209">IF(AEC45&lt;&gt;"",SUMPRODUCT((AEN44:AEN47=AEN45)*(AEI44:AEI47=AEI45)*(AEG44:AEG47=AEG45)*(AEK44:AEK47&gt;AEK45)),"")</f>
        <v>0</v>
      </c>
      <c r="AES45" s="321">
        <f t="shared" ref="AES45" ca="1" si="14210">IF(AEC45&lt;&gt;"",SUMPRODUCT((AEN44:AEN47=AEN45)*(AEI44:AEI47=AEI45)*(AEG44:AEG47=AEG45)*(AEK44:AEK47=AEK45)*(AEL44:AEL47&gt;AEL45)),"")</f>
        <v>0</v>
      </c>
      <c r="AET45" s="321">
        <f t="shared" ref="AET45" ca="1" si="14211">IF(AEC45&lt;&gt;"",SUMPRODUCT((AEN44:AEN47=AEN45)*(AEI44:AEI47=AEI45)*(AEG44:AEG47=AEG45)*(AEK44:AEK47=AEK45)*(AEL44:AEL47=AEL45)*(AEM44:AEM47&gt;AEM45)),"")</f>
        <v>0</v>
      </c>
      <c r="AEU45" s="321">
        <f t="shared" ref="AEU45" ca="1" si="14212">IF(AEC45&lt;&gt;"",SUM(AEO45:AET45)+1,"")</f>
        <v>2</v>
      </c>
      <c r="AHU45" s="321">
        <f ca="1">SUMPRODUCT((AHU4:AHU7=AHU5)*(AHT4:AHT7=AHT5)*(AHR4:AHR7&gt;AHR5))+1</f>
        <v>1</v>
      </c>
      <c r="AIF45" s="321">
        <f t="shared" ref="AIF45" ca="1" si="14213">IF(AIG5&lt;&gt;"",SUMPRODUCT((AIN4:AIN7=AIN5)*(AIM4:AIM7=AIM5)*(AIK4:AIK7=AIK5)*(AIL4:AIL7=AIL5)),"")</f>
        <v>4</v>
      </c>
      <c r="AIG45" s="321" t="str">
        <f t="shared" ca="1" si="13956"/>
        <v>Scotland</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f t="shared" ca="1" si="13963"/>
        <v>0</v>
      </c>
      <c r="AIO45" s="321">
        <f t="shared" ref="AIO45" ca="1" si="14219">IF(AIG45&lt;&gt;"",VLOOKUP(AIG45,AHN4:AHT40,7,FALSE),"")</f>
        <v>1000</v>
      </c>
      <c r="AIP45" s="321">
        <f t="shared" ref="AIP45" ca="1" si="14220">IF(AIG45&lt;&gt;"",VLOOKUP(AIG45,AHN4:AHT40,5,FALSE),"")</f>
        <v>0</v>
      </c>
      <c r="AIQ45" s="321">
        <f t="shared" ref="AIQ45" ca="1" si="14221">IF(AIG45&lt;&gt;"",VLOOKUP(AIG45,AHN4:AHV40,9,FALSE),"")</f>
        <v>43</v>
      </c>
      <c r="AIR45" s="321">
        <f t="shared" ca="1" si="13967"/>
        <v>0</v>
      </c>
      <c r="AIS45" s="321">
        <f t="shared" ref="AIS45" ca="1" si="14222">IF(AIG45&lt;&gt;"",RANK(AIR45,AIR44:AIR48),"")</f>
        <v>1</v>
      </c>
      <c r="AIT45" s="321">
        <f t="shared" ref="AIT45" ca="1" si="14223">IF(AIG45&lt;&gt;"",SUMPRODUCT((AIR44:AIR48=AIR45)*(AIM44:AIM48&gt;AIM45)),"")</f>
        <v>0</v>
      </c>
      <c r="AIU45" s="321">
        <f t="shared" ref="AIU45" ca="1" si="14224">IF(AIG45&lt;&gt;"",SUMPRODUCT((AIR44:AIR48=AIR45)*(AIM44:AIM48=AIM45)*(AIK44:AIK48&gt;AIK45)),"")</f>
        <v>0</v>
      </c>
      <c r="AIV45" s="321">
        <f t="shared" ref="AIV45" ca="1" si="14225">IF(AIG45&lt;&gt;"",SUMPRODUCT((AIR44:AIR48=AIR45)*(AIM44:AIM48=AIM45)*(AIK44:AIK48=AIK45)*(AIO44:AIO48&gt;AIO45)),"")</f>
        <v>0</v>
      </c>
      <c r="AIW45" s="321">
        <f t="shared" ref="AIW45" ca="1" si="14226">IF(AIG45&lt;&gt;"",SUMPRODUCT((AIR44:AIR48=AIR45)*(AIM44:AIM48=AIM45)*(AIK44:AIK48=AIK45)*(AIO44:AIO48=AIO45)*(AIP44:AIP48&gt;AIP45)),"")</f>
        <v>0</v>
      </c>
      <c r="AIX45" s="321">
        <f t="shared" ref="AIX45" ca="1" si="14227">IF(AIG45&lt;&gt;"",SUMPRODUCT((AIR44:AIR48=AIR45)*(AIM44:AIM48=AIM45)*(AIK44:AIK48=AIK45)*(AIO44:AIO48=AIO45)*(AIP44:AIP48=AIP45)*(AIQ44:AIQ48&gt;AIQ45)),"")</f>
        <v>2</v>
      </c>
      <c r="AIY45" s="321">
        <f t="shared" ca="1" si="13974"/>
        <v>3</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f t="shared" ref="AND45" ca="1" si="14248">IF(ANE5&lt;&gt;"",SUMPRODUCT((ANL4:ANL7=ANL5)*(ANK4:ANK7=ANK5)*(ANI4:ANI7=ANI5)*(ANJ4:ANJ7=ANJ5)),"")</f>
        <v>4</v>
      </c>
      <c r="ANE45" s="321" t="str">
        <f t="shared" ca="1" si="13976"/>
        <v>Scotland</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f t="shared" ca="1" si="13983"/>
        <v>0</v>
      </c>
      <c r="ANM45" s="321">
        <f t="shared" ref="ANM45" ca="1" si="14254">IF(ANE45&lt;&gt;"",VLOOKUP(ANE45,AML4:AMR40,7,FALSE),"")</f>
        <v>1000</v>
      </c>
      <c r="ANN45" s="321">
        <f t="shared" ref="ANN45" ca="1" si="14255">IF(ANE45&lt;&gt;"",VLOOKUP(ANE45,AML4:AMR40,5,FALSE),"")</f>
        <v>0</v>
      </c>
      <c r="ANO45" s="321">
        <f t="shared" ref="ANO45" ca="1" si="14256">IF(ANE45&lt;&gt;"",VLOOKUP(ANE45,AML4:AMT40,9,FALSE),"")</f>
        <v>43</v>
      </c>
      <c r="ANP45" s="321">
        <f t="shared" ca="1" si="13987"/>
        <v>0</v>
      </c>
      <c r="ANQ45" s="321">
        <f t="shared" ref="ANQ45" ca="1" si="14257">IF(ANE45&lt;&gt;"",RANK(ANP45,ANP44:ANP48),"")</f>
        <v>1</v>
      </c>
      <c r="ANR45" s="321">
        <f t="shared" ref="ANR45" ca="1" si="14258">IF(ANE45&lt;&gt;"",SUMPRODUCT((ANP44:ANP48=ANP45)*(ANK44:ANK48&gt;ANK45)),"")</f>
        <v>0</v>
      </c>
      <c r="ANS45" s="321">
        <f t="shared" ref="ANS45" ca="1" si="14259">IF(ANE45&lt;&gt;"",SUMPRODUCT((ANP44:ANP48=ANP45)*(ANK44:ANK48=ANK45)*(ANI44:ANI48&gt;ANI45)),"")</f>
        <v>0</v>
      </c>
      <c r="ANT45" s="321">
        <f t="shared" ref="ANT45" ca="1" si="14260">IF(ANE45&lt;&gt;"",SUMPRODUCT((ANP44:ANP48=ANP45)*(ANK44:ANK48=ANK45)*(ANI44:ANI48=ANI45)*(ANM44:ANM48&gt;ANM45)),"")</f>
        <v>0</v>
      </c>
      <c r="ANU45" s="321">
        <f t="shared" ref="ANU45" ca="1" si="14261">IF(ANE45&lt;&gt;"",SUMPRODUCT((ANP44:ANP48=ANP45)*(ANK44:ANK48=ANK45)*(ANI44:ANI48=ANI45)*(ANM44:ANM48=ANM45)*(ANN44:ANN48&gt;ANN45)),"")</f>
        <v>0</v>
      </c>
      <c r="ANV45" s="321">
        <f t="shared" ref="ANV45" ca="1" si="14262">IF(ANE45&lt;&gt;"",SUMPRODUCT((ANP44:ANP48=ANP45)*(ANK44:ANK48=ANK45)*(ANI44:ANI48=ANI45)*(ANM44:ANM48=ANM45)*(ANN44:ANN48=ANN45)*(ANO44:ANO48&gt;ANO45)),"")</f>
        <v>2</v>
      </c>
      <c r="ANW45" s="321">
        <f t="shared" ca="1" si="13994"/>
        <v>3</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f t="shared" ref="ASB45" ca="1" si="14283">IF(ASC5&lt;&gt;"",SUMPRODUCT((ASJ4:ASJ7=ASJ5)*(ASI4:ASI7=ASI5)*(ASG4:ASG7=ASG5)*(ASH4:ASH7=ASH5)),"")</f>
        <v>4</v>
      </c>
      <c r="ASC45" s="321" t="str">
        <f t="shared" ca="1" si="13996"/>
        <v>Scotland</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f t="shared" ca="1" si="14003"/>
        <v>0</v>
      </c>
      <c r="ASK45" s="321">
        <f t="shared" ref="ASK45" ca="1" si="14289">IF(ASC45&lt;&gt;"",VLOOKUP(ASC45,ARJ4:ARP40,7,FALSE),"")</f>
        <v>1000</v>
      </c>
      <c r="ASL45" s="321">
        <f t="shared" ref="ASL45" ca="1" si="14290">IF(ASC45&lt;&gt;"",VLOOKUP(ASC45,ARJ4:ARP40,5,FALSE),"")</f>
        <v>0</v>
      </c>
      <c r="ASM45" s="321">
        <f t="shared" ref="ASM45" ca="1" si="14291">IF(ASC45&lt;&gt;"",VLOOKUP(ASC45,ARJ4:ARR40,9,FALSE),"")</f>
        <v>43</v>
      </c>
      <c r="ASN45" s="321">
        <f t="shared" ca="1" si="14007"/>
        <v>0</v>
      </c>
      <c r="ASO45" s="321">
        <f t="shared" ref="ASO45" ca="1" si="14292">IF(ASC45&lt;&gt;"",RANK(ASN45,ASN44:ASN48),"")</f>
        <v>1</v>
      </c>
      <c r="ASP45" s="321">
        <f t="shared" ref="ASP45" ca="1" si="14293">IF(ASC45&lt;&gt;"",SUMPRODUCT((ASN44:ASN48=ASN45)*(ASI44:ASI48&gt;ASI45)),"")</f>
        <v>0</v>
      </c>
      <c r="ASQ45" s="321">
        <f t="shared" ref="ASQ45" ca="1" si="14294">IF(ASC45&lt;&gt;"",SUMPRODUCT((ASN44:ASN48=ASN45)*(ASI44:ASI48=ASI45)*(ASG44:ASG48&gt;ASG45)),"")</f>
        <v>0</v>
      </c>
      <c r="ASR45" s="321">
        <f t="shared" ref="ASR45" ca="1" si="14295">IF(ASC45&lt;&gt;"",SUMPRODUCT((ASN44:ASN48=ASN45)*(ASI44:ASI48=ASI45)*(ASG44:ASG48=ASG45)*(ASK44:ASK48&gt;ASK45)),"")</f>
        <v>0</v>
      </c>
      <c r="ASS45" s="321">
        <f t="shared" ref="ASS45" ca="1" si="14296">IF(ASC45&lt;&gt;"",SUMPRODUCT((ASN44:ASN48=ASN45)*(ASI44:ASI48=ASI45)*(ASG44:ASG48=ASG45)*(ASK44:ASK48=ASK45)*(ASL44:ASL48&gt;ASL45)),"")</f>
        <v>0</v>
      </c>
      <c r="AST45" s="321">
        <f t="shared" ref="AST45" ca="1" si="14297">IF(ASC45&lt;&gt;"",SUMPRODUCT((ASN44:ASN48=ASN45)*(ASI44:ASI48=ASI45)*(ASG44:ASG48=ASG45)*(ASK44:ASK48=ASK45)*(ASL44:ASL48=ASL45)*(ASM44:ASM48&gt;ASM45)),"")</f>
        <v>2</v>
      </c>
      <c r="ASU45" s="321">
        <f t="shared" ca="1" si="14014"/>
        <v>3</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f t="shared" ref="AWZ45" ca="1" si="14318">IF(AXA5&lt;&gt;"",SUMPRODUCT((AXH4:AXH7=AXH5)*(AXG4:AXG7=AXG5)*(AXE4:AXE7=AXE5)*(AXF4:AXF7=AXF5)),"")</f>
        <v>4</v>
      </c>
      <c r="AXA45" s="321" t="str">
        <f t="shared" ca="1" si="14016"/>
        <v>Scotland</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f t="shared" ca="1" si="14023"/>
        <v>0</v>
      </c>
      <c r="AXI45" s="321">
        <f t="shared" ref="AXI45" ca="1" si="14324">IF(AXA45&lt;&gt;"",VLOOKUP(AXA45,AWH4:AWN40,7,FALSE),"")</f>
        <v>1000</v>
      </c>
      <c r="AXJ45" s="321">
        <f t="shared" ref="AXJ45" ca="1" si="14325">IF(AXA45&lt;&gt;"",VLOOKUP(AXA45,AWH4:AWN40,5,FALSE),"")</f>
        <v>0</v>
      </c>
      <c r="AXK45" s="321">
        <f t="shared" ref="AXK45" ca="1" si="14326">IF(AXA45&lt;&gt;"",VLOOKUP(AXA45,AWH4:AWP40,9,FALSE),"")</f>
        <v>43</v>
      </c>
      <c r="AXL45" s="321">
        <f t="shared" ca="1" si="14027"/>
        <v>0</v>
      </c>
      <c r="AXM45" s="321">
        <f t="shared" ref="AXM45" ca="1" si="14327">IF(AXA45&lt;&gt;"",RANK(AXL45,AXL44:AXL48),"")</f>
        <v>1</v>
      </c>
      <c r="AXN45" s="321">
        <f t="shared" ref="AXN45" ca="1" si="14328">IF(AXA45&lt;&gt;"",SUMPRODUCT((AXL44:AXL48=AXL45)*(AXG44:AXG48&gt;AXG45)),"")</f>
        <v>0</v>
      </c>
      <c r="AXO45" s="321">
        <f t="shared" ref="AXO45" ca="1" si="14329">IF(AXA45&lt;&gt;"",SUMPRODUCT((AXL44:AXL48=AXL45)*(AXG44:AXG48=AXG45)*(AXE44:AXE48&gt;AXE45)),"")</f>
        <v>0</v>
      </c>
      <c r="AXP45" s="321">
        <f t="shared" ref="AXP45" ca="1" si="14330">IF(AXA45&lt;&gt;"",SUMPRODUCT((AXL44:AXL48=AXL45)*(AXG44:AXG48=AXG45)*(AXE44:AXE48=AXE45)*(AXI44:AXI48&gt;AXI45)),"")</f>
        <v>0</v>
      </c>
      <c r="AXQ45" s="321">
        <f t="shared" ref="AXQ45" ca="1" si="14331">IF(AXA45&lt;&gt;"",SUMPRODUCT((AXL44:AXL48=AXL45)*(AXG44:AXG48=AXG45)*(AXE44:AXE48=AXE45)*(AXI44:AXI48=AXI45)*(AXJ44:AXJ48&gt;AXJ45)),"")</f>
        <v>0</v>
      </c>
      <c r="AXR45" s="321">
        <f t="shared" ref="AXR45" ca="1" si="14332">IF(AXA45&lt;&gt;"",SUMPRODUCT((AXL44:AXL48=AXL45)*(AXG44:AXG48=AXG45)*(AXE44:AXE48=AXE45)*(AXI44:AXI48=AXI45)*(AXJ44:AXJ48=AXJ45)*(AXK44:AXK48&gt;AXK45)),"")</f>
        <v>2</v>
      </c>
      <c r="AXS45" s="321">
        <f t="shared" ca="1" si="14034"/>
        <v>3</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2">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t="str">
        <f ca="1">IF(FM6&lt;&gt;"",SUMPRODUCT((FT4:FT7=FT6)*(FS4:FS7=FS6)*(FQ4:FQ7=FQ6)*(FR4:FR7=FR6)),"")</f>
        <v/>
      </c>
      <c r="FM46" s="321" t="str">
        <f t="shared" ca="1" si="14064"/>
        <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0</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0</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0</v>
      </c>
      <c r="FS46" s="321">
        <f ca="1">FQ46-FR46+1000</f>
        <v>1000</v>
      </c>
      <c r="FT46" s="321" t="str">
        <f t="shared" ca="1" si="14065"/>
        <v/>
      </c>
      <c r="FU46" s="321" t="str">
        <f ca="1">IF(FM46&lt;&gt;"",VLOOKUP(FM46,DZ4:EF40,7,FALSE),"")</f>
        <v/>
      </c>
      <c r="FV46" s="321" t="str">
        <f ca="1">IF(FM46&lt;&gt;"",VLOOKUP(FM46,DZ4:EF40,5,FALSE),"")</f>
        <v/>
      </c>
      <c r="FW46" s="321" t="str">
        <f ca="1">IF(FM46&lt;&gt;"",VLOOKUP(FM46,DZ4:EH40,9,FALSE),"")</f>
        <v/>
      </c>
      <c r="FX46" s="321" t="str">
        <f t="shared" ca="1" si="14066"/>
        <v/>
      </c>
      <c r="FY46" s="321" t="str">
        <f ca="1">IF(FM46&lt;&gt;"",RANK(FX46,FX44:FX47),"")</f>
        <v/>
      </c>
      <c r="FZ46" s="321" t="str">
        <f ca="1">IF(FM46&lt;&gt;"",SUMPRODUCT((FX44:FX47=FX46)*(FS44:FS47&gt;FS46)),"")</f>
        <v/>
      </c>
      <c r="GA46" s="321" t="str">
        <f ca="1">IF(FM46&lt;&gt;"",SUMPRODUCT((FX44:FX47=FX46)*(FS44:FS47=FS46)*(FQ44:FQ47&gt;FQ46)),"")</f>
        <v/>
      </c>
      <c r="GB46" s="321" t="str">
        <f ca="1">IF(FM46&lt;&gt;"",SUMPRODUCT((FX44:FX47=FX46)*(FS44:FS47=FS46)*(FQ44:FQ47=FQ46)*(FU44:FU47&gt;FU46)),"")</f>
        <v/>
      </c>
      <c r="GC46" s="321" t="str">
        <f ca="1">IF(FM46&lt;&gt;"",SUMPRODUCT((FX44:FX47=FX46)*(FS44:FS47=FS46)*(FQ44:FQ47=FQ46)*(FU44:FU47=FU46)*(FV44:FV47&gt;FV46)),"")</f>
        <v/>
      </c>
      <c r="GD46" s="321" t="str">
        <f ca="1">IF(FM46&lt;&gt;"",SUMPRODUCT((FX44:FX47=FX46)*(FS44:FS47=FS46)*(FQ44:FQ47=FQ46)*(FU44:FU47=FU46)*(FV44:FV47=FV46)*(FW44:FW47&gt;FW46)),"")</f>
        <v/>
      </c>
      <c r="GE46" s="321" t="str">
        <f t="shared" ref="GE46:GE47" ca="1" si="14389">IF(FM46&lt;&gt;"",SUM(FY46:GD46)+1,"")</f>
        <v/>
      </c>
      <c r="JE46" s="321">
        <f ca="1">SUMPRODUCT((JE4:JE7=JE6)*(JD4:JD7=JD6)*(JB4:JB7&gt;JB6))+1</f>
        <v>1</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t="str">
        <f ca="1">IF(KK6&lt;&gt;"",SUMPRODUCT((KR4:KR7=KR6)*(KQ4:KQ7=KQ6)*(KO4:KO7=KO6)*(KP4:KP7=KP6)),"")</f>
        <v/>
      </c>
      <c r="KK46" s="321" t="str">
        <f t="shared" ca="1" si="14070"/>
        <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0</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1">
        <f ca="1">KO46-KP46+1000</f>
        <v>1000</v>
      </c>
      <c r="KR46" s="321" t="str">
        <f t="shared" ca="1" si="14071"/>
        <v/>
      </c>
      <c r="KS46" s="321" t="str">
        <f ca="1">IF(KK46&lt;&gt;"",VLOOKUP(KK46,IX4:JD40,7,FALSE),"")</f>
        <v/>
      </c>
      <c r="KT46" s="321" t="str">
        <f ca="1">IF(KK46&lt;&gt;"",VLOOKUP(KK46,IX4:JD40,5,FALSE),"")</f>
        <v/>
      </c>
      <c r="KU46" s="321" t="str">
        <f ca="1">IF(KK46&lt;&gt;"",VLOOKUP(KK46,IX4:JF40,9,FALSE),"")</f>
        <v/>
      </c>
      <c r="KV46" s="321" t="str">
        <f t="shared" ca="1" si="14072"/>
        <v/>
      </c>
      <c r="KW46" s="321" t="str">
        <f ca="1">IF(KK46&lt;&gt;"",RANK(KV46,KV44:KV47),"")</f>
        <v/>
      </c>
      <c r="KX46" s="321" t="str">
        <f ca="1">IF(KK46&lt;&gt;"",SUMPRODUCT((KV44:KV47=KV46)*(KQ44:KQ47&gt;KQ46)),"")</f>
        <v/>
      </c>
      <c r="KY46" s="321" t="str">
        <f ca="1">IF(KK46&lt;&gt;"",SUMPRODUCT((KV44:KV47=KV46)*(KQ44:KQ47=KQ46)*(KO44:KO47&gt;KO46)),"")</f>
        <v/>
      </c>
      <c r="KZ46" s="321" t="str">
        <f ca="1">IF(KK46&lt;&gt;"",SUMPRODUCT((KV44:KV47=KV46)*(KQ44:KQ47=KQ46)*(KO44:KO47=KO46)*(KS44:KS47&gt;KS46)),"")</f>
        <v/>
      </c>
      <c r="LA46" s="321" t="str">
        <f ca="1">IF(KK46&lt;&gt;"",SUMPRODUCT((KV44:KV47=KV46)*(KQ44:KQ47=KQ46)*(KO44:KO47=KO46)*(KS44:KS47=KS46)*(KT44:KT47&gt;KT46)),"")</f>
        <v/>
      </c>
      <c r="LB46" s="321" t="str">
        <f ca="1">IF(KK46&lt;&gt;"",SUMPRODUCT((KV44:KV47=KV46)*(KQ44:KQ47=KQ46)*(KO44:KO47=KO46)*(KS44:KS47=KS46)*(KT44:KT47=KT46)*(KU44:KU47&gt;KU46)),"")</f>
        <v/>
      </c>
      <c r="LC46" s="321" t="str">
        <f t="shared" ref="LC46:LC47" ca="1" si="14390">IF(KK46&lt;&gt;"",SUM(KW46:LB46)+1,"")</f>
        <v/>
      </c>
      <c r="OC46" s="321">
        <f ca="1">SUMPRODUCT((OC4:OC7=OC6)*(OB4:OB7=OB6)*(NZ4:NZ7&gt;NZ6))+1</f>
        <v>1</v>
      </c>
      <c r="ON46" s="321" t="str">
        <f t="shared" ref="ON46" ca="1" si="14391">IF(OO6&lt;&gt;"",SUMPRODUCT((OV4:OV7=OV6)*(OU4:OU7=OU6)*(OS4:OS7=OS6)*(OT4:OT7=OT6)),"")</f>
        <v/>
      </c>
      <c r="OO46" s="321" t="str">
        <f t="shared" ca="1" si="13876"/>
        <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t="str">
        <f t="shared" ca="1" si="13883"/>
        <v/>
      </c>
      <c r="OW46" s="321" t="str">
        <f t="shared" ref="OW46" ca="1" si="14397">IF(OO46&lt;&gt;"",VLOOKUP(OO46,NV4:OB40,7,FALSE),"")</f>
        <v/>
      </c>
      <c r="OX46" s="321" t="str">
        <f t="shared" ref="OX46" ca="1" si="14398">IF(OO46&lt;&gt;"",VLOOKUP(OO46,NV4:OB40,5,FALSE),"")</f>
        <v/>
      </c>
      <c r="OY46" s="321" t="str">
        <f t="shared" ref="OY46" ca="1" si="14399">IF(OO46&lt;&gt;"",VLOOKUP(OO46,NV4:OD40,9,FALSE),"")</f>
        <v/>
      </c>
      <c r="OZ46" s="321" t="str">
        <f t="shared" ca="1" si="13887"/>
        <v/>
      </c>
      <c r="PA46" s="321" t="str">
        <f t="shared" ref="PA46" ca="1" si="14400">IF(OO46&lt;&gt;"",RANK(OZ46,OZ44:OZ48),"")</f>
        <v/>
      </c>
      <c r="PB46" s="321" t="str">
        <f t="shared" ref="PB46" ca="1" si="14401">IF(OO46&lt;&gt;"",SUMPRODUCT((OZ44:OZ48=OZ46)*(OU44:OU48&gt;OU46)),"")</f>
        <v/>
      </c>
      <c r="PC46" s="321" t="str">
        <f t="shared" ref="PC46" ca="1" si="14402">IF(OO46&lt;&gt;"",SUMPRODUCT((OZ44:OZ48=OZ46)*(OU44:OU48=OU46)*(OS44:OS48&gt;OS46)),"")</f>
        <v/>
      </c>
      <c r="PD46" s="321" t="str">
        <f t="shared" ref="PD46" ca="1" si="14403">IF(OO46&lt;&gt;"",SUMPRODUCT((OZ44:OZ48=OZ46)*(OU44:OU48=OU46)*(OS44:OS48=OS46)*(OW44:OW48&gt;OW46)),"")</f>
        <v/>
      </c>
      <c r="PE46" s="321" t="str">
        <f t="shared" ref="PE46" ca="1" si="14404">IF(OO46&lt;&gt;"",SUMPRODUCT((OZ44:OZ48=OZ46)*(OU44:OU48=OU46)*(OS44:OS48=OS46)*(OW44:OW48=OW46)*(OX44:OX48&gt;OX46)),"")</f>
        <v/>
      </c>
      <c r="PF46" s="321" t="str">
        <f t="shared" ref="PF46" ca="1" si="14405">IF(OO46&lt;&gt;"",SUMPRODUCT((OZ44:OZ48=OZ46)*(OU44:OU48=OU46)*(OS44:OS48=OS46)*(OW44:OW48=OW46)*(OX44:OX48=OX46)*(OY44:OY48&gt;OY46)),"")</f>
        <v/>
      </c>
      <c r="PG46" s="321" t="str">
        <f t="shared" ca="1" si="13894"/>
        <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t="str">
        <f t="shared" ref="TL46" ca="1" si="14422">IF(TM6&lt;&gt;"",SUMPRODUCT((TT4:TT7=TT6)*(TS4:TS7=TS6)*(TQ4:TQ7=TQ6)*(TR4:TR7=TR6)),"")</f>
        <v/>
      </c>
      <c r="TM46" s="321" t="str">
        <f t="shared" ca="1" si="13896"/>
        <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t="str">
        <f t="shared" ca="1" si="13903"/>
        <v/>
      </c>
      <c r="TU46" s="321" t="str">
        <f t="shared" ref="TU46" ca="1" si="14428">IF(TM46&lt;&gt;"",VLOOKUP(TM46,ST4:SZ40,7,FALSE),"")</f>
        <v/>
      </c>
      <c r="TV46" s="321" t="str">
        <f t="shared" ref="TV46" ca="1" si="14429">IF(TM46&lt;&gt;"",VLOOKUP(TM46,ST4:SZ40,5,FALSE),"")</f>
        <v/>
      </c>
      <c r="TW46" s="321" t="str">
        <f t="shared" ref="TW46" ca="1" si="14430">IF(TM46&lt;&gt;"",VLOOKUP(TM46,ST4:TB40,9,FALSE),"")</f>
        <v/>
      </c>
      <c r="TX46" s="321" t="str">
        <f t="shared" ca="1" si="13907"/>
        <v/>
      </c>
      <c r="TY46" s="321" t="str">
        <f t="shared" ref="TY46" ca="1" si="14431">IF(TM46&lt;&gt;"",RANK(TX46,TX44:TX48),"")</f>
        <v/>
      </c>
      <c r="TZ46" s="321" t="str">
        <f t="shared" ref="TZ46" ca="1" si="14432">IF(TM46&lt;&gt;"",SUMPRODUCT((TX44:TX48=TX46)*(TS44:TS48&gt;TS46)),"")</f>
        <v/>
      </c>
      <c r="UA46" s="321" t="str">
        <f t="shared" ref="UA46" ca="1" si="14433">IF(TM46&lt;&gt;"",SUMPRODUCT((TX44:TX48=TX46)*(TS44:TS48=TS46)*(TQ44:TQ48&gt;TQ46)),"")</f>
        <v/>
      </c>
      <c r="UB46" s="321" t="str">
        <f t="shared" ref="UB46" ca="1" si="14434">IF(TM46&lt;&gt;"",SUMPRODUCT((TX44:TX48=TX46)*(TS44:TS48=TS46)*(TQ44:TQ48=TQ46)*(TU44:TU48&gt;TU46)),"")</f>
        <v/>
      </c>
      <c r="UC46" s="321" t="str">
        <f t="shared" ref="UC46" ca="1" si="14435">IF(TM46&lt;&gt;"",SUMPRODUCT((TX44:TX48=TX46)*(TS44:TS48=TS46)*(TQ44:TQ48=TQ46)*(TU44:TU48=TU46)*(TV44:TV48&gt;TV46)),"")</f>
        <v/>
      </c>
      <c r="UD46" s="321" t="str">
        <f t="shared" ref="UD46" ca="1" si="14436">IF(TM46&lt;&gt;"",SUMPRODUCT((TX44:TX48=TX46)*(TS44:TS48=TS46)*(TQ44:TQ48=TQ46)*(TU44:TU48=TU46)*(TV44:TV48=TV46)*(TW44:TW48&gt;TW46)),"")</f>
        <v/>
      </c>
      <c r="UE46" s="321" t="str">
        <f t="shared" ca="1" si="13914"/>
        <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1</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t="str">
        <f t="shared" ref="ADH46" ca="1" si="14484">IF(ADI6&lt;&gt;"",SUMPRODUCT((ADP4:ADP7=ADP6)*(ADO4:ADO7=ADO6)*(ADM4:ADM7=ADM6)*(ADN4:ADN7=ADN6)),"")</f>
        <v/>
      </c>
      <c r="ADI46" s="321" t="str">
        <f t="shared" ca="1" si="13936"/>
        <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t="str">
        <f t="shared" ca="1" si="13943"/>
        <v/>
      </c>
      <c r="ADQ46" s="321" t="str">
        <f t="shared" ref="ADQ46" ca="1" si="14490">IF(ADI46&lt;&gt;"",VLOOKUP(ADI46,ACP4:ACV40,7,FALSE),"")</f>
        <v/>
      </c>
      <c r="ADR46" s="321" t="str">
        <f t="shared" ref="ADR46" ca="1" si="14491">IF(ADI46&lt;&gt;"",VLOOKUP(ADI46,ACP4:ACV40,5,FALSE),"")</f>
        <v/>
      </c>
      <c r="ADS46" s="321" t="str">
        <f t="shared" ref="ADS46" ca="1" si="14492">IF(ADI46&lt;&gt;"",VLOOKUP(ADI46,ACP4:ACX40,9,FALSE),"")</f>
        <v/>
      </c>
      <c r="ADT46" s="321" t="str">
        <f t="shared" ca="1" si="13947"/>
        <v/>
      </c>
      <c r="ADU46" s="321" t="str">
        <f t="shared" ref="ADU46" ca="1" si="14493">IF(ADI46&lt;&gt;"",RANK(ADT46,ADT44:ADT48),"")</f>
        <v/>
      </c>
      <c r="ADV46" s="321" t="str">
        <f t="shared" ref="ADV46" ca="1" si="14494">IF(ADI46&lt;&gt;"",SUMPRODUCT((ADT44:ADT48=ADT46)*(ADO44:ADO48&gt;ADO46)),"")</f>
        <v/>
      </c>
      <c r="ADW46" s="321" t="str">
        <f t="shared" ref="ADW46" ca="1" si="14495">IF(ADI46&lt;&gt;"",SUMPRODUCT((ADT44:ADT48=ADT46)*(ADO44:ADO48=ADO46)*(ADM44:ADM48&gt;ADM46)),"")</f>
        <v/>
      </c>
      <c r="ADX46" s="321" t="str">
        <f t="shared" ref="ADX46" ca="1" si="14496">IF(ADI46&lt;&gt;"",SUMPRODUCT((ADT44:ADT48=ADT46)*(ADO44:ADO48=ADO46)*(ADM44:ADM48=ADM46)*(ADQ44:ADQ48&gt;ADQ46)),"")</f>
        <v/>
      </c>
      <c r="ADY46" s="321" t="str">
        <f t="shared" ref="ADY46" ca="1" si="14497">IF(ADI46&lt;&gt;"",SUMPRODUCT((ADT44:ADT48=ADT46)*(ADO44:ADO48=ADO46)*(ADM44:ADM48=ADM46)*(ADQ44:ADQ48=ADQ46)*(ADR44:ADR48&gt;ADR46)),"")</f>
        <v/>
      </c>
      <c r="ADZ46" s="321" t="str">
        <f t="shared" ref="ADZ46" ca="1" si="14498">IF(ADI46&lt;&gt;"",SUMPRODUCT((ADT44:ADT48=ADT46)*(ADO44:ADO48=ADO46)*(ADM44:ADM48=ADM46)*(ADQ44:ADQ48=ADQ46)*(ADR44:ADR48=ADR46)*(ADS44:ADS48&gt;ADS46)),"")</f>
        <v/>
      </c>
      <c r="AEA46" s="321" t="str">
        <f t="shared" ca="1" si="13954"/>
        <v/>
      </c>
      <c r="AEB46" s="321">
        <f t="shared" ref="AEB46" ca="1" si="14499">IF(AEC6&lt;&gt;"",SUMPRODUCT((AEJ4:AEJ7=AEJ6)*(AEI4:AEI7=AEI6)*(AEG4:AEG7=AEG6)*(AEH4:AEH7=AEH6)),"")</f>
        <v>2</v>
      </c>
      <c r="AEC46" s="321" t="str">
        <f t="shared" ca="1" si="14194"/>
        <v>Scotland</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1</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1</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1</v>
      </c>
      <c r="AEI46" s="321">
        <f t="shared" ca="1" si="14200"/>
        <v>1000</v>
      </c>
      <c r="AEJ46" s="321">
        <f t="shared" ca="1" si="14201"/>
        <v>1</v>
      </c>
      <c r="AEK46" s="321">
        <f t="shared" ref="AEK46" ca="1" si="14505">IF(AEC46&lt;&gt;"",VLOOKUP(AEC46,ACP4:ACV40,7,FALSE),"")</f>
        <v>999</v>
      </c>
      <c r="AEL46" s="321">
        <f t="shared" ref="AEL46" ca="1" si="14506">IF(AEC46&lt;&gt;"",VLOOKUP(AEC46,ACP4:ACV40,5,FALSE),"")</f>
        <v>4</v>
      </c>
      <c r="AEM46" s="321">
        <f t="shared" ref="AEM46" ca="1" si="14507">IF(AEC46&lt;&gt;"",VLOOKUP(AEC46,ACP4:ACX40,9,FALSE),"")</f>
        <v>43</v>
      </c>
      <c r="AEN46" s="321">
        <f t="shared" ca="1" si="14205"/>
        <v>1</v>
      </c>
      <c r="AEO46" s="321">
        <f t="shared" ref="AEO46" ca="1" si="14508">IF(AEC46&lt;&gt;"",RANK(AEN46,AEN44:AEN47),"")</f>
        <v>1</v>
      </c>
      <c r="AEP46" s="321">
        <f t="shared" ref="AEP46" ca="1" si="14509">IF(AEC46&lt;&gt;"",SUMPRODUCT((AEN44:AEN47=AEN46)*(AEI44:AEI47&gt;AEI46)),"")</f>
        <v>0</v>
      </c>
      <c r="AEQ46" s="321">
        <f t="shared" ref="AEQ46" ca="1" si="14510">IF(AEC46&lt;&gt;"",SUMPRODUCT((AEN44:AEN47=AEN46)*(AEI44:AEI47=AEI46)*(AEG44:AEG47&gt;AEG46)),"")</f>
        <v>0</v>
      </c>
      <c r="AER46" s="321">
        <f t="shared" ref="AER46" ca="1" si="14511">IF(AEC46&lt;&gt;"",SUMPRODUCT((AEN44:AEN47=AEN46)*(AEI44:AEI47=AEI46)*(AEG44:AEG47=AEG46)*(AEK44:AEK47&gt;AEK46)),"")</f>
        <v>1</v>
      </c>
      <c r="AES46" s="321">
        <f t="shared" ref="AES46" ca="1" si="14512">IF(AEC46&lt;&gt;"",SUMPRODUCT((AEN44:AEN47=AEN46)*(AEI44:AEI47=AEI46)*(AEG44:AEG47=AEG46)*(AEK44:AEK47=AEK46)*(AEL44:AEL47&gt;AEL46)),"")</f>
        <v>0</v>
      </c>
      <c r="AET46" s="321">
        <f t="shared" ref="AET46" ca="1" si="14513">IF(AEC46&lt;&gt;"",SUMPRODUCT((AEN44:AEN47=AEN46)*(AEI44:AEI47=AEI46)*(AEG44:AEG47=AEG46)*(AEK44:AEK47=AEK46)*(AEL44:AEL47=AEL46)*(AEM44:AEM47&gt;AEM46)),"")</f>
        <v>0</v>
      </c>
      <c r="AEU46" s="321">
        <f t="shared" ref="AEU46:AEU47" ca="1" si="14514">IF(AEC46&lt;&gt;"",SUM(AEO46:AET46)+1,"")</f>
        <v>3</v>
      </c>
      <c r="AHU46" s="321">
        <f ca="1">SUMPRODUCT((AHU4:AHU7=AHU6)*(AHT4:AHT7=AHT6)*(AHR4:AHR7&gt;AHR6))+1</f>
        <v>1</v>
      </c>
      <c r="AIF46" s="321">
        <f t="shared" ref="AIF46" ca="1" si="14515">IF(AIG6&lt;&gt;"",SUMPRODUCT((AIN4:AIN7=AIN6)*(AIM4:AIM7=AIM6)*(AIK4:AIK7=AIK6)*(AIL4:AIL7=AIL6)),"")</f>
        <v>4</v>
      </c>
      <c r="AIG46" s="321" t="str">
        <f t="shared" ca="1" si="13956"/>
        <v>Hungary</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f t="shared" ca="1" si="13963"/>
        <v>0</v>
      </c>
      <c r="AIO46" s="321">
        <f t="shared" ref="AIO46" ca="1" si="14521">IF(AIG46&lt;&gt;"",VLOOKUP(AIG46,AHN4:AHT40,7,FALSE),"")</f>
        <v>1000</v>
      </c>
      <c r="AIP46" s="321">
        <f t="shared" ref="AIP46" ca="1" si="14522">IF(AIG46&lt;&gt;"",VLOOKUP(AIG46,AHN4:AHT40,5,FALSE),"")</f>
        <v>0</v>
      </c>
      <c r="AIQ46" s="321">
        <f t="shared" ref="AIQ46" ca="1" si="14523">IF(AIG46&lt;&gt;"",VLOOKUP(AIG46,AHN4:AHV40,9,FALSE),"")</f>
        <v>48</v>
      </c>
      <c r="AIR46" s="321">
        <f t="shared" ca="1" si="13967"/>
        <v>0</v>
      </c>
      <c r="AIS46" s="321">
        <f t="shared" ref="AIS46" ca="1" si="14524">IF(AIG46&lt;&gt;"",RANK(AIR46,AIR44:AIR48),"")</f>
        <v>1</v>
      </c>
      <c r="AIT46" s="321">
        <f t="shared" ref="AIT46" ca="1" si="14525">IF(AIG46&lt;&gt;"",SUMPRODUCT((AIR44:AIR48=AIR46)*(AIM44:AIM48&gt;AIM46)),"")</f>
        <v>0</v>
      </c>
      <c r="AIU46" s="321">
        <f t="shared" ref="AIU46" ca="1" si="14526">IF(AIG46&lt;&gt;"",SUMPRODUCT((AIR44:AIR48=AIR46)*(AIM44:AIM48=AIM46)*(AIK44:AIK48&gt;AIK46)),"")</f>
        <v>0</v>
      </c>
      <c r="AIV46" s="321">
        <f t="shared" ref="AIV46" ca="1" si="14527">IF(AIG46&lt;&gt;"",SUMPRODUCT((AIR44:AIR48=AIR46)*(AIM44:AIM48=AIM46)*(AIK44:AIK48=AIK46)*(AIO44:AIO48&gt;AIO46)),"")</f>
        <v>0</v>
      </c>
      <c r="AIW46" s="321">
        <f t="shared" ref="AIW46" ca="1" si="14528">IF(AIG46&lt;&gt;"",SUMPRODUCT((AIR44:AIR48=AIR46)*(AIM44:AIM48=AIM46)*(AIK44:AIK48=AIK46)*(AIO44:AIO48=AIO46)*(AIP44:AIP48&gt;AIP46)),"")</f>
        <v>0</v>
      </c>
      <c r="AIX46" s="321">
        <f t="shared" ref="AIX46" ca="1" si="14529">IF(AIG46&lt;&gt;"",SUMPRODUCT((AIR44:AIR48=AIR46)*(AIM44:AIM48=AIM46)*(AIK44:AIK48=AIK46)*(AIO44:AIO48=AIO46)*(AIP44:AIP48=AIP46)*(AIQ44:AIQ48&gt;AIQ46)),"")</f>
        <v>1</v>
      </c>
      <c r="AIY46" s="321">
        <f t="shared" ca="1" si="13974"/>
        <v>2</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f t="shared" ref="AND46" ca="1" si="14546">IF(ANE6&lt;&gt;"",SUMPRODUCT((ANL4:ANL7=ANL6)*(ANK4:ANK7=ANK6)*(ANI4:ANI7=ANI6)*(ANJ4:ANJ7=ANJ6)),"")</f>
        <v>4</v>
      </c>
      <c r="ANE46" s="321" t="str">
        <f t="shared" ca="1" si="13976"/>
        <v>Hungary</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f t="shared" ca="1" si="13983"/>
        <v>0</v>
      </c>
      <c r="ANM46" s="321">
        <f t="shared" ref="ANM46" ca="1" si="14552">IF(ANE46&lt;&gt;"",VLOOKUP(ANE46,AML4:AMR40,7,FALSE),"")</f>
        <v>1000</v>
      </c>
      <c r="ANN46" s="321">
        <f t="shared" ref="ANN46" ca="1" si="14553">IF(ANE46&lt;&gt;"",VLOOKUP(ANE46,AML4:AMR40,5,FALSE),"")</f>
        <v>0</v>
      </c>
      <c r="ANO46" s="321">
        <f t="shared" ref="ANO46" ca="1" si="14554">IF(ANE46&lt;&gt;"",VLOOKUP(ANE46,AML4:AMT40,9,FALSE),"")</f>
        <v>48</v>
      </c>
      <c r="ANP46" s="321">
        <f t="shared" ca="1" si="13987"/>
        <v>0</v>
      </c>
      <c r="ANQ46" s="321">
        <f t="shared" ref="ANQ46" ca="1" si="14555">IF(ANE46&lt;&gt;"",RANK(ANP46,ANP44:ANP48),"")</f>
        <v>1</v>
      </c>
      <c r="ANR46" s="321">
        <f t="shared" ref="ANR46" ca="1" si="14556">IF(ANE46&lt;&gt;"",SUMPRODUCT((ANP44:ANP48=ANP46)*(ANK44:ANK48&gt;ANK46)),"")</f>
        <v>0</v>
      </c>
      <c r="ANS46" s="321">
        <f t="shared" ref="ANS46" ca="1" si="14557">IF(ANE46&lt;&gt;"",SUMPRODUCT((ANP44:ANP48=ANP46)*(ANK44:ANK48=ANK46)*(ANI44:ANI48&gt;ANI46)),"")</f>
        <v>0</v>
      </c>
      <c r="ANT46" s="321">
        <f t="shared" ref="ANT46" ca="1" si="14558">IF(ANE46&lt;&gt;"",SUMPRODUCT((ANP44:ANP48=ANP46)*(ANK44:ANK48=ANK46)*(ANI44:ANI48=ANI46)*(ANM44:ANM48&gt;ANM46)),"")</f>
        <v>0</v>
      </c>
      <c r="ANU46" s="321">
        <f t="shared" ref="ANU46" ca="1" si="14559">IF(ANE46&lt;&gt;"",SUMPRODUCT((ANP44:ANP48=ANP46)*(ANK44:ANK48=ANK46)*(ANI44:ANI48=ANI46)*(ANM44:ANM48=ANM46)*(ANN44:ANN48&gt;ANN46)),"")</f>
        <v>0</v>
      </c>
      <c r="ANV46" s="321">
        <f t="shared" ref="ANV46" ca="1" si="14560">IF(ANE46&lt;&gt;"",SUMPRODUCT((ANP44:ANP48=ANP46)*(ANK44:ANK48=ANK46)*(ANI44:ANI48=ANI46)*(ANM44:ANM48=ANM46)*(ANN44:ANN48=ANN46)*(ANO44:ANO48&gt;ANO46)),"")</f>
        <v>1</v>
      </c>
      <c r="ANW46" s="321">
        <f t="shared" ca="1" si="13994"/>
        <v>2</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f t="shared" ref="ASB46" ca="1" si="14577">IF(ASC6&lt;&gt;"",SUMPRODUCT((ASJ4:ASJ7=ASJ6)*(ASI4:ASI7=ASI6)*(ASG4:ASG7=ASG6)*(ASH4:ASH7=ASH6)),"")</f>
        <v>4</v>
      </c>
      <c r="ASC46" s="321" t="str">
        <f t="shared" ca="1" si="13996"/>
        <v>Hungary</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f t="shared" ca="1" si="14003"/>
        <v>0</v>
      </c>
      <c r="ASK46" s="321">
        <f t="shared" ref="ASK46" ca="1" si="14583">IF(ASC46&lt;&gt;"",VLOOKUP(ASC46,ARJ4:ARP40,7,FALSE),"")</f>
        <v>1000</v>
      </c>
      <c r="ASL46" s="321">
        <f t="shared" ref="ASL46" ca="1" si="14584">IF(ASC46&lt;&gt;"",VLOOKUP(ASC46,ARJ4:ARP40,5,FALSE),"")</f>
        <v>0</v>
      </c>
      <c r="ASM46" s="321">
        <f t="shared" ref="ASM46" ca="1" si="14585">IF(ASC46&lt;&gt;"",VLOOKUP(ASC46,ARJ4:ARR40,9,FALSE),"")</f>
        <v>48</v>
      </c>
      <c r="ASN46" s="321">
        <f t="shared" ca="1" si="14007"/>
        <v>0</v>
      </c>
      <c r="ASO46" s="321">
        <f t="shared" ref="ASO46" ca="1" si="14586">IF(ASC46&lt;&gt;"",RANK(ASN46,ASN44:ASN48),"")</f>
        <v>1</v>
      </c>
      <c r="ASP46" s="321">
        <f t="shared" ref="ASP46" ca="1" si="14587">IF(ASC46&lt;&gt;"",SUMPRODUCT((ASN44:ASN48=ASN46)*(ASI44:ASI48&gt;ASI46)),"")</f>
        <v>0</v>
      </c>
      <c r="ASQ46" s="321">
        <f t="shared" ref="ASQ46" ca="1" si="14588">IF(ASC46&lt;&gt;"",SUMPRODUCT((ASN44:ASN48=ASN46)*(ASI44:ASI48=ASI46)*(ASG44:ASG48&gt;ASG46)),"")</f>
        <v>0</v>
      </c>
      <c r="ASR46" s="321">
        <f t="shared" ref="ASR46" ca="1" si="14589">IF(ASC46&lt;&gt;"",SUMPRODUCT((ASN44:ASN48=ASN46)*(ASI44:ASI48=ASI46)*(ASG44:ASG48=ASG46)*(ASK44:ASK48&gt;ASK46)),"")</f>
        <v>0</v>
      </c>
      <c r="ASS46" s="321">
        <f t="shared" ref="ASS46" ca="1" si="14590">IF(ASC46&lt;&gt;"",SUMPRODUCT((ASN44:ASN48=ASN46)*(ASI44:ASI48=ASI46)*(ASG44:ASG48=ASG46)*(ASK44:ASK48=ASK46)*(ASL44:ASL48&gt;ASL46)),"")</f>
        <v>0</v>
      </c>
      <c r="AST46" s="321">
        <f t="shared" ref="AST46" ca="1" si="14591">IF(ASC46&lt;&gt;"",SUMPRODUCT((ASN44:ASN48=ASN46)*(ASI44:ASI48=ASI46)*(ASG44:ASG48=ASG46)*(ASK44:ASK48=ASK46)*(ASL44:ASL48=ASL46)*(ASM44:ASM48&gt;ASM46)),"")</f>
        <v>1</v>
      </c>
      <c r="ASU46" s="321">
        <f t="shared" ca="1" si="14014"/>
        <v>2</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f t="shared" ref="AWZ46" ca="1" si="14608">IF(AXA6&lt;&gt;"",SUMPRODUCT((AXH4:AXH7=AXH6)*(AXG4:AXG7=AXG6)*(AXE4:AXE7=AXE6)*(AXF4:AXF7=AXF6)),"")</f>
        <v>4</v>
      </c>
      <c r="AXA46" s="321" t="str">
        <f t="shared" ca="1" si="14016"/>
        <v>Hungary</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f t="shared" ca="1" si="14023"/>
        <v>0</v>
      </c>
      <c r="AXI46" s="321">
        <f t="shared" ref="AXI46" ca="1" si="14614">IF(AXA46&lt;&gt;"",VLOOKUP(AXA46,AWH4:AWN40,7,FALSE),"")</f>
        <v>1000</v>
      </c>
      <c r="AXJ46" s="321">
        <f t="shared" ref="AXJ46" ca="1" si="14615">IF(AXA46&lt;&gt;"",VLOOKUP(AXA46,AWH4:AWN40,5,FALSE),"")</f>
        <v>0</v>
      </c>
      <c r="AXK46" s="321">
        <f t="shared" ref="AXK46" ca="1" si="14616">IF(AXA46&lt;&gt;"",VLOOKUP(AXA46,AWH4:AWP40,9,FALSE),"")</f>
        <v>48</v>
      </c>
      <c r="AXL46" s="321">
        <f t="shared" ca="1" si="14027"/>
        <v>0</v>
      </c>
      <c r="AXM46" s="321">
        <f t="shared" ref="AXM46" ca="1" si="14617">IF(AXA46&lt;&gt;"",RANK(AXL46,AXL44:AXL48),"")</f>
        <v>1</v>
      </c>
      <c r="AXN46" s="321">
        <f t="shared" ref="AXN46" ca="1" si="14618">IF(AXA46&lt;&gt;"",SUMPRODUCT((AXL44:AXL48=AXL46)*(AXG44:AXG48&gt;AXG46)),"")</f>
        <v>0</v>
      </c>
      <c r="AXO46" s="321">
        <f t="shared" ref="AXO46" ca="1" si="14619">IF(AXA46&lt;&gt;"",SUMPRODUCT((AXL44:AXL48=AXL46)*(AXG44:AXG48=AXG46)*(AXE44:AXE48&gt;AXE46)),"")</f>
        <v>0</v>
      </c>
      <c r="AXP46" s="321">
        <f t="shared" ref="AXP46" ca="1" si="14620">IF(AXA46&lt;&gt;"",SUMPRODUCT((AXL44:AXL48=AXL46)*(AXG44:AXG48=AXG46)*(AXE44:AXE48=AXE46)*(AXI44:AXI48&gt;AXI46)),"")</f>
        <v>0</v>
      </c>
      <c r="AXQ46" s="321">
        <f t="shared" ref="AXQ46" ca="1" si="14621">IF(AXA46&lt;&gt;"",SUMPRODUCT((AXL44:AXL48=AXL46)*(AXG44:AXG48=AXG46)*(AXE44:AXE48=AXE46)*(AXI44:AXI48=AXI46)*(AXJ44:AXJ48&gt;AXJ46)),"")</f>
        <v>0</v>
      </c>
      <c r="AXR46" s="321">
        <f t="shared" ref="AXR46" ca="1" si="14622">IF(AXA46&lt;&gt;"",SUMPRODUCT((AXL44:AXL48=AXL46)*(AXG44:AXG48=AXG46)*(AXE44:AXE48=AXE46)*(AXI44:AXI48=AXI46)*(AXJ44:AXJ48=AXJ46)*(AXK44:AXK48&gt;AXK46)),"")</f>
        <v>1</v>
      </c>
      <c r="AXS46" s="321">
        <f t="shared" ca="1" si="14034"/>
        <v>2</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2">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t="str">
        <f t="shared" ref="ON47" ca="1" si="14670">IF(OO7&lt;&gt;"",SUMPRODUCT((OV4:OV7=OV7)*(OU4:OU7=OU7)*(OS4:OS7=OS7)*(OT4:OT7=OT7)),"")</f>
        <v/>
      </c>
      <c r="OO47" s="321" t="str">
        <f t="shared" ca="1" si="13876"/>
        <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t="str">
        <f t="shared" ca="1" si="13883"/>
        <v/>
      </c>
      <c r="OW47" s="321" t="str">
        <f t="shared" ref="OW47" ca="1" si="14676">IF(OO47&lt;&gt;"",VLOOKUP(OO47,NV4:OB40,7,FALSE),"")</f>
        <v/>
      </c>
      <c r="OX47" s="321" t="str">
        <f t="shared" ref="OX47" ca="1" si="14677">IF(OO47&lt;&gt;"",VLOOKUP(OO47,NV4:OB40,5,FALSE),"")</f>
        <v/>
      </c>
      <c r="OY47" s="321" t="str">
        <f t="shared" ref="OY47" ca="1" si="14678">IF(OO47&lt;&gt;"",VLOOKUP(OO47,NV4:OD40,9,FALSE),"")</f>
        <v/>
      </c>
      <c r="OZ47" s="321" t="str">
        <f t="shared" ca="1" si="13887"/>
        <v/>
      </c>
      <c r="PA47" s="321" t="str">
        <f t="shared" ref="PA47" ca="1" si="14679">IF(OO47&lt;&gt;"",RANK(OZ47,OZ44:OZ48),"")</f>
        <v/>
      </c>
      <c r="PB47" s="321" t="str">
        <f t="shared" ref="PB47" ca="1" si="14680">IF(OO47&lt;&gt;"",SUMPRODUCT((OZ44:OZ48=OZ47)*(OU44:OU48&gt;OU47)),"")</f>
        <v/>
      </c>
      <c r="PC47" s="321" t="str">
        <f t="shared" ref="PC47" ca="1" si="14681">IF(OO47&lt;&gt;"",SUMPRODUCT((OZ44:OZ48=OZ47)*(OU44:OU48=OU47)*(OS44:OS48&gt;OS47)),"")</f>
        <v/>
      </c>
      <c r="PD47" s="321" t="str">
        <f t="shared" ref="PD47" ca="1" si="14682">IF(OO47&lt;&gt;"",SUMPRODUCT((OZ44:OZ48=OZ47)*(OU44:OU48=OU47)*(OS44:OS48=OS47)*(OW44:OW48&gt;OW47)),"")</f>
        <v/>
      </c>
      <c r="PE47" s="321" t="str">
        <f t="shared" ref="PE47" ca="1" si="14683">IF(OO47&lt;&gt;"",SUMPRODUCT((OZ44:OZ48=OZ47)*(OU44:OU48=OU47)*(OS44:OS48=OS47)*(OW44:OW48=OW47)*(OX44:OX48&gt;OX47)),"")</f>
        <v/>
      </c>
      <c r="PF47" s="321" t="str">
        <f t="shared" ref="PF47" ca="1" si="14684">IF(OO47&lt;&gt;"",SUMPRODUCT((OZ44:OZ48=OZ47)*(OU44:OU48=OU47)*(OS44:OS48=OS47)*(OW44:OW48=OW47)*(OX44:OX48=OX47)*(OY44:OY48&gt;OY47)),"")</f>
        <v/>
      </c>
      <c r="PG47" s="321" t="str">
        <f t="shared" ca="1" si="13894"/>
        <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t="str">
        <f t="shared" ref="TL47" ca="1" si="14700">IF(TM7&lt;&gt;"",SUMPRODUCT((TT4:TT7=TT7)*(TS4:TS7=TS7)*(TQ4:TQ7=TQ7)*(TR4:TR7=TR7)),"")</f>
        <v/>
      </c>
      <c r="TM47" s="321" t="str">
        <f t="shared" ca="1" si="13896"/>
        <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t="str">
        <f t="shared" ca="1" si="13903"/>
        <v/>
      </c>
      <c r="TU47" s="321" t="str">
        <f t="shared" ref="TU47" ca="1" si="14706">IF(TM47&lt;&gt;"",VLOOKUP(TM47,ST4:SZ40,7,FALSE),"")</f>
        <v/>
      </c>
      <c r="TV47" s="321" t="str">
        <f t="shared" ref="TV47" ca="1" si="14707">IF(TM47&lt;&gt;"",VLOOKUP(TM47,ST4:SZ40,5,FALSE),"")</f>
        <v/>
      </c>
      <c r="TW47" s="321" t="str">
        <f t="shared" ref="TW47" ca="1" si="14708">IF(TM47&lt;&gt;"",VLOOKUP(TM47,ST4:TB40,9,FALSE),"")</f>
        <v/>
      </c>
      <c r="TX47" s="321" t="str">
        <f t="shared" ca="1" si="13907"/>
        <v/>
      </c>
      <c r="TY47" s="321" t="str">
        <f t="shared" ref="TY47" ca="1" si="14709">IF(TM47&lt;&gt;"",RANK(TX47,TX44:TX48),"")</f>
        <v/>
      </c>
      <c r="TZ47" s="321" t="str">
        <f t="shared" ref="TZ47" ca="1" si="14710">IF(TM47&lt;&gt;"",SUMPRODUCT((TX44:TX48=TX47)*(TS44:TS48&gt;TS47)),"")</f>
        <v/>
      </c>
      <c r="UA47" s="321" t="str">
        <f t="shared" ref="UA47" ca="1" si="14711">IF(TM47&lt;&gt;"",SUMPRODUCT((TX44:TX48=TX47)*(TS44:TS48=TS47)*(TQ44:TQ48&gt;TQ47)),"")</f>
        <v/>
      </c>
      <c r="UB47" s="321" t="str">
        <f t="shared" ref="UB47" ca="1" si="14712">IF(TM47&lt;&gt;"",SUMPRODUCT((TX44:TX48=TX47)*(TS44:TS48=TS47)*(TQ44:TQ48=TQ47)*(TU44:TU48&gt;TU47)),"")</f>
        <v/>
      </c>
      <c r="UC47" s="321" t="str">
        <f t="shared" ref="UC47" ca="1" si="14713">IF(TM47&lt;&gt;"",SUMPRODUCT((TX44:TX48=TX47)*(TS44:TS48=TS47)*(TQ44:TQ48=TQ47)*(TU44:TU48=TU47)*(TV44:TV48&gt;TV47)),"")</f>
        <v/>
      </c>
      <c r="UD47" s="321" t="str">
        <f t="shared" ref="UD47" ca="1" si="14714">IF(TM47&lt;&gt;"",SUMPRODUCT((TX44:TX48=TX47)*(TS44:TS48=TS47)*(TQ44:TQ48=TQ47)*(TU44:TU48=TU47)*(TV44:TV48=TV47)*(TW44:TW48&gt;TW47)),"")</f>
        <v/>
      </c>
      <c r="UE47" s="321" t="str">
        <f t="shared" ca="1" si="13914"/>
        <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t="str">
        <f t="shared" ref="ADH47" ca="1" si="14760">IF(ADI7&lt;&gt;"",SUMPRODUCT((ADP4:ADP7=ADP7)*(ADO4:ADO7=ADO7)*(ADM4:ADM7=ADM7)*(ADN4:ADN7=ADN7)),"")</f>
        <v/>
      </c>
      <c r="ADI47" s="321" t="str">
        <f t="shared" ca="1" si="13936"/>
        <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t="str">
        <f t="shared" ca="1" si="13943"/>
        <v/>
      </c>
      <c r="ADQ47" s="321" t="str">
        <f t="shared" ref="ADQ47" ca="1" si="14766">IF(ADI47&lt;&gt;"",VLOOKUP(ADI47,ACP4:ACV40,7,FALSE),"")</f>
        <v/>
      </c>
      <c r="ADR47" s="321" t="str">
        <f t="shared" ref="ADR47" ca="1" si="14767">IF(ADI47&lt;&gt;"",VLOOKUP(ADI47,ACP4:ACV40,5,FALSE),"")</f>
        <v/>
      </c>
      <c r="ADS47" s="321" t="str">
        <f t="shared" ref="ADS47" ca="1" si="14768">IF(ADI47&lt;&gt;"",VLOOKUP(ADI47,ACP4:ACX40,9,FALSE),"")</f>
        <v/>
      </c>
      <c r="ADT47" s="321" t="str">
        <f t="shared" ca="1" si="13947"/>
        <v/>
      </c>
      <c r="ADU47" s="321" t="str">
        <f t="shared" ref="ADU47" ca="1" si="14769">IF(ADI47&lt;&gt;"",RANK(ADT47,ADT44:ADT48),"")</f>
        <v/>
      </c>
      <c r="ADV47" s="321" t="str">
        <f t="shared" ref="ADV47" ca="1" si="14770">IF(ADI47&lt;&gt;"",SUMPRODUCT((ADT44:ADT48=ADT47)*(ADO44:ADO48&gt;ADO47)),"")</f>
        <v/>
      </c>
      <c r="ADW47" s="321" t="str">
        <f t="shared" ref="ADW47" ca="1" si="14771">IF(ADI47&lt;&gt;"",SUMPRODUCT((ADT44:ADT48=ADT47)*(ADO44:ADO48=ADO47)*(ADM44:ADM48&gt;ADM47)),"")</f>
        <v/>
      </c>
      <c r="ADX47" s="321" t="str">
        <f t="shared" ref="ADX47" ca="1" si="14772">IF(ADI47&lt;&gt;"",SUMPRODUCT((ADT44:ADT48=ADT47)*(ADO44:ADO48=ADO47)*(ADM44:ADM48=ADM47)*(ADQ44:ADQ48&gt;ADQ47)),"")</f>
        <v/>
      </c>
      <c r="ADY47" s="321" t="str">
        <f t="shared" ref="ADY47" ca="1" si="14773">IF(ADI47&lt;&gt;"",SUMPRODUCT((ADT44:ADT48=ADT47)*(ADO44:ADO48=ADO47)*(ADM44:ADM48=ADM47)*(ADQ44:ADQ48=ADQ47)*(ADR44:ADR48&gt;ADR47)),"")</f>
        <v/>
      </c>
      <c r="ADZ47" s="321" t="str">
        <f t="shared" ref="ADZ47" ca="1" si="14774">IF(ADI47&lt;&gt;"",SUMPRODUCT((ADT44:ADT48=ADT47)*(ADO44:ADO48=ADO47)*(ADM44:ADM48=ADM47)*(ADQ44:ADQ48=ADQ47)*(ADR44:ADR48=ADR47)*(ADS44:ADS48&gt;ADS47)),"")</f>
        <v/>
      </c>
      <c r="AEA47" s="321" t="str">
        <f t="shared" ca="1" si="13954"/>
        <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f t="shared" ref="AIF47" ca="1" si="14790">IF(AIG7&lt;&gt;"",SUMPRODUCT((AIN4:AIN7=AIN7)*(AIM4:AIM7=AIM7)*(AIK4:AIK7=AIK7)*(AIL4:AIL7=AIL7)),"")</f>
        <v>4</v>
      </c>
      <c r="AIG47" s="321" t="str">
        <f t="shared" ca="1" si="13956"/>
        <v>Germany</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f t="shared" ca="1" si="13963"/>
        <v>0</v>
      </c>
      <c r="AIO47" s="321">
        <f t="shared" ref="AIO47" ca="1" si="14796">IF(AIG47&lt;&gt;"",VLOOKUP(AIG47,AHN4:AHT40,7,FALSE),"")</f>
        <v>1000</v>
      </c>
      <c r="AIP47" s="321">
        <f t="shared" ref="AIP47" ca="1" si="14797">IF(AIG47&lt;&gt;"",VLOOKUP(AIG47,AHN4:AHT40,5,FALSE),"")</f>
        <v>0</v>
      </c>
      <c r="AIQ47" s="321">
        <f t="shared" ref="AIQ47" ca="1" si="14798">IF(AIG47&lt;&gt;"",VLOOKUP(AIG47,AHN4:AHV40,9,FALSE),"")</f>
        <v>54</v>
      </c>
      <c r="AIR47" s="321">
        <f t="shared" ca="1" si="13967"/>
        <v>0</v>
      </c>
      <c r="AIS47" s="321">
        <f t="shared" ref="AIS47" ca="1" si="14799">IF(AIG47&lt;&gt;"",RANK(AIR47,AIR44:AIR48),"")</f>
        <v>1</v>
      </c>
      <c r="AIT47" s="321">
        <f t="shared" ref="AIT47" ca="1" si="14800">IF(AIG47&lt;&gt;"",SUMPRODUCT((AIR44:AIR48=AIR47)*(AIM44:AIM48&gt;AIM47)),"")</f>
        <v>0</v>
      </c>
      <c r="AIU47" s="321">
        <f t="shared" ref="AIU47" ca="1" si="14801">IF(AIG47&lt;&gt;"",SUMPRODUCT((AIR44:AIR48=AIR47)*(AIM44:AIM48=AIM47)*(AIK44:AIK48&gt;AIK47)),"")</f>
        <v>0</v>
      </c>
      <c r="AIV47" s="321">
        <f t="shared" ref="AIV47" ca="1" si="14802">IF(AIG47&lt;&gt;"",SUMPRODUCT((AIR44:AIR48=AIR47)*(AIM44:AIM48=AIM47)*(AIK44:AIK48=AIK47)*(AIO44:AIO48&gt;AIO47)),"")</f>
        <v>0</v>
      </c>
      <c r="AIW47" s="321">
        <f t="shared" ref="AIW47" ca="1" si="14803">IF(AIG47&lt;&gt;"",SUMPRODUCT((AIR44:AIR48=AIR47)*(AIM44:AIM48=AIM47)*(AIK44:AIK48=AIK47)*(AIO44:AIO48=AIO47)*(AIP44:AIP48&gt;AIP47)),"")</f>
        <v>0</v>
      </c>
      <c r="AIX47" s="321">
        <f t="shared" ref="AIX47" ca="1" si="14804">IF(AIG47&lt;&gt;"",SUMPRODUCT((AIR44:AIR48=AIR47)*(AIM44:AIM48=AIM47)*(AIK44:AIK48=AIK47)*(AIO44:AIO48=AIO47)*(AIP44:AIP48=AIP47)*(AIQ44:AIQ48&gt;AIQ47)),"")</f>
        <v>0</v>
      </c>
      <c r="AIY47" s="321">
        <f t="shared" ca="1" si="13974"/>
        <v>1</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f t="shared" ref="AND47" ca="1" si="14820">IF(ANE7&lt;&gt;"",SUMPRODUCT((ANL4:ANL7=ANL7)*(ANK4:ANK7=ANK7)*(ANI4:ANI7=ANI7)*(ANJ4:ANJ7=ANJ7)),"")</f>
        <v>4</v>
      </c>
      <c r="ANE47" s="321" t="str">
        <f t="shared" ca="1" si="13976"/>
        <v>Germany</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f t="shared" ca="1" si="13983"/>
        <v>0</v>
      </c>
      <c r="ANM47" s="321">
        <f t="shared" ref="ANM47" ca="1" si="14826">IF(ANE47&lt;&gt;"",VLOOKUP(ANE47,AML4:AMR40,7,FALSE),"")</f>
        <v>1000</v>
      </c>
      <c r="ANN47" s="321">
        <f t="shared" ref="ANN47" ca="1" si="14827">IF(ANE47&lt;&gt;"",VLOOKUP(ANE47,AML4:AMR40,5,FALSE),"")</f>
        <v>0</v>
      </c>
      <c r="ANO47" s="321">
        <f t="shared" ref="ANO47" ca="1" si="14828">IF(ANE47&lt;&gt;"",VLOOKUP(ANE47,AML4:AMT40,9,FALSE),"")</f>
        <v>54</v>
      </c>
      <c r="ANP47" s="321">
        <f t="shared" ca="1" si="13987"/>
        <v>0</v>
      </c>
      <c r="ANQ47" s="321">
        <f t="shared" ref="ANQ47" ca="1" si="14829">IF(ANE47&lt;&gt;"",RANK(ANP47,ANP44:ANP48),"")</f>
        <v>1</v>
      </c>
      <c r="ANR47" s="321">
        <f t="shared" ref="ANR47" ca="1" si="14830">IF(ANE47&lt;&gt;"",SUMPRODUCT((ANP44:ANP48=ANP47)*(ANK44:ANK48&gt;ANK47)),"")</f>
        <v>0</v>
      </c>
      <c r="ANS47" s="321">
        <f t="shared" ref="ANS47" ca="1" si="14831">IF(ANE47&lt;&gt;"",SUMPRODUCT((ANP44:ANP48=ANP47)*(ANK44:ANK48=ANK47)*(ANI44:ANI48&gt;ANI47)),"")</f>
        <v>0</v>
      </c>
      <c r="ANT47" s="321">
        <f t="shared" ref="ANT47" ca="1" si="14832">IF(ANE47&lt;&gt;"",SUMPRODUCT((ANP44:ANP48=ANP47)*(ANK44:ANK48=ANK47)*(ANI44:ANI48=ANI47)*(ANM44:ANM48&gt;ANM47)),"")</f>
        <v>0</v>
      </c>
      <c r="ANU47" s="321">
        <f t="shared" ref="ANU47" ca="1" si="14833">IF(ANE47&lt;&gt;"",SUMPRODUCT((ANP44:ANP48=ANP47)*(ANK44:ANK48=ANK47)*(ANI44:ANI48=ANI47)*(ANM44:ANM48=ANM47)*(ANN44:ANN48&gt;ANN47)),"")</f>
        <v>0</v>
      </c>
      <c r="ANV47" s="321">
        <f t="shared" ref="ANV47" ca="1" si="14834">IF(ANE47&lt;&gt;"",SUMPRODUCT((ANP44:ANP48=ANP47)*(ANK44:ANK48=ANK47)*(ANI44:ANI48=ANI47)*(ANM44:ANM48=ANM47)*(ANN44:ANN48=ANN47)*(ANO44:ANO48&gt;ANO47)),"")</f>
        <v>0</v>
      </c>
      <c r="ANW47" s="321">
        <f t="shared" ca="1" si="13994"/>
        <v>1</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f t="shared" ref="ASB47" ca="1" si="14850">IF(ASC7&lt;&gt;"",SUMPRODUCT((ASJ4:ASJ7=ASJ7)*(ASI4:ASI7=ASI7)*(ASG4:ASG7=ASG7)*(ASH4:ASH7=ASH7)),"")</f>
        <v>4</v>
      </c>
      <c r="ASC47" s="321" t="str">
        <f t="shared" ca="1" si="13996"/>
        <v>Germany</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f t="shared" ca="1" si="14003"/>
        <v>0</v>
      </c>
      <c r="ASK47" s="321">
        <f t="shared" ref="ASK47" ca="1" si="14856">IF(ASC47&lt;&gt;"",VLOOKUP(ASC47,ARJ4:ARP40,7,FALSE),"")</f>
        <v>1000</v>
      </c>
      <c r="ASL47" s="321">
        <f t="shared" ref="ASL47" ca="1" si="14857">IF(ASC47&lt;&gt;"",VLOOKUP(ASC47,ARJ4:ARP40,5,FALSE),"")</f>
        <v>0</v>
      </c>
      <c r="ASM47" s="321">
        <f t="shared" ref="ASM47" ca="1" si="14858">IF(ASC47&lt;&gt;"",VLOOKUP(ASC47,ARJ4:ARR40,9,FALSE),"")</f>
        <v>54</v>
      </c>
      <c r="ASN47" s="321">
        <f t="shared" ca="1" si="14007"/>
        <v>0</v>
      </c>
      <c r="ASO47" s="321">
        <f t="shared" ref="ASO47" ca="1" si="14859">IF(ASC47&lt;&gt;"",RANK(ASN47,ASN44:ASN48),"")</f>
        <v>1</v>
      </c>
      <c r="ASP47" s="321">
        <f t="shared" ref="ASP47" ca="1" si="14860">IF(ASC47&lt;&gt;"",SUMPRODUCT((ASN44:ASN48=ASN47)*(ASI44:ASI48&gt;ASI47)),"")</f>
        <v>0</v>
      </c>
      <c r="ASQ47" s="321">
        <f t="shared" ref="ASQ47" ca="1" si="14861">IF(ASC47&lt;&gt;"",SUMPRODUCT((ASN44:ASN48=ASN47)*(ASI44:ASI48=ASI47)*(ASG44:ASG48&gt;ASG47)),"")</f>
        <v>0</v>
      </c>
      <c r="ASR47" s="321">
        <f t="shared" ref="ASR47" ca="1" si="14862">IF(ASC47&lt;&gt;"",SUMPRODUCT((ASN44:ASN48=ASN47)*(ASI44:ASI48=ASI47)*(ASG44:ASG48=ASG47)*(ASK44:ASK48&gt;ASK47)),"")</f>
        <v>0</v>
      </c>
      <c r="ASS47" s="321">
        <f t="shared" ref="ASS47" ca="1" si="14863">IF(ASC47&lt;&gt;"",SUMPRODUCT((ASN44:ASN48=ASN47)*(ASI44:ASI48=ASI47)*(ASG44:ASG48=ASG47)*(ASK44:ASK48=ASK47)*(ASL44:ASL48&gt;ASL47)),"")</f>
        <v>0</v>
      </c>
      <c r="AST47" s="321">
        <f t="shared" ref="AST47" ca="1" si="14864">IF(ASC47&lt;&gt;"",SUMPRODUCT((ASN44:ASN48=ASN47)*(ASI44:ASI48=ASI47)*(ASG44:ASG48=ASG47)*(ASK44:ASK48=ASK47)*(ASL44:ASL48=ASL47)*(ASM44:ASM48&gt;ASM47)),"")</f>
        <v>0</v>
      </c>
      <c r="ASU47" s="321">
        <f t="shared" ca="1" si="14014"/>
        <v>1</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f t="shared" ref="AWZ47" ca="1" si="14880">IF(AXA7&lt;&gt;"",SUMPRODUCT((AXH4:AXH7=AXH7)*(AXG4:AXG7=AXG7)*(AXE4:AXE7=AXE7)*(AXF4:AXF7=AXF7)),"")</f>
        <v>4</v>
      </c>
      <c r="AXA47" s="321" t="str">
        <f t="shared" ca="1" si="14016"/>
        <v>Germany</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f t="shared" ca="1" si="14023"/>
        <v>0</v>
      </c>
      <c r="AXI47" s="321">
        <f t="shared" ref="AXI47" ca="1" si="14886">IF(AXA47&lt;&gt;"",VLOOKUP(AXA47,AWH4:AWN40,7,FALSE),"")</f>
        <v>1000</v>
      </c>
      <c r="AXJ47" s="321">
        <f t="shared" ref="AXJ47" ca="1" si="14887">IF(AXA47&lt;&gt;"",VLOOKUP(AXA47,AWH4:AWN40,5,FALSE),"")</f>
        <v>0</v>
      </c>
      <c r="AXK47" s="321">
        <f t="shared" ref="AXK47" ca="1" si="14888">IF(AXA47&lt;&gt;"",VLOOKUP(AXA47,AWH4:AWP40,9,FALSE),"")</f>
        <v>54</v>
      </c>
      <c r="AXL47" s="321">
        <f t="shared" ca="1" si="14027"/>
        <v>0</v>
      </c>
      <c r="AXM47" s="321">
        <f t="shared" ref="AXM47" ca="1" si="14889">IF(AXA47&lt;&gt;"",RANK(AXL47,AXL44:AXL48),"")</f>
        <v>1</v>
      </c>
      <c r="AXN47" s="321">
        <f t="shared" ref="AXN47" ca="1" si="14890">IF(AXA47&lt;&gt;"",SUMPRODUCT((AXL44:AXL48=AXL47)*(AXG44:AXG48&gt;AXG47)),"")</f>
        <v>0</v>
      </c>
      <c r="AXO47" s="321">
        <f t="shared" ref="AXO47" ca="1" si="14891">IF(AXA47&lt;&gt;"",SUMPRODUCT((AXL44:AXL48=AXL47)*(AXG44:AXG48=AXG47)*(AXE44:AXE48&gt;AXE47)),"")</f>
        <v>0</v>
      </c>
      <c r="AXP47" s="321">
        <f t="shared" ref="AXP47" ca="1" si="14892">IF(AXA47&lt;&gt;"",SUMPRODUCT((AXL44:AXL48=AXL47)*(AXG44:AXG48=AXG47)*(AXE44:AXE48=AXE47)*(AXI44:AXI48&gt;AXI47)),"")</f>
        <v>0</v>
      </c>
      <c r="AXQ47" s="321">
        <f t="shared" ref="AXQ47" ca="1" si="14893">IF(AXA47&lt;&gt;"",SUMPRODUCT((AXL44:AXL48=AXL47)*(AXG44:AXG48=AXG47)*(AXE44:AXE48=AXE47)*(AXI44:AXI48=AXI47)*(AXJ44:AXJ48&gt;AXJ47)),"")</f>
        <v>0</v>
      </c>
      <c r="AXR47" s="321">
        <f t="shared" ref="AXR47" ca="1" si="14894">IF(AXA47&lt;&gt;"",SUMPRODUCT((AXL44:AXL48=AXL47)*(AXG44:AXG48=AXG47)*(AXE44:AXE48=AXE47)*(AXI44:AXI48=AXI47)*(AXJ44:AXJ48=AXJ47)*(AXK44:AXK48&gt;AXK47)),"")</f>
        <v>0</v>
      </c>
      <c r="AXS47" s="321">
        <f t="shared" ca="1" si="14034"/>
        <v>1</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2">
      <c r="B50" s="321" t="str">
        <f>B4</f>
        <v>Germany</v>
      </c>
      <c r="C50" s="321" t="s">
        <v>362</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2">
      <c r="B51" s="321" t="str">
        <f t="shared" ref="B51:B53" si="14958">B5</f>
        <v>Scotland</v>
      </c>
      <c r="C51" s="321" t="s">
        <v>363</v>
      </c>
      <c r="I51" s="321">
        <f>SUMPRODUCT((I11:I14=I11)*(H11:H14=H11)*(F11:F14&gt;F11))+1</f>
        <v>1</v>
      </c>
      <c r="T51" s="321">
        <f>IF(U11&lt;&gt;"",SUMPRODUCT((AB11:AB14=AB11)*(AA11:AA14=AA11)*(Y11:Y14=Y11)*(Z11:Z14=Z11)),"")</f>
        <v>2</v>
      </c>
      <c r="U51" s="321" t="str">
        <f>IF(AND(T51&lt;&gt;"",T51&gt;1),U11,"")</f>
        <v>Italy</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f t="shared" ref="AB51:AB54" si="14959">IF(U51&lt;&gt;"",V51*3+W51*1,"")</f>
        <v>0</v>
      </c>
      <c r="AC51" s="321">
        <f>IF(U51&lt;&gt;"",VLOOKUP(U51,B4:H40,7,FALSE),"")</f>
        <v>1001</v>
      </c>
      <c r="AD51" s="321">
        <f>IF(U51&lt;&gt;"",VLOOKUP(U51,B4:H40,5,FALSE),"")</f>
        <v>2</v>
      </c>
      <c r="AE51" s="321">
        <f>IF(U51&lt;&gt;"",VLOOKUP(U51,B4:J40,9,FALSE),"")</f>
        <v>36</v>
      </c>
      <c r="AF51" s="321">
        <f>AB51</f>
        <v>0</v>
      </c>
      <c r="AG51" s="321">
        <f>IF(U51&lt;&gt;"",RANK(AF51,AF51:AF54),"")</f>
        <v>1</v>
      </c>
      <c r="AH51" s="321">
        <f>IF(U51&lt;&gt;"",SUMPRODUCT((AF51:AF54=AF51)*(AA51:AA54&gt;AA51)),"")</f>
        <v>0</v>
      </c>
      <c r="AI51" s="321">
        <f>IF(U51&lt;&gt;"",SUMPRODUCT((AF51:AF54=AF51)*(AA51:AA54=AA51)*(Y51:Y54&gt;Y51)),"")</f>
        <v>0</v>
      </c>
      <c r="AJ51" s="321">
        <f>IF(U51&lt;&gt;"",SUMPRODUCT((AF51:AF54=AF51)*(AA51:AA54=AA51)*(Y51:Y54=Y51)*(AC51:AC54&gt;AC51)),"")</f>
        <v>1</v>
      </c>
      <c r="AK51" s="321">
        <f>IF(U51&lt;&gt;"",SUMPRODUCT((AF51:AF54=AF51)*(AA51:AA54=AA51)*(Y51:Y54=Y51)*(AC51:AC54=AC51)*(AD51:AD54&gt;AD51)),"")</f>
        <v>0</v>
      </c>
      <c r="AL51" s="321">
        <f>IF(U51&lt;&gt;"",SUMPRODUCT((AF51:AF54=AF51)*(AA51:AA54=AA51)*(Y51:Y54=Y51)*(AC51:AC54=AC51)*(AD51:AD54=AD51)*(AE51:AE54&gt;AE51)),"")</f>
        <v>0</v>
      </c>
      <c r="AM51" s="321">
        <f>IF(U51&lt;&gt;"",SUM(AG51:AL51),"")</f>
        <v>2</v>
      </c>
      <c r="EG51" s="321">
        <f ca="1">SUMPRODUCT((EG11:EG14=EG11)*(EF11:EF14=EF11)*(ED11:ED14&gt;ED11))+1</f>
        <v>1</v>
      </c>
      <c r="ER51" s="321">
        <f ca="1">IF(ES11&lt;&gt;"",SUMPRODUCT((EZ11:EZ14=EZ11)*(EY11:EY14=EY11)*(EW11:EW14=EW11)*(EX11:EX14=EX11)),"")</f>
        <v>2</v>
      </c>
      <c r="ES51" s="321" t="str">
        <f ca="1">IF(AND(ER51&lt;&gt;"",ER51&gt;1),ES11,"")</f>
        <v>Italy</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1</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2</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2</v>
      </c>
      <c r="EY51" s="321">
        <f ca="1">EW51-EX51+1000</f>
        <v>1000</v>
      </c>
      <c r="EZ51" s="321">
        <f t="shared" ref="EZ51:EZ54" ca="1" si="14960">IF(ES51&lt;&gt;"",ET51*3+EU51*1,"")</f>
        <v>1</v>
      </c>
      <c r="FA51" s="321">
        <f ca="1">IF(ES51&lt;&gt;"",VLOOKUP(ES51,DZ4:EF40,7,FALSE),"")</f>
        <v>1004</v>
      </c>
      <c r="FB51" s="321">
        <f ca="1">IF(ES51&lt;&gt;"",VLOOKUP(ES51,DZ4:EF40,5,FALSE),"")</f>
        <v>8</v>
      </c>
      <c r="FC51" s="321">
        <f ca="1">IF(ES51&lt;&gt;"",VLOOKUP(ES51,DZ4:EH40,9,FALSE),"")</f>
        <v>36</v>
      </c>
      <c r="FD51" s="321">
        <f ca="1">EZ51</f>
        <v>1</v>
      </c>
      <c r="FE51" s="321">
        <f ca="1">IF(ES51&lt;&gt;"",RANK(FD51,FD51:FD54),"")</f>
        <v>1</v>
      </c>
      <c r="FF51" s="321">
        <f ca="1">IF(ES51&lt;&gt;"",SUMPRODUCT((FD51:FD54=FD51)*(EY51:EY54&gt;EY51)),"")</f>
        <v>0</v>
      </c>
      <c r="FG51" s="321">
        <f ca="1">IF(ES51&lt;&gt;"",SUMPRODUCT((FD51:FD54=FD51)*(EY51:EY54=EY51)*(EW51:EW54&gt;EW51)),"")</f>
        <v>0</v>
      </c>
      <c r="FH51" s="321">
        <f ca="1">IF(ES51&lt;&gt;"",SUMPRODUCT((FD51:FD54=FD51)*(EY51:EY54=EY51)*(EW51:EW54=EW51)*(FA51:FA54&gt;FA51)),"")</f>
        <v>1</v>
      </c>
      <c r="FI51" s="321">
        <f ca="1">IF(ES51&lt;&gt;"",SUMPRODUCT((FD51:FD54=FD51)*(EY51:EY54=EY51)*(EW51:EW54=EW51)*(FA51:FA54=FA51)*(FB51:FB54&gt;FB51)),"")</f>
        <v>0</v>
      </c>
      <c r="FJ51" s="321">
        <f ca="1">IF(ES51&lt;&gt;"",SUMPRODUCT((FD51:FD54=FD51)*(EY51:EY54=EY51)*(EW51:EW54=EW51)*(FA51:FA54=FA51)*(FB51:FB54=FB51)*(FC51:FC54&gt;FC51)),"")</f>
        <v>0</v>
      </c>
      <c r="FK51" s="321">
        <f ca="1">IF(ES51&lt;&gt;"",SUM(FE51:FJ51),"")</f>
        <v>2</v>
      </c>
      <c r="JE51" s="321">
        <f ca="1">SUMPRODUCT((JE11:JE14=JE11)*(JD11:JD14=JD11)*(JB11:JB14&gt;JB11))+1</f>
        <v>1</v>
      </c>
      <c r="JP51" s="321" t="str">
        <f ca="1">IF(JQ11&lt;&gt;"",SUMPRODUCT((JX11:JX14=JX11)*(JW11:JW14=JW11)*(JU11:JU14=JU11)*(JV11:JV14=JV11)),"")</f>
        <v/>
      </c>
      <c r="JQ51" s="321" t="str">
        <f ca="1">IF(AND(JP51&lt;&gt;"",JP51&gt;1),JQ11,"")</f>
        <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0</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0</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0</v>
      </c>
      <c r="JW51" s="321">
        <f ca="1">JU51-JV51+1000</f>
        <v>1000</v>
      </c>
      <c r="JX51" s="321" t="str">
        <f t="shared" ref="JX51:JX54" ca="1" si="14961">IF(JQ51&lt;&gt;"",JR51*3+JS51*1,"")</f>
        <v/>
      </c>
      <c r="JY51" s="321" t="str">
        <f ca="1">IF(JQ51&lt;&gt;"",VLOOKUP(JQ51,IX4:JD40,7,FALSE),"")</f>
        <v/>
      </c>
      <c r="JZ51" s="321" t="str">
        <f ca="1">IF(JQ51&lt;&gt;"",VLOOKUP(JQ51,IX4:JD40,5,FALSE),"")</f>
        <v/>
      </c>
      <c r="KA51" s="321" t="str">
        <f ca="1">IF(JQ51&lt;&gt;"",VLOOKUP(JQ51,IX4:JF40,9,FALSE),"")</f>
        <v/>
      </c>
      <c r="KB51" s="321" t="str">
        <f ca="1">JX51</f>
        <v/>
      </c>
      <c r="KC51" s="321" t="str">
        <f ca="1">IF(JQ51&lt;&gt;"",RANK(KB51,KB51:KB54),"")</f>
        <v/>
      </c>
      <c r="KD51" s="321" t="str">
        <f ca="1">IF(JQ51&lt;&gt;"",SUMPRODUCT((KB51:KB54=KB51)*(JW51:JW54&gt;JW51)),"")</f>
        <v/>
      </c>
      <c r="KE51" s="321" t="str">
        <f ca="1">IF(JQ51&lt;&gt;"",SUMPRODUCT((KB51:KB54=KB51)*(JW51:JW54=JW51)*(JU51:JU54&gt;JU51)),"")</f>
        <v/>
      </c>
      <c r="KF51" s="321" t="str">
        <f ca="1">IF(JQ51&lt;&gt;"",SUMPRODUCT((KB51:KB54=KB51)*(JW51:JW54=JW51)*(JU51:JU54=JU51)*(JY51:JY54&gt;JY51)),"")</f>
        <v/>
      </c>
      <c r="KG51" s="321" t="str">
        <f ca="1">IF(JQ51&lt;&gt;"",SUMPRODUCT((KB51:KB54=KB51)*(JW51:JW54=JW51)*(JU51:JU54=JU51)*(JY51:JY54=JY51)*(JZ51:JZ54&gt;JZ51)),"")</f>
        <v/>
      </c>
      <c r="KH51" s="321" t="str">
        <f ca="1">IF(JQ51&lt;&gt;"",SUMPRODUCT((KB51:KB54=KB51)*(JW51:JW54=JW51)*(JU51:JU54=JU51)*(JY51:JY54=JY51)*(JZ51:JZ54=JZ51)*(KA51:KA54&gt;KA51)),"")</f>
        <v/>
      </c>
      <c r="KI51" s="321" t="str">
        <f ca="1">IF(JQ51&lt;&gt;"",SUM(KC51:KH51),"")</f>
        <v/>
      </c>
      <c r="OC51" s="321">
        <f ca="1">SUMPRODUCT((OC11:OC14=OC11)*(OB11:OB14=OB11)*(NZ11:NZ14&gt;NZ11))+1</f>
        <v>1</v>
      </c>
      <c r="ON51" s="321">
        <f t="shared" ref="ON51" ca="1" si="14962">IF(OO11&lt;&gt;"",SUMPRODUCT((OV11:OV14=OV11)*(OU11:OU14=OU11)*(OS11:OS14=OS11)*(OT11:OT14=OT11)),"")</f>
        <v>2</v>
      </c>
      <c r="OO51" s="321" t="str">
        <f t="shared" ref="OO51:OO54" ca="1" si="14963">IF(AND(ON51&lt;&gt;"",ON51&gt;1),OO11,"")</f>
        <v>Italy</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1</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1</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1</v>
      </c>
      <c r="OU51" s="321">
        <f t="shared" ref="OU51:OU54" ca="1" si="14969">OS51-OT51+1000</f>
        <v>1000</v>
      </c>
      <c r="OV51" s="321">
        <f t="shared" ref="OV51:OV54" ca="1" si="14970">IF(OO51&lt;&gt;"",OP51*3+OQ51*1,"")</f>
        <v>1</v>
      </c>
      <c r="OW51" s="321">
        <f t="shared" ref="OW51" ca="1" si="14971">IF(OO51&lt;&gt;"",VLOOKUP(OO51,NV4:OB40,7,FALSE),"")</f>
        <v>1003</v>
      </c>
      <c r="OX51" s="321">
        <f t="shared" ref="OX51" ca="1" si="14972">IF(OO51&lt;&gt;"",VLOOKUP(OO51,NV4:OB40,5,FALSE),"")</f>
        <v>5</v>
      </c>
      <c r="OY51" s="321">
        <f t="shared" ref="OY51" ca="1" si="14973">IF(OO51&lt;&gt;"",VLOOKUP(OO51,NV4:OD40,9,FALSE),"")</f>
        <v>36</v>
      </c>
      <c r="OZ51" s="321">
        <f t="shared" ref="OZ51:OZ54" ca="1" si="14974">OV51</f>
        <v>1</v>
      </c>
      <c r="PA51" s="321">
        <f t="shared" ref="PA51" ca="1" si="14975">IF(OO51&lt;&gt;"",RANK(OZ51,OZ51:OZ54),"")</f>
        <v>1</v>
      </c>
      <c r="PB51" s="321">
        <f t="shared" ref="PB51" ca="1" si="14976">IF(OO51&lt;&gt;"",SUMPRODUCT((OZ51:OZ54=OZ51)*(OU51:OU54&gt;OU51)),"")</f>
        <v>0</v>
      </c>
      <c r="PC51" s="321">
        <f t="shared" ref="PC51" ca="1" si="14977">IF(OO51&lt;&gt;"",SUMPRODUCT((OZ51:OZ54=OZ51)*(OU51:OU54=OU51)*(OS51:OS54&gt;OS51)),"")</f>
        <v>0</v>
      </c>
      <c r="PD51" s="321">
        <f t="shared" ref="PD51" ca="1" si="14978">IF(OO51&lt;&gt;"",SUMPRODUCT((OZ51:OZ54=OZ51)*(OU51:OU54=OU51)*(OS51:OS54=OS51)*(OW51:OW54&gt;OW51)),"")</f>
        <v>0</v>
      </c>
      <c r="PE51" s="321">
        <f t="shared" ref="PE51" ca="1" si="14979">IF(OO51&lt;&gt;"",SUMPRODUCT((OZ51:OZ54=OZ51)*(OU51:OU54=OU51)*(OS51:OS54=OS51)*(OW51:OW54=OW51)*(OX51:OX54&gt;OX51)),"")</f>
        <v>0</v>
      </c>
      <c r="PF51" s="321">
        <f t="shared" ref="PF51" ca="1" si="14980">IF(OO51&lt;&gt;"",SUMPRODUCT((OZ51:OZ54=OZ51)*(OU51:OU54=OU51)*(OS51:OS54=OS51)*(OW51:OW54=OW51)*(OX51:OX54=OX51)*(OY51:OY54&gt;OY51)),"")</f>
        <v>1</v>
      </c>
      <c r="PG51" s="321">
        <f t="shared" ref="PG51" ca="1" si="14981">IF(OO51&lt;&gt;"",SUM(PA51:PF51),"")</f>
        <v>2</v>
      </c>
      <c r="TA51" s="321">
        <f ca="1">SUMPRODUCT((TA11:TA14=TA11)*(SZ11:SZ14=SZ11)*(SX11:SX14&gt;SX11))+1</f>
        <v>1</v>
      </c>
      <c r="TL51" s="321">
        <f t="shared" ref="TL51" ca="1" si="14982">IF(TM11&lt;&gt;"",SUMPRODUCT((TT11:TT14=TT11)*(TS11:TS14=TS11)*(TQ11:TQ14=TQ11)*(TR11:TR14=TR11)),"")</f>
        <v>2</v>
      </c>
      <c r="TM51" s="321" t="str">
        <f t="shared" ref="TM51:TM54" ca="1" si="14983">IF(AND(TL51&lt;&gt;"",TL51&gt;1),TM11,"")</f>
        <v>Italy</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1</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1</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1</v>
      </c>
      <c r="TS51" s="321">
        <f t="shared" ref="TS51:TS54" ca="1" si="14989">TQ51-TR51+1000</f>
        <v>1000</v>
      </c>
      <c r="TT51" s="321">
        <f t="shared" ref="TT51:TT54" ca="1" si="14990">IF(TM51&lt;&gt;"",TN51*3+TO51*1,"")</f>
        <v>1</v>
      </c>
      <c r="TU51" s="321">
        <f t="shared" ref="TU51" ca="1" si="14991">IF(TM51&lt;&gt;"",VLOOKUP(TM51,ST4:SZ40,7,FALSE),"")</f>
        <v>1005</v>
      </c>
      <c r="TV51" s="321">
        <f t="shared" ref="TV51" ca="1" si="14992">IF(TM51&lt;&gt;"",VLOOKUP(TM51,ST4:SZ40,5,FALSE),"")</f>
        <v>7</v>
      </c>
      <c r="TW51" s="321">
        <f t="shared" ref="TW51" ca="1" si="14993">IF(TM51&lt;&gt;"",VLOOKUP(TM51,ST4:TB40,9,FALSE),"")</f>
        <v>36</v>
      </c>
      <c r="TX51" s="321">
        <f t="shared" ref="TX51:TX54" ca="1" si="14994">TT51</f>
        <v>1</v>
      </c>
      <c r="TY51" s="321">
        <f t="shared" ref="TY51" ca="1" si="14995">IF(TM51&lt;&gt;"",RANK(TX51,TX51:TX54),"")</f>
        <v>1</v>
      </c>
      <c r="TZ51" s="321">
        <f t="shared" ref="TZ51" ca="1" si="14996">IF(TM51&lt;&gt;"",SUMPRODUCT((TX51:TX54=TX51)*(TS51:TS54&gt;TS51)),"")</f>
        <v>0</v>
      </c>
      <c r="UA51" s="321">
        <f t="shared" ref="UA51" ca="1" si="14997">IF(TM51&lt;&gt;"",SUMPRODUCT((TX51:TX54=TX51)*(TS51:TS54=TS51)*(TQ51:TQ54&gt;TQ51)),"")</f>
        <v>0</v>
      </c>
      <c r="UB51" s="321">
        <f t="shared" ref="UB51" ca="1" si="14998">IF(TM51&lt;&gt;"",SUMPRODUCT((TX51:TX54=TX51)*(TS51:TS54=TS51)*(TQ51:TQ54=TQ51)*(TU51:TU54&gt;TU51)),"")</f>
        <v>1</v>
      </c>
      <c r="UC51" s="321">
        <f t="shared" ref="UC51" ca="1" si="14999">IF(TM51&lt;&gt;"",SUMPRODUCT((TX51:TX54=TX51)*(TS51:TS54=TS51)*(TQ51:TQ54=TQ51)*(TU51:TU54=TU51)*(TV51:TV54&gt;TV51)),"")</f>
        <v>0</v>
      </c>
      <c r="UD51" s="321">
        <f t="shared" ref="UD51" ca="1" si="15000">IF(TM51&lt;&gt;"",SUMPRODUCT((TX51:TX54=TX51)*(TS51:TS54=TS51)*(TQ51:TQ54=TQ51)*(TU51:TU54=TU51)*(TV51:TV54=TV51)*(TW51:TW54&gt;TW51)),"")</f>
        <v>0</v>
      </c>
      <c r="UE51" s="321">
        <f t="shared" ref="UE51" ca="1" si="15001">IF(TM51&lt;&gt;"",SUM(TY51:UD51),"")</f>
        <v>2</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f t="shared" ref="ADH51" ca="1" si="15022">IF(ADI11&lt;&gt;"",SUMPRODUCT((ADP11:ADP14=ADP11)*(ADO11:ADO14=ADO11)*(ADM11:ADM14=ADM11)*(ADN11:ADN14=ADN11)),"")</f>
        <v>2</v>
      </c>
      <c r="ADI51" s="321" t="str">
        <f t="shared" ref="ADI51:ADI54" ca="1" si="15023">IF(AND(ADH51&lt;&gt;"",ADH51&gt;1),ADI11,"")</f>
        <v>Italy</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1</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1</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1</v>
      </c>
      <c r="ADO51" s="321">
        <f t="shared" ref="ADO51:ADO54" ca="1" si="15029">ADM51-ADN51+1000</f>
        <v>1000</v>
      </c>
      <c r="ADP51" s="321">
        <f t="shared" ref="ADP51:ADP54" ca="1" si="15030">IF(ADI51&lt;&gt;"",ADJ51*3+ADK51*1,"")</f>
        <v>1</v>
      </c>
      <c r="ADQ51" s="321">
        <f t="shared" ref="ADQ51" ca="1" si="15031">IF(ADI51&lt;&gt;"",VLOOKUP(ADI51,ACP4:ACV40,7,FALSE),"")</f>
        <v>1004</v>
      </c>
      <c r="ADR51" s="321">
        <f t="shared" ref="ADR51" ca="1" si="15032">IF(ADI51&lt;&gt;"",VLOOKUP(ADI51,ACP4:ACV40,5,FALSE),"")</f>
        <v>6</v>
      </c>
      <c r="ADS51" s="321">
        <f t="shared" ref="ADS51" ca="1" si="15033">IF(ADI51&lt;&gt;"",VLOOKUP(ADI51,ACP4:ACX40,9,FALSE),"")</f>
        <v>36</v>
      </c>
      <c r="ADT51" s="321">
        <f t="shared" ref="ADT51:ADT54" ca="1" si="15034">ADP51</f>
        <v>1</v>
      </c>
      <c r="ADU51" s="321">
        <f t="shared" ref="ADU51" ca="1" si="15035">IF(ADI51&lt;&gt;"",RANK(ADT51,ADT51:ADT54),"")</f>
        <v>1</v>
      </c>
      <c r="ADV51" s="321">
        <f t="shared" ref="ADV51" ca="1" si="15036">IF(ADI51&lt;&gt;"",SUMPRODUCT((ADT51:ADT54=ADT51)*(ADO51:ADO54&gt;ADO51)),"")</f>
        <v>0</v>
      </c>
      <c r="ADW51" s="321">
        <f t="shared" ref="ADW51" ca="1" si="15037">IF(ADI51&lt;&gt;"",SUMPRODUCT((ADT51:ADT54=ADT51)*(ADO51:ADO54=ADO51)*(ADM51:ADM54&gt;ADM51)),"")</f>
        <v>0</v>
      </c>
      <c r="ADX51" s="321">
        <f t="shared" ref="ADX51" ca="1" si="15038">IF(ADI51&lt;&gt;"",SUMPRODUCT((ADT51:ADT54=ADT51)*(ADO51:ADO54=ADO51)*(ADM51:ADM54=ADM51)*(ADQ51:ADQ54&gt;ADQ51)),"")</f>
        <v>0</v>
      </c>
      <c r="ADY51" s="321">
        <f t="shared" ref="ADY51" ca="1" si="15039">IF(ADI51&lt;&gt;"",SUMPRODUCT((ADT51:ADT54=ADT51)*(ADO51:ADO54=ADO51)*(ADM51:ADM54=ADM51)*(ADQ51:ADQ54=ADQ51)*(ADR51:ADR54&gt;ADR51)),"")</f>
        <v>0</v>
      </c>
      <c r="ADZ51" s="321">
        <f t="shared" ref="ADZ51" ca="1" si="15040">IF(ADI51&lt;&gt;"",SUMPRODUCT((ADT51:ADT54=ADT51)*(ADO51:ADO54=ADO51)*(ADM51:ADM54=ADM51)*(ADQ51:ADQ54=ADQ51)*(ADR51:ADR54=ADR51)*(ADS51:ADS54&gt;ADS51)),"")</f>
        <v>1</v>
      </c>
      <c r="AEA51" s="321">
        <f t="shared" ref="AEA51" ca="1" si="15041">IF(ADI51&lt;&gt;"",SUM(ADU51:ADZ51),"")</f>
        <v>2</v>
      </c>
      <c r="AHU51" s="321">
        <f ca="1">SUMPRODUCT((AHU11:AHU14=AHU11)*(AHT11:AHT14=AHT11)*(AHR11:AHR14&gt;AHR11))+1</f>
        <v>1</v>
      </c>
      <c r="AIF51" s="321">
        <f t="shared" ref="AIF51" ca="1" si="15042">IF(AIG11&lt;&gt;"",SUMPRODUCT((AIN11:AIN14=AIN11)*(AIM11:AIM14=AIM11)*(AIK11:AIK14=AIK11)*(AIL11:AIL14=AIL11)),"")</f>
        <v>4</v>
      </c>
      <c r="AIG51" s="321" t="str">
        <f t="shared" ref="AIG51:AIG54" ca="1" si="15043">IF(AND(AIF51&lt;&gt;"",AIF51&gt;1),AIG11,"")</f>
        <v>Italy</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0</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0</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0</v>
      </c>
      <c r="AIM51" s="321">
        <f t="shared" ref="AIM51:AIM54" ca="1" si="15049">AIK51-AIL51+1000</f>
        <v>1000</v>
      </c>
      <c r="AIN51" s="321">
        <f t="shared" ref="AIN51:AIN54" ca="1" si="15050">IF(AIG51&lt;&gt;"",AIH51*3+AII51*1,"")</f>
        <v>0</v>
      </c>
      <c r="AIO51" s="321">
        <f t="shared" ref="AIO51" ca="1" si="15051">IF(AIG51&lt;&gt;"",VLOOKUP(AIG51,AHN4:AHT40,7,FALSE),"")</f>
        <v>1000</v>
      </c>
      <c r="AIP51" s="321">
        <f t="shared" ref="AIP51" ca="1" si="15052">IF(AIG51&lt;&gt;"",VLOOKUP(AIG51,AHN4:AHT40,5,FALSE),"")</f>
        <v>0</v>
      </c>
      <c r="AIQ51" s="321">
        <f t="shared" ref="AIQ51" ca="1" si="15053">IF(AIG51&lt;&gt;"",VLOOKUP(AIG51,AHN4:AHV40,9,FALSE),"")</f>
        <v>36</v>
      </c>
      <c r="AIR51" s="321">
        <f t="shared" ref="AIR51:AIR54" ca="1" si="15054">AIN51</f>
        <v>0</v>
      </c>
      <c r="AIS51" s="321">
        <f t="shared" ref="AIS51" ca="1" si="15055">IF(AIG51&lt;&gt;"",RANK(AIR51,AIR51:AIR54),"")</f>
        <v>1</v>
      </c>
      <c r="AIT51" s="321">
        <f t="shared" ref="AIT51" ca="1" si="15056">IF(AIG51&lt;&gt;"",SUMPRODUCT((AIR51:AIR54=AIR51)*(AIM51:AIM54&gt;AIM51)),"")</f>
        <v>0</v>
      </c>
      <c r="AIU51" s="321">
        <f t="shared" ref="AIU51" ca="1" si="15057">IF(AIG51&lt;&gt;"",SUMPRODUCT((AIR51:AIR54=AIR51)*(AIM51:AIM54=AIM51)*(AIK51:AIK54&gt;AIK51)),"")</f>
        <v>0</v>
      </c>
      <c r="AIV51" s="321">
        <f t="shared" ref="AIV51" ca="1" si="15058">IF(AIG51&lt;&gt;"",SUMPRODUCT((AIR51:AIR54=AIR51)*(AIM51:AIM54=AIM51)*(AIK51:AIK54=AIK51)*(AIO51:AIO54&gt;AIO51)),"")</f>
        <v>0</v>
      </c>
      <c r="AIW51" s="321">
        <f t="shared" ref="AIW51" ca="1" si="15059">IF(AIG51&lt;&gt;"",SUMPRODUCT((AIR51:AIR54=AIR51)*(AIM51:AIM54=AIM51)*(AIK51:AIK54=AIK51)*(AIO51:AIO54=AIO51)*(AIP51:AIP54&gt;AIP51)),"")</f>
        <v>0</v>
      </c>
      <c r="AIX51" s="321">
        <f t="shared" ref="AIX51" ca="1" si="15060">IF(AIG51&lt;&gt;"",SUMPRODUCT((AIR51:AIR54=AIR51)*(AIM51:AIM54=AIM51)*(AIK51:AIK54=AIK51)*(AIO51:AIO54=AIO51)*(AIP51:AIP54=AIP51)*(AIQ51:AIQ54&gt;AIQ51)),"")</f>
        <v>3</v>
      </c>
      <c r="AIY51" s="321">
        <f t="shared" ref="AIY51" ca="1" si="15061">IF(AIG51&lt;&gt;"",SUM(AIS51:AIX51),"")</f>
        <v>4</v>
      </c>
      <c r="AMS51" s="321">
        <f ca="1">SUMPRODUCT((AMS11:AMS14=AMS11)*(AMR11:AMR14=AMR11)*(AMP11:AMP14&gt;AMP11))+1</f>
        <v>1</v>
      </c>
      <c r="AND51" s="321">
        <f t="shared" ref="AND51" ca="1" si="15062">IF(ANE11&lt;&gt;"",SUMPRODUCT((ANL11:ANL14=ANL11)*(ANK11:ANK14=ANK11)*(ANI11:ANI14=ANI11)*(ANJ11:ANJ14=ANJ11)),"")</f>
        <v>4</v>
      </c>
      <c r="ANE51" s="321" t="str">
        <f t="shared" ref="ANE51:ANE54" ca="1" si="15063">IF(AND(AND51&lt;&gt;"",AND51&gt;1),ANE11,"")</f>
        <v>Italy</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f t="shared" ref="ANL51:ANL54" ca="1" si="15070">IF(ANE51&lt;&gt;"",ANF51*3+ANG51*1,"")</f>
        <v>0</v>
      </c>
      <c r="ANM51" s="321">
        <f t="shared" ref="ANM51" ca="1" si="15071">IF(ANE51&lt;&gt;"",VLOOKUP(ANE51,AML4:AMR40,7,FALSE),"")</f>
        <v>1000</v>
      </c>
      <c r="ANN51" s="321">
        <f t="shared" ref="ANN51" ca="1" si="15072">IF(ANE51&lt;&gt;"",VLOOKUP(ANE51,AML4:AMR40,5,FALSE),"")</f>
        <v>0</v>
      </c>
      <c r="ANO51" s="321">
        <f t="shared" ref="ANO51" ca="1" si="15073">IF(ANE51&lt;&gt;"",VLOOKUP(ANE51,AML4:AMT40,9,FALSE),"")</f>
        <v>36</v>
      </c>
      <c r="ANP51" s="321">
        <f t="shared" ref="ANP51:ANP54" ca="1" si="15074">ANL51</f>
        <v>0</v>
      </c>
      <c r="ANQ51" s="321">
        <f t="shared" ref="ANQ51" ca="1" si="15075">IF(ANE51&lt;&gt;"",RANK(ANP51,ANP51:ANP54),"")</f>
        <v>1</v>
      </c>
      <c r="ANR51" s="321">
        <f t="shared" ref="ANR51" ca="1" si="15076">IF(ANE51&lt;&gt;"",SUMPRODUCT((ANP51:ANP54=ANP51)*(ANK51:ANK54&gt;ANK51)),"")</f>
        <v>0</v>
      </c>
      <c r="ANS51" s="321">
        <f t="shared" ref="ANS51" ca="1" si="15077">IF(ANE51&lt;&gt;"",SUMPRODUCT((ANP51:ANP54=ANP51)*(ANK51:ANK54=ANK51)*(ANI51:ANI54&gt;ANI51)),"")</f>
        <v>0</v>
      </c>
      <c r="ANT51" s="321">
        <f t="shared" ref="ANT51" ca="1" si="15078">IF(ANE51&lt;&gt;"",SUMPRODUCT((ANP51:ANP54=ANP51)*(ANK51:ANK54=ANK51)*(ANI51:ANI54=ANI51)*(ANM51:ANM54&gt;ANM51)),"")</f>
        <v>0</v>
      </c>
      <c r="ANU51" s="321">
        <f t="shared" ref="ANU51" ca="1" si="15079">IF(ANE51&lt;&gt;"",SUMPRODUCT((ANP51:ANP54=ANP51)*(ANK51:ANK54=ANK51)*(ANI51:ANI54=ANI51)*(ANM51:ANM54=ANM51)*(ANN51:ANN54&gt;ANN51)),"")</f>
        <v>0</v>
      </c>
      <c r="ANV51" s="321">
        <f t="shared" ref="ANV51" ca="1" si="15080">IF(ANE51&lt;&gt;"",SUMPRODUCT((ANP51:ANP54=ANP51)*(ANK51:ANK54=ANK51)*(ANI51:ANI54=ANI51)*(ANM51:ANM54=ANM51)*(ANN51:ANN54=ANN51)*(ANO51:ANO54&gt;ANO51)),"")</f>
        <v>3</v>
      </c>
      <c r="ANW51" s="321">
        <f t="shared" ref="ANW51" ca="1" si="15081">IF(ANE51&lt;&gt;"",SUM(ANQ51:ANV51),"")</f>
        <v>4</v>
      </c>
      <c r="ARQ51" s="321">
        <f ca="1">SUMPRODUCT((ARQ11:ARQ14=ARQ11)*(ARP11:ARP14=ARP11)*(ARN11:ARN14&gt;ARN11))+1</f>
        <v>1</v>
      </c>
      <c r="ASB51" s="321">
        <f t="shared" ref="ASB51" ca="1" si="15082">IF(ASC11&lt;&gt;"",SUMPRODUCT((ASJ11:ASJ14=ASJ11)*(ASI11:ASI14=ASI11)*(ASG11:ASG14=ASG11)*(ASH11:ASH14=ASH11)),"")</f>
        <v>4</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0</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0</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0</v>
      </c>
      <c r="ASI51" s="321">
        <f t="shared" ref="ASI51:ASI54" ca="1" si="15089">ASG51-ASH51+1000</f>
        <v>1000</v>
      </c>
      <c r="ASJ51" s="321">
        <f t="shared" ref="ASJ51:ASJ54" ca="1" si="15090">IF(ASC51&lt;&gt;"",ASD51*3+ASE51*1,"")</f>
        <v>0</v>
      </c>
      <c r="ASK51" s="321">
        <f t="shared" ref="ASK51" ca="1" si="15091">IF(ASC51&lt;&gt;"",VLOOKUP(ASC51,ARJ4:ARP40,7,FALSE),"")</f>
        <v>1000</v>
      </c>
      <c r="ASL51" s="321">
        <f t="shared" ref="ASL51" ca="1" si="15092">IF(ASC51&lt;&gt;"",VLOOKUP(ASC51,ARJ4:ARP40,5,FALSE),"")</f>
        <v>0</v>
      </c>
      <c r="ASM51" s="321">
        <f t="shared" ref="ASM51" ca="1" si="15093">IF(ASC51&lt;&gt;"",VLOOKUP(ASC51,ARJ4:ARR40,9,FALSE),"")</f>
        <v>36</v>
      </c>
      <c r="ASN51" s="321">
        <f t="shared" ref="ASN51:ASN54" ca="1" si="15094">ASJ51</f>
        <v>0</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3</v>
      </c>
      <c r="ASU51" s="321">
        <f t="shared" ref="ASU51" ca="1" si="15101">IF(ASC51&lt;&gt;"",SUM(ASO51:AST51),"")</f>
        <v>4</v>
      </c>
      <c r="AWO51" s="321">
        <f ca="1">SUMPRODUCT((AWO11:AWO14=AWO11)*(AWN11:AWN14=AWN11)*(AWL11:AWL14&gt;AWL11))+1</f>
        <v>1</v>
      </c>
      <c r="AWZ51" s="321">
        <f t="shared" ref="AWZ51" ca="1" si="15102">IF(AXA11&lt;&gt;"",SUMPRODUCT((AXH11:AXH14=AXH11)*(AXG11:AXG14=AXG11)*(AXE11:AXE14=AXE11)*(AXF11:AXF14=AXF11)),"")</f>
        <v>4</v>
      </c>
      <c r="AXA51" s="321" t="str">
        <f t="shared" ref="AXA51:AXA54" ca="1" si="15103">IF(AND(AWZ51&lt;&gt;"",AWZ51&gt;1),AXA11,"")</f>
        <v>Italy</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f t="shared" ref="AXH51:AXH54" ca="1" si="15110">IF(AXA51&lt;&gt;"",AXB51*3+AXC51*1,"")</f>
        <v>0</v>
      </c>
      <c r="AXI51" s="321">
        <f t="shared" ref="AXI51" ca="1" si="15111">IF(AXA51&lt;&gt;"",VLOOKUP(AXA51,AWH4:AWN40,7,FALSE),"")</f>
        <v>1000</v>
      </c>
      <c r="AXJ51" s="321">
        <f t="shared" ref="AXJ51" ca="1" si="15112">IF(AXA51&lt;&gt;"",VLOOKUP(AXA51,AWH4:AWN40,5,FALSE),"")</f>
        <v>0</v>
      </c>
      <c r="AXK51" s="321">
        <f t="shared" ref="AXK51" ca="1" si="15113">IF(AXA51&lt;&gt;"",VLOOKUP(AXA51,AWH4:AWP40,9,FALSE),"")</f>
        <v>36</v>
      </c>
      <c r="AXL51" s="321">
        <f t="shared" ref="AXL51:AXL54" ca="1" si="15114">AXH51</f>
        <v>0</v>
      </c>
      <c r="AXM51" s="321">
        <f t="shared" ref="AXM51" ca="1" si="15115">IF(AXA51&lt;&gt;"",RANK(AXL51,AXL51:AXL54),"")</f>
        <v>1</v>
      </c>
      <c r="AXN51" s="321">
        <f t="shared" ref="AXN51" ca="1" si="15116">IF(AXA51&lt;&gt;"",SUMPRODUCT((AXL51:AXL54=AXL51)*(AXG51:AXG54&gt;AXG51)),"")</f>
        <v>0</v>
      </c>
      <c r="AXO51" s="321">
        <f t="shared" ref="AXO51" ca="1" si="15117">IF(AXA51&lt;&gt;"",SUMPRODUCT((AXL51:AXL54=AXL51)*(AXG51:AXG54=AXG51)*(AXE51:AXE54&gt;AXE51)),"")</f>
        <v>0</v>
      </c>
      <c r="AXP51" s="321">
        <f t="shared" ref="AXP51" ca="1" si="15118">IF(AXA51&lt;&gt;"",SUMPRODUCT((AXL51:AXL54=AXL51)*(AXG51:AXG54=AXG51)*(AXE51:AXE54=AXE51)*(AXI51:AXI54&gt;AXI51)),"")</f>
        <v>0</v>
      </c>
      <c r="AXQ51" s="321">
        <f t="shared" ref="AXQ51" ca="1" si="15119">IF(AXA51&lt;&gt;"",SUMPRODUCT((AXL51:AXL54=AXL51)*(AXG51:AXG54=AXG51)*(AXE51:AXE54=AXE51)*(AXI51:AXI54=AXI51)*(AXJ51:AXJ54&gt;AXJ51)),"")</f>
        <v>0</v>
      </c>
      <c r="AXR51" s="321">
        <f t="shared" ref="AXR51" ca="1" si="15120">IF(AXA51&lt;&gt;"",SUMPRODUCT((AXL51:AXL54=AXL51)*(AXG51:AXG54=AXG51)*(AXE51:AXE54=AXE51)*(AXI51:AXI54=AXI51)*(AXJ51:AXJ54=AXJ51)*(AXK51:AXK54&gt;AXK51)),"")</f>
        <v>3</v>
      </c>
      <c r="AXS51" s="321">
        <f t="shared" ref="AXS51" ca="1" si="15121">IF(AXA51&lt;&gt;"",SUM(AXM51:AXR51),"")</f>
        <v>4</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2">
      <c r="B52" s="321" t="str">
        <f t="shared" si="14958"/>
        <v>Hungary</v>
      </c>
      <c r="C52" s="321" t="s">
        <v>364</v>
      </c>
      <c r="I52" s="321">
        <f>SUMPRODUCT((I11:I14=I12)*(H11:H14=H12)*(F11:F14&gt;F12))+1</f>
        <v>1</v>
      </c>
      <c r="T52" s="321">
        <f>IF(U12&lt;&gt;"",SUMPRODUCT((AB11:AB14=AB12)*(AA11:AA14=AA12)*(Y11:Y14=Y12)*(Z11:Z14=Z12)),"")</f>
        <v>2</v>
      </c>
      <c r="U52" s="321" t="str">
        <f t="shared" ref="U52:U54" si="15142">IF(AND(T52&lt;&gt;"",T52&gt;1),U12,"")</f>
        <v>Spain</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f t="shared" si="14959"/>
        <v>0</v>
      </c>
      <c r="AC52" s="321">
        <f>IF(U52&lt;&gt;"",VLOOKUP(U52,B4:H40,7,FALSE),"")</f>
        <v>1003</v>
      </c>
      <c r="AD52" s="321">
        <f>IF(U52&lt;&gt;"",VLOOKUP(U52,B4:H40,5,FALSE),"")</f>
        <v>3</v>
      </c>
      <c r="AE52" s="321">
        <f>IF(U52&lt;&gt;"",VLOOKUP(U52,B4:J40,9,FALSE),"")</f>
        <v>51</v>
      </c>
      <c r="AF52" s="321">
        <f t="shared" ref="AF52:AF54" si="15143">AB52</f>
        <v>0</v>
      </c>
      <c r="AG52" s="321">
        <f>IF(U52&lt;&gt;"",RANK(AF52,AF51:AF54),"")</f>
        <v>1</v>
      </c>
      <c r="AH52" s="321">
        <f>IF(U52&lt;&gt;"",SUMPRODUCT((AF51:AF54=AF52)*(AA51:AA54&gt;AA52)),"")</f>
        <v>0</v>
      </c>
      <c r="AI52" s="321">
        <f>IF(U52&lt;&gt;"",SUMPRODUCT((AF51:AF54=AF52)*(AA51:AA54=AA52)*(Y51:Y54&gt;Y52)),"")</f>
        <v>0</v>
      </c>
      <c r="AJ52" s="321">
        <f>IF(U52&lt;&gt;"",SUMPRODUCT((AF51:AF54=AF52)*(AA51:AA54=AA52)*(Y51:Y54=Y52)*(AC51:AC54&gt;AC52)),"")</f>
        <v>0</v>
      </c>
      <c r="AK52" s="321">
        <f>IF(U52&lt;&gt;"",SUMPRODUCT((AF51:AF54=AF52)*(AA51:AA54=AA52)*(Y51:Y54=Y52)*(AC51:AC54=AC52)*(AD51:AD54&gt;AD52)),"")</f>
        <v>0</v>
      </c>
      <c r="AL52" s="321">
        <f>IF(U52&lt;&gt;"",SUMPRODUCT((AF51:AF54=AF52)*(AA51:AA54=AA52)*(Y51:Y54=Y52)*(AC51:AC54=AC52)*(AD51:AD54=AD52)*(AE51:AE54&gt;AE52)),"")</f>
        <v>0</v>
      </c>
      <c r="AM52" s="321">
        <f t="shared" ref="AM52:AM54" si="15144">IF(U52&lt;&gt;"",SUM(AG52:AL52),"")</f>
        <v>1</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f ca="1">IF(ES12&lt;&gt;"",SUMPRODUCT((EZ11:EZ14=EZ12)*(EY11:EY14=EY12)*(EW11:EW14=EW12)*(EX11:EX14=EX12)),"")</f>
        <v>2</v>
      </c>
      <c r="ES52" s="321" t="str">
        <f t="shared" ref="ES52:ES54" ca="1" si="15148">IF(AND(ER52&lt;&gt;"",ER52&gt;1),ES12,"")</f>
        <v>Spain</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1</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2</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2</v>
      </c>
      <c r="EY52" s="321">
        <f ca="1">EW52-EX52+1000</f>
        <v>1000</v>
      </c>
      <c r="EZ52" s="321">
        <f t="shared" ca="1" si="14960"/>
        <v>1</v>
      </c>
      <c r="FA52" s="321">
        <f ca="1">IF(ES52&lt;&gt;"",VLOOKUP(ES52,DZ4:EF40,7,FALSE),"")</f>
        <v>1007</v>
      </c>
      <c r="FB52" s="321">
        <f ca="1">IF(ES52&lt;&gt;"",VLOOKUP(ES52,DZ4:EF40,5,FALSE),"")</f>
        <v>9</v>
      </c>
      <c r="FC52" s="321">
        <f ca="1">IF(ES52&lt;&gt;"",VLOOKUP(ES52,DZ4:EH40,9,FALSE),"")</f>
        <v>51</v>
      </c>
      <c r="FD52" s="321">
        <f t="shared" ref="FD52:FD54" ca="1" si="15149">EZ52</f>
        <v>1</v>
      </c>
      <c r="FE52" s="321">
        <f ca="1">IF(ES52&lt;&gt;"",RANK(FD52,FD51:FD54),"")</f>
        <v>1</v>
      </c>
      <c r="FF52" s="321">
        <f ca="1">IF(ES52&lt;&gt;"",SUMPRODUCT((FD51:FD54=FD52)*(EY51:EY54&gt;EY52)),"")</f>
        <v>0</v>
      </c>
      <c r="FG52" s="321">
        <f ca="1">IF(ES52&lt;&gt;"",SUMPRODUCT((FD51:FD54=FD52)*(EY51:EY54=EY52)*(EW51:EW54&gt;EW52)),"")</f>
        <v>0</v>
      </c>
      <c r="FH52" s="321">
        <f ca="1">IF(ES52&lt;&gt;"",SUMPRODUCT((FD51:FD54=FD52)*(EY51:EY54=EY52)*(EW51:EW54=EW52)*(FA51:FA54&gt;FA52)),"")</f>
        <v>0</v>
      </c>
      <c r="FI52" s="321">
        <f ca="1">IF(ES52&lt;&gt;"",SUMPRODUCT((FD51:FD54=FD52)*(EY51:EY54=EY52)*(EW51:EW54=EW52)*(FA51:FA54=FA52)*(FB51:FB54&gt;FB52)),"")</f>
        <v>0</v>
      </c>
      <c r="FJ52" s="321">
        <f ca="1">IF(ES52&lt;&gt;"",SUMPRODUCT((FD51:FD54=FD52)*(EY51:EY54=EY52)*(EW51:EW54=EW52)*(FA51:FA54=FA52)*(FB51:FB54=FB52)*(FC51:FC54&gt;FC52)),"")</f>
        <v>0</v>
      </c>
      <c r="FK52" s="321">
        <f t="shared" ref="FK52:FK54" ca="1" si="15150">IF(ES52&lt;&gt;"",SUM(FE52:FJ52),"")</f>
        <v>1</v>
      </c>
      <c r="FL52" s="321" t="str">
        <f ca="1">IF(FM12&lt;&gt;"",SUMPRODUCT((FT11:FT14=FT12)*(FS11:FS14=FS12)*(FQ11:FQ14=FQ12)*(FR11:FR14=FR12)),"")</f>
        <v/>
      </c>
      <c r="FM52" s="321" t="str">
        <f t="shared" ref="FM52:FM54" ca="1" si="15151">IF(AND(FL52&lt;&gt;"",FL52&gt;1),FM12,"")</f>
        <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0</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1">
        <f ca="1">FQ52-FR52+1000</f>
        <v>1000</v>
      </c>
      <c r="FT52" s="321" t="str">
        <f t="shared" ref="FT52:FT54" ca="1" si="15152">IF(FM52&lt;&gt;"",FN52*3+FO52*1,"")</f>
        <v/>
      </c>
      <c r="FU52" s="321" t="str">
        <f ca="1">IF(FM52&lt;&gt;"",VLOOKUP(FM52,DZ4:EF40,7,FALSE),"")</f>
        <v/>
      </c>
      <c r="FV52" s="321" t="str">
        <f ca="1">IF(FM52&lt;&gt;"",VLOOKUP(FM52,DZ4:EF40,5,FALSE),"")</f>
        <v/>
      </c>
      <c r="FW52" s="321" t="str">
        <f ca="1">IF(FM52&lt;&gt;"",VLOOKUP(FM52,DZ4:EH40,9,FALSE),"")</f>
        <v/>
      </c>
      <c r="FX52" s="321" t="str">
        <f t="shared" ref="FX52:FX54" ca="1" si="15153">FT52</f>
        <v/>
      </c>
      <c r="FY52" s="321" t="str">
        <f ca="1">IF(FM52&lt;&gt;"",RANK(FX52,FX51:FX54),"")</f>
        <v/>
      </c>
      <c r="FZ52" s="321" t="str">
        <f ca="1">IF(FM52&lt;&gt;"",SUMPRODUCT((FX51:FX54=FX52)*(FS51:FS54&gt;FS52)),"")</f>
        <v/>
      </c>
      <c r="GA52" s="321" t="str">
        <f ca="1">IF(FM52&lt;&gt;"",SUMPRODUCT((FX51:FX54=FX52)*(FS51:FS54=FS52)*(FQ51:FQ54&gt;FQ52)),"")</f>
        <v/>
      </c>
      <c r="GB52" s="321" t="str">
        <f ca="1">IF(FM52&lt;&gt;"",SUMPRODUCT((FX51:FX54=FX52)*(FS51:FS54=FS52)*(FQ51:FQ54=FQ52)*(FU51:FU54&gt;FU52)),"")</f>
        <v/>
      </c>
      <c r="GC52" s="321" t="str">
        <f ca="1">IF(FM52&lt;&gt;"",SUMPRODUCT((FX51:FX54=FX52)*(FS51:FS54=FS52)*(FQ51:FQ54=FQ52)*(FU51:FU54=FU52)*(FV51:FV54&gt;FV52)),"")</f>
        <v/>
      </c>
      <c r="GD52" s="321" t="str">
        <f ca="1">IF(FM52&lt;&gt;"",SUMPRODUCT((FX51:FX54=FX52)*(FS51:FS54=FS52)*(FQ51:FQ54=FQ52)*(FU51:FU54=FU52)*(FV51:FV54=FV52)*(FW51:FW54&gt;FW52)),"")</f>
        <v/>
      </c>
      <c r="GE52" s="321" t="str">
        <f ca="1">IF(FM52&lt;&gt;"",SUM(FY52:GD52)+1,"")</f>
        <v/>
      </c>
      <c r="JE52" s="321">
        <f ca="1">SUMPRODUCT((JE11:JE14=JE12)*(JD11:JD14=JD12)*(JB11:JB14&gt;JB12))+1</f>
        <v>1</v>
      </c>
      <c r="JP52" s="321" t="str">
        <f ca="1">IF(JQ12&lt;&gt;"",SUMPRODUCT((JX11:JX14=JX12)*(JW11:JW14=JW12)*(JU11:JU14=JU12)*(JV11:JV14=JV12)),"")</f>
        <v/>
      </c>
      <c r="JQ52" s="321" t="str">
        <f t="shared" ref="JQ52:JQ54" ca="1" si="15154">IF(AND(JP52&lt;&gt;"",JP52&gt;1),JQ12,"")</f>
        <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0</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0</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0</v>
      </c>
      <c r="JW52" s="321">
        <f ca="1">JU52-JV52+1000</f>
        <v>1000</v>
      </c>
      <c r="JX52" s="321" t="str">
        <f t="shared" ca="1" si="14961"/>
        <v/>
      </c>
      <c r="JY52" s="321" t="str">
        <f ca="1">IF(JQ52&lt;&gt;"",VLOOKUP(JQ52,IX4:JD40,7,FALSE),"")</f>
        <v/>
      </c>
      <c r="JZ52" s="321" t="str">
        <f ca="1">IF(JQ52&lt;&gt;"",VLOOKUP(JQ52,IX4:JD40,5,FALSE),"")</f>
        <v/>
      </c>
      <c r="KA52" s="321" t="str">
        <f ca="1">IF(JQ52&lt;&gt;"",VLOOKUP(JQ52,IX4:JF40,9,FALSE),"")</f>
        <v/>
      </c>
      <c r="KB52" s="321" t="str">
        <f t="shared" ref="KB52:KB54" ca="1" si="15155">JX52</f>
        <v/>
      </c>
      <c r="KC52" s="321" t="str">
        <f ca="1">IF(JQ52&lt;&gt;"",RANK(KB52,KB51:KB54),"")</f>
        <v/>
      </c>
      <c r="KD52" s="321" t="str">
        <f ca="1">IF(JQ52&lt;&gt;"",SUMPRODUCT((KB51:KB54=KB52)*(JW51:JW54&gt;JW52)),"")</f>
        <v/>
      </c>
      <c r="KE52" s="321" t="str">
        <f ca="1">IF(JQ52&lt;&gt;"",SUMPRODUCT((KB51:KB54=KB52)*(JW51:JW54=JW52)*(JU51:JU54&gt;JU52)),"")</f>
        <v/>
      </c>
      <c r="KF52" s="321" t="str">
        <f ca="1">IF(JQ52&lt;&gt;"",SUMPRODUCT((KB51:KB54=KB52)*(JW51:JW54=JW52)*(JU51:JU54=JU52)*(JY51:JY54&gt;JY52)),"")</f>
        <v/>
      </c>
      <c r="KG52" s="321" t="str">
        <f ca="1">IF(JQ52&lt;&gt;"",SUMPRODUCT((KB51:KB54=KB52)*(JW51:JW54=JW52)*(JU51:JU54=JU52)*(JY51:JY54=JY52)*(JZ51:JZ54&gt;JZ52)),"")</f>
        <v/>
      </c>
      <c r="KH52" s="321" t="str">
        <f ca="1">IF(JQ52&lt;&gt;"",SUMPRODUCT((KB51:KB54=KB52)*(JW51:JW54=JW52)*(JU51:JU54=JU52)*(JY51:JY54=JY52)*(JZ51:JZ54=JZ52)*(KA51:KA54&gt;KA52)),"")</f>
        <v/>
      </c>
      <c r="KI52" s="321" t="str">
        <f t="shared" ref="KI52:KI54" ca="1" si="15156">IF(JQ52&lt;&gt;"",SUM(KC52:KH52),"")</f>
        <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f t="shared" ref="ON52" ca="1" si="15160">IF(OO12&lt;&gt;"",SUMPRODUCT((OV11:OV14=OV12)*(OU11:OU14=OU12)*(OS11:OS14=OS12)*(OT11:OT14=OT12)),"")</f>
        <v>2</v>
      </c>
      <c r="OO52" s="321" t="str">
        <f t="shared" ca="1" si="14963"/>
        <v>Spain</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1</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1</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1</v>
      </c>
      <c r="OU52" s="321">
        <f t="shared" ca="1" si="14969"/>
        <v>1000</v>
      </c>
      <c r="OV52" s="321">
        <f t="shared" ca="1" si="14970"/>
        <v>1</v>
      </c>
      <c r="OW52" s="321">
        <f t="shared" ref="OW52" ca="1" si="15166">IF(OO52&lt;&gt;"",VLOOKUP(OO52,NV4:OB40,7,FALSE),"")</f>
        <v>1003</v>
      </c>
      <c r="OX52" s="321">
        <f t="shared" ref="OX52" ca="1" si="15167">IF(OO52&lt;&gt;"",VLOOKUP(OO52,NV4:OB40,5,FALSE),"")</f>
        <v>5</v>
      </c>
      <c r="OY52" s="321">
        <f t="shared" ref="OY52" ca="1" si="15168">IF(OO52&lt;&gt;"",VLOOKUP(OO52,NV4:OD40,9,FALSE),"")</f>
        <v>51</v>
      </c>
      <c r="OZ52" s="321">
        <f t="shared" ca="1" si="14974"/>
        <v>1</v>
      </c>
      <c r="PA52" s="321">
        <f t="shared" ref="PA52" ca="1" si="15169">IF(OO52&lt;&gt;"",RANK(OZ52,OZ51:OZ54),"")</f>
        <v>1</v>
      </c>
      <c r="PB52" s="321">
        <f t="shared" ref="PB52" ca="1" si="15170">IF(OO52&lt;&gt;"",SUMPRODUCT((OZ51:OZ54=OZ52)*(OU51:OU54&gt;OU52)),"")</f>
        <v>0</v>
      </c>
      <c r="PC52" s="321">
        <f t="shared" ref="PC52" ca="1" si="15171">IF(OO52&lt;&gt;"",SUMPRODUCT((OZ51:OZ54=OZ52)*(OU51:OU54=OU52)*(OS51:OS54&gt;OS52)),"")</f>
        <v>0</v>
      </c>
      <c r="PD52" s="321">
        <f t="shared" ref="PD52" ca="1" si="15172">IF(OO52&lt;&gt;"",SUMPRODUCT((OZ51:OZ54=OZ52)*(OU51:OU54=OU52)*(OS51:OS54=OS52)*(OW51:OW54&gt;OW52)),"")</f>
        <v>0</v>
      </c>
      <c r="PE52" s="321">
        <f t="shared" ref="PE52" ca="1" si="15173">IF(OO52&lt;&gt;"",SUMPRODUCT((OZ51:OZ54=OZ52)*(OU51:OU54=OU52)*(OS51:OS54=OS52)*(OW51:OW54=OW52)*(OX51:OX54&gt;OX52)),"")</f>
        <v>0</v>
      </c>
      <c r="PF52" s="321">
        <f t="shared" ref="PF52" ca="1" si="15174">IF(OO52&lt;&gt;"",SUMPRODUCT((OZ51:OZ54=OZ52)*(OU51:OU54=OU52)*(OS51:OS54=OS52)*(OW51:OW54=OW52)*(OX51:OX54=OX52)*(OY51:OY54&gt;OY52)),"")</f>
        <v>0</v>
      </c>
      <c r="PG52" s="321">
        <f t="shared" ref="PG52:PG54" ca="1" si="15175">IF(OO52&lt;&gt;"",SUM(PA52:PF52),"")</f>
        <v>1</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f t="shared" ref="TL52" ca="1" si="15196">IF(TM12&lt;&gt;"",SUMPRODUCT((TT11:TT14=TT12)*(TS11:TS14=TS12)*(TQ11:TQ14=TQ12)*(TR11:TR14=TR12)),"")</f>
        <v>2</v>
      </c>
      <c r="TM52" s="321" t="str">
        <f t="shared" ca="1" si="14983"/>
        <v>Spain</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1</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1</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1</v>
      </c>
      <c r="TS52" s="321">
        <f t="shared" ca="1" si="14989"/>
        <v>1000</v>
      </c>
      <c r="TT52" s="321">
        <f t="shared" ca="1" si="14990"/>
        <v>1</v>
      </c>
      <c r="TU52" s="321">
        <f t="shared" ref="TU52" ca="1" si="15202">IF(TM52&lt;&gt;"",VLOOKUP(TM52,ST4:SZ40,7,FALSE),"")</f>
        <v>1006</v>
      </c>
      <c r="TV52" s="321">
        <f t="shared" ref="TV52" ca="1" si="15203">IF(TM52&lt;&gt;"",VLOOKUP(TM52,ST4:SZ40,5,FALSE),"")</f>
        <v>8</v>
      </c>
      <c r="TW52" s="321">
        <f t="shared" ref="TW52" ca="1" si="15204">IF(TM52&lt;&gt;"",VLOOKUP(TM52,ST4:TB40,9,FALSE),"")</f>
        <v>51</v>
      </c>
      <c r="TX52" s="321">
        <f t="shared" ca="1" si="14994"/>
        <v>1</v>
      </c>
      <c r="TY52" s="321">
        <f t="shared" ref="TY52" ca="1" si="15205">IF(TM52&lt;&gt;"",RANK(TX52,TX51:TX54),"")</f>
        <v>1</v>
      </c>
      <c r="TZ52" s="321">
        <f t="shared" ref="TZ52" ca="1" si="15206">IF(TM52&lt;&gt;"",SUMPRODUCT((TX51:TX54=TX52)*(TS51:TS54&gt;TS52)),"")</f>
        <v>0</v>
      </c>
      <c r="UA52" s="321">
        <f t="shared" ref="UA52" ca="1" si="15207">IF(TM52&lt;&gt;"",SUMPRODUCT((TX51:TX54=TX52)*(TS51:TS54=TS52)*(TQ51:TQ54&gt;TQ52)),"")</f>
        <v>0</v>
      </c>
      <c r="UB52" s="321">
        <f t="shared" ref="UB52" ca="1" si="15208">IF(TM52&lt;&gt;"",SUMPRODUCT((TX51:TX54=TX52)*(TS51:TS54=TS52)*(TQ51:TQ54=TQ52)*(TU51:TU54&gt;TU52)),"")</f>
        <v>0</v>
      </c>
      <c r="UC52" s="321">
        <f t="shared" ref="UC52" ca="1" si="15209">IF(TM52&lt;&gt;"",SUMPRODUCT((TX51:TX54=TX52)*(TS51:TS54=TS52)*(TQ51:TQ54=TQ52)*(TU51:TU54=TU52)*(TV51:TV54&gt;TV52)),"")</f>
        <v>0</v>
      </c>
      <c r="UD52" s="321">
        <f t="shared" ref="UD52" ca="1" si="15210">IF(TM52&lt;&gt;"",SUMPRODUCT((TX51:TX54=TX52)*(TS51:TS54=TS52)*(TQ51:TQ54=TQ52)*(TU51:TU54=TU52)*(TV51:TV54=TV52)*(TW51:TW54&gt;TW52)),"")</f>
        <v>0</v>
      </c>
      <c r="UE52" s="321">
        <f t="shared" ref="UE52:UE54" ca="1" si="15211">IF(TM52&lt;&gt;"",SUM(TY52:UD52),"")</f>
        <v>1</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t="str">
        <f t="shared" ref="ZD52" ca="1" si="15248">IF(ZE12&lt;&gt;"",SUMPRODUCT((ZL11:ZL14=ZL12)*(ZK11:ZK14=ZK12)*(ZI11:ZI14=ZI12)*(ZJ11:ZJ14=ZJ12)),"")</f>
        <v/>
      </c>
      <c r="ZE52" s="321" t="str">
        <f t="shared" ref="ZE52:ZE54" ca="1" si="15249">IF(AND(ZD52&lt;&gt;"",ZD52&gt;1),ZE12,"")</f>
        <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0</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0</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0</v>
      </c>
      <c r="ZK52" s="321">
        <f t="shared" ref="ZK52:ZK54" ca="1" si="15255">ZI52-ZJ52+1000</f>
        <v>1000</v>
      </c>
      <c r="ZL52" s="321" t="str">
        <f t="shared" ref="ZL52:ZL54" ca="1" si="15256">IF(ZE52&lt;&gt;"",ZF52*3+ZG52*1,"")</f>
        <v/>
      </c>
      <c r="ZM52" s="321" t="str">
        <f t="shared" ref="ZM52" ca="1" si="15257">IF(ZE52&lt;&gt;"",VLOOKUP(ZE52,XR4:XX40,7,FALSE),"")</f>
        <v/>
      </c>
      <c r="ZN52" s="321" t="str">
        <f t="shared" ref="ZN52" ca="1" si="15258">IF(ZE52&lt;&gt;"",VLOOKUP(ZE52,XR4:XX40,5,FALSE),"")</f>
        <v/>
      </c>
      <c r="ZO52" s="321" t="str">
        <f t="shared" ref="ZO52" ca="1" si="15259">IF(ZE52&lt;&gt;"",VLOOKUP(ZE52,XR4:XZ40,9,FALSE),"")</f>
        <v/>
      </c>
      <c r="ZP52" s="321" t="str">
        <f t="shared" ref="ZP52:ZP54" ca="1" si="15260">ZL52</f>
        <v/>
      </c>
      <c r="ZQ52" s="321" t="str">
        <f t="shared" ref="ZQ52" ca="1" si="15261">IF(ZE52&lt;&gt;"",RANK(ZP52,ZP51:ZP54),"")</f>
        <v/>
      </c>
      <c r="ZR52" s="321" t="str">
        <f t="shared" ref="ZR52" ca="1" si="15262">IF(ZE52&lt;&gt;"",SUMPRODUCT((ZP51:ZP54=ZP52)*(ZK51:ZK54&gt;ZK52)),"")</f>
        <v/>
      </c>
      <c r="ZS52" s="321" t="str">
        <f t="shared" ref="ZS52" ca="1" si="15263">IF(ZE52&lt;&gt;"",SUMPRODUCT((ZP51:ZP54=ZP52)*(ZK51:ZK54=ZK52)*(ZI51:ZI54&gt;ZI52)),"")</f>
        <v/>
      </c>
      <c r="ZT52" s="321" t="str">
        <f t="shared" ref="ZT52" ca="1" si="15264">IF(ZE52&lt;&gt;"",SUMPRODUCT((ZP51:ZP54=ZP52)*(ZK51:ZK54=ZK52)*(ZI51:ZI54=ZI52)*(ZM51:ZM54&gt;ZM52)),"")</f>
        <v/>
      </c>
      <c r="ZU52" s="321" t="str">
        <f t="shared" ref="ZU52" ca="1" si="15265">IF(ZE52&lt;&gt;"",SUMPRODUCT((ZP51:ZP54=ZP52)*(ZK51:ZK54=ZK52)*(ZI51:ZI54=ZI52)*(ZM51:ZM54=ZM52)*(ZN51:ZN54&gt;ZN52)),"")</f>
        <v/>
      </c>
      <c r="ZV52" s="321" t="str">
        <f t="shared" ref="ZV52" ca="1" si="15266">IF(ZE52&lt;&gt;"",SUMPRODUCT((ZP51:ZP54=ZP52)*(ZK51:ZK54=ZK52)*(ZI51:ZI54=ZI52)*(ZM51:ZM54=ZM52)*(ZN51:ZN54=ZN52)*(ZO51:ZO54&gt;ZO52)),"")</f>
        <v/>
      </c>
      <c r="ZW52" s="321" t="str">
        <f t="shared" ref="ZW52" ca="1" si="15267">IF(ZE52&lt;&gt;"",SUM(ZQ52:ZV52)+1,"")</f>
        <v/>
      </c>
      <c r="ACW52" s="321">
        <f ca="1">SUMPRODUCT((ACW11:ACW14=ACW12)*(ACV11:ACV14=ACV12)*(ACT11:ACT14&gt;ACT12))+1</f>
        <v>1</v>
      </c>
      <c r="ADH52" s="321">
        <f t="shared" ref="ADH52" ca="1" si="15268">IF(ADI12&lt;&gt;"",SUMPRODUCT((ADP11:ADP14=ADP12)*(ADO11:ADO14=ADO12)*(ADM11:ADM14=ADM12)*(ADN11:ADN14=ADN12)),"")</f>
        <v>2</v>
      </c>
      <c r="ADI52" s="321" t="str">
        <f t="shared" ca="1" si="15023"/>
        <v>Spain</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1</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1</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1</v>
      </c>
      <c r="ADO52" s="321">
        <f t="shared" ca="1" si="15029"/>
        <v>1000</v>
      </c>
      <c r="ADP52" s="321">
        <f t="shared" ca="1" si="15030"/>
        <v>1</v>
      </c>
      <c r="ADQ52" s="321">
        <f t="shared" ref="ADQ52" ca="1" si="15274">IF(ADI52&lt;&gt;"",VLOOKUP(ADI52,ACP4:ACV40,7,FALSE),"")</f>
        <v>1004</v>
      </c>
      <c r="ADR52" s="321">
        <f t="shared" ref="ADR52" ca="1" si="15275">IF(ADI52&lt;&gt;"",VLOOKUP(ADI52,ACP4:ACV40,5,FALSE),"")</f>
        <v>6</v>
      </c>
      <c r="ADS52" s="321">
        <f t="shared" ref="ADS52" ca="1" si="15276">IF(ADI52&lt;&gt;"",VLOOKUP(ADI52,ACP4:ACX40,9,FALSE),"")</f>
        <v>51</v>
      </c>
      <c r="ADT52" s="321">
        <f t="shared" ca="1" si="15034"/>
        <v>1</v>
      </c>
      <c r="ADU52" s="321">
        <f t="shared" ref="ADU52" ca="1" si="15277">IF(ADI52&lt;&gt;"",RANK(ADT52,ADT51:ADT54),"")</f>
        <v>1</v>
      </c>
      <c r="ADV52" s="321">
        <f t="shared" ref="ADV52" ca="1" si="15278">IF(ADI52&lt;&gt;"",SUMPRODUCT((ADT51:ADT54=ADT52)*(ADO51:ADO54&gt;ADO52)),"")</f>
        <v>0</v>
      </c>
      <c r="ADW52" s="321">
        <f t="shared" ref="ADW52" ca="1" si="15279">IF(ADI52&lt;&gt;"",SUMPRODUCT((ADT51:ADT54=ADT52)*(ADO51:ADO54=ADO52)*(ADM51:ADM54&gt;ADM52)),"")</f>
        <v>0</v>
      </c>
      <c r="ADX52" s="321">
        <f t="shared" ref="ADX52" ca="1" si="15280">IF(ADI52&lt;&gt;"",SUMPRODUCT((ADT51:ADT54=ADT52)*(ADO51:ADO54=ADO52)*(ADM51:ADM54=ADM52)*(ADQ51:ADQ54&gt;ADQ52)),"")</f>
        <v>0</v>
      </c>
      <c r="ADY52" s="321">
        <f t="shared" ref="ADY52" ca="1" si="15281">IF(ADI52&lt;&gt;"",SUMPRODUCT((ADT51:ADT54=ADT52)*(ADO51:ADO54=ADO52)*(ADM51:ADM54=ADM52)*(ADQ51:ADQ54=ADQ52)*(ADR51:ADR54&gt;ADR52)),"")</f>
        <v>0</v>
      </c>
      <c r="ADZ52" s="321">
        <f t="shared" ref="ADZ52" ca="1" si="15282">IF(ADI52&lt;&gt;"",SUMPRODUCT((ADT51:ADT54=ADT52)*(ADO51:ADO54=ADO52)*(ADM51:ADM54=ADM52)*(ADQ51:ADQ54=ADQ52)*(ADR51:ADR54=ADR52)*(ADS51:ADS54&gt;ADS52)),"")</f>
        <v>0</v>
      </c>
      <c r="AEA52" s="321">
        <f t="shared" ref="AEA52:AEA54" ca="1" si="15283">IF(ADI52&lt;&gt;"",SUM(ADU52:ADZ52),"")</f>
        <v>1</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f t="shared" ref="AIF52" ca="1" si="15304">IF(AIG12&lt;&gt;"",SUMPRODUCT((AIN11:AIN14=AIN12)*(AIM11:AIM14=AIM12)*(AIK11:AIK14=AIK12)*(AIL11:AIL14=AIL12)),"")</f>
        <v>4</v>
      </c>
      <c r="AIG52" s="321" t="str">
        <f t="shared" ca="1" si="15043"/>
        <v>Croatia</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0</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0</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0</v>
      </c>
      <c r="AIM52" s="321">
        <f t="shared" ca="1" si="15049"/>
        <v>1000</v>
      </c>
      <c r="AIN52" s="321">
        <f t="shared" ca="1" si="15050"/>
        <v>0</v>
      </c>
      <c r="AIO52" s="321">
        <f t="shared" ref="AIO52" ca="1" si="15310">IF(AIG52&lt;&gt;"",VLOOKUP(AIG52,AHN4:AHT40,7,FALSE),"")</f>
        <v>1000</v>
      </c>
      <c r="AIP52" s="321">
        <f t="shared" ref="AIP52" ca="1" si="15311">IF(AIG52&lt;&gt;"",VLOOKUP(AIG52,AHN4:AHT40,5,FALSE),"")</f>
        <v>0</v>
      </c>
      <c r="AIQ52" s="321">
        <f t="shared" ref="AIQ52" ca="1" si="15312">IF(AIG52&lt;&gt;"",VLOOKUP(AIG52,AHN4:AHV40,9,FALSE),"")</f>
        <v>40</v>
      </c>
      <c r="AIR52" s="321">
        <f t="shared" ca="1" si="15054"/>
        <v>0</v>
      </c>
      <c r="AIS52" s="321">
        <f t="shared" ref="AIS52" ca="1" si="15313">IF(AIG52&lt;&gt;"",RANK(AIR52,AIR51:AIR54),"")</f>
        <v>1</v>
      </c>
      <c r="AIT52" s="321">
        <f t="shared" ref="AIT52" ca="1" si="15314">IF(AIG52&lt;&gt;"",SUMPRODUCT((AIR51:AIR54=AIR52)*(AIM51:AIM54&gt;AIM52)),"")</f>
        <v>0</v>
      </c>
      <c r="AIU52" s="321">
        <f t="shared" ref="AIU52" ca="1" si="15315">IF(AIG52&lt;&gt;"",SUMPRODUCT((AIR51:AIR54=AIR52)*(AIM51:AIM54=AIM52)*(AIK51:AIK54&gt;AIK52)),"")</f>
        <v>0</v>
      </c>
      <c r="AIV52" s="321">
        <f t="shared" ref="AIV52" ca="1" si="15316">IF(AIG52&lt;&gt;"",SUMPRODUCT((AIR51:AIR54=AIR52)*(AIM51:AIM54=AIM52)*(AIK51:AIK54=AIK52)*(AIO51:AIO54&gt;AIO52)),"")</f>
        <v>0</v>
      </c>
      <c r="AIW52" s="321">
        <f t="shared" ref="AIW52" ca="1" si="15317">IF(AIG52&lt;&gt;"",SUMPRODUCT((AIR51:AIR54=AIR52)*(AIM51:AIM54=AIM52)*(AIK51:AIK54=AIK52)*(AIO51:AIO54=AIO52)*(AIP51:AIP54&gt;AIP52)),"")</f>
        <v>0</v>
      </c>
      <c r="AIX52" s="321">
        <f t="shared" ref="AIX52" ca="1" si="15318">IF(AIG52&lt;&gt;"",SUMPRODUCT((AIR51:AIR54=AIR52)*(AIM51:AIM54=AIM52)*(AIK51:AIK54=AIK52)*(AIO51:AIO54=AIO52)*(AIP51:AIP54=AIP52)*(AIQ51:AIQ54&gt;AIQ52)),"")</f>
        <v>2</v>
      </c>
      <c r="AIY52" s="321">
        <f t="shared" ref="AIY52:AIY54" ca="1" si="15319">IF(AIG52&lt;&gt;"",SUM(AIS52:AIX52),"")</f>
        <v>3</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f t="shared" ref="AND52" ca="1" si="15340">IF(ANE12&lt;&gt;"",SUMPRODUCT((ANL11:ANL14=ANL12)*(ANK11:ANK14=ANK12)*(ANI11:ANI14=ANI12)*(ANJ11:ANJ14=ANJ12)),"")</f>
        <v>4</v>
      </c>
      <c r="ANE52" s="321" t="str">
        <f t="shared" ca="1" si="15063"/>
        <v>Croatia</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f t="shared" ca="1" si="15070"/>
        <v>0</v>
      </c>
      <c r="ANM52" s="321">
        <f t="shared" ref="ANM52" ca="1" si="15346">IF(ANE52&lt;&gt;"",VLOOKUP(ANE52,AML4:AMR40,7,FALSE),"")</f>
        <v>1000</v>
      </c>
      <c r="ANN52" s="321">
        <f t="shared" ref="ANN52" ca="1" si="15347">IF(ANE52&lt;&gt;"",VLOOKUP(ANE52,AML4:AMR40,5,FALSE),"")</f>
        <v>0</v>
      </c>
      <c r="ANO52" s="321">
        <f t="shared" ref="ANO52" ca="1" si="15348">IF(ANE52&lt;&gt;"",VLOOKUP(ANE52,AML4:AMT40,9,FALSE),"")</f>
        <v>40</v>
      </c>
      <c r="ANP52" s="321">
        <f t="shared" ca="1" si="15074"/>
        <v>0</v>
      </c>
      <c r="ANQ52" s="321">
        <f t="shared" ref="ANQ52" ca="1" si="15349">IF(ANE52&lt;&gt;"",RANK(ANP52,ANP51:ANP54),"")</f>
        <v>1</v>
      </c>
      <c r="ANR52" s="321">
        <f t="shared" ref="ANR52" ca="1" si="15350">IF(ANE52&lt;&gt;"",SUMPRODUCT((ANP51:ANP54=ANP52)*(ANK51:ANK54&gt;ANK52)),"")</f>
        <v>0</v>
      </c>
      <c r="ANS52" s="321">
        <f t="shared" ref="ANS52" ca="1" si="15351">IF(ANE52&lt;&gt;"",SUMPRODUCT((ANP51:ANP54=ANP52)*(ANK51:ANK54=ANK52)*(ANI51:ANI54&gt;ANI52)),"")</f>
        <v>0</v>
      </c>
      <c r="ANT52" s="321">
        <f t="shared" ref="ANT52" ca="1" si="15352">IF(ANE52&lt;&gt;"",SUMPRODUCT((ANP51:ANP54=ANP52)*(ANK51:ANK54=ANK52)*(ANI51:ANI54=ANI52)*(ANM51:ANM54&gt;ANM52)),"")</f>
        <v>0</v>
      </c>
      <c r="ANU52" s="321">
        <f t="shared" ref="ANU52" ca="1" si="15353">IF(ANE52&lt;&gt;"",SUMPRODUCT((ANP51:ANP54=ANP52)*(ANK51:ANK54=ANK52)*(ANI51:ANI54=ANI52)*(ANM51:ANM54=ANM52)*(ANN51:ANN54&gt;ANN52)),"")</f>
        <v>0</v>
      </c>
      <c r="ANV52" s="321">
        <f t="shared" ref="ANV52" ca="1" si="15354">IF(ANE52&lt;&gt;"",SUMPRODUCT((ANP51:ANP54=ANP52)*(ANK51:ANK54=ANK52)*(ANI51:ANI54=ANI52)*(ANM51:ANM54=ANM52)*(ANN51:ANN54=ANN52)*(ANO51:ANO54&gt;ANO52)),"")</f>
        <v>2</v>
      </c>
      <c r="ANW52" s="321">
        <f t="shared" ref="ANW52:ANW54" ca="1" si="15355">IF(ANE52&lt;&gt;"",SUM(ANQ52:ANV52),"")</f>
        <v>3</v>
      </c>
      <c r="ANX52" s="321" t="str">
        <f t="shared" ref="ANX52" ca="1" si="15356">IF(ANY12&lt;&gt;"",SUMPRODUCT((AOF11:AOF14=AOF12)*(AOE11:AOE14=AOE12)*(AOC11:AOC14=AOC12)*(AOD11:AOD14=AOD12)),"")</f>
        <v/>
      </c>
      <c r="ANY52" s="321" t="str">
        <f t="shared" ref="ANY52:ANY54" ca="1" si="15357">IF(AND(ANX52&lt;&gt;"",ANX52&gt;1),ANY12,"")</f>
        <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0</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0</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0</v>
      </c>
      <c r="AOE52" s="321">
        <f t="shared" ref="AOE52:AOE54" ca="1" si="15363">AOC52-AOD52+1000</f>
        <v>1000</v>
      </c>
      <c r="AOF52" s="321" t="str">
        <f t="shared" ref="AOF52:AOF54" ca="1" si="15364">IF(ANY52&lt;&gt;"",ANZ52*3+AOA52*1,"")</f>
        <v/>
      </c>
      <c r="AOG52" s="321" t="str">
        <f t="shared" ref="AOG52" ca="1" si="15365">IF(ANY52&lt;&gt;"",VLOOKUP(ANY52,AML4:AMR40,7,FALSE),"")</f>
        <v/>
      </c>
      <c r="AOH52" s="321" t="str">
        <f t="shared" ref="AOH52" ca="1" si="15366">IF(ANY52&lt;&gt;"",VLOOKUP(ANY52,AML4:AMR40,5,FALSE),"")</f>
        <v/>
      </c>
      <c r="AOI52" s="321" t="str">
        <f t="shared" ref="AOI52" ca="1" si="15367">IF(ANY52&lt;&gt;"",VLOOKUP(ANY52,AML4:AMT40,9,FALSE),"")</f>
        <v/>
      </c>
      <c r="AOJ52" s="321" t="str">
        <f t="shared" ref="AOJ52:AOJ54" ca="1" si="15368">AOF52</f>
        <v/>
      </c>
      <c r="AOK52" s="321" t="str">
        <f t="shared" ref="AOK52" ca="1" si="15369">IF(ANY52&lt;&gt;"",RANK(AOJ52,AOJ51:AOJ54),"")</f>
        <v/>
      </c>
      <c r="AOL52" s="321" t="str">
        <f t="shared" ref="AOL52" ca="1" si="15370">IF(ANY52&lt;&gt;"",SUMPRODUCT((AOJ51:AOJ54=AOJ52)*(AOE51:AOE54&gt;AOE52)),"")</f>
        <v/>
      </c>
      <c r="AOM52" s="321" t="str">
        <f t="shared" ref="AOM52" ca="1" si="15371">IF(ANY52&lt;&gt;"",SUMPRODUCT((AOJ51:AOJ54=AOJ52)*(AOE51:AOE54=AOE52)*(AOC51:AOC54&gt;AOC52)),"")</f>
        <v/>
      </c>
      <c r="AON52" s="321" t="str">
        <f t="shared" ref="AON52" ca="1" si="15372">IF(ANY52&lt;&gt;"",SUMPRODUCT((AOJ51:AOJ54=AOJ52)*(AOE51:AOE54=AOE52)*(AOC51:AOC54=AOC52)*(AOG51:AOG54&gt;AOG52)),"")</f>
        <v/>
      </c>
      <c r="AOO52" s="321" t="str">
        <f t="shared" ref="AOO52" ca="1" si="15373">IF(ANY52&lt;&gt;"",SUMPRODUCT((AOJ51:AOJ54=AOJ52)*(AOE51:AOE54=AOE52)*(AOC51:AOC54=AOC52)*(AOG51:AOG54=AOG52)*(AOH51:AOH54&gt;AOH52)),"")</f>
        <v/>
      </c>
      <c r="AOP52" s="321" t="str">
        <f t="shared" ref="AOP52" ca="1" si="15374">IF(ANY52&lt;&gt;"",SUMPRODUCT((AOJ51:AOJ54=AOJ52)*(AOE51:AOE54=AOE52)*(AOC51:AOC54=AOC52)*(AOG51:AOG54=AOG52)*(AOH51:AOH54=AOH52)*(AOI51:AOI54&gt;AOI52)),"")</f>
        <v/>
      </c>
      <c r="AOQ52" s="321" t="str">
        <f t="shared" ref="AOQ52" ca="1" si="15375">IF(ANY52&lt;&gt;"",SUM(AOK52:AOP52)+1,"")</f>
        <v/>
      </c>
      <c r="ARQ52" s="321">
        <f ca="1">SUMPRODUCT((ARQ11:ARQ14=ARQ12)*(ARP11:ARP14=ARP12)*(ARN11:ARN14&gt;ARN12))+1</f>
        <v>1</v>
      </c>
      <c r="ASB52" s="321">
        <f t="shared" ref="ASB52" ca="1" si="15376">IF(ASC12&lt;&gt;"",SUMPRODUCT((ASJ11:ASJ14=ASJ12)*(ASI11:ASI14=ASI12)*(ASG11:ASG14=ASG12)*(ASH11:ASH14=ASH12)),"")</f>
        <v>4</v>
      </c>
      <c r="ASC52" s="321" t="str">
        <f t="shared" ca="1" si="15083"/>
        <v>Croatia</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0</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0</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0</v>
      </c>
      <c r="ASI52" s="321">
        <f t="shared" ca="1" si="15089"/>
        <v>1000</v>
      </c>
      <c r="ASJ52" s="321">
        <f t="shared" ca="1" si="15090"/>
        <v>0</v>
      </c>
      <c r="ASK52" s="321">
        <f t="shared" ref="ASK52" ca="1" si="15382">IF(ASC52&lt;&gt;"",VLOOKUP(ASC52,ARJ4:ARP40,7,FALSE),"")</f>
        <v>1000</v>
      </c>
      <c r="ASL52" s="321">
        <f t="shared" ref="ASL52" ca="1" si="15383">IF(ASC52&lt;&gt;"",VLOOKUP(ASC52,ARJ4:ARP40,5,FALSE),"")</f>
        <v>0</v>
      </c>
      <c r="ASM52" s="321">
        <f t="shared" ref="ASM52" ca="1" si="15384">IF(ASC52&lt;&gt;"",VLOOKUP(ASC52,ARJ4:ARR40,9,FALSE),"")</f>
        <v>40</v>
      </c>
      <c r="ASN52" s="321">
        <f t="shared" ca="1" si="15094"/>
        <v>0</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0</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2</v>
      </c>
      <c r="ASU52" s="321">
        <f t="shared" ref="ASU52:ASU54" ca="1" si="15391">IF(ASC52&lt;&gt;"",SUM(ASO52:AST52),"")</f>
        <v>3</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f t="shared" ref="AWZ52" ca="1" si="15412">IF(AXA12&lt;&gt;"",SUMPRODUCT((AXH11:AXH14=AXH12)*(AXG11:AXG14=AXG12)*(AXE11:AXE14=AXE12)*(AXF11:AXF14=AXF12)),"")</f>
        <v>4</v>
      </c>
      <c r="AXA52" s="321" t="str">
        <f t="shared" ca="1" si="15103"/>
        <v>Croatia</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f t="shared" ca="1" si="15110"/>
        <v>0</v>
      </c>
      <c r="AXI52" s="321">
        <f t="shared" ref="AXI52" ca="1" si="15418">IF(AXA52&lt;&gt;"",VLOOKUP(AXA52,AWH4:AWN40,7,FALSE),"")</f>
        <v>1000</v>
      </c>
      <c r="AXJ52" s="321">
        <f t="shared" ref="AXJ52" ca="1" si="15419">IF(AXA52&lt;&gt;"",VLOOKUP(AXA52,AWH4:AWN40,5,FALSE),"")</f>
        <v>0</v>
      </c>
      <c r="AXK52" s="321">
        <f t="shared" ref="AXK52" ca="1" si="15420">IF(AXA52&lt;&gt;"",VLOOKUP(AXA52,AWH4:AWP40,9,FALSE),"")</f>
        <v>40</v>
      </c>
      <c r="AXL52" s="321">
        <f t="shared" ca="1" si="15114"/>
        <v>0</v>
      </c>
      <c r="AXM52" s="321">
        <f t="shared" ref="AXM52" ca="1" si="15421">IF(AXA52&lt;&gt;"",RANK(AXL52,AXL51:AXL54),"")</f>
        <v>1</v>
      </c>
      <c r="AXN52" s="321">
        <f t="shared" ref="AXN52" ca="1" si="15422">IF(AXA52&lt;&gt;"",SUMPRODUCT((AXL51:AXL54=AXL52)*(AXG51:AXG54&gt;AXG52)),"")</f>
        <v>0</v>
      </c>
      <c r="AXO52" s="321">
        <f t="shared" ref="AXO52" ca="1" si="15423">IF(AXA52&lt;&gt;"",SUMPRODUCT((AXL51:AXL54=AXL52)*(AXG51:AXG54=AXG52)*(AXE51:AXE54&gt;AXE52)),"")</f>
        <v>0</v>
      </c>
      <c r="AXP52" s="321">
        <f t="shared" ref="AXP52" ca="1" si="15424">IF(AXA52&lt;&gt;"",SUMPRODUCT((AXL51:AXL54=AXL52)*(AXG51:AXG54=AXG52)*(AXE51:AXE54=AXE52)*(AXI51:AXI54&gt;AXI52)),"")</f>
        <v>0</v>
      </c>
      <c r="AXQ52" s="321">
        <f t="shared" ref="AXQ52" ca="1" si="15425">IF(AXA52&lt;&gt;"",SUMPRODUCT((AXL51:AXL54=AXL52)*(AXG51:AXG54=AXG52)*(AXE51:AXE54=AXE52)*(AXI51:AXI54=AXI52)*(AXJ51:AXJ54&gt;AXJ52)),"")</f>
        <v>0</v>
      </c>
      <c r="AXR52" s="321">
        <f t="shared" ref="AXR52" ca="1" si="15426">IF(AXA52&lt;&gt;"",SUMPRODUCT((AXL51:AXL54=AXL52)*(AXG51:AXG54=AXG52)*(AXE51:AXE54=AXE52)*(AXI51:AXI54=AXI52)*(AXJ51:AXJ54=AXJ52)*(AXK51:AXK54&gt;AXK52)),"")</f>
        <v>2</v>
      </c>
      <c r="AXS52" s="321">
        <f t="shared" ref="AXS52:AXS54" ca="1" si="15427">IF(AXA52&lt;&gt;"",SUM(AXM52:AXR52),"")</f>
        <v>3</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2">
      <c r="B53" s="321" t="str">
        <f t="shared" si="14958"/>
        <v>Switzerland</v>
      </c>
      <c r="C53" s="321" t="s">
        <v>365</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t="str">
        <f ca="1">IF(FM13&lt;&gt;"",SUMPRODUCT((FT11:FT14=FT13)*(FS11:FS14=FS13)*(FQ11:FQ14=FQ13)*(FR11:FR14=FR13)),"")</f>
        <v/>
      </c>
      <c r="FM53" s="321" t="str">
        <f t="shared" ca="1" si="15151"/>
        <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0</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1">
        <f ca="1">FQ53-FR53+1000</f>
        <v>1000</v>
      </c>
      <c r="FT53" s="321" t="str">
        <f t="shared" ca="1" si="15152"/>
        <v/>
      </c>
      <c r="FU53" s="321" t="str">
        <f ca="1">IF(FM53&lt;&gt;"",VLOOKUP(FM53,DZ4:EF40,7,FALSE),"")</f>
        <v/>
      </c>
      <c r="FV53" s="321" t="str">
        <f ca="1">IF(FM53&lt;&gt;"",VLOOKUP(FM53,DZ4:EF40,5,FALSE),"")</f>
        <v/>
      </c>
      <c r="FW53" s="321" t="str">
        <f ca="1">IF(FM53&lt;&gt;"",VLOOKUP(FM53,DZ4:EH40,9,FALSE),"")</f>
        <v/>
      </c>
      <c r="FX53" s="321" t="str">
        <f t="shared" ca="1" si="15153"/>
        <v/>
      </c>
      <c r="FY53" s="321" t="str">
        <f ca="1">IF(FM53&lt;&gt;"",RANK(FX53,FX51:FX54),"")</f>
        <v/>
      </c>
      <c r="FZ53" s="321" t="str">
        <f ca="1">IF(FM53&lt;&gt;"",SUMPRODUCT((FX51:FX54=FX53)*(FS51:FS54&gt;FS53)),"")</f>
        <v/>
      </c>
      <c r="GA53" s="321" t="str">
        <f ca="1">IF(FM53&lt;&gt;"",SUMPRODUCT((FX51:FX54=FX53)*(FS51:FS54=FS53)*(FQ51:FQ54&gt;FQ53)),"")</f>
        <v/>
      </c>
      <c r="GB53" s="321" t="str">
        <f ca="1">IF(FM53&lt;&gt;"",SUMPRODUCT((FX51:FX54=FX53)*(FS51:FS54=FS53)*(FQ51:FQ54=FQ53)*(FU51:FU54&gt;FU53)),"")</f>
        <v/>
      </c>
      <c r="GC53" s="321" t="str">
        <f ca="1">IF(FM53&lt;&gt;"",SUMPRODUCT((FX51:FX54=FX53)*(FS51:FS54=FS53)*(FQ51:FQ54=FQ53)*(FU51:FU54=FU53)*(FV51:FV54&gt;FV53)),"")</f>
        <v/>
      </c>
      <c r="GD53" s="321" t="str">
        <f ca="1">IF(FM53&lt;&gt;"",SUMPRODUCT((FX51:FX54=FX53)*(FS51:FS54=FS53)*(FQ51:FQ54=FQ53)*(FU51:FU54=FU53)*(FV51:FV54=FV53)*(FW51:FW54&gt;FW53)),"")</f>
        <v/>
      </c>
      <c r="GE53" s="321" t="str">
        <f t="shared" ref="GE53:GE54" ca="1" si="15485">IF(FM53&lt;&gt;"",SUM(FY53:GD53)+1,"")</f>
        <v/>
      </c>
      <c r="JE53" s="321">
        <f ca="1">SUMPRODUCT((JE11:JE14=JE13)*(JD11:JD14=JD13)*(JB11:JB14&gt;JB13))+1</f>
        <v>1</v>
      </c>
      <c r="JP53" s="321" t="str">
        <f ca="1">IF(JQ13&lt;&gt;"",SUMPRODUCT((JX11:JX14=JX13)*(JW11:JW14=JW13)*(JU11:JU14=JU13)*(JV11:JV14=JV13)),"")</f>
        <v/>
      </c>
      <c r="JQ53" s="321" t="str">
        <f t="shared" ca="1" si="15154"/>
        <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0</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0</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0</v>
      </c>
      <c r="JW53" s="321">
        <f ca="1">JU53-JV53+1000</f>
        <v>1000</v>
      </c>
      <c r="JX53" s="321" t="str">
        <f t="shared" ca="1" si="14961"/>
        <v/>
      </c>
      <c r="JY53" s="321" t="str">
        <f ca="1">IF(JQ53&lt;&gt;"",VLOOKUP(JQ53,IX4:JD40,7,FALSE),"")</f>
        <v/>
      </c>
      <c r="JZ53" s="321" t="str">
        <f ca="1">IF(JQ53&lt;&gt;"",VLOOKUP(JQ53,IX4:JD40,5,FALSE),"")</f>
        <v/>
      </c>
      <c r="KA53" s="321" t="str">
        <f ca="1">IF(JQ53&lt;&gt;"",VLOOKUP(JQ53,IX4:JF40,9,FALSE),"")</f>
        <v/>
      </c>
      <c r="KB53" s="321" t="str">
        <f t="shared" ca="1" si="15155"/>
        <v/>
      </c>
      <c r="KC53" s="321" t="str">
        <f ca="1">IF(JQ53&lt;&gt;"",RANK(KB53,KB51:KB54),"")</f>
        <v/>
      </c>
      <c r="KD53" s="321" t="str">
        <f ca="1">IF(JQ53&lt;&gt;"",SUMPRODUCT((KB51:KB54=KB53)*(JW51:JW54&gt;JW53)),"")</f>
        <v/>
      </c>
      <c r="KE53" s="321" t="str">
        <f ca="1">IF(JQ53&lt;&gt;"",SUMPRODUCT((KB51:KB54=KB53)*(JW51:JW54=JW53)*(JU51:JU54&gt;JU53)),"")</f>
        <v/>
      </c>
      <c r="KF53" s="321" t="str">
        <f ca="1">IF(JQ53&lt;&gt;"",SUMPRODUCT((KB51:KB54=KB53)*(JW51:JW54=JW53)*(JU51:JU54=JU53)*(JY51:JY54&gt;JY53)),"")</f>
        <v/>
      </c>
      <c r="KG53" s="321" t="str">
        <f ca="1">IF(JQ53&lt;&gt;"",SUMPRODUCT((KB51:KB54=KB53)*(JW51:JW54=JW53)*(JU51:JU54=JU53)*(JY51:JY54=JY53)*(JZ51:JZ54&gt;JZ53)),"")</f>
        <v/>
      </c>
      <c r="KH53" s="321" t="str">
        <f ca="1">IF(JQ53&lt;&gt;"",SUMPRODUCT((KB51:KB54=KB53)*(JW51:JW54=JW53)*(JU51:JU54=JU53)*(JY51:JY54=JY53)*(JZ51:JZ54=JZ53)*(KA51:KA54&gt;KA53)),"")</f>
        <v/>
      </c>
      <c r="KI53" s="321" t="str">
        <f t="shared" ca="1" si="15156"/>
        <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t="str">
        <f t="shared" ref="ON53" ca="1" si="15487">IF(OO13&lt;&gt;"",SUMPRODUCT((OV11:OV14=OV13)*(OU11:OU14=OU13)*(OS11:OS14=OS13)*(OT11:OT14=OT13)),"")</f>
        <v/>
      </c>
      <c r="OO53" s="321" t="str">
        <f t="shared" ca="1" si="14963"/>
        <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t="str">
        <f t="shared" ca="1" si="14970"/>
        <v/>
      </c>
      <c r="OW53" s="321" t="str">
        <f t="shared" ref="OW53" ca="1" si="15493">IF(OO53&lt;&gt;"",VLOOKUP(OO53,NV4:OB40,7,FALSE),"")</f>
        <v/>
      </c>
      <c r="OX53" s="321" t="str">
        <f t="shared" ref="OX53" ca="1" si="15494">IF(OO53&lt;&gt;"",VLOOKUP(OO53,NV4:OB40,5,FALSE),"")</f>
        <v/>
      </c>
      <c r="OY53" s="321" t="str">
        <f t="shared" ref="OY53" ca="1" si="15495">IF(OO53&lt;&gt;"",VLOOKUP(OO53,NV4:OD40,9,FALSE),"")</f>
        <v/>
      </c>
      <c r="OZ53" s="321" t="str">
        <f t="shared" ca="1" si="14974"/>
        <v/>
      </c>
      <c r="PA53" s="321" t="str">
        <f t="shared" ref="PA53" ca="1" si="15496">IF(OO53&lt;&gt;"",RANK(OZ53,OZ51:OZ54),"")</f>
        <v/>
      </c>
      <c r="PB53" s="321" t="str">
        <f t="shared" ref="PB53" ca="1" si="15497">IF(OO53&lt;&gt;"",SUMPRODUCT((OZ51:OZ54=OZ53)*(OU51:OU54&gt;OU53)),"")</f>
        <v/>
      </c>
      <c r="PC53" s="321" t="str">
        <f t="shared" ref="PC53" ca="1" si="15498">IF(OO53&lt;&gt;"",SUMPRODUCT((OZ51:OZ54=OZ53)*(OU51:OU54=OU53)*(OS51:OS54&gt;OS53)),"")</f>
        <v/>
      </c>
      <c r="PD53" s="321" t="str">
        <f t="shared" ref="PD53" ca="1" si="15499">IF(OO53&lt;&gt;"",SUMPRODUCT((OZ51:OZ54=OZ53)*(OU51:OU54=OU53)*(OS51:OS54=OS53)*(OW51:OW54&gt;OW53)),"")</f>
        <v/>
      </c>
      <c r="PE53" s="321" t="str">
        <f t="shared" ref="PE53" ca="1" si="15500">IF(OO53&lt;&gt;"",SUMPRODUCT((OZ51:OZ54=OZ53)*(OU51:OU54=OU53)*(OS51:OS54=OS53)*(OW51:OW54=OW53)*(OX51:OX54&gt;OX53)),"")</f>
        <v/>
      </c>
      <c r="PF53" s="321" t="str">
        <f t="shared" ref="PF53" ca="1" si="15501">IF(OO53&lt;&gt;"",SUMPRODUCT((OZ51:OZ54=OZ53)*(OU51:OU54=OU53)*(OS51:OS54=OS53)*(OW51:OW54=OW53)*(OX51:OX54=OX53)*(OY51:OY54&gt;OY53)),"")</f>
        <v/>
      </c>
      <c r="PG53" s="321" t="str">
        <f t="shared" ca="1" si="15175"/>
        <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t="str">
        <f t="shared" ref="TL53" ca="1" si="15518">IF(TM13&lt;&gt;"",SUMPRODUCT((TT11:TT14=TT13)*(TS11:TS14=TS13)*(TQ11:TQ14=TQ13)*(TR11:TR14=TR13)),"")</f>
        <v/>
      </c>
      <c r="TM53" s="321" t="str">
        <f t="shared" ca="1" si="14983"/>
        <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t="str">
        <f t="shared" ca="1" si="14990"/>
        <v/>
      </c>
      <c r="TU53" s="321" t="str">
        <f t="shared" ref="TU53" ca="1" si="15524">IF(TM53&lt;&gt;"",VLOOKUP(TM53,ST4:SZ40,7,FALSE),"")</f>
        <v/>
      </c>
      <c r="TV53" s="321" t="str">
        <f t="shared" ref="TV53" ca="1" si="15525">IF(TM53&lt;&gt;"",VLOOKUP(TM53,ST4:SZ40,5,FALSE),"")</f>
        <v/>
      </c>
      <c r="TW53" s="321" t="str">
        <f t="shared" ref="TW53" ca="1" si="15526">IF(TM53&lt;&gt;"",VLOOKUP(TM53,ST4:TB40,9,FALSE),"")</f>
        <v/>
      </c>
      <c r="TX53" s="321" t="str">
        <f t="shared" ca="1" si="14994"/>
        <v/>
      </c>
      <c r="TY53" s="321" t="str">
        <f t="shared" ref="TY53" ca="1" si="15527">IF(TM53&lt;&gt;"",RANK(TX53,TX51:TX54),"")</f>
        <v/>
      </c>
      <c r="TZ53" s="321" t="str">
        <f t="shared" ref="TZ53" ca="1" si="15528">IF(TM53&lt;&gt;"",SUMPRODUCT((TX51:TX54=TX53)*(TS51:TS54&gt;TS53)),"")</f>
        <v/>
      </c>
      <c r="UA53" s="321" t="str">
        <f t="shared" ref="UA53" ca="1" si="15529">IF(TM53&lt;&gt;"",SUMPRODUCT((TX51:TX54=TX53)*(TS51:TS54=TS53)*(TQ51:TQ54&gt;TQ53)),"")</f>
        <v/>
      </c>
      <c r="UB53" s="321" t="str">
        <f t="shared" ref="UB53" ca="1" si="15530">IF(TM53&lt;&gt;"",SUMPRODUCT((TX51:TX54=TX53)*(TS51:TS54=TS53)*(TQ51:TQ54=TQ53)*(TU51:TU54&gt;TU53)),"")</f>
        <v/>
      </c>
      <c r="UC53" s="321" t="str">
        <f t="shared" ref="UC53" ca="1" si="15531">IF(TM53&lt;&gt;"",SUMPRODUCT((TX51:TX54=TX53)*(TS51:TS54=TS53)*(TQ51:TQ54=TQ53)*(TU51:TU54=TU53)*(TV51:TV54&gt;TV53)),"")</f>
        <v/>
      </c>
      <c r="UD53" s="321" t="str">
        <f t="shared" ref="UD53" ca="1" si="15532">IF(TM53&lt;&gt;"",SUMPRODUCT((TX51:TX54=TX53)*(TS51:TS54=TS53)*(TQ51:TQ54=TQ53)*(TU51:TU54=TU53)*(TV51:TV54=TV53)*(TW51:TW54&gt;TW53)),"")</f>
        <v/>
      </c>
      <c r="UE53" s="321" t="str">
        <f t="shared" ca="1" si="15211"/>
        <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t="str">
        <f t="shared" ref="ZD53" ca="1" si="15564">IF(ZE13&lt;&gt;"",SUMPRODUCT((ZL11:ZL14=ZL13)*(ZK11:ZK14=ZK13)*(ZI11:ZI14=ZI13)*(ZJ11:ZJ14=ZJ13)),"")</f>
        <v/>
      </c>
      <c r="ZE53" s="321" t="str">
        <f t="shared" ca="1" si="15249"/>
        <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0</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0</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0</v>
      </c>
      <c r="ZK53" s="321">
        <f t="shared" ca="1" si="15255"/>
        <v>1000</v>
      </c>
      <c r="ZL53" s="321" t="str">
        <f t="shared" ca="1" si="15256"/>
        <v/>
      </c>
      <c r="ZM53" s="321" t="str">
        <f t="shared" ref="ZM53" ca="1" si="15570">IF(ZE53&lt;&gt;"",VLOOKUP(ZE53,XR4:XX40,7,FALSE),"")</f>
        <v/>
      </c>
      <c r="ZN53" s="321" t="str">
        <f t="shared" ref="ZN53" ca="1" si="15571">IF(ZE53&lt;&gt;"",VLOOKUP(ZE53,XR4:XX40,5,FALSE),"")</f>
        <v/>
      </c>
      <c r="ZO53" s="321" t="str">
        <f t="shared" ref="ZO53" ca="1" si="15572">IF(ZE53&lt;&gt;"",VLOOKUP(ZE53,XR4:XZ40,9,FALSE),"")</f>
        <v/>
      </c>
      <c r="ZP53" s="321" t="str">
        <f t="shared" ca="1" si="15260"/>
        <v/>
      </c>
      <c r="ZQ53" s="321" t="str">
        <f t="shared" ref="ZQ53" ca="1" si="15573">IF(ZE53&lt;&gt;"",RANK(ZP53,ZP51:ZP54),"")</f>
        <v/>
      </c>
      <c r="ZR53" s="321" t="str">
        <f t="shared" ref="ZR53" ca="1" si="15574">IF(ZE53&lt;&gt;"",SUMPRODUCT((ZP51:ZP54=ZP53)*(ZK51:ZK54&gt;ZK53)),"")</f>
        <v/>
      </c>
      <c r="ZS53" s="321" t="str">
        <f t="shared" ref="ZS53" ca="1" si="15575">IF(ZE53&lt;&gt;"",SUMPRODUCT((ZP51:ZP54=ZP53)*(ZK51:ZK54=ZK53)*(ZI51:ZI54&gt;ZI53)),"")</f>
        <v/>
      </c>
      <c r="ZT53" s="321" t="str">
        <f t="shared" ref="ZT53" ca="1" si="15576">IF(ZE53&lt;&gt;"",SUMPRODUCT((ZP51:ZP54=ZP53)*(ZK51:ZK54=ZK53)*(ZI51:ZI54=ZI53)*(ZM51:ZM54&gt;ZM53)),"")</f>
        <v/>
      </c>
      <c r="ZU53" s="321" t="str">
        <f t="shared" ref="ZU53" ca="1" si="15577">IF(ZE53&lt;&gt;"",SUMPRODUCT((ZP51:ZP54=ZP53)*(ZK51:ZK54=ZK53)*(ZI51:ZI54=ZI53)*(ZM51:ZM54=ZM53)*(ZN51:ZN54&gt;ZN53)),"")</f>
        <v/>
      </c>
      <c r="ZV53" s="321" t="str">
        <f t="shared" ref="ZV53" ca="1" si="15578">IF(ZE53&lt;&gt;"",SUMPRODUCT((ZP51:ZP54=ZP53)*(ZK51:ZK54=ZK53)*(ZI51:ZI54=ZI53)*(ZM51:ZM54=ZM53)*(ZN51:ZN54=ZN53)*(ZO51:ZO54&gt;ZO53)),"")</f>
        <v/>
      </c>
      <c r="ZW53" s="321" t="str">
        <f t="shared" ref="ZW53:ZW54" ca="1" si="15579">IF(ZE53&lt;&gt;"",SUM(ZQ53:ZV53)+1,"")</f>
        <v/>
      </c>
      <c r="ACW53" s="321">
        <f ca="1">SUMPRODUCT((ACW11:ACW14=ACW13)*(ACV11:ACV14=ACV13)*(ACT11:ACT14&gt;ACT13))+1</f>
        <v>1</v>
      </c>
      <c r="ADH53" s="321" t="str">
        <f t="shared" ref="ADH53" ca="1" si="15580">IF(ADI13&lt;&gt;"",SUMPRODUCT((ADP11:ADP14=ADP13)*(ADO11:ADO14=ADO13)*(ADM11:ADM14=ADM13)*(ADN11:ADN14=ADN13)),"")</f>
        <v/>
      </c>
      <c r="ADI53" s="321" t="str">
        <f t="shared" ca="1" si="15023"/>
        <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t="str">
        <f t="shared" ca="1" si="15030"/>
        <v/>
      </c>
      <c r="ADQ53" s="321" t="str">
        <f t="shared" ref="ADQ53" ca="1" si="15586">IF(ADI53&lt;&gt;"",VLOOKUP(ADI53,ACP4:ACV40,7,FALSE),"")</f>
        <v/>
      </c>
      <c r="ADR53" s="321" t="str">
        <f t="shared" ref="ADR53" ca="1" si="15587">IF(ADI53&lt;&gt;"",VLOOKUP(ADI53,ACP4:ACV40,5,FALSE),"")</f>
        <v/>
      </c>
      <c r="ADS53" s="321" t="str">
        <f t="shared" ref="ADS53" ca="1" si="15588">IF(ADI53&lt;&gt;"",VLOOKUP(ADI53,ACP4:ACX40,9,FALSE),"")</f>
        <v/>
      </c>
      <c r="ADT53" s="321" t="str">
        <f t="shared" ca="1" si="15034"/>
        <v/>
      </c>
      <c r="ADU53" s="321" t="str">
        <f t="shared" ref="ADU53" ca="1" si="15589">IF(ADI53&lt;&gt;"",RANK(ADT53,ADT51:ADT54),"")</f>
        <v/>
      </c>
      <c r="ADV53" s="321" t="str">
        <f t="shared" ref="ADV53" ca="1" si="15590">IF(ADI53&lt;&gt;"",SUMPRODUCT((ADT51:ADT54=ADT53)*(ADO51:ADO54&gt;ADO53)),"")</f>
        <v/>
      </c>
      <c r="ADW53" s="321" t="str">
        <f t="shared" ref="ADW53" ca="1" si="15591">IF(ADI53&lt;&gt;"",SUMPRODUCT((ADT51:ADT54=ADT53)*(ADO51:ADO54=ADO53)*(ADM51:ADM54&gt;ADM53)),"")</f>
        <v/>
      </c>
      <c r="ADX53" s="321" t="str">
        <f t="shared" ref="ADX53" ca="1" si="15592">IF(ADI53&lt;&gt;"",SUMPRODUCT((ADT51:ADT54=ADT53)*(ADO51:ADO54=ADO53)*(ADM51:ADM54=ADM53)*(ADQ51:ADQ54&gt;ADQ53)),"")</f>
        <v/>
      </c>
      <c r="ADY53" s="321" t="str">
        <f t="shared" ref="ADY53" ca="1" si="15593">IF(ADI53&lt;&gt;"",SUMPRODUCT((ADT51:ADT54=ADT53)*(ADO51:ADO54=ADO53)*(ADM51:ADM54=ADM53)*(ADQ51:ADQ54=ADQ53)*(ADR51:ADR54&gt;ADR53)),"")</f>
        <v/>
      </c>
      <c r="ADZ53" s="321" t="str">
        <f t="shared" ref="ADZ53" ca="1" si="15594">IF(ADI53&lt;&gt;"",SUMPRODUCT((ADT51:ADT54=ADT53)*(ADO51:ADO54=ADO53)*(ADM51:ADM54=ADM53)*(ADQ51:ADQ54=ADQ53)*(ADR51:ADR54=ADR53)*(ADS51:ADS54&gt;ADS53)),"")</f>
        <v/>
      </c>
      <c r="AEA53" s="321" t="str">
        <f t="shared" ca="1" si="15283"/>
        <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f t="shared" ref="AIF53" ca="1" si="15611">IF(AIG13&lt;&gt;"",SUMPRODUCT((AIN11:AIN14=AIN13)*(AIM11:AIM14=AIM13)*(AIK11:AIK14=AIK13)*(AIL11:AIL14=AIL13)),"")</f>
        <v>4</v>
      </c>
      <c r="AIG53" s="321" t="str">
        <f t="shared" ca="1" si="15043"/>
        <v>Albania</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f t="shared" ca="1" si="15050"/>
        <v>0</v>
      </c>
      <c r="AIO53" s="321">
        <f t="shared" ref="AIO53" ca="1" si="15617">IF(AIG53&lt;&gt;"",VLOOKUP(AIG53,AHN4:AHT40,7,FALSE),"")</f>
        <v>1000</v>
      </c>
      <c r="AIP53" s="321">
        <f t="shared" ref="AIP53" ca="1" si="15618">IF(AIG53&lt;&gt;"",VLOOKUP(AIG53,AHN4:AHT40,5,FALSE),"")</f>
        <v>0</v>
      </c>
      <c r="AIQ53" s="321">
        <f t="shared" ref="AIQ53" ca="1" si="15619">IF(AIG53&lt;&gt;"",VLOOKUP(AIG53,AHN4:AHV40,9,FALSE),"")</f>
        <v>44</v>
      </c>
      <c r="AIR53" s="321">
        <f t="shared" ca="1" si="15054"/>
        <v>0</v>
      </c>
      <c r="AIS53" s="321">
        <f t="shared" ref="AIS53" ca="1" si="15620">IF(AIG53&lt;&gt;"",RANK(AIR53,AIR51:AIR54),"")</f>
        <v>1</v>
      </c>
      <c r="AIT53" s="321">
        <f t="shared" ref="AIT53" ca="1" si="15621">IF(AIG53&lt;&gt;"",SUMPRODUCT((AIR51:AIR54=AIR53)*(AIM51:AIM54&gt;AIM53)),"")</f>
        <v>0</v>
      </c>
      <c r="AIU53" s="321">
        <f t="shared" ref="AIU53" ca="1" si="15622">IF(AIG53&lt;&gt;"",SUMPRODUCT((AIR51:AIR54=AIR53)*(AIM51:AIM54=AIM53)*(AIK51:AIK54&gt;AIK53)),"")</f>
        <v>0</v>
      </c>
      <c r="AIV53" s="321">
        <f t="shared" ref="AIV53" ca="1" si="15623">IF(AIG53&lt;&gt;"",SUMPRODUCT((AIR51:AIR54=AIR53)*(AIM51:AIM54=AIM53)*(AIK51:AIK54=AIK53)*(AIO51:AIO54&gt;AIO53)),"")</f>
        <v>0</v>
      </c>
      <c r="AIW53" s="321">
        <f t="shared" ref="AIW53" ca="1" si="15624">IF(AIG53&lt;&gt;"",SUMPRODUCT((AIR51:AIR54=AIR53)*(AIM51:AIM54=AIM53)*(AIK51:AIK54=AIK53)*(AIO51:AIO54=AIO53)*(AIP51:AIP54&gt;AIP53)),"")</f>
        <v>0</v>
      </c>
      <c r="AIX53" s="321">
        <f t="shared" ref="AIX53" ca="1" si="15625">IF(AIG53&lt;&gt;"",SUMPRODUCT((AIR51:AIR54=AIR53)*(AIM51:AIM54=AIM53)*(AIK51:AIK54=AIK53)*(AIO51:AIO54=AIO53)*(AIP51:AIP54=AIP53)*(AIQ51:AIQ54&gt;AIQ53)),"")</f>
        <v>1</v>
      </c>
      <c r="AIY53" s="321">
        <f t="shared" ca="1" si="15319"/>
        <v>2</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f t="shared" ref="AND53" ca="1" si="15642">IF(ANE13&lt;&gt;"",SUMPRODUCT((ANL11:ANL14=ANL13)*(ANK11:ANK14=ANK13)*(ANI11:ANI14=ANI13)*(ANJ11:ANJ14=ANJ13)),"")</f>
        <v>4</v>
      </c>
      <c r="ANE53" s="321" t="str">
        <f t="shared" ca="1" si="15063"/>
        <v>Albania</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f t="shared" ca="1" si="15070"/>
        <v>0</v>
      </c>
      <c r="ANM53" s="321">
        <f t="shared" ref="ANM53" ca="1" si="15648">IF(ANE53&lt;&gt;"",VLOOKUP(ANE53,AML4:AMR40,7,FALSE),"")</f>
        <v>1000</v>
      </c>
      <c r="ANN53" s="321">
        <f t="shared" ref="ANN53" ca="1" si="15649">IF(ANE53&lt;&gt;"",VLOOKUP(ANE53,AML4:AMR40,5,FALSE),"")</f>
        <v>0</v>
      </c>
      <c r="ANO53" s="321">
        <f t="shared" ref="ANO53" ca="1" si="15650">IF(ANE53&lt;&gt;"",VLOOKUP(ANE53,AML4:AMT40,9,FALSE),"")</f>
        <v>44</v>
      </c>
      <c r="ANP53" s="321">
        <f t="shared" ca="1" si="15074"/>
        <v>0</v>
      </c>
      <c r="ANQ53" s="321">
        <f t="shared" ref="ANQ53" ca="1" si="15651">IF(ANE53&lt;&gt;"",RANK(ANP53,ANP51:ANP54),"")</f>
        <v>1</v>
      </c>
      <c r="ANR53" s="321">
        <f t="shared" ref="ANR53" ca="1" si="15652">IF(ANE53&lt;&gt;"",SUMPRODUCT((ANP51:ANP54=ANP53)*(ANK51:ANK54&gt;ANK53)),"")</f>
        <v>0</v>
      </c>
      <c r="ANS53" s="321">
        <f t="shared" ref="ANS53" ca="1" si="15653">IF(ANE53&lt;&gt;"",SUMPRODUCT((ANP51:ANP54=ANP53)*(ANK51:ANK54=ANK53)*(ANI51:ANI54&gt;ANI53)),"")</f>
        <v>0</v>
      </c>
      <c r="ANT53" s="321">
        <f t="shared" ref="ANT53" ca="1" si="15654">IF(ANE53&lt;&gt;"",SUMPRODUCT((ANP51:ANP54=ANP53)*(ANK51:ANK54=ANK53)*(ANI51:ANI54=ANI53)*(ANM51:ANM54&gt;ANM53)),"")</f>
        <v>0</v>
      </c>
      <c r="ANU53" s="321">
        <f t="shared" ref="ANU53" ca="1" si="15655">IF(ANE53&lt;&gt;"",SUMPRODUCT((ANP51:ANP54=ANP53)*(ANK51:ANK54=ANK53)*(ANI51:ANI54=ANI53)*(ANM51:ANM54=ANM53)*(ANN51:ANN54&gt;ANN53)),"")</f>
        <v>0</v>
      </c>
      <c r="ANV53" s="321">
        <f t="shared" ref="ANV53" ca="1" si="15656">IF(ANE53&lt;&gt;"",SUMPRODUCT((ANP51:ANP54=ANP53)*(ANK51:ANK54=ANK53)*(ANI51:ANI54=ANI53)*(ANM51:ANM54=ANM53)*(ANN51:ANN54=ANN53)*(ANO51:ANO54&gt;ANO53)),"")</f>
        <v>1</v>
      </c>
      <c r="ANW53" s="321">
        <f t="shared" ca="1" si="15355"/>
        <v>2</v>
      </c>
      <c r="ANX53" s="321" t="str">
        <f t="shared" ref="ANX53" ca="1" si="15657">IF(ANY13&lt;&gt;"",SUMPRODUCT((AOF11:AOF14=AOF13)*(AOE11:AOE14=AOE13)*(AOC11:AOC14=AOC13)*(AOD11:AOD14=AOD13)),"")</f>
        <v/>
      </c>
      <c r="ANY53" s="321" t="str">
        <f t="shared" ca="1" si="15357"/>
        <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0</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0</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0</v>
      </c>
      <c r="AOE53" s="321">
        <f t="shared" ca="1" si="15363"/>
        <v>1000</v>
      </c>
      <c r="AOF53" s="321" t="str">
        <f t="shared" ca="1" si="15364"/>
        <v/>
      </c>
      <c r="AOG53" s="321" t="str">
        <f t="shared" ref="AOG53" ca="1" si="15663">IF(ANY53&lt;&gt;"",VLOOKUP(ANY53,AML4:AMR40,7,FALSE),"")</f>
        <v/>
      </c>
      <c r="AOH53" s="321" t="str">
        <f t="shared" ref="AOH53" ca="1" si="15664">IF(ANY53&lt;&gt;"",VLOOKUP(ANY53,AML4:AMR40,5,FALSE),"")</f>
        <v/>
      </c>
      <c r="AOI53" s="321" t="str">
        <f t="shared" ref="AOI53" ca="1" si="15665">IF(ANY53&lt;&gt;"",VLOOKUP(ANY53,AML4:AMT40,9,FALSE),"")</f>
        <v/>
      </c>
      <c r="AOJ53" s="321" t="str">
        <f t="shared" ca="1" si="15368"/>
        <v/>
      </c>
      <c r="AOK53" s="321" t="str">
        <f t="shared" ref="AOK53" ca="1" si="15666">IF(ANY53&lt;&gt;"",RANK(AOJ53,AOJ51:AOJ54),"")</f>
        <v/>
      </c>
      <c r="AOL53" s="321" t="str">
        <f t="shared" ref="AOL53" ca="1" si="15667">IF(ANY53&lt;&gt;"",SUMPRODUCT((AOJ51:AOJ54=AOJ53)*(AOE51:AOE54&gt;AOE53)),"")</f>
        <v/>
      </c>
      <c r="AOM53" s="321" t="str">
        <f t="shared" ref="AOM53" ca="1" si="15668">IF(ANY53&lt;&gt;"",SUMPRODUCT((AOJ51:AOJ54=AOJ53)*(AOE51:AOE54=AOE53)*(AOC51:AOC54&gt;AOC53)),"")</f>
        <v/>
      </c>
      <c r="AON53" s="321" t="str">
        <f t="shared" ref="AON53" ca="1" si="15669">IF(ANY53&lt;&gt;"",SUMPRODUCT((AOJ51:AOJ54=AOJ53)*(AOE51:AOE54=AOE53)*(AOC51:AOC54=AOC53)*(AOG51:AOG54&gt;AOG53)),"")</f>
        <v/>
      </c>
      <c r="AOO53" s="321" t="str">
        <f t="shared" ref="AOO53" ca="1" si="15670">IF(ANY53&lt;&gt;"",SUMPRODUCT((AOJ51:AOJ54=AOJ53)*(AOE51:AOE54=AOE53)*(AOC51:AOC54=AOC53)*(AOG51:AOG54=AOG53)*(AOH51:AOH54&gt;AOH53)),"")</f>
        <v/>
      </c>
      <c r="AOP53" s="321" t="str">
        <f t="shared" ref="AOP53" ca="1" si="15671">IF(ANY53&lt;&gt;"",SUMPRODUCT((AOJ51:AOJ54=AOJ53)*(AOE51:AOE54=AOE53)*(AOC51:AOC54=AOC53)*(AOG51:AOG54=AOG53)*(AOH51:AOH54=AOH53)*(AOI51:AOI54&gt;AOI53)),"")</f>
        <v/>
      </c>
      <c r="AOQ53" s="321" t="str">
        <f t="shared" ref="AOQ53:AOQ54" ca="1" si="15672">IF(ANY53&lt;&gt;"",SUM(AOK53:AOP53)+1,"")</f>
        <v/>
      </c>
      <c r="ARQ53" s="321">
        <f ca="1">SUMPRODUCT((ARQ11:ARQ14=ARQ13)*(ARP11:ARP14=ARP13)*(ARN11:ARN14&gt;ARN13))+1</f>
        <v>1</v>
      </c>
      <c r="ASB53" s="321">
        <f t="shared" ref="ASB53" ca="1" si="15673">IF(ASC13&lt;&gt;"",SUMPRODUCT((ASJ11:ASJ14=ASJ13)*(ASI11:ASI14=ASI13)*(ASG11:ASG14=ASG13)*(ASH11:ASH14=ASH13)),"")</f>
        <v>4</v>
      </c>
      <c r="ASC53" s="321" t="str">
        <f t="shared" ca="1" si="15083"/>
        <v>Albania</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f t="shared" ca="1" si="15090"/>
        <v>0</v>
      </c>
      <c r="ASK53" s="321">
        <f t="shared" ref="ASK53" ca="1" si="15679">IF(ASC53&lt;&gt;"",VLOOKUP(ASC53,ARJ4:ARP40,7,FALSE),"")</f>
        <v>1000</v>
      </c>
      <c r="ASL53" s="321">
        <f t="shared" ref="ASL53" ca="1" si="15680">IF(ASC53&lt;&gt;"",VLOOKUP(ASC53,ARJ4:ARP40,5,FALSE),"")</f>
        <v>0</v>
      </c>
      <c r="ASM53" s="321">
        <f t="shared" ref="ASM53" ca="1" si="15681">IF(ASC53&lt;&gt;"",VLOOKUP(ASC53,ARJ4:ARR40,9,FALSE),"")</f>
        <v>44</v>
      </c>
      <c r="ASN53" s="321">
        <f t="shared" ca="1" si="15094"/>
        <v>0</v>
      </c>
      <c r="ASO53" s="321">
        <f t="shared" ref="ASO53" ca="1" si="15682">IF(ASC53&lt;&gt;"",RANK(ASN53,ASN51:ASN54),"")</f>
        <v>1</v>
      </c>
      <c r="ASP53" s="321">
        <f t="shared" ref="ASP53" ca="1" si="15683">IF(ASC53&lt;&gt;"",SUMPRODUCT((ASN51:ASN54=ASN53)*(ASI51:ASI54&gt;ASI53)),"")</f>
        <v>0</v>
      </c>
      <c r="ASQ53" s="321">
        <f t="shared" ref="ASQ53" ca="1" si="15684">IF(ASC53&lt;&gt;"",SUMPRODUCT((ASN51:ASN54=ASN53)*(ASI51:ASI54=ASI53)*(ASG51:ASG54&gt;ASG53)),"")</f>
        <v>0</v>
      </c>
      <c r="ASR53" s="321">
        <f t="shared" ref="ASR53" ca="1" si="15685">IF(ASC53&lt;&gt;"",SUMPRODUCT((ASN51:ASN54=ASN53)*(ASI51:ASI54=ASI53)*(ASG51:ASG54=ASG53)*(ASK51:ASK54&gt;ASK53)),"")</f>
        <v>0</v>
      </c>
      <c r="ASS53" s="321">
        <f t="shared" ref="ASS53" ca="1" si="15686">IF(ASC53&lt;&gt;"",SUMPRODUCT((ASN51:ASN54=ASN53)*(ASI51:ASI54=ASI53)*(ASG51:ASG54=ASG53)*(ASK51:ASK54=ASK53)*(ASL51:ASL54&gt;ASL53)),"")</f>
        <v>0</v>
      </c>
      <c r="AST53" s="321">
        <f t="shared" ref="AST53" ca="1" si="15687">IF(ASC53&lt;&gt;"",SUMPRODUCT((ASN51:ASN54=ASN53)*(ASI51:ASI54=ASI53)*(ASG51:ASG54=ASG53)*(ASK51:ASK54=ASK53)*(ASL51:ASL54=ASL53)*(ASM51:ASM54&gt;ASM53)),"")</f>
        <v>1</v>
      </c>
      <c r="ASU53" s="321">
        <f t="shared" ca="1" si="15391"/>
        <v>2</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f t="shared" ref="AWZ53" ca="1" si="15704">IF(AXA13&lt;&gt;"",SUMPRODUCT((AXH11:AXH14=AXH13)*(AXG11:AXG14=AXG13)*(AXE11:AXE14=AXE13)*(AXF11:AXF14=AXF13)),"")</f>
        <v>4</v>
      </c>
      <c r="AXA53" s="321" t="str">
        <f t="shared" ca="1" si="15103"/>
        <v>Albania</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f t="shared" ca="1" si="15110"/>
        <v>0</v>
      </c>
      <c r="AXI53" s="321">
        <f t="shared" ref="AXI53" ca="1" si="15710">IF(AXA53&lt;&gt;"",VLOOKUP(AXA53,AWH4:AWN40,7,FALSE),"")</f>
        <v>1000</v>
      </c>
      <c r="AXJ53" s="321">
        <f t="shared" ref="AXJ53" ca="1" si="15711">IF(AXA53&lt;&gt;"",VLOOKUP(AXA53,AWH4:AWN40,5,FALSE),"")</f>
        <v>0</v>
      </c>
      <c r="AXK53" s="321">
        <f t="shared" ref="AXK53" ca="1" si="15712">IF(AXA53&lt;&gt;"",VLOOKUP(AXA53,AWH4:AWP40,9,FALSE),"")</f>
        <v>44</v>
      </c>
      <c r="AXL53" s="321">
        <f t="shared" ca="1" si="15114"/>
        <v>0</v>
      </c>
      <c r="AXM53" s="321">
        <f t="shared" ref="AXM53" ca="1" si="15713">IF(AXA53&lt;&gt;"",RANK(AXL53,AXL51:AXL54),"")</f>
        <v>1</v>
      </c>
      <c r="AXN53" s="321">
        <f t="shared" ref="AXN53" ca="1" si="15714">IF(AXA53&lt;&gt;"",SUMPRODUCT((AXL51:AXL54=AXL53)*(AXG51:AXG54&gt;AXG53)),"")</f>
        <v>0</v>
      </c>
      <c r="AXO53" s="321">
        <f t="shared" ref="AXO53" ca="1" si="15715">IF(AXA53&lt;&gt;"",SUMPRODUCT((AXL51:AXL54=AXL53)*(AXG51:AXG54=AXG53)*(AXE51:AXE54&gt;AXE53)),"")</f>
        <v>0</v>
      </c>
      <c r="AXP53" s="321">
        <f t="shared" ref="AXP53" ca="1" si="15716">IF(AXA53&lt;&gt;"",SUMPRODUCT((AXL51:AXL54=AXL53)*(AXG51:AXG54=AXG53)*(AXE51:AXE54=AXE53)*(AXI51:AXI54&gt;AXI53)),"")</f>
        <v>0</v>
      </c>
      <c r="AXQ53" s="321">
        <f t="shared" ref="AXQ53" ca="1" si="15717">IF(AXA53&lt;&gt;"",SUMPRODUCT((AXL51:AXL54=AXL53)*(AXG51:AXG54=AXG53)*(AXE51:AXE54=AXE53)*(AXI51:AXI54=AXI53)*(AXJ51:AXJ54&gt;AXJ53)),"")</f>
        <v>0</v>
      </c>
      <c r="AXR53" s="321">
        <f t="shared" ref="AXR53" ca="1" si="15718">IF(AXA53&lt;&gt;"",SUMPRODUCT((AXL51:AXL54=AXL53)*(AXG51:AXG54=AXG53)*(AXE51:AXE54=AXE53)*(AXI51:AXI54=AXI53)*(AXJ51:AXJ54=AXJ53)*(AXK51:AXK54&gt;AXK53)),"")</f>
        <v>1</v>
      </c>
      <c r="AXS53" s="321">
        <f t="shared" ca="1" si="15427"/>
        <v>2</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2">
      <c r="C54" s="321" t="s">
        <v>366</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t="str">
        <f t="shared" ref="ON54" ca="1" si="15766">IF(OO14&lt;&gt;"",SUMPRODUCT((OV11:OV14=OV14)*(OU11:OU14=OU14)*(OS11:OS14=OS14)*(OT11:OT14=OT14)),"")</f>
        <v/>
      </c>
      <c r="OO54" s="321" t="str">
        <f t="shared" ca="1" si="14963"/>
        <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t="str">
        <f t="shared" ca="1" si="14970"/>
        <v/>
      </c>
      <c r="OW54" s="321" t="str">
        <f t="shared" ref="OW54" ca="1" si="15772">IF(OO54&lt;&gt;"",VLOOKUP(OO54,NV4:OB40,7,FALSE),"")</f>
        <v/>
      </c>
      <c r="OX54" s="321" t="str">
        <f t="shared" ref="OX54" ca="1" si="15773">IF(OO54&lt;&gt;"",VLOOKUP(OO54,NV4:OB40,5,FALSE),"")</f>
        <v/>
      </c>
      <c r="OY54" s="321" t="str">
        <f t="shared" ref="OY54" ca="1" si="15774">IF(OO54&lt;&gt;"",VLOOKUP(OO54,NV4:OD40,9,FALSE),"")</f>
        <v/>
      </c>
      <c r="OZ54" s="321" t="str">
        <f t="shared" ca="1" si="14974"/>
        <v/>
      </c>
      <c r="PA54" s="321" t="str">
        <f t="shared" ref="PA54" ca="1" si="15775">IF(OO54&lt;&gt;"",RANK(OZ54,OZ51:OZ54),"")</f>
        <v/>
      </c>
      <c r="PB54" s="321" t="str">
        <f t="shared" ref="PB54" ca="1" si="15776">IF(OO54&lt;&gt;"",SUMPRODUCT((OZ51:OZ54=OZ54)*(OU51:OU54&gt;OU54)),"")</f>
        <v/>
      </c>
      <c r="PC54" s="321" t="str">
        <f t="shared" ref="PC54" ca="1" si="15777">IF(OO54&lt;&gt;"",SUMPRODUCT((OZ51:OZ54=OZ54)*(OU51:OU54=OU54)*(OS51:OS54&gt;OS54)),"")</f>
        <v/>
      </c>
      <c r="PD54" s="321" t="str">
        <f t="shared" ref="PD54" ca="1" si="15778">IF(OO54&lt;&gt;"",SUMPRODUCT((OZ51:OZ54=OZ54)*(OU51:OU54=OU54)*(OS51:OS54=OS54)*(OW51:OW54&gt;OW54)),"")</f>
        <v/>
      </c>
      <c r="PE54" s="321" t="str">
        <f t="shared" ref="PE54" ca="1" si="15779">IF(OO54&lt;&gt;"",SUMPRODUCT((OZ51:OZ54=OZ54)*(OU51:OU54=OU54)*(OS51:OS54=OS54)*(OW51:OW54=OW54)*(OX51:OX54&gt;OX54)),"")</f>
        <v/>
      </c>
      <c r="PF54" s="321" t="str">
        <f t="shared" ref="PF54" ca="1" si="15780">IF(OO54&lt;&gt;"",SUMPRODUCT((OZ51:OZ54=OZ54)*(OU51:OU54=OU54)*(OS51:OS54=OS54)*(OW51:OW54=OW54)*(OX51:OX54=OX54)*(OY51:OY54&gt;OY54)),"")</f>
        <v/>
      </c>
      <c r="PG54" s="321" t="str">
        <f t="shared" ca="1" si="15175"/>
        <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t="str">
        <f t="shared" ref="TL54" ca="1" si="15796">IF(TM14&lt;&gt;"",SUMPRODUCT((TT11:TT14=TT14)*(TS11:TS14=TS14)*(TQ11:TQ14=TQ14)*(TR11:TR14=TR14)),"")</f>
        <v/>
      </c>
      <c r="TM54" s="321" t="str">
        <f t="shared" ca="1" si="14983"/>
        <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t="str">
        <f t="shared" ca="1" si="14990"/>
        <v/>
      </c>
      <c r="TU54" s="321" t="str">
        <f t="shared" ref="TU54" ca="1" si="15802">IF(TM54&lt;&gt;"",VLOOKUP(TM54,ST4:SZ40,7,FALSE),"")</f>
        <v/>
      </c>
      <c r="TV54" s="321" t="str">
        <f t="shared" ref="TV54" ca="1" si="15803">IF(TM54&lt;&gt;"",VLOOKUP(TM54,ST4:SZ40,5,FALSE),"")</f>
        <v/>
      </c>
      <c r="TW54" s="321" t="str">
        <f t="shared" ref="TW54" ca="1" si="15804">IF(TM54&lt;&gt;"",VLOOKUP(TM54,ST4:TB40,9,FALSE),"")</f>
        <v/>
      </c>
      <c r="TX54" s="321" t="str">
        <f t="shared" ca="1" si="14994"/>
        <v/>
      </c>
      <c r="TY54" s="321" t="str">
        <f t="shared" ref="TY54" ca="1" si="15805">IF(TM54&lt;&gt;"",RANK(TX54,TX51:TX54),"")</f>
        <v/>
      </c>
      <c r="TZ54" s="321" t="str">
        <f t="shared" ref="TZ54" ca="1" si="15806">IF(TM54&lt;&gt;"",SUMPRODUCT((TX51:TX54=TX54)*(TS51:TS54&gt;TS54)),"")</f>
        <v/>
      </c>
      <c r="UA54" s="321" t="str">
        <f t="shared" ref="UA54" ca="1" si="15807">IF(TM54&lt;&gt;"",SUMPRODUCT((TX51:TX54=TX54)*(TS51:TS54=TS54)*(TQ51:TQ54&gt;TQ54)),"")</f>
        <v/>
      </c>
      <c r="UB54" s="321" t="str">
        <f t="shared" ref="UB54" ca="1" si="15808">IF(TM54&lt;&gt;"",SUMPRODUCT((TX51:TX54=TX54)*(TS51:TS54=TS54)*(TQ51:TQ54=TQ54)*(TU51:TU54&gt;TU54)),"")</f>
        <v/>
      </c>
      <c r="UC54" s="321" t="str">
        <f t="shared" ref="UC54" ca="1" si="15809">IF(TM54&lt;&gt;"",SUMPRODUCT((TX51:TX54=TX54)*(TS51:TS54=TS54)*(TQ51:TQ54=TQ54)*(TU51:TU54=TU54)*(TV51:TV54&gt;TV54)),"")</f>
        <v/>
      </c>
      <c r="UD54" s="321" t="str">
        <f t="shared" ref="UD54" ca="1" si="15810">IF(TM54&lt;&gt;"",SUMPRODUCT((TX51:TX54=TX54)*(TS51:TS54=TS54)*(TQ51:TQ54=TQ54)*(TU51:TU54=TU54)*(TV51:TV54=TV54)*(TW51:TW54&gt;TW54)),"")</f>
        <v/>
      </c>
      <c r="UE54" s="321" t="str">
        <f t="shared" ca="1" si="15211"/>
        <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t="str">
        <f t="shared" ref="ADH54" ca="1" si="15856">IF(ADI14&lt;&gt;"",SUMPRODUCT((ADP11:ADP14=ADP14)*(ADO11:ADO14=ADO14)*(ADM11:ADM14=ADM14)*(ADN11:ADN14=ADN14)),"")</f>
        <v/>
      </c>
      <c r="ADI54" s="321" t="str">
        <f t="shared" ca="1" si="15023"/>
        <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t="str">
        <f t="shared" ca="1" si="15030"/>
        <v/>
      </c>
      <c r="ADQ54" s="321" t="str">
        <f t="shared" ref="ADQ54" ca="1" si="15862">IF(ADI54&lt;&gt;"",VLOOKUP(ADI54,ACP4:ACV40,7,FALSE),"")</f>
        <v/>
      </c>
      <c r="ADR54" s="321" t="str">
        <f t="shared" ref="ADR54" ca="1" si="15863">IF(ADI54&lt;&gt;"",VLOOKUP(ADI54,ACP4:ACV40,5,FALSE),"")</f>
        <v/>
      </c>
      <c r="ADS54" s="321" t="str">
        <f t="shared" ref="ADS54" ca="1" si="15864">IF(ADI54&lt;&gt;"",VLOOKUP(ADI54,ACP4:ACX40,9,FALSE),"")</f>
        <v/>
      </c>
      <c r="ADT54" s="321" t="str">
        <f t="shared" ca="1" si="15034"/>
        <v/>
      </c>
      <c r="ADU54" s="321" t="str">
        <f t="shared" ref="ADU54" ca="1" si="15865">IF(ADI54&lt;&gt;"",RANK(ADT54,ADT51:ADT54),"")</f>
        <v/>
      </c>
      <c r="ADV54" s="321" t="str">
        <f t="shared" ref="ADV54" ca="1" si="15866">IF(ADI54&lt;&gt;"",SUMPRODUCT((ADT51:ADT54=ADT54)*(ADO51:ADO54&gt;ADO54)),"")</f>
        <v/>
      </c>
      <c r="ADW54" s="321" t="str">
        <f t="shared" ref="ADW54" ca="1" si="15867">IF(ADI54&lt;&gt;"",SUMPRODUCT((ADT51:ADT54=ADT54)*(ADO51:ADO54=ADO54)*(ADM51:ADM54&gt;ADM54)),"")</f>
        <v/>
      </c>
      <c r="ADX54" s="321" t="str">
        <f t="shared" ref="ADX54" ca="1" si="15868">IF(ADI54&lt;&gt;"",SUMPRODUCT((ADT51:ADT54=ADT54)*(ADO51:ADO54=ADO54)*(ADM51:ADM54=ADM54)*(ADQ51:ADQ54&gt;ADQ54)),"")</f>
        <v/>
      </c>
      <c r="ADY54" s="321" t="str">
        <f t="shared" ref="ADY54" ca="1" si="15869">IF(ADI54&lt;&gt;"",SUMPRODUCT((ADT51:ADT54=ADT54)*(ADO51:ADO54=ADO54)*(ADM51:ADM54=ADM54)*(ADQ51:ADQ54=ADQ54)*(ADR51:ADR54&gt;ADR54)),"")</f>
        <v/>
      </c>
      <c r="ADZ54" s="321" t="str">
        <f t="shared" ref="ADZ54" ca="1" si="15870">IF(ADI54&lt;&gt;"",SUMPRODUCT((ADT51:ADT54=ADT54)*(ADO51:ADO54=ADO54)*(ADM51:ADM54=ADM54)*(ADQ51:ADQ54=ADQ54)*(ADR51:ADR54=ADR54)*(ADS51:ADS54&gt;ADS54)),"")</f>
        <v/>
      </c>
      <c r="AEA54" s="321" t="str">
        <f t="shared" ca="1" si="15283"/>
        <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f t="shared" ref="AIF54" ca="1" si="15886">IF(AIG14&lt;&gt;"",SUMPRODUCT((AIN11:AIN14=AIN14)*(AIM11:AIM14=AIM14)*(AIK11:AIK14=AIK14)*(AIL11:AIL14=AIL14)),"")</f>
        <v>4</v>
      </c>
      <c r="AIG54" s="321" t="str">
        <f t="shared" ca="1" si="15043"/>
        <v>Spain</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f t="shared" ca="1" si="15050"/>
        <v>0</v>
      </c>
      <c r="AIO54" s="321">
        <f t="shared" ref="AIO54" ca="1" si="15892">IF(AIG54&lt;&gt;"",VLOOKUP(AIG54,AHN4:AHT40,7,FALSE),"")</f>
        <v>1000</v>
      </c>
      <c r="AIP54" s="321">
        <f t="shared" ref="AIP54" ca="1" si="15893">IF(AIG54&lt;&gt;"",VLOOKUP(AIG54,AHN4:AHT40,5,FALSE),"")</f>
        <v>0</v>
      </c>
      <c r="AIQ54" s="321">
        <f t="shared" ref="AIQ54" ca="1" si="15894">IF(AIG54&lt;&gt;"",VLOOKUP(AIG54,AHN4:AHV40,9,FALSE),"")</f>
        <v>51</v>
      </c>
      <c r="AIR54" s="321">
        <f t="shared" ca="1" si="15054"/>
        <v>0</v>
      </c>
      <c r="AIS54" s="321">
        <f t="shared" ref="AIS54" ca="1" si="15895">IF(AIG54&lt;&gt;"",RANK(AIR54,AIR51:AIR54),"")</f>
        <v>1</v>
      </c>
      <c r="AIT54" s="321">
        <f t="shared" ref="AIT54" ca="1" si="15896">IF(AIG54&lt;&gt;"",SUMPRODUCT((AIR51:AIR54=AIR54)*(AIM51:AIM54&gt;AIM54)),"")</f>
        <v>0</v>
      </c>
      <c r="AIU54" s="321">
        <f t="shared" ref="AIU54" ca="1" si="15897">IF(AIG54&lt;&gt;"",SUMPRODUCT((AIR51:AIR54=AIR54)*(AIM51:AIM54=AIM54)*(AIK51:AIK54&gt;AIK54)),"")</f>
        <v>0</v>
      </c>
      <c r="AIV54" s="321">
        <f t="shared" ref="AIV54" ca="1" si="15898">IF(AIG54&lt;&gt;"",SUMPRODUCT((AIR51:AIR54=AIR54)*(AIM51:AIM54=AIM54)*(AIK51:AIK54=AIK54)*(AIO51:AIO54&gt;AIO54)),"")</f>
        <v>0</v>
      </c>
      <c r="AIW54" s="321">
        <f t="shared" ref="AIW54" ca="1" si="15899">IF(AIG54&lt;&gt;"",SUMPRODUCT((AIR51:AIR54=AIR54)*(AIM51:AIM54=AIM54)*(AIK51:AIK54=AIK54)*(AIO51:AIO54=AIO54)*(AIP51:AIP54&gt;AIP54)),"")</f>
        <v>0</v>
      </c>
      <c r="AIX54" s="321">
        <f t="shared" ref="AIX54" ca="1" si="15900">IF(AIG54&lt;&gt;"",SUMPRODUCT((AIR51:AIR54=AIR54)*(AIM51:AIM54=AIM54)*(AIK51:AIK54=AIK54)*(AIO51:AIO54=AIO54)*(AIP51:AIP54=AIP54)*(AIQ51:AIQ54&gt;AIQ54)),"")</f>
        <v>0</v>
      </c>
      <c r="AIY54" s="321">
        <f t="shared" ca="1" si="15319"/>
        <v>1</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f t="shared" ref="AND54" ca="1" si="15916">IF(ANE14&lt;&gt;"",SUMPRODUCT((ANL11:ANL14=ANL14)*(ANK11:ANK14=ANK14)*(ANI11:ANI14=ANI14)*(ANJ11:ANJ14=ANJ14)),"")</f>
        <v>4</v>
      </c>
      <c r="ANE54" s="321" t="str">
        <f t="shared" ca="1" si="15063"/>
        <v>Spain</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f t="shared" ca="1" si="15070"/>
        <v>0</v>
      </c>
      <c r="ANM54" s="321">
        <f t="shared" ref="ANM54" ca="1" si="15922">IF(ANE54&lt;&gt;"",VLOOKUP(ANE54,AML4:AMR40,7,FALSE),"")</f>
        <v>1000</v>
      </c>
      <c r="ANN54" s="321">
        <f t="shared" ref="ANN54" ca="1" si="15923">IF(ANE54&lt;&gt;"",VLOOKUP(ANE54,AML4:AMR40,5,FALSE),"")</f>
        <v>0</v>
      </c>
      <c r="ANO54" s="321">
        <f t="shared" ref="ANO54" ca="1" si="15924">IF(ANE54&lt;&gt;"",VLOOKUP(ANE54,AML4:AMT40,9,FALSE),"")</f>
        <v>51</v>
      </c>
      <c r="ANP54" s="321">
        <f t="shared" ca="1" si="15074"/>
        <v>0</v>
      </c>
      <c r="ANQ54" s="321">
        <f t="shared" ref="ANQ54" ca="1" si="15925">IF(ANE54&lt;&gt;"",RANK(ANP54,ANP51:ANP54),"")</f>
        <v>1</v>
      </c>
      <c r="ANR54" s="321">
        <f t="shared" ref="ANR54" ca="1" si="15926">IF(ANE54&lt;&gt;"",SUMPRODUCT((ANP51:ANP54=ANP54)*(ANK51:ANK54&gt;ANK54)),"")</f>
        <v>0</v>
      </c>
      <c r="ANS54" s="321">
        <f t="shared" ref="ANS54" ca="1" si="15927">IF(ANE54&lt;&gt;"",SUMPRODUCT((ANP51:ANP54=ANP54)*(ANK51:ANK54=ANK54)*(ANI51:ANI54&gt;ANI54)),"")</f>
        <v>0</v>
      </c>
      <c r="ANT54" s="321">
        <f t="shared" ref="ANT54" ca="1" si="15928">IF(ANE54&lt;&gt;"",SUMPRODUCT((ANP51:ANP54=ANP54)*(ANK51:ANK54=ANK54)*(ANI51:ANI54=ANI54)*(ANM51:ANM54&gt;ANM54)),"")</f>
        <v>0</v>
      </c>
      <c r="ANU54" s="321">
        <f t="shared" ref="ANU54" ca="1" si="15929">IF(ANE54&lt;&gt;"",SUMPRODUCT((ANP51:ANP54=ANP54)*(ANK51:ANK54=ANK54)*(ANI51:ANI54=ANI54)*(ANM51:ANM54=ANM54)*(ANN51:ANN54&gt;ANN54)),"")</f>
        <v>0</v>
      </c>
      <c r="ANV54" s="321">
        <f t="shared" ref="ANV54" ca="1" si="15930">IF(ANE54&lt;&gt;"",SUMPRODUCT((ANP51:ANP54=ANP54)*(ANK51:ANK54=ANK54)*(ANI51:ANI54=ANI54)*(ANM51:ANM54=ANM54)*(ANN51:ANN54=ANN54)*(ANO51:ANO54&gt;ANO54)),"")</f>
        <v>0</v>
      </c>
      <c r="ANW54" s="321">
        <f t="shared" ca="1" si="15355"/>
        <v>1</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f t="shared" ref="ASB54" ca="1" si="15946">IF(ASC14&lt;&gt;"",SUMPRODUCT((ASJ11:ASJ14=ASJ14)*(ASI11:ASI14=ASI14)*(ASG11:ASG14=ASG14)*(ASH11:ASH14=ASH14)),"")</f>
        <v>4</v>
      </c>
      <c r="ASC54" s="321" t="str">
        <f t="shared" ca="1" si="15083"/>
        <v>Spain</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f t="shared" ca="1" si="15090"/>
        <v>0</v>
      </c>
      <c r="ASK54" s="321">
        <f t="shared" ref="ASK54" ca="1" si="15952">IF(ASC54&lt;&gt;"",VLOOKUP(ASC54,ARJ4:ARP40,7,FALSE),"")</f>
        <v>1000</v>
      </c>
      <c r="ASL54" s="321">
        <f t="shared" ref="ASL54" ca="1" si="15953">IF(ASC54&lt;&gt;"",VLOOKUP(ASC54,ARJ4:ARP40,5,FALSE),"")</f>
        <v>0</v>
      </c>
      <c r="ASM54" s="321">
        <f t="shared" ref="ASM54" ca="1" si="15954">IF(ASC54&lt;&gt;"",VLOOKUP(ASC54,ARJ4:ARR40,9,FALSE),"")</f>
        <v>51</v>
      </c>
      <c r="ASN54" s="321">
        <f t="shared" ca="1" si="15094"/>
        <v>0</v>
      </c>
      <c r="ASO54" s="321">
        <f t="shared" ref="ASO54" ca="1" si="15955">IF(ASC54&lt;&gt;"",RANK(ASN54,ASN51:ASN54),"")</f>
        <v>1</v>
      </c>
      <c r="ASP54" s="321">
        <f t="shared" ref="ASP54" ca="1" si="15956">IF(ASC54&lt;&gt;"",SUMPRODUCT((ASN51:ASN54=ASN54)*(ASI51:ASI54&gt;ASI54)),"")</f>
        <v>0</v>
      </c>
      <c r="ASQ54" s="321">
        <f t="shared" ref="ASQ54" ca="1" si="15957">IF(ASC54&lt;&gt;"",SUMPRODUCT((ASN51:ASN54=ASN54)*(ASI51:ASI54=ASI54)*(ASG51:ASG54&gt;ASG54)),"")</f>
        <v>0</v>
      </c>
      <c r="ASR54" s="321">
        <f t="shared" ref="ASR54" ca="1" si="15958">IF(ASC54&lt;&gt;"",SUMPRODUCT((ASN51:ASN54=ASN54)*(ASI51:ASI54=ASI54)*(ASG51:ASG54=ASG54)*(ASK51:ASK54&gt;ASK54)),"")</f>
        <v>0</v>
      </c>
      <c r="ASS54" s="321">
        <f t="shared" ref="ASS54" ca="1" si="15959">IF(ASC54&lt;&gt;"",SUMPRODUCT((ASN51:ASN54=ASN54)*(ASI51:ASI54=ASI54)*(ASG51:ASG54=ASG54)*(ASK51:ASK54=ASK54)*(ASL51:ASL54&gt;ASL54)),"")</f>
        <v>0</v>
      </c>
      <c r="AST54" s="321">
        <f t="shared" ref="AST54" ca="1" si="15960">IF(ASC54&lt;&gt;"",SUMPRODUCT((ASN51:ASN54=ASN54)*(ASI51:ASI54=ASI54)*(ASG51:ASG54=ASG54)*(ASK51:ASK54=ASK54)*(ASL51:ASL54=ASL54)*(ASM51:ASM54&gt;ASM54)),"")</f>
        <v>0</v>
      </c>
      <c r="ASU54" s="321">
        <f t="shared" ca="1" si="15391"/>
        <v>1</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f t="shared" ref="AWZ54" ca="1" si="15976">IF(AXA14&lt;&gt;"",SUMPRODUCT((AXH11:AXH14=AXH14)*(AXG11:AXG14=AXG14)*(AXE11:AXE14=AXE14)*(AXF11:AXF14=AXF14)),"")</f>
        <v>4</v>
      </c>
      <c r="AXA54" s="321" t="str">
        <f t="shared" ca="1" si="15103"/>
        <v>Spain</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f t="shared" ca="1" si="15110"/>
        <v>0</v>
      </c>
      <c r="AXI54" s="321">
        <f t="shared" ref="AXI54" ca="1" si="15982">IF(AXA54&lt;&gt;"",VLOOKUP(AXA54,AWH4:AWN40,7,FALSE),"")</f>
        <v>1000</v>
      </c>
      <c r="AXJ54" s="321">
        <f t="shared" ref="AXJ54" ca="1" si="15983">IF(AXA54&lt;&gt;"",VLOOKUP(AXA54,AWH4:AWN40,5,FALSE),"")</f>
        <v>0</v>
      </c>
      <c r="AXK54" s="321">
        <f t="shared" ref="AXK54" ca="1" si="15984">IF(AXA54&lt;&gt;"",VLOOKUP(AXA54,AWH4:AWP40,9,FALSE),"")</f>
        <v>51</v>
      </c>
      <c r="AXL54" s="321">
        <f t="shared" ca="1" si="15114"/>
        <v>0</v>
      </c>
      <c r="AXM54" s="321">
        <f t="shared" ref="AXM54" ca="1" si="15985">IF(AXA54&lt;&gt;"",RANK(AXL54,AXL51:AXL54),"")</f>
        <v>1</v>
      </c>
      <c r="AXN54" s="321">
        <f t="shared" ref="AXN54" ca="1" si="15986">IF(AXA54&lt;&gt;"",SUMPRODUCT((AXL51:AXL54=AXL54)*(AXG51:AXG54&gt;AXG54)),"")</f>
        <v>0</v>
      </c>
      <c r="AXO54" s="321">
        <f t="shared" ref="AXO54" ca="1" si="15987">IF(AXA54&lt;&gt;"",SUMPRODUCT((AXL51:AXL54=AXL54)*(AXG51:AXG54=AXG54)*(AXE51:AXE54&gt;AXE54)),"")</f>
        <v>0</v>
      </c>
      <c r="AXP54" s="321">
        <f t="shared" ref="AXP54" ca="1" si="15988">IF(AXA54&lt;&gt;"",SUMPRODUCT((AXL51:AXL54=AXL54)*(AXG51:AXG54=AXG54)*(AXE51:AXE54=AXE54)*(AXI51:AXI54&gt;AXI54)),"")</f>
        <v>0</v>
      </c>
      <c r="AXQ54" s="321">
        <f t="shared" ref="AXQ54" ca="1" si="15989">IF(AXA54&lt;&gt;"",SUMPRODUCT((AXL51:AXL54=AXL54)*(AXG51:AXG54=AXG54)*(AXE51:AXE54=AXE54)*(AXI51:AXI54=AXI54)*(AXJ51:AXJ54&gt;AXJ54)),"")</f>
        <v>0</v>
      </c>
      <c r="AXR54" s="321">
        <f t="shared" ref="AXR54" ca="1" si="15990">IF(AXA54&lt;&gt;"",SUMPRODUCT((AXL51:AXL54=AXL54)*(AXG51:AXG54=AXG54)*(AXE51:AXE54=AXE54)*(AXI51:AXI54=AXI54)*(AXJ51:AXJ54=AXJ54)*(AXK51:AXK54&gt;AXK54)),"")</f>
        <v>0</v>
      </c>
      <c r="AXS54" s="321">
        <f t="shared" ca="1" si="15427"/>
        <v>1</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2">
      <c r="C55" s="321" t="s">
        <v>367</v>
      </c>
    </row>
    <row r="56" spans="2:955 1033:1467" x14ac:dyDescent="0.2">
      <c r="C56" s="321" t="s">
        <v>368</v>
      </c>
    </row>
    <row r="57" spans="2:955 1033:1467" x14ac:dyDescent="0.2">
      <c r="C57" s="321" t="s">
        <v>369</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2">
      <c r="C58" s="321" t="s">
        <v>370</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2</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t="str">
        <f t="shared" ref="ON58" ca="1" si="16054">IF(OO18&lt;&gt;"",SUMPRODUCT((OV18:OV21=OV18)*(OU18:OU21=OU18)*(OS18:OS21=OS18)*(OT18:OT21=OT18)),"")</f>
        <v/>
      </c>
      <c r="OO58" s="321" t="str">
        <f t="shared" ref="OO58:OO61" ca="1" si="16055">IF(AND(ON58&lt;&gt;"",ON58&gt;1),OO18,"")</f>
        <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t="str">
        <f t="shared" ref="OV58:OV61" ca="1" si="16062">IF(OO58&lt;&gt;"",OP58*3+OQ58*1,"")</f>
        <v/>
      </c>
      <c r="OW58" s="321" t="str">
        <f t="shared" ref="OW58" ca="1" si="16063">IF(OO58&lt;&gt;"",VLOOKUP(OO58,NV4:OB40,7,FALSE),"")</f>
        <v/>
      </c>
      <c r="OX58" s="321" t="str">
        <f t="shared" ref="OX58" ca="1" si="16064">IF(OO58&lt;&gt;"",VLOOKUP(OO58,NV4:OB40,5,FALSE),"")</f>
        <v/>
      </c>
      <c r="OY58" s="321" t="str">
        <f t="shared" ref="OY58" ca="1" si="16065">IF(OO58&lt;&gt;"",VLOOKUP(OO58,NV4:OD40,9,FALSE),"")</f>
        <v/>
      </c>
      <c r="OZ58" s="321" t="str">
        <f t="shared" ref="OZ58:OZ61" ca="1" si="16066">OV58</f>
        <v/>
      </c>
      <c r="PA58" s="321" t="str">
        <f t="shared" ref="PA58" ca="1" si="16067">IF(OO58&lt;&gt;"",RANK(OZ58,OZ58:OZ61),"")</f>
        <v/>
      </c>
      <c r="PB58" s="321" t="str">
        <f t="shared" ref="PB58" ca="1" si="16068">IF(OO58&lt;&gt;"",SUMPRODUCT((OZ58:OZ61=OZ58)*(OU58:OU61&gt;OU58)),"")</f>
        <v/>
      </c>
      <c r="PC58" s="321" t="str">
        <f t="shared" ref="PC58" ca="1" si="16069">IF(OO58&lt;&gt;"",SUMPRODUCT((OZ58:OZ61=OZ58)*(OU58:OU61=OU58)*(OS58:OS61&gt;OS58)),"")</f>
        <v/>
      </c>
      <c r="PD58" s="321" t="str">
        <f t="shared" ref="PD58" ca="1" si="16070">IF(OO58&lt;&gt;"",SUMPRODUCT((OZ58:OZ61=OZ58)*(OU58:OU61=OU58)*(OS58:OS61=OS58)*(OW58:OW61&gt;OW58)),"")</f>
        <v/>
      </c>
      <c r="PE58" s="321" t="str">
        <f t="shared" ref="PE58" ca="1" si="16071">IF(OO58&lt;&gt;"",SUMPRODUCT((OZ58:OZ61=OZ58)*(OU58:OU61=OU58)*(OS58:OS61=OS58)*(OW58:OW61=OW58)*(OX58:OX61&gt;OX58)),"")</f>
        <v/>
      </c>
      <c r="PF58" s="321" t="str">
        <f t="shared" ref="PF58" ca="1" si="16072">IF(OO58&lt;&gt;"",SUMPRODUCT((OZ58:OZ61=OZ58)*(OU58:OU61=OU58)*(OS58:OS61=OS58)*(OW58:OW61=OW58)*(OX58:OX61=OX58)*(OY58:OY61&gt;OY58)),"")</f>
        <v/>
      </c>
      <c r="PG58" s="321" t="str">
        <f t="shared" ref="PG58:PG61" ca="1" si="16073">IF(OO58&lt;&gt;"",SUM(PA58:PF58),"")</f>
        <v/>
      </c>
      <c r="TA58" s="321">
        <f ca="1">SUMPRODUCT((TA18:TA21=TA18)*(SZ18:SZ21=SZ18)*(SX18:SX21&gt;SX18))+1</f>
        <v>2</v>
      </c>
      <c r="TL58" s="321" t="str">
        <f t="shared" ref="TL58" ca="1" si="16074">IF(TM18&lt;&gt;"",SUMPRODUCT((TT18:TT21=TT18)*(TS18:TS21=TS18)*(TQ18:TQ21=TQ18)*(TR18:TR21=TR18)),"")</f>
        <v/>
      </c>
      <c r="TM58" s="321" t="str">
        <f t="shared" ref="TM58:TM61" ca="1" si="16075">IF(AND(TL58&lt;&gt;"",TL58&gt;1),TM18,"")</f>
        <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0</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0</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0</v>
      </c>
      <c r="TS58" s="321">
        <f t="shared" ref="TS58:TS61" ca="1" si="16081">TQ58-TR58+1000</f>
        <v>1000</v>
      </c>
      <c r="TT58" s="321" t="str">
        <f t="shared" ref="TT58:TT61" ca="1" si="16082">IF(TM58&lt;&gt;"",TN58*3+TO58*1,"")</f>
        <v/>
      </c>
      <c r="TU58" s="321" t="str">
        <f t="shared" ref="TU58" ca="1" si="16083">IF(TM58&lt;&gt;"",VLOOKUP(TM58,ST4:SZ40,7,FALSE),"")</f>
        <v/>
      </c>
      <c r="TV58" s="321" t="str">
        <f t="shared" ref="TV58" ca="1" si="16084">IF(TM58&lt;&gt;"",VLOOKUP(TM58,ST4:SZ40,5,FALSE),"")</f>
        <v/>
      </c>
      <c r="TW58" s="321" t="str">
        <f t="shared" ref="TW58" ca="1" si="16085">IF(TM58&lt;&gt;"",VLOOKUP(TM58,ST4:TB40,9,FALSE),"")</f>
        <v/>
      </c>
      <c r="TX58" s="321" t="str">
        <f t="shared" ref="TX58:TX61" ca="1" si="16086">TT58</f>
        <v/>
      </c>
      <c r="TY58" s="321" t="str">
        <f t="shared" ref="TY58" ca="1" si="16087">IF(TM58&lt;&gt;"",RANK(TX58,TX58:TX61),"")</f>
        <v/>
      </c>
      <c r="TZ58" s="321" t="str">
        <f t="shared" ref="TZ58" ca="1" si="16088">IF(TM58&lt;&gt;"",SUMPRODUCT((TX58:TX61=TX58)*(TS58:TS61&gt;TS58)),"")</f>
        <v/>
      </c>
      <c r="UA58" s="321" t="str">
        <f t="shared" ref="UA58" ca="1" si="16089">IF(TM58&lt;&gt;"",SUMPRODUCT((TX58:TX61=TX58)*(TS58:TS61=TS58)*(TQ58:TQ61&gt;TQ58)),"")</f>
        <v/>
      </c>
      <c r="UB58" s="321" t="str">
        <f t="shared" ref="UB58" ca="1" si="16090">IF(TM58&lt;&gt;"",SUMPRODUCT((TX58:TX61=TX58)*(TS58:TS61=TS58)*(TQ58:TQ61=TQ58)*(TU58:TU61&gt;TU58)),"")</f>
        <v/>
      </c>
      <c r="UC58" s="321" t="str">
        <f t="shared" ref="UC58" ca="1" si="16091">IF(TM58&lt;&gt;"",SUMPRODUCT((TX58:TX61=TX58)*(TS58:TS61=TS58)*(TQ58:TQ61=TQ58)*(TU58:TU61=TU58)*(TV58:TV61&gt;TV58)),"")</f>
        <v/>
      </c>
      <c r="UD58" s="321" t="str">
        <f t="shared" ref="UD58" ca="1" si="16092">IF(TM58&lt;&gt;"",SUMPRODUCT((TX58:TX61=TX58)*(TS58:TS61=TS58)*(TQ58:TQ61=TQ58)*(TU58:TU61=TU58)*(TV58:TV61=TV58)*(TW58:TW61&gt;TW58)),"")</f>
        <v/>
      </c>
      <c r="UE58" s="321" t="str">
        <f t="shared" ref="UE58:UE61" ca="1" si="16093">IF(TM58&lt;&gt;"",SUM(TY58:UD58),"")</f>
        <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t="str">
        <f t="shared" ref="ADH58" ca="1" si="16114">IF(ADI18&lt;&gt;"",SUMPRODUCT((ADP18:ADP21=ADP18)*(ADO18:ADO21=ADO18)*(ADM18:ADM21=ADM18)*(ADN18:ADN21=ADN18)),"")</f>
        <v/>
      </c>
      <c r="ADI58" s="321" t="str">
        <f t="shared" ref="ADI58:ADI61" ca="1" si="16115">IF(AND(ADH58&lt;&gt;"",ADH58&gt;1),ADI18,"")</f>
        <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t="str">
        <f t="shared" ref="ADP58:ADP61" ca="1" si="16122">IF(ADI58&lt;&gt;"",ADJ58*3+ADK58*1,"")</f>
        <v/>
      </c>
      <c r="ADQ58" s="321" t="str">
        <f t="shared" ref="ADQ58" ca="1" si="16123">IF(ADI58&lt;&gt;"",VLOOKUP(ADI58,ACP4:ACV40,7,FALSE),"")</f>
        <v/>
      </c>
      <c r="ADR58" s="321" t="str">
        <f t="shared" ref="ADR58" ca="1" si="16124">IF(ADI58&lt;&gt;"",VLOOKUP(ADI58,ACP4:ACV40,5,FALSE),"")</f>
        <v/>
      </c>
      <c r="ADS58" s="321" t="str">
        <f t="shared" ref="ADS58" ca="1" si="16125">IF(ADI58&lt;&gt;"",VLOOKUP(ADI58,ACP4:ACX40,9,FALSE),"")</f>
        <v/>
      </c>
      <c r="ADT58" s="321" t="str">
        <f t="shared" ref="ADT58:ADT61" ca="1" si="16126">ADP58</f>
        <v/>
      </c>
      <c r="ADU58" s="321" t="str">
        <f t="shared" ref="ADU58" ca="1" si="16127">IF(ADI58&lt;&gt;"",RANK(ADT58,ADT58:ADT61),"")</f>
        <v/>
      </c>
      <c r="ADV58" s="321" t="str">
        <f t="shared" ref="ADV58" ca="1" si="16128">IF(ADI58&lt;&gt;"",SUMPRODUCT((ADT58:ADT61=ADT58)*(ADO58:ADO61&gt;ADO58)),"")</f>
        <v/>
      </c>
      <c r="ADW58" s="321" t="str">
        <f t="shared" ref="ADW58" ca="1" si="16129">IF(ADI58&lt;&gt;"",SUMPRODUCT((ADT58:ADT61=ADT58)*(ADO58:ADO61=ADO58)*(ADM58:ADM61&gt;ADM58)),"")</f>
        <v/>
      </c>
      <c r="ADX58" s="321" t="str">
        <f t="shared" ref="ADX58" ca="1" si="16130">IF(ADI58&lt;&gt;"",SUMPRODUCT((ADT58:ADT61=ADT58)*(ADO58:ADO61=ADO58)*(ADM58:ADM61=ADM58)*(ADQ58:ADQ61&gt;ADQ58)),"")</f>
        <v/>
      </c>
      <c r="ADY58" s="321" t="str">
        <f t="shared" ref="ADY58" ca="1" si="16131">IF(ADI58&lt;&gt;"",SUMPRODUCT((ADT58:ADT61=ADT58)*(ADO58:ADO61=ADO58)*(ADM58:ADM61=ADM58)*(ADQ58:ADQ61=ADQ58)*(ADR58:ADR61&gt;ADR58)),"")</f>
        <v/>
      </c>
      <c r="ADZ58" s="321" t="str">
        <f t="shared" ref="ADZ58" ca="1" si="16132">IF(ADI58&lt;&gt;"",SUMPRODUCT((ADT58:ADT61=ADT58)*(ADO58:ADO61=ADO58)*(ADM58:ADM61=ADM58)*(ADQ58:ADQ61=ADQ58)*(ADR58:ADR61=ADR58)*(ADS58:ADS61&gt;ADS58)),"")</f>
        <v/>
      </c>
      <c r="AEA58" s="321" t="str">
        <f t="shared" ref="AEA58:AEA61" ca="1" si="16133">IF(ADI58&lt;&gt;"",SUM(ADU58:ADZ58),"")</f>
        <v/>
      </c>
      <c r="AHU58" s="321">
        <f ca="1">SUMPRODUCT((AHU18:AHU21=AHU18)*(AHT18:AHT21=AHT18)*(AHR18:AHR21&gt;AHR18))+1</f>
        <v>1</v>
      </c>
      <c r="AIF58" s="321">
        <f t="shared" ref="AIF58" ca="1" si="16134">IF(AIG18&lt;&gt;"",SUMPRODUCT((AIN18:AIN21=AIN18)*(AIM18:AIM21=AIM18)*(AIK18:AIK21=AIK18)*(AIL18:AIL21=AIL18)),"")</f>
        <v>4</v>
      </c>
      <c r="AIG58" s="321" t="str">
        <f t="shared" ref="AIG58:AIG61" ca="1" si="16135">IF(AND(AIF58&lt;&gt;"",AIF58&gt;1),AIG18,"")</f>
        <v>Serbia</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f t="shared" ref="AIN58:AIN61" ca="1" si="16142">IF(AIG58&lt;&gt;"",AIH58*3+AII58*1,"")</f>
        <v>0</v>
      </c>
      <c r="AIO58" s="321">
        <f t="shared" ref="AIO58" ca="1" si="16143">IF(AIG58&lt;&gt;"",VLOOKUP(AIG58,AHN4:AHT40,7,FALSE),"")</f>
        <v>1000</v>
      </c>
      <c r="AIP58" s="321">
        <f t="shared" ref="AIP58" ca="1" si="16144">IF(AIG58&lt;&gt;"",VLOOKUP(AIG58,AHN4:AHT40,5,FALSE),"")</f>
        <v>0</v>
      </c>
      <c r="AIQ58" s="321">
        <f t="shared" ref="AIQ58" ca="1" si="16145">IF(AIG58&lt;&gt;"",VLOOKUP(AIG58,AHN4:AHV40,9,FALSE),"")</f>
        <v>35</v>
      </c>
      <c r="AIR58" s="321">
        <f t="shared" ref="AIR58:AIR61" ca="1" si="16146">AIN58</f>
        <v>0</v>
      </c>
      <c r="AIS58" s="321">
        <f t="shared" ref="AIS58" ca="1" si="16147">IF(AIG58&lt;&gt;"",RANK(AIR58,AIR58:AIR61),"")</f>
        <v>1</v>
      </c>
      <c r="AIT58" s="321">
        <f t="shared" ref="AIT58" ca="1" si="16148">IF(AIG58&lt;&gt;"",SUMPRODUCT((AIR58:AIR61=AIR58)*(AIM58:AIM61&gt;AIM58)),"")</f>
        <v>0</v>
      </c>
      <c r="AIU58" s="321">
        <f t="shared" ref="AIU58" ca="1" si="16149">IF(AIG58&lt;&gt;"",SUMPRODUCT((AIR58:AIR61=AIR58)*(AIM58:AIM61=AIM58)*(AIK58:AIK61&gt;AIK58)),"")</f>
        <v>0</v>
      </c>
      <c r="AIV58" s="321">
        <f t="shared" ref="AIV58" ca="1" si="16150">IF(AIG58&lt;&gt;"",SUMPRODUCT((AIR58:AIR61=AIR58)*(AIM58:AIM61=AIM58)*(AIK58:AIK61=AIK58)*(AIO58:AIO61&gt;AIO58)),"")</f>
        <v>0</v>
      </c>
      <c r="AIW58" s="321">
        <f t="shared" ref="AIW58" ca="1" si="16151">IF(AIG58&lt;&gt;"",SUMPRODUCT((AIR58:AIR61=AIR58)*(AIM58:AIM61=AIM58)*(AIK58:AIK61=AIK58)*(AIO58:AIO61=AIO58)*(AIP58:AIP61&gt;AIP58)),"")</f>
        <v>0</v>
      </c>
      <c r="AIX58" s="321">
        <f t="shared" ref="AIX58" ca="1" si="16152">IF(AIG58&lt;&gt;"",SUMPRODUCT((AIR58:AIR61=AIR58)*(AIM58:AIM61=AIM58)*(AIK58:AIK61=AIK58)*(AIO58:AIO61=AIO58)*(AIP58:AIP61=AIP58)*(AIQ58:AIQ61&gt;AIQ58)),"")</f>
        <v>3</v>
      </c>
      <c r="AIY58" s="321">
        <f t="shared" ref="AIY58:AIY61" ca="1" si="16153">IF(AIG58&lt;&gt;"",SUM(AIS58:AIX58),"")</f>
        <v>4</v>
      </c>
      <c r="AMS58" s="321">
        <f ca="1">SUMPRODUCT((AMS18:AMS21=AMS18)*(AMR18:AMR21=AMR18)*(AMP18:AMP21&gt;AMP18))+1</f>
        <v>1</v>
      </c>
      <c r="AND58" s="321">
        <f t="shared" ref="AND58" ca="1" si="16154">IF(ANE18&lt;&gt;"",SUMPRODUCT((ANL18:ANL21=ANL18)*(ANK18:ANK21=ANK18)*(ANI18:ANI21=ANI18)*(ANJ18:ANJ21=ANJ18)),"")</f>
        <v>4</v>
      </c>
      <c r="ANE58" s="321" t="str">
        <f t="shared" ref="ANE58:ANE61" ca="1" si="16155">IF(AND(AND58&lt;&gt;"",AND58&gt;1),ANE18,"")</f>
        <v>Serbia</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0</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0</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0</v>
      </c>
      <c r="ANK58" s="321">
        <f t="shared" ref="ANK58:ANK61" ca="1" si="16161">ANI58-ANJ58+1000</f>
        <v>1000</v>
      </c>
      <c r="ANL58" s="321">
        <f t="shared" ref="ANL58:ANL61" ca="1" si="16162">IF(ANE58&lt;&gt;"",ANF58*3+ANG58*1,"")</f>
        <v>0</v>
      </c>
      <c r="ANM58" s="321">
        <f t="shared" ref="ANM58" ca="1" si="16163">IF(ANE58&lt;&gt;"",VLOOKUP(ANE58,AML4:AMR40,7,FALSE),"")</f>
        <v>1000</v>
      </c>
      <c r="ANN58" s="321">
        <f t="shared" ref="ANN58" ca="1" si="16164">IF(ANE58&lt;&gt;"",VLOOKUP(ANE58,AML4:AMR40,5,FALSE),"")</f>
        <v>0</v>
      </c>
      <c r="ANO58" s="321">
        <f t="shared" ref="ANO58" ca="1" si="16165">IF(ANE58&lt;&gt;"",VLOOKUP(ANE58,AML4:AMT40,9,FALSE),"")</f>
        <v>35</v>
      </c>
      <c r="ANP58" s="321">
        <f t="shared" ref="ANP58:ANP61" ca="1" si="16166">ANL58</f>
        <v>0</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0</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3</v>
      </c>
      <c r="ANW58" s="321">
        <f t="shared" ref="ANW58:ANW61" ca="1" si="16173">IF(ANE58&lt;&gt;"",SUM(ANQ58:ANV58),"")</f>
        <v>4</v>
      </c>
      <c r="ARQ58" s="321">
        <f ca="1">SUMPRODUCT((ARQ18:ARQ21=ARQ18)*(ARP18:ARP21=ARP18)*(ARN18:ARN21&gt;ARN18))+1</f>
        <v>1</v>
      </c>
      <c r="ASB58" s="321">
        <f t="shared" ref="ASB58" ca="1" si="16174">IF(ASC18&lt;&gt;"",SUMPRODUCT((ASJ18:ASJ21=ASJ18)*(ASI18:ASI21=ASI18)*(ASG18:ASG21=ASG18)*(ASH18:ASH21=ASH18)),"")</f>
        <v>4</v>
      </c>
      <c r="ASC58" s="321" t="str">
        <f t="shared" ref="ASC58:ASC61" ca="1" si="16175">IF(AND(ASB58&lt;&gt;"",ASB58&gt;1),ASC18,"")</f>
        <v>Serbia</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f t="shared" ref="ASJ58:ASJ61" ca="1" si="16182">IF(ASC58&lt;&gt;"",ASD58*3+ASE58*1,"")</f>
        <v>0</v>
      </c>
      <c r="ASK58" s="321">
        <f t="shared" ref="ASK58" ca="1" si="16183">IF(ASC58&lt;&gt;"",VLOOKUP(ASC58,ARJ4:ARP40,7,FALSE),"")</f>
        <v>1000</v>
      </c>
      <c r="ASL58" s="321">
        <f t="shared" ref="ASL58" ca="1" si="16184">IF(ASC58&lt;&gt;"",VLOOKUP(ASC58,ARJ4:ARP40,5,FALSE),"")</f>
        <v>0</v>
      </c>
      <c r="ASM58" s="321">
        <f t="shared" ref="ASM58" ca="1" si="16185">IF(ASC58&lt;&gt;"",VLOOKUP(ASC58,ARJ4:ARR40,9,FALSE),"")</f>
        <v>35</v>
      </c>
      <c r="ASN58" s="321">
        <f t="shared" ref="ASN58:ASN61" ca="1" si="16186">ASJ58</f>
        <v>0</v>
      </c>
      <c r="ASO58" s="321">
        <f t="shared" ref="ASO58" ca="1" si="16187">IF(ASC58&lt;&gt;"",RANK(ASN58,ASN58:ASN61),"")</f>
        <v>1</v>
      </c>
      <c r="ASP58" s="321">
        <f t="shared" ref="ASP58" ca="1" si="16188">IF(ASC58&lt;&gt;"",SUMPRODUCT((ASN58:ASN61=ASN58)*(ASI58:ASI61&gt;ASI58)),"")</f>
        <v>0</v>
      </c>
      <c r="ASQ58" s="321">
        <f t="shared" ref="ASQ58" ca="1" si="16189">IF(ASC58&lt;&gt;"",SUMPRODUCT((ASN58:ASN61=ASN58)*(ASI58:ASI61=ASI58)*(ASG58:ASG61&gt;ASG58)),"")</f>
        <v>0</v>
      </c>
      <c r="ASR58" s="321">
        <f t="shared" ref="ASR58" ca="1" si="16190">IF(ASC58&lt;&gt;"",SUMPRODUCT((ASN58:ASN61=ASN58)*(ASI58:ASI61=ASI58)*(ASG58:ASG61=ASG58)*(ASK58:ASK61&gt;ASK58)),"")</f>
        <v>0</v>
      </c>
      <c r="ASS58" s="321">
        <f t="shared" ref="ASS58" ca="1" si="16191">IF(ASC58&lt;&gt;"",SUMPRODUCT((ASN58:ASN61=ASN58)*(ASI58:ASI61=ASI58)*(ASG58:ASG61=ASG58)*(ASK58:ASK61=ASK58)*(ASL58:ASL61&gt;ASL58)),"")</f>
        <v>0</v>
      </c>
      <c r="AST58" s="321">
        <f t="shared" ref="AST58" ca="1" si="16192">IF(ASC58&lt;&gt;"",SUMPRODUCT((ASN58:ASN61=ASN58)*(ASI58:ASI61=ASI58)*(ASG58:ASG61=ASG58)*(ASK58:ASK61=ASK58)*(ASL58:ASL61=ASL58)*(ASM58:ASM61&gt;ASM58)),"")</f>
        <v>3</v>
      </c>
      <c r="ASU58" s="321">
        <f t="shared" ref="ASU58:ASU61" ca="1" si="16193">IF(ASC58&lt;&gt;"",SUM(ASO58:AST58),"")</f>
        <v>4</v>
      </c>
      <c r="AWO58" s="321">
        <f ca="1">SUMPRODUCT((AWO18:AWO21=AWO18)*(AWN18:AWN21=AWN18)*(AWL18:AWL21&gt;AWL18))+1</f>
        <v>1</v>
      </c>
      <c r="AWZ58" s="321">
        <f t="shared" ref="AWZ58" ca="1" si="16194">IF(AXA18&lt;&gt;"",SUMPRODUCT((AXH18:AXH21=AXH18)*(AXG18:AXG21=AXG18)*(AXE18:AXE21=AXE18)*(AXF18:AXF21=AXF18)),"")</f>
        <v>4</v>
      </c>
      <c r="AXA58" s="321" t="str">
        <f t="shared" ref="AXA58:AXA61" ca="1" si="16195">IF(AND(AWZ58&lt;&gt;"",AWZ58&gt;1),AXA18,"")</f>
        <v>Serbia</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f t="shared" ref="AXH58:AXH61" ca="1" si="16202">IF(AXA58&lt;&gt;"",AXB58*3+AXC58*1,"")</f>
        <v>0</v>
      </c>
      <c r="AXI58" s="321">
        <f t="shared" ref="AXI58" ca="1" si="16203">IF(AXA58&lt;&gt;"",VLOOKUP(AXA58,AWH4:AWN40,7,FALSE),"")</f>
        <v>1000</v>
      </c>
      <c r="AXJ58" s="321">
        <f t="shared" ref="AXJ58" ca="1" si="16204">IF(AXA58&lt;&gt;"",VLOOKUP(AXA58,AWH4:AWN40,5,FALSE),"")</f>
        <v>0</v>
      </c>
      <c r="AXK58" s="321">
        <f t="shared" ref="AXK58" ca="1" si="16205">IF(AXA58&lt;&gt;"",VLOOKUP(AXA58,AWH4:AWP40,9,FALSE),"")</f>
        <v>35</v>
      </c>
      <c r="AXL58" s="321">
        <f t="shared" ref="AXL58:AXL61" ca="1" si="16206">AXH58</f>
        <v>0</v>
      </c>
      <c r="AXM58" s="321">
        <f t="shared" ref="AXM58" ca="1" si="16207">IF(AXA58&lt;&gt;"",RANK(AXL58,AXL58:AXL61),"")</f>
        <v>1</v>
      </c>
      <c r="AXN58" s="321">
        <f t="shared" ref="AXN58" ca="1" si="16208">IF(AXA58&lt;&gt;"",SUMPRODUCT((AXL58:AXL61=AXL58)*(AXG58:AXG61&gt;AXG58)),"")</f>
        <v>0</v>
      </c>
      <c r="AXO58" s="321">
        <f t="shared" ref="AXO58" ca="1" si="16209">IF(AXA58&lt;&gt;"",SUMPRODUCT((AXL58:AXL61=AXL58)*(AXG58:AXG61=AXG58)*(AXE58:AXE61&gt;AXE58)),"")</f>
        <v>0</v>
      </c>
      <c r="AXP58" s="321">
        <f t="shared" ref="AXP58" ca="1" si="16210">IF(AXA58&lt;&gt;"",SUMPRODUCT((AXL58:AXL61=AXL58)*(AXG58:AXG61=AXG58)*(AXE58:AXE61=AXE58)*(AXI58:AXI61&gt;AXI58)),"")</f>
        <v>0</v>
      </c>
      <c r="AXQ58" s="321">
        <f t="shared" ref="AXQ58" ca="1" si="16211">IF(AXA58&lt;&gt;"",SUMPRODUCT((AXL58:AXL61=AXL58)*(AXG58:AXG61=AXG58)*(AXE58:AXE61=AXE58)*(AXI58:AXI61=AXI58)*(AXJ58:AXJ61&gt;AXJ58)),"")</f>
        <v>0</v>
      </c>
      <c r="AXR58" s="321">
        <f t="shared" ref="AXR58" ca="1" si="16212">IF(AXA58&lt;&gt;"",SUMPRODUCT((AXL58:AXL61=AXL58)*(AXG58:AXG61=AXG58)*(AXE58:AXE61=AXE58)*(AXI58:AXI61=AXI58)*(AXJ58:AXJ61=AXJ58)*(AXK58:AXK61&gt;AXK58)),"")</f>
        <v>3</v>
      </c>
      <c r="AXS58" s="321">
        <f t="shared" ref="AXS58:AXS61" ca="1" si="16213">IF(AXA58&lt;&gt;"",SUM(AXM58:AXR58),"")</f>
        <v>4</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2">
      <c r="C59" s="321" t="s">
        <v>371</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1</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f ca="1">IF(KK19&lt;&gt;"",SUMPRODUCT((KR18:KR21=KR19)*(KQ18:KQ21=KQ19)*(KO18:KO21=KO19)*(KP18:KP21=KP19)),"")</f>
        <v>3</v>
      </c>
      <c r="KK59" s="321" t="str">
        <f t="shared" ref="KK59:KK61" ca="1" si="16249">IF(AND(KJ59&lt;&gt;"",KJ59&gt;1),KK19,"")</f>
        <v>Serbia</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2</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2</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2</v>
      </c>
      <c r="KQ59" s="321">
        <f ca="1">KO59-KP59+1000</f>
        <v>1000</v>
      </c>
      <c r="KR59" s="321">
        <f t="shared" ref="KR59:KR61" ca="1" si="16250">IF(KK59&lt;&gt;"",KL59*3+KM59*1,"")</f>
        <v>2</v>
      </c>
      <c r="KS59" s="321">
        <f ca="1">IF(KK59&lt;&gt;"",VLOOKUP(KK59,IX4:JD40,7,FALSE),"")</f>
        <v>999</v>
      </c>
      <c r="KT59" s="321">
        <f ca="1">IF(KK59&lt;&gt;"",VLOOKUP(KK59,IX4:JD40,5,FALSE),"")</f>
        <v>2</v>
      </c>
      <c r="KU59" s="321">
        <f ca="1">IF(KK59&lt;&gt;"",VLOOKUP(KK59,IX4:JF40,9,FALSE),"")</f>
        <v>35</v>
      </c>
      <c r="KV59" s="321">
        <f t="shared" ref="KV59:KV61" ca="1" si="16251">KR59</f>
        <v>2</v>
      </c>
      <c r="KW59" s="321">
        <f ca="1">IF(KK59&lt;&gt;"",RANK(KV59,KV58:KV61),"")</f>
        <v>1</v>
      </c>
      <c r="KX59" s="321">
        <f ca="1">IF(KK59&lt;&gt;"",SUMPRODUCT((KV58:KV61=KV59)*(KQ58:KQ61&gt;KQ59)),"")</f>
        <v>0</v>
      </c>
      <c r="KY59" s="321">
        <f ca="1">IF(KK59&lt;&gt;"",SUMPRODUCT((KV58:KV61=KV59)*(KQ58:KQ61=KQ59)*(KO58:KO61&gt;KO59)),"")</f>
        <v>0</v>
      </c>
      <c r="KZ59" s="321">
        <f ca="1">IF(KK59&lt;&gt;"",SUMPRODUCT((KV58:KV61=KV59)*(KQ58:KQ61=KQ59)*(KO58:KO61=KO59)*(KS58:KS61&gt;KS59)),"")</f>
        <v>0</v>
      </c>
      <c r="LA59" s="321">
        <f ca="1">IF(KK59&lt;&gt;"",SUMPRODUCT((KV58:KV61=KV59)*(KQ58:KQ61=KQ59)*(KO58:KO61=KO59)*(KS58:KS61=KS59)*(KT58:KT61&gt;KT59)),"")</f>
        <v>1</v>
      </c>
      <c r="LB59" s="321">
        <f ca="1">IF(KK59&lt;&gt;"",SUMPRODUCT((KV58:KV61=KV59)*(KQ58:KQ61=KQ59)*(KO58:KO61=KO59)*(KS58:KS61=KS59)*(KT58:KT61=KT59)*(KU58:KU61&gt;KU59)),"")</f>
        <v>1</v>
      </c>
      <c r="LC59" s="321">
        <f ca="1">IF(KK59&lt;&gt;"",SUM(KW59:LB59)+1,"")</f>
        <v>4</v>
      </c>
      <c r="OC59" s="321">
        <f ca="1">SUMPRODUCT((OC18:OC21=OC19)*(OB18:OB21=OB19)*(NZ18:NZ21&gt;NZ19))+1</f>
        <v>1</v>
      </c>
      <c r="ON59" s="321" t="str">
        <f t="shared" ref="ON59" ca="1" si="16252">IF(OO19&lt;&gt;"",SUMPRODUCT((OV18:OV21=OV19)*(OU18:OU21=OU19)*(OS18:OS21=OS19)*(OT18:OT21=OT19)),"")</f>
        <v/>
      </c>
      <c r="OO59" s="321" t="str">
        <f t="shared" ca="1" si="16055"/>
        <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t="str">
        <f t="shared" ca="1" si="16062"/>
        <v/>
      </c>
      <c r="OW59" s="321" t="str">
        <f t="shared" ref="OW59" ca="1" si="16258">IF(OO59&lt;&gt;"",VLOOKUP(OO59,NV4:OB40,7,FALSE),"")</f>
        <v/>
      </c>
      <c r="OX59" s="321" t="str">
        <f t="shared" ref="OX59" ca="1" si="16259">IF(OO59&lt;&gt;"",VLOOKUP(OO59,NV4:OB40,5,FALSE),"")</f>
        <v/>
      </c>
      <c r="OY59" s="321" t="str">
        <f t="shared" ref="OY59" ca="1" si="16260">IF(OO59&lt;&gt;"",VLOOKUP(OO59,NV4:OD40,9,FALSE),"")</f>
        <v/>
      </c>
      <c r="OZ59" s="321" t="str">
        <f t="shared" ca="1" si="16066"/>
        <v/>
      </c>
      <c r="PA59" s="321" t="str">
        <f t="shared" ref="PA59" ca="1" si="16261">IF(OO59&lt;&gt;"",RANK(OZ59,OZ58:OZ61),"")</f>
        <v/>
      </c>
      <c r="PB59" s="321" t="str">
        <f t="shared" ref="PB59" ca="1" si="16262">IF(OO59&lt;&gt;"",SUMPRODUCT((OZ58:OZ61=OZ59)*(OU58:OU61&gt;OU59)),"")</f>
        <v/>
      </c>
      <c r="PC59" s="321" t="str">
        <f t="shared" ref="PC59" ca="1" si="16263">IF(OO59&lt;&gt;"",SUMPRODUCT((OZ58:OZ61=OZ59)*(OU58:OU61=OU59)*(OS58:OS61&gt;OS59)),"")</f>
        <v/>
      </c>
      <c r="PD59" s="321" t="str">
        <f t="shared" ref="PD59" ca="1" si="16264">IF(OO59&lt;&gt;"",SUMPRODUCT((OZ58:OZ61=OZ59)*(OU58:OU61=OU59)*(OS58:OS61=OS59)*(OW58:OW61&gt;OW59)),"")</f>
        <v/>
      </c>
      <c r="PE59" s="321" t="str">
        <f t="shared" ref="PE59" ca="1" si="16265">IF(OO59&lt;&gt;"",SUMPRODUCT((OZ58:OZ61=OZ59)*(OU58:OU61=OU59)*(OS58:OS61=OS59)*(OW58:OW61=OW59)*(OX58:OX61&gt;OX59)),"")</f>
        <v/>
      </c>
      <c r="PF59" s="321" t="str">
        <f t="shared" ref="PF59" ca="1" si="16266">IF(OO59&lt;&gt;"",SUMPRODUCT((OZ58:OZ61=OZ59)*(OU58:OU61=OU59)*(OS58:OS61=OS59)*(OW58:OW61=OW59)*(OX58:OX61=OX59)*(OY58:OY61&gt;OY59)),"")</f>
        <v/>
      </c>
      <c r="PG59" s="321" t="str">
        <f t="shared" ca="1" si="16073"/>
        <v/>
      </c>
      <c r="PH59" s="321">
        <f t="shared" ref="PH59" ca="1" si="16267">IF(PI19&lt;&gt;"",SUMPRODUCT((PP18:PP21=PP19)*(PO18:PO21=PO19)*(PM18:PM21=PM19)*(PN18:PN21=PN19)),"")</f>
        <v>2</v>
      </c>
      <c r="PI59" s="321" t="str">
        <f t="shared" ref="PI59:PI61" ca="1" si="16268">IF(AND(PH59&lt;&gt;"",PH59&gt;1),PI19,"")</f>
        <v>Serbia</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1</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f t="shared" ref="PP59:PP61" ca="1" si="16275">IF(PI59&lt;&gt;"",PJ59*3+PK59*1,"")</f>
        <v>1</v>
      </c>
      <c r="PQ59" s="321">
        <f t="shared" ref="PQ59" ca="1" si="16276">IF(PI59&lt;&gt;"",VLOOKUP(PI59,NV4:OB40,7,FALSE),"")</f>
        <v>1001</v>
      </c>
      <c r="PR59" s="321">
        <f t="shared" ref="PR59" ca="1" si="16277">IF(PI59&lt;&gt;"",VLOOKUP(PI59,NV4:OB40,5,FALSE),"")</f>
        <v>3</v>
      </c>
      <c r="PS59" s="321">
        <f t="shared" ref="PS59" ca="1" si="16278">IF(PI59&lt;&gt;"",VLOOKUP(PI59,NV4:OD40,9,FALSE),"")</f>
        <v>35</v>
      </c>
      <c r="PT59" s="321">
        <f t="shared" ref="PT59:PT61" ca="1" si="16279">PP59</f>
        <v>1</v>
      </c>
      <c r="PU59" s="321">
        <f t="shared" ref="PU59" ca="1" si="16280">IF(PI59&lt;&gt;"",RANK(PT59,PT58:PT61),"")</f>
        <v>1</v>
      </c>
      <c r="PV59" s="321">
        <f t="shared" ref="PV59" ca="1" si="16281">IF(PI59&lt;&gt;"",SUMPRODUCT((PT58:PT61=PT59)*(PO58:PO61&gt;PO59)),"")</f>
        <v>0</v>
      </c>
      <c r="PW59" s="321">
        <f t="shared" ref="PW59" ca="1" si="16282">IF(PI59&lt;&gt;"",SUMPRODUCT((PT58:PT61=PT59)*(PO58:PO61=PO59)*(PM58:PM61&gt;PM59)),"")</f>
        <v>0</v>
      </c>
      <c r="PX59" s="321">
        <f t="shared" ref="PX59" ca="1" si="16283">IF(PI59&lt;&gt;"",SUMPRODUCT((PT58:PT61=PT59)*(PO58:PO61=PO59)*(PM58:PM61=PM59)*(PQ58:PQ61&gt;PQ59)),"")</f>
        <v>0</v>
      </c>
      <c r="PY59" s="321">
        <f t="shared" ref="PY59" ca="1" si="16284">IF(PI59&lt;&gt;"",SUMPRODUCT((PT58:PT61=PT59)*(PO58:PO61=PO59)*(PM58:PM61=PM59)*(PQ58:PQ61=PQ59)*(PR58:PR61&gt;PR59)),"")</f>
        <v>0</v>
      </c>
      <c r="PZ59" s="321">
        <f t="shared" ref="PZ59" ca="1" si="16285">IF(PI59&lt;&gt;"",SUMPRODUCT((PT58:PT61=PT59)*(PO58:PO61=PO59)*(PM58:PM61=PM59)*(PQ58:PQ61=PQ59)*(PR58:PR61=PR59)*(PS58:PS61&gt;PS59)),"")</f>
        <v>0</v>
      </c>
      <c r="QA59" s="321">
        <f t="shared" ref="QA59" ca="1" si="16286">IF(PI59&lt;&gt;"",SUM(PU59:PZ59)+1,"")</f>
        <v>2</v>
      </c>
      <c r="TA59" s="321">
        <f ca="1">SUMPRODUCT((TA18:TA21=TA19)*(SZ18:SZ21=SZ19)*(SX18:SX21&gt;SX19))+1</f>
        <v>1</v>
      </c>
      <c r="TL59" s="321" t="str">
        <f t="shared" ref="TL59" ca="1" si="16287">IF(TM19&lt;&gt;"",SUMPRODUCT((TT18:TT21=TT19)*(TS18:TS21=TS19)*(TQ18:TQ21=TQ19)*(TR18:TR21=TR19)),"")</f>
        <v/>
      </c>
      <c r="TM59" s="321" t="str">
        <f t="shared" ca="1" si="16075"/>
        <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0</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0</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0</v>
      </c>
      <c r="TS59" s="321">
        <f t="shared" ca="1" si="16081"/>
        <v>1000</v>
      </c>
      <c r="TT59" s="321" t="str">
        <f t="shared" ca="1" si="16082"/>
        <v/>
      </c>
      <c r="TU59" s="321" t="str">
        <f t="shared" ref="TU59" ca="1" si="16293">IF(TM59&lt;&gt;"",VLOOKUP(TM59,ST4:SZ40,7,FALSE),"")</f>
        <v/>
      </c>
      <c r="TV59" s="321" t="str">
        <f t="shared" ref="TV59" ca="1" si="16294">IF(TM59&lt;&gt;"",VLOOKUP(TM59,ST4:SZ40,5,FALSE),"")</f>
        <v/>
      </c>
      <c r="TW59" s="321" t="str">
        <f t="shared" ref="TW59" ca="1" si="16295">IF(TM59&lt;&gt;"",VLOOKUP(TM59,ST4:TB40,9,FALSE),"")</f>
        <v/>
      </c>
      <c r="TX59" s="321" t="str">
        <f t="shared" ca="1" si="16086"/>
        <v/>
      </c>
      <c r="TY59" s="321" t="str">
        <f t="shared" ref="TY59" ca="1" si="16296">IF(TM59&lt;&gt;"",RANK(TX59,TX58:TX61),"")</f>
        <v/>
      </c>
      <c r="TZ59" s="321" t="str">
        <f t="shared" ref="TZ59" ca="1" si="16297">IF(TM59&lt;&gt;"",SUMPRODUCT((TX58:TX61=TX59)*(TS58:TS61&gt;TS59)),"")</f>
        <v/>
      </c>
      <c r="UA59" s="321" t="str">
        <f t="shared" ref="UA59" ca="1" si="16298">IF(TM59&lt;&gt;"",SUMPRODUCT((TX58:TX61=TX59)*(TS58:TS61=TS59)*(TQ58:TQ61&gt;TQ59)),"")</f>
        <v/>
      </c>
      <c r="UB59" s="321" t="str">
        <f t="shared" ref="UB59" ca="1" si="16299">IF(TM59&lt;&gt;"",SUMPRODUCT((TX58:TX61=TX59)*(TS58:TS61=TS59)*(TQ58:TQ61=TQ59)*(TU58:TU61&gt;TU59)),"")</f>
        <v/>
      </c>
      <c r="UC59" s="321" t="str">
        <f t="shared" ref="UC59" ca="1" si="16300">IF(TM59&lt;&gt;"",SUMPRODUCT((TX58:TX61=TX59)*(TS58:TS61=TS59)*(TQ58:TQ61=TQ59)*(TU58:TU61=TU59)*(TV58:TV61&gt;TV59)),"")</f>
        <v/>
      </c>
      <c r="UD59" s="321" t="str">
        <f t="shared" ref="UD59" ca="1" si="16301">IF(TM59&lt;&gt;"",SUMPRODUCT((TX58:TX61=TX59)*(TS58:TS61=TS59)*(TQ58:TQ61=TQ59)*(TU58:TU61=TU59)*(TV58:TV61=TV59)*(TW58:TW61&gt;TW59)),"")</f>
        <v/>
      </c>
      <c r="UE59" s="321" t="str">
        <f t="shared" ca="1" si="16093"/>
        <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t="str">
        <f t="shared" ref="ADH59" ca="1" si="16357">IF(ADI19&lt;&gt;"",SUMPRODUCT((ADP18:ADP21=ADP19)*(ADO18:ADO21=ADO19)*(ADM18:ADM21=ADM19)*(ADN18:ADN21=ADN19)),"")</f>
        <v/>
      </c>
      <c r="ADI59" s="321" t="str">
        <f t="shared" ca="1" si="16115"/>
        <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t="str">
        <f t="shared" ca="1" si="16122"/>
        <v/>
      </c>
      <c r="ADQ59" s="321" t="str">
        <f t="shared" ref="ADQ59" ca="1" si="16363">IF(ADI59&lt;&gt;"",VLOOKUP(ADI59,ACP4:ACV40,7,FALSE),"")</f>
        <v/>
      </c>
      <c r="ADR59" s="321" t="str">
        <f t="shared" ref="ADR59" ca="1" si="16364">IF(ADI59&lt;&gt;"",VLOOKUP(ADI59,ACP4:ACV40,5,FALSE),"")</f>
        <v/>
      </c>
      <c r="ADS59" s="321" t="str">
        <f t="shared" ref="ADS59" ca="1" si="16365">IF(ADI59&lt;&gt;"",VLOOKUP(ADI59,ACP4:ACX40,9,FALSE),"")</f>
        <v/>
      </c>
      <c r="ADT59" s="321" t="str">
        <f t="shared" ca="1" si="16126"/>
        <v/>
      </c>
      <c r="ADU59" s="321" t="str">
        <f t="shared" ref="ADU59" ca="1" si="16366">IF(ADI59&lt;&gt;"",RANK(ADT59,ADT58:ADT61),"")</f>
        <v/>
      </c>
      <c r="ADV59" s="321" t="str">
        <f t="shared" ref="ADV59" ca="1" si="16367">IF(ADI59&lt;&gt;"",SUMPRODUCT((ADT58:ADT61=ADT59)*(ADO58:ADO61&gt;ADO59)),"")</f>
        <v/>
      </c>
      <c r="ADW59" s="321" t="str">
        <f t="shared" ref="ADW59" ca="1" si="16368">IF(ADI59&lt;&gt;"",SUMPRODUCT((ADT58:ADT61=ADT59)*(ADO58:ADO61=ADO59)*(ADM58:ADM61&gt;ADM59)),"")</f>
        <v/>
      </c>
      <c r="ADX59" s="321" t="str">
        <f t="shared" ref="ADX59" ca="1" si="16369">IF(ADI59&lt;&gt;"",SUMPRODUCT((ADT58:ADT61=ADT59)*(ADO58:ADO61=ADO59)*(ADM58:ADM61=ADM59)*(ADQ58:ADQ61&gt;ADQ59)),"")</f>
        <v/>
      </c>
      <c r="ADY59" s="321" t="str">
        <f t="shared" ref="ADY59" ca="1" si="16370">IF(ADI59&lt;&gt;"",SUMPRODUCT((ADT58:ADT61=ADT59)*(ADO58:ADO61=ADO59)*(ADM58:ADM61=ADM59)*(ADQ58:ADQ61=ADQ59)*(ADR58:ADR61&gt;ADR59)),"")</f>
        <v/>
      </c>
      <c r="ADZ59" s="321" t="str">
        <f t="shared" ref="ADZ59" ca="1" si="16371">IF(ADI59&lt;&gt;"",SUMPRODUCT((ADT58:ADT61=ADT59)*(ADO58:ADO61=ADO59)*(ADM58:ADM61=ADM59)*(ADQ58:ADQ61=ADQ59)*(ADR58:ADR61=ADR59)*(ADS58:ADS61&gt;ADS59)),"")</f>
        <v/>
      </c>
      <c r="AEA59" s="321" t="str">
        <f t="shared" ca="1" si="16133"/>
        <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f t="shared" ref="AIF59" ca="1" si="16392">IF(AIG19&lt;&gt;"",SUMPRODUCT((AIN18:AIN21=AIN19)*(AIM18:AIM21=AIM19)*(AIK18:AIK21=AIK19)*(AIL18:AIL21=AIL19)),"")</f>
        <v>4</v>
      </c>
      <c r="AIG59" s="321" t="str">
        <f t="shared" ca="1" si="16135"/>
        <v>Slovenia</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f t="shared" ca="1" si="16142"/>
        <v>0</v>
      </c>
      <c r="AIO59" s="321">
        <f t="shared" ref="AIO59" ca="1" si="16398">IF(AIG59&lt;&gt;"",VLOOKUP(AIG59,AHN4:AHT40,7,FALSE),"")</f>
        <v>1000</v>
      </c>
      <c r="AIP59" s="321">
        <f t="shared" ref="AIP59" ca="1" si="16399">IF(AIG59&lt;&gt;"",VLOOKUP(AIG59,AHN4:AHT40,5,FALSE),"")</f>
        <v>0</v>
      </c>
      <c r="AIQ59" s="321">
        <f t="shared" ref="AIQ59" ca="1" si="16400">IF(AIG59&lt;&gt;"",VLOOKUP(AIG59,AHN4:AHV40,9,FALSE),"")</f>
        <v>39</v>
      </c>
      <c r="AIR59" s="321">
        <f t="shared" ca="1" si="16146"/>
        <v>0</v>
      </c>
      <c r="AIS59" s="321">
        <f t="shared" ref="AIS59" ca="1" si="16401">IF(AIG59&lt;&gt;"",RANK(AIR59,AIR58:AIR61),"")</f>
        <v>1</v>
      </c>
      <c r="AIT59" s="321">
        <f t="shared" ref="AIT59" ca="1" si="16402">IF(AIG59&lt;&gt;"",SUMPRODUCT((AIR58:AIR61=AIR59)*(AIM58:AIM61&gt;AIM59)),"")</f>
        <v>0</v>
      </c>
      <c r="AIU59" s="321">
        <f t="shared" ref="AIU59" ca="1" si="16403">IF(AIG59&lt;&gt;"",SUMPRODUCT((AIR58:AIR61=AIR59)*(AIM58:AIM61=AIM59)*(AIK58:AIK61&gt;AIK59)),"")</f>
        <v>0</v>
      </c>
      <c r="AIV59" s="321">
        <f t="shared" ref="AIV59" ca="1" si="16404">IF(AIG59&lt;&gt;"",SUMPRODUCT((AIR58:AIR61=AIR59)*(AIM58:AIM61=AIM59)*(AIK58:AIK61=AIK59)*(AIO58:AIO61&gt;AIO59)),"")</f>
        <v>0</v>
      </c>
      <c r="AIW59" s="321">
        <f t="shared" ref="AIW59" ca="1" si="16405">IF(AIG59&lt;&gt;"",SUMPRODUCT((AIR58:AIR61=AIR59)*(AIM58:AIM61=AIM59)*(AIK58:AIK61=AIK59)*(AIO58:AIO61=AIO59)*(AIP58:AIP61&gt;AIP59)),"")</f>
        <v>0</v>
      </c>
      <c r="AIX59" s="321">
        <f t="shared" ref="AIX59" ca="1" si="16406">IF(AIG59&lt;&gt;"",SUMPRODUCT((AIR58:AIR61=AIR59)*(AIM58:AIM61=AIM59)*(AIK58:AIK61=AIK59)*(AIO58:AIO61=AIO59)*(AIP58:AIP61=AIP59)*(AIQ58:AIQ61&gt;AIQ59)),"")</f>
        <v>2</v>
      </c>
      <c r="AIY59" s="321">
        <f t="shared" ca="1" si="16153"/>
        <v>3</v>
      </c>
      <c r="AIZ59" s="321" t="str">
        <f t="shared" ref="AIZ59" ca="1" si="16407">IF(AJA19&lt;&gt;"",SUMPRODUCT((AJH18:AJH21=AJH19)*(AJG18:AJG21=AJG19)*(AJE18:AJE21=AJE19)*(AJF18:AJF21=AJF19)),"")</f>
        <v/>
      </c>
      <c r="AJA59" s="321" t="str">
        <f t="shared" ref="AJA59:AJA61" ca="1" si="16408">IF(AND(AIZ59&lt;&gt;"",AIZ59&gt;1),AJA19,"")</f>
        <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1">
        <f t="shared" ref="AJG59:AJG61" ca="1" si="16414">AJE59-AJF59+1000</f>
        <v>1000</v>
      </c>
      <c r="AJH59" s="321" t="str">
        <f t="shared" ref="AJH59:AJH61" ca="1" si="16415">IF(AJA59&lt;&gt;"",AJB59*3+AJC59*1,"")</f>
        <v/>
      </c>
      <c r="AJI59" s="321" t="str">
        <f t="shared" ref="AJI59" ca="1" si="16416">IF(AJA59&lt;&gt;"",VLOOKUP(AJA59,AHN4:AHT40,7,FALSE),"")</f>
        <v/>
      </c>
      <c r="AJJ59" s="321" t="str">
        <f t="shared" ref="AJJ59" ca="1" si="16417">IF(AJA59&lt;&gt;"",VLOOKUP(AJA59,AHN4:AHT40,5,FALSE),"")</f>
        <v/>
      </c>
      <c r="AJK59" s="321" t="str">
        <f t="shared" ref="AJK59" ca="1" si="16418">IF(AJA59&lt;&gt;"",VLOOKUP(AJA59,AHN4:AHV40,9,FALSE),"")</f>
        <v/>
      </c>
      <c r="AJL59" s="321" t="str">
        <f t="shared" ref="AJL59:AJL61" ca="1" si="16419">AJH59</f>
        <v/>
      </c>
      <c r="AJM59" s="321" t="str">
        <f t="shared" ref="AJM59" ca="1" si="16420">IF(AJA59&lt;&gt;"",RANK(AJL59,AJL58:AJL61),"")</f>
        <v/>
      </c>
      <c r="AJN59" s="321" t="str">
        <f t="shared" ref="AJN59" ca="1" si="16421">IF(AJA59&lt;&gt;"",SUMPRODUCT((AJL58:AJL61=AJL59)*(AJG58:AJG61&gt;AJG59)),"")</f>
        <v/>
      </c>
      <c r="AJO59" s="321" t="str">
        <f t="shared" ref="AJO59" ca="1" si="16422">IF(AJA59&lt;&gt;"",SUMPRODUCT((AJL58:AJL61=AJL59)*(AJG58:AJG61=AJG59)*(AJE58:AJE61&gt;AJE59)),"")</f>
        <v/>
      </c>
      <c r="AJP59" s="321" t="str">
        <f t="shared" ref="AJP59" ca="1" si="16423">IF(AJA59&lt;&gt;"",SUMPRODUCT((AJL58:AJL61=AJL59)*(AJG58:AJG61=AJG59)*(AJE58:AJE61=AJE59)*(AJI58:AJI61&gt;AJI59)),"")</f>
        <v/>
      </c>
      <c r="AJQ59" s="321" t="str">
        <f t="shared" ref="AJQ59" ca="1" si="16424">IF(AJA59&lt;&gt;"",SUMPRODUCT((AJL58:AJL61=AJL59)*(AJG58:AJG61=AJG59)*(AJE58:AJE61=AJE59)*(AJI58:AJI61=AJI59)*(AJJ58:AJJ61&gt;AJJ59)),"")</f>
        <v/>
      </c>
      <c r="AJR59" s="321" t="str">
        <f t="shared" ref="AJR59" ca="1" si="16425">IF(AJA59&lt;&gt;"",SUMPRODUCT((AJL58:AJL61=AJL59)*(AJG58:AJG61=AJG59)*(AJE58:AJE61=AJE59)*(AJI58:AJI61=AJI59)*(AJJ58:AJJ61=AJJ59)*(AJK58:AJK61&gt;AJK59)),"")</f>
        <v/>
      </c>
      <c r="AJS59" s="321" t="str">
        <f t="shared" ref="AJS59" ca="1" si="16426">IF(AJA59&lt;&gt;"",SUM(AJM59:AJR59)+1,"")</f>
        <v/>
      </c>
      <c r="AMS59" s="321">
        <f ca="1">SUMPRODUCT((AMS18:AMS21=AMS19)*(AMR18:AMR21=AMR19)*(AMP18:AMP21&gt;AMP19))+1</f>
        <v>1</v>
      </c>
      <c r="AND59" s="321">
        <f t="shared" ref="AND59" ca="1" si="16427">IF(ANE19&lt;&gt;"",SUMPRODUCT((ANL18:ANL21=ANL19)*(ANK18:ANK21=ANK19)*(ANI18:ANI21=ANI19)*(ANJ18:ANJ21=ANJ19)),"")</f>
        <v>4</v>
      </c>
      <c r="ANE59" s="321" t="str">
        <f t="shared" ca="1" si="16155"/>
        <v>Slovenia</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0</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0</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0</v>
      </c>
      <c r="ANK59" s="321">
        <f t="shared" ca="1" si="16161"/>
        <v>1000</v>
      </c>
      <c r="ANL59" s="321">
        <f t="shared" ca="1" si="16162"/>
        <v>0</v>
      </c>
      <c r="ANM59" s="321">
        <f t="shared" ref="ANM59" ca="1" si="16433">IF(ANE59&lt;&gt;"",VLOOKUP(ANE59,AML4:AMR40,7,FALSE),"")</f>
        <v>1000</v>
      </c>
      <c r="ANN59" s="321">
        <f t="shared" ref="ANN59" ca="1" si="16434">IF(ANE59&lt;&gt;"",VLOOKUP(ANE59,AML4:AMR40,5,FALSE),"")</f>
        <v>0</v>
      </c>
      <c r="ANO59" s="321">
        <f t="shared" ref="ANO59" ca="1" si="16435">IF(ANE59&lt;&gt;"",VLOOKUP(ANE59,AML4:AMT40,9,FALSE),"")</f>
        <v>39</v>
      </c>
      <c r="ANP59" s="321">
        <f t="shared" ca="1" si="16166"/>
        <v>0</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2</v>
      </c>
      <c r="ANW59" s="321">
        <f t="shared" ca="1" si="16173"/>
        <v>3</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f t="shared" ref="ASB59" ca="1" si="16462">IF(ASC19&lt;&gt;"",SUMPRODUCT((ASJ18:ASJ21=ASJ19)*(ASI18:ASI21=ASI19)*(ASG18:ASG21=ASG19)*(ASH18:ASH21=ASH19)),"")</f>
        <v>4</v>
      </c>
      <c r="ASC59" s="321" t="str">
        <f t="shared" ca="1" si="16175"/>
        <v>Slovenia</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f t="shared" ca="1" si="16182"/>
        <v>0</v>
      </c>
      <c r="ASK59" s="321">
        <f t="shared" ref="ASK59" ca="1" si="16468">IF(ASC59&lt;&gt;"",VLOOKUP(ASC59,ARJ4:ARP40,7,FALSE),"")</f>
        <v>1000</v>
      </c>
      <c r="ASL59" s="321">
        <f t="shared" ref="ASL59" ca="1" si="16469">IF(ASC59&lt;&gt;"",VLOOKUP(ASC59,ARJ4:ARP40,5,FALSE),"")</f>
        <v>0</v>
      </c>
      <c r="ASM59" s="321">
        <f t="shared" ref="ASM59" ca="1" si="16470">IF(ASC59&lt;&gt;"",VLOOKUP(ASC59,ARJ4:ARR40,9,FALSE),"")</f>
        <v>39</v>
      </c>
      <c r="ASN59" s="321">
        <f t="shared" ca="1" si="16186"/>
        <v>0</v>
      </c>
      <c r="ASO59" s="321">
        <f t="shared" ref="ASO59" ca="1" si="16471">IF(ASC59&lt;&gt;"",RANK(ASN59,ASN58:ASN61),"")</f>
        <v>1</v>
      </c>
      <c r="ASP59" s="321">
        <f t="shared" ref="ASP59" ca="1" si="16472">IF(ASC59&lt;&gt;"",SUMPRODUCT((ASN58:ASN61=ASN59)*(ASI58:ASI61&gt;ASI59)),"")</f>
        <v>0</v>
      </c>
      <c r="ASQ59" s="321">
        <f t="shared" ref="ASQ59" ca="1" si="16473">IF(ASC59&lt;&gt;"",SUMPRODUCT((ASN58:ASN61=ASN59)*(ASI58:ASI61=ASI59)*(ASG58:ASG61&gt;ASG59)),"")</f>
        <v>0</v>
      </c>
      <c r="ASR59" s="321">
        <f t="shared" ref="ASR59" ca="1" si="16474">IF(ASC59&lt;&gt;"",SUMPRODUCT((ASN58:ASN61=ASN59)*(ASI58:ASI61=ASI59)*(ASG58:ASG61=ASG59)*(ASK58:ASK61&gt;ASK59)),"")</f>
        <v>0</v>
      </c>
      <c r="ASS59" s="321">
        <f t="shared" ref="ASS59" ca="1" si="16475">IF(ASC59&lt;&gt;"",SUMPRODUCT((ASN58:ASN61=ASN59)*(ASI58:ASI61=ASI59)*(ASG58:ASG61=ASG59)*(ASK58:ASK61=ASK59)*(ASL58:ASL61&gt;ASL59)),"")</f>
        <v>0</v>
      </c>
      <c r="AST59" s="321">
        <f t="shared" ref="AST59" ca="1" si="16476">IF(ASC59&lt;&gt;"",SUMPRODUCT((ASN58:ASN61=ASN59)*(ASI58:ASI61=ASI59)*(ASG58:ASG61=ASG59)*(ASK58:ASK61=ASK59)*(ASL58:ASL61=ASL59)*(ASM58:ASM61&gt;ASM59)),"")</f>
        <v>2</v>
      </c>
      <c r="ASU59" s="321">
        <f t="shared" ca="1" si="16193"/>
        <v>3</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f t="shared" ref="AWZ59" ca="1" si="16497">IF(AXA19&lt;&gt;"",SUMPRODUCT((AXH18:AXH21=AXH19)*(AXG18:AXG21=AXG19)*(AXE18:AXE21=AXE19)*(AXF18:AXF21=AXF19)),"")</f>
        <v>4</v>
      </c>
      <c r="AXA59" s="321" t="str">
        <f t="shared" ca="1" si="16195"/>
        <v>Slovenia</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f t="shared" ca="1" si="16202"/>
        <v>0</v>
      </c>
      <c r="AXI59" s="321">
        <f t="shared" ref="AXI59" ca="1" si="16503">IF(AXA59&lt;&gt;"",VLOOKUP(AXA59,AWH4:AWN40,7,FALSE),"")</f>
        <v>1000</v>
      </c>
      <c r="AXJ59" s="321">
        <f t="shared" ref="AXJ59" ca="1" si="16504">IF(AXA59&lt;&gt;"",VLOOKUP(AXA59,AWH4:AWN40,5,FALSE),"")</f>
        <v>0</v>
      </c>
      <c r="AXK59" s="321">
        <f t="shared" ref="AXK59" ca="1" si="16505">IF(AXA59&lt;&gt;"",VLOOKUP(AXA59,AWH4:AWP40,9,FALSE),"")</f>
        <v>39</v>
      </c>
      <c r="AXL59" s="321">
        <f t="shared" ca="1" si="16206"/>
        <v>0</v>
      </c>
      <c r="AXM59" s="321">
        <f t="shared" ref="AXM59" ca="1" si="16506">IF(AXA59&lt;&gt;"",RANK(AXL59,AXL58:AXL61),"")</f>
        <v>1</v>
      </c>
      <c r="AXN59" s="321">
        <f t="shared" ref="AXN59" ca="1" si="16507">IF(AXA59&lt;&gt;"",SUMPRODUCT((AXL58:AXL61=AXL59)*(AXG58:AXG61&gt;AXG59)),"")</f>
        <v>0</v>
      </c>
      <c r="AXO59" s="321">
        <f t="shared" ref="AXO59" ca="1" si="16508">IF(AXA59&lt;&gt;"",SUMPRODUCT((AXL58:AXL61=AXL59)*(AXG58:AXG61=AXG59)*(AXE58:AXE61&gt;AXE59)),"")</f>
        <v>0</v>
      </c>
      <c r="AXP59" s="321">
        <f t="shared" ref="AXP59" ca="1" si="16509">IF(AXA59&lt;&gt;"",SUMPRODUCT((AXL58:AXL61=AXL59)*(AXG58:AXG61=AXG59)*(AXE58:AXE61=AXE59)*(AXI58:AXI61&gt;AXI59)),"")</f>
        <v>0</v>
      </c>
      <c r="AXQ59" s="321">
        <f t="shared" ref="AXQ59" ca="1" si="16510">IF(AXA59&lt;&gt;"",SUMPRODUCT((AXL58:AXL61=AXL59)*(AXG58:AXG61=AXG59)*(AXE58:AXE61=AXE59)*(AXI58:AXI61=AXI59)*(AXJ58:AXJ61&gt;AXJ59)),"")</f>
        <v>0</v>
      </c>
      <c r="AXR59" s="321">
        <f t="shared" ref="AXR59" ca="1" si="16511">IF(AXA59&lt;&gt;"",SUMPRODUCT((AXL58:AXL61=AXL59)*(AXG58:AXG61=AXG59)*(AXE58:AXE61=AXE59)*(AXI58:AXI61=AXI59)*(AXJ58:AXJ61=AXJ59)*(AXK58:AXK61&gt;AXK59)),"")</f>
        <v>2</v>
      </c>
      <c r="AXS59" s="321">
        <f t="shared" ca="1" si="16213"/>
        <v>3</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2">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1</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2</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f ca="1">IF(KK20&lt;&gt;"",SUMPRODUCT((KR18:KR21=KR20)*(KQ18:KQ21=KQ20)*(KO18:KO21=KO20)*(KP18:KP21=KP20)),"")</f>
        <v>3</v>
      </c>
      <c r="KK60" s="321" t="str">
        <f t="shared" ca="1" si="16249"/>
        <v>Slovenia</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2</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2</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2</v>
      </c>
      <c r="KQ60" s="321">
        <f ca="1">KO60-KP60+1000</f>
        <v>1000</v>
      </c>
      <c r="KR60" s="321">
        <f t="shared" ca="1" si="16250"/>
        <v>2</v>
      </c>
      <c r="KS60" s="321">
        <f ca="1">IF(KK60&lt;&gt;"",VLOOKUP(KK60,IX4:JD40,7,FALSE),"")</f>
        <v>999</v>
      </c>
      <c r="KT60" s="321">
        <f ca="1">IF(KK60&lt;&gt;"",VLOOKUP(KK60,IX4:JD40,5,FALSE),"")</f>
        <v>2</v>
      </c>
      <c r="KU60" s="321">
        <f ca="1">IF(KK60&lt;&gt;"",VLOOKUP(KK60,IX4:JF40,9,FALSE),"")</f>
        <v>39</v>
      </c>
      <c r="KV60" s="321">
        <f t="shared" ca="1" si="16251"/>
        <v>2</v>
      </c>
      <c r="KW60" s="321">
        <f ca="1">IF(KK60&lt;&gt;"",RANK(KV60,KV58:KV61),"")</f>
        <v>1</v>
      </c>
      <c r="KX60" s="321">
        <f ca="1">IF(KK60&lt;&gt;"",SUMPRODUCT((KV58:KV61=KV60)*(KQ58:KQ61&gt;KQ60)),"")</f>
        <v>0</v>
      </c>
      <c r="KY60" s="321">
        <f ca="1">IF(KK60&lt;&gt;"",SUMPRODUCT((KV58:KV61=KV60)*(KQ58:KQ61=KQ60)*(KO58:KO61&gt;KO60)),"")</f>
        <v>0</v>
      </c>
      <c r="KZ60" s="321">
        <f ca="1">IF(KK60&lt;&gt;"",SUMPRODUCT((KV58:KV61=KV60)*(KQ58:KQ61=KQ60)*(KO58:KO61=KO60)*(KS58:KS61&gt;KS60)),"")</f>
        <v>0</v>
      </c>
      <c r="LA60" s="321">
        <f ca="1">IF(KK60&lt;&gt;"",SUMPRODUCT((KV58:KV61=KV60)*(KQ58:KQ61=KQ60)*(KO58:KO61=KO60)*(KS58:KS61=KS60)*(KT58:KT61&gt;KT60)),"")</f>
        <v>1</v>
      </c>
      <c r="LB60" s="321">
        <f ca="1">IF(KK60&lt;&gt;"",SUMPRODUCT((KV58:KV61=KV60)*(KQ58:KQ61=KQ60)*(KO58:KO61=KO60)*(KS58:KS61=KS60)*(KT58:KT61=KT60)*(KU58:KU61&gt;KU60)),"")</f>
        <v>0</v>
      </c>
      <c r="LC60" s="321">
        <f t="shared" ref="LC60:LC61" ca="1" si="16569">IF(KK60&lt;&gt;"",SUM(KW60:LB60)+1,"")</f>
        <v>3</v>
      </c>
      <c r="OC60" s="321">
        <f ca="1">SUMPRODUCT((OC18:OC21=OC20)*(OB18:OB21=OB20)*(NZ18:NZ21&gt;NZ20))+1</f>
        <v>1</v>
      </c>
      <c r="ON60" s="321" t="str">
        <f t="shared" ref="ON60" ca="1" si="16570">IF(OO20&lt;&gt;"",SUMPRODUCT((OV18:OV21=OV20)*(OU18:OU21=OU20)*(OS18:OS21=OS20)*(OT18:OT21=OT20)),"")</f>
        <v/>
      </c>
      <c r="OO60" s="321" t="str">
        <f t="shared" ca="1" si="16055"/>
        <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t="str">
        <f t="shared" ca="1" si="16062"/>
        <v/>
      </c>
      <c r="OW60" s="321" t="str">
        <f t="shared" ref="OW60" ca="1" si="16576">IF(OO60&lt;&gt;"",VLOOKUP(OO60,NV4:OB40,7,FALSE),"")</f>
        <v/>
      </c>
      <c r="OX60" s="321" t="str">
        <f t="shared" ref="OX60" ca="1" si="16577">IF(OO60&lt;&gt;"",VLOOKUP(OO60,NV4:OB40,5,FALSE),"")</f>
        <v/>
      </c>
      <c r="OY60" s="321" t="str">
        <f t="shared" ref="OY60" ca="1" si="16578">IF(OO60&lt;&gt;"",VLOOKUP(OO60,NV4:OD40,9,FALSE),"")</f>
        <v/>
      </c>
      <c r="OZ60" s="321" t="str">
        <f t="shared" ca="1" si="16066"/>
        <v/>
      </c>
      <c r="PA60" s="321" t="str">
        <f t="shared" ref="PA60" ca="1" si="16579">IF(OO60&lt;&gt;"",RANK(OZ60,OZ58:OZ61),"")</f>
        <v/>
      </c>
      <c r="PB60" s="321" t="str">
        <f t="shared" ref="PB60" ca="1" si="16580">IF(OO60&lt;&gt;"",SUMPRODUCT((OZ58:OZ61=OZ60)*(OU58:OU61&gt;OU60)),"")</f>
        <v/>
      </c>
      <c r="PC60" s="321" t="str">
        <f t="shared" ref="PC60" ca="1" si="16581">IF(OO60&lt;&gt;"",SUMPRODUCT((OZ58:OZ61=OZ60)*(OU58:OU61=OU60)*(OS58:OS61&gt;OS60)),"")</f>
        <v/>
      </c>
      <c r="PD60" s="321" t="str">
        <f t="shared" ref="PD60" ca="1" si="16582">IF(OO60&lt;&gt;"",SUMPRODUCT((OZ58:OZ61=OZ60)*(OU58:OU61=OU60)*(OS58:OS61=OS60)*(OW58:OW61&gt;OW60)),"")</f>
        <v/>
      </c>
      <c r="PE60" s="321" t="str">
        <f t="shared" ref="PE60" ca="1" si="16583">IF(OO60&lt;&gt;"",SUMPRODUCT((OZ58:OZ61=OZ60)*(OU58:OU61=OU60)*(OS58:OS61=OS60)*(OW58:OW61=OW60)*(OX58:OX61&gt;OX60)),"")</f>
        <v/>
      </c>
      <c r="PF60" s="321" t="str">
        <f t="shared" ref="PF60" ca="1" si="16584">IF(OO60&lt;&gt;"",SUMPRODUCT((OZ58:OZ61=OZ60)*(OU58:OU61=OU60)*(OS58:OS61=OS60)*(OW58:OW61=OW60)*(OX58:OX61=OX60)*(OY58:OY61&gt;OY60)),"")</f>
        <v/>
      </c>
      <c r="PG60" s="321" t="str">
        <f t="shared" ca="1" si="16073"/>
        <v/>
      </c>
      <c r="PH60" s="321">
        <f t="shared" ref="PH60" ca="1" si="16585">IF(PI20&lt;&gt;"",SUMPRODUCT((PP18:PP21=PP20)*(PO18:PO21=PO20)*(PM18:PM21=PM20)*(PN18:PN21=PN20)),"")</f>
        <v>2</v>
      </c>
      <c r="PI60" s="321" t="str">
        <f t="shared" ca="1" si="16268"/>
        <v>Denmark</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1</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f t="shared" ca="1" si="16275"/>
        <v>1</v>
      </c>
      <c r="PQ60" s="321">
        <f t="shared" ref="PQ60" ca="1" si="16591">IF(PI60&lt;&gt;"",VLOOKUP(PI60,NV4:OB40,7,FALSE),"")</f>
        <v>1000</v>
      </c>
      <c r="PR60" s="321">
        <f t="shared" ref="PR60" ca="1" si="16592">IF(PI60&lt;&gt;"",VLOOKUP(PI60,NV4:OB40,5,FALSE),"")</f>
        <v>3</v>
      </c>
      <c r="PS60" s="321">
        <f t="shared" ref="PS60" ca="1" si="16593">IF(PI60&lt;&gt;"",VLOOKUP(PI60,NV4:OD40,9,FALSE),"")</f>
        <v>45</v>
      </c>
      <c r="PT60" s="321">
        <f t="shared" ca="1" si="16279"/>
        <v>1</v>
      </c>
      <c r="PU60" s="321">
        <f t="shared" ref="PU60" ca="1" si="16594">IF(PI60&lt;&gt;"",RANK(PT60,PT58:PT61),"")</f>
        <v>1</v>
      </c>
      <c r="PV60" s="321">
        <f t="shared" ref="PV60" ca="1" si="16595">IF(PI60&lt;&gt;"",SUMPRODUCT((PT58:PT61=PT60)*(PO58:PO61&gt;PO60)),"")</f>
        <v>0</v>
      </c>
      <c r="PW60" s="321">
        <f t="shared" ref="PW60" ca="1" si="16596">IF(PI60&lt;&gt;"",SUMPRODUCT((PT58:PT61=PT60)*(PO58:PO61=PO60)*(PM58:PM61&gt;PM60)),"")</f>
        <v>0</v>
      </c>
      <c r="PX60" s="321">
        <f t="shared" ref="PX60" ca="1" si="16597">IF(PI60&lt;&gt;"",SUMPRODUCT((PT58:PT61=PT60)*(PO58:PO61=PO60)*(PM58:PM61=PM60)*(PQ58:PQ61&gt;PQ60)),"")</f>
        <v>1</v>
      </c>
      <c r="PY60" s="321">
        <f t="shared" ref="PY60" ca="1" si="16598">IF(PI60&lt;&gt;"",SUMPRODUCT((PT58:PT61=PT60)*(PO58:PO61=PO60)*(PM58:PM61=PM60)*(PQ58:PQ61=PQ60)*(PR58:PR61&gt;PR60)),"")</f>
        <v>0</v>
      </c>
      <c r="PZ60" s="321">
        <f t="shared" ref="PZ60" ca="1" si="16599">IF(PI60&lt;&gt;"",SUMPRODUCT((PT58:PT61=PT60)*(PO58:PO61=PO60)*(PM58:PM61=PM60)*(PQ58:PQ61=PQ60)*(PR58:PR61=PR60)*(PS58:PS61&gt;PS60)),"")</f>
        <v>0</v>
      </c>
      <c r="QA60" s="321">
        <f t="shared" ref="QA60:QA61" ca="1" si="16600">IF(PI60&lt;&gt;"",SUM(PU60:PZ60)+1,"")</f>
        <v>3</v>
      </c>
      <c r="TA60" s="321">
        <f ca="1">SUMPRODUCT((TA18:TA21=TA20)*(SZ18:SZ21=SZ20)*(SX18:SX21&gt;SX20))+1</f>
        <v>1</v>
      </c>
      <c r="TL60" s="321" t="str">
        <f t="shared" ref="TL60" ca="1" si="16601">IF(TM20&lt;&gt;"",SUMPRODUCT((TT18:TT21=TT20)*(TS18:TS21=TS20)*(TQ18:TQ21=TQ20)*(TR18:TR21=TR20)),"")</f>
        <v/>
      </c>
      <c r="TM60" s="321" t="str">
        <f t="shared" ca="1" si="16075"/>
        <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t="str">
        <f t="shared" ca="1" si="16082"/>
        <v/>
      </c>
      <c r="TU60" s="321" t="str">
        <f t="shared" ref="TU60" ca="1" si="16607">IF(TM60&lt;&gt;"",VLOOKUP(TM60,ST4:SZ40,7,FALSE),"")</f>
        <v/>
      </c>
      <c r="TV60" s="321" t="str">
        <f t="shared" ref="TV60" ca="1" si="16608">IF(TM60&lt;&gt;"",VLOOKUP(TM60,ST4:SZ40,5,FALSE),"")</f>
        <v/>
      </c>
      <c r="TW60" s="321" t="str">
        <f t="shared" ref="TW60" ca="1" si="16609">IF(TM60&lt;&gt;"",VLOOKUP(TM60,ST4:TB40,9,FALSE),"")</f>
        <v/>
      </c>
      <c r="TX60" s="321" t="str">
        <f t="shared" ca="1" si="16086"/>
        <v/>
      </c>
      <c r="TY60" s="321" t="str">
        <f t="shared" ref="TY60" ca="1" si="16610">IF(TM60&lt;&gt;"",RANK(TX60,TX58:TX61),"")</f>
        <v/>
      </c>
      <c r="TZ60" s="321" t="str">
        <f t="shared" ref="TZ60" ca="1" si="16611">IF(TM60&lt;&gt;"",SUMPRODUCT((TX58:TX61=TX60)*(TS58:TS61&gt;TS60)),"")</f>
        <v/>
      </c>
      <c r="UA60" s="321" t="str">
        <f t="shared" ref="UA60" ca="1" si="16612">IF(TM60&lt;&gt;"",SUMPRODUCT((TX58:TX61=TX60)*(TS58:TS61=TS60)*(TQ58:TQ61&gt;TQ60)),"")</f>
        <v/>
      </c>
      <c r="UB60" s="321" t="str">
        <f t="shared" ref="UB60" ca="1" si="16613">IF(TM60&lt;&gt;"",SUMPRODUCT((TX58:TX61=TX60)*(TS58:TS61=TS60)*(TQ58:TQ61=TQ60)*(TU58:TU61&gt;TU60)),"")</f>
        <v/>
      </c>
      <c r="UC60" s="321" t="str">
        <f t="shared" ref="UC60" ca="1" si="16614">IF(TM60&lt;&gt;"",SUMPRODUCT((TX58:TX61=TX60)*(TS58:TS61=TS60)*(TQ58:TQ61=TQ60)*(TU58:TU61=TU60)*(TV58:TV61&gt;TV60)),"")</f>
        <v/>
      </c>
      <c r="UD60" s="321" t="str">
        <f t="shared" ref="UD60" ca="1" si="16615">IF(TM60&lt;&gt;"",SUMPRODUCT((TX58:TX61=TX60)*(TS58:TS61=TS60)*(TQ58:TQ61=TQ60)*(TU58:TU61=TU60)*(TV58:TV61=TV60)*(TW58:TW61&gt;TW60)),"")</f>
        <v/>
      </c>
      <c r="UE60" s="321" t="str">
        <f t="shared" ca="1" si="16093"/>
        <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t="str">
        <f t="shared" ref="ADH60" ca="1" si="16663">IF(ADI20&lt;&gt;"",SUMPRODUCT((ADP18:ADP21=ADP20)*(ADO18:ADO21=ADO20)*(ADM18:ADM21=ADM20)*(ADN18:ADN21=ADN20)),"")</f>
        <v/>
      </c>
      <c r="ADI60" s="321" t="str">
        <f t="shared" ca="1" si="16115"/>
        <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t="str">
        <f t="shared" ca="1" si="16122"/>
        <v/>
      </c>
      <c r="ADQ60" s="321" t="str">
        <f t="shared" ref="ADQ60" ca="1" si="16669">IF(ADI60&lt;&gt;"",VLOOKUP(ADI60,ACP4:ACV40,7,FALSE),"")</f>
        <v/>
      </c>
      <c r="ADR60" s="321" t="str">
        <f t="shared" ref="ADR60" ca="1" si="16670">IF(ADI60&lt;&gt;"",VLOOKUP(ADI60,ACP4:ACV40,5,FALSE),"")</f>
        <v/>
      </c>
      <c r="ADS60" s="321" t="str">
        <f t="shared" ref="ADS60" ca="1" si="16671">IF(ADI60&lt;&gt;"",VLOOKUP(ADI60,ACP4:ACX40,9,FALSE),"")</f>
        <v/>
      </c>
      <c r="ADT60" s="321" t="str">
        <f t="shared" ca="1" si="16126"/>
        <v/>
      </c>
      <c r="ADU60" s="321" t="str">
        <f t="shared" ref="ADU60" ca="1" si="16672">IF(ADI60&lt;&gt;"",RANK(ADT60,ADT58:ADT61),"")</f>
        <v/>
      </c>
      <c r="ADV60" s="321" t="str">
        <f t="shared" ref="ADV60" ca="1" si="16673">IF(ADI60&lt;&gt;"",SUMPRODUCT((ADT58:ADT61=ADT60)*(ADO58:ADO61&gt;ADO60)),"")</f>
        <v/>
      </c>
      <c r="ADW60" s="321" t="str">
        <f t="shared" ref="ADW60" ca="1" si="16674">IF(ADI60&lt;&gt;"",SUMPRODUCT((ADT58:ADT61=ADT60)*(ADO58:ADO61=ADO60)*(ADM58:ADM61&gt;ADM60)),"")</f>
        <v/>
      </c>
      <c r="ADX60" s="321" t="str">
        <f t="shared" ref="ADX60" ca="1" si="16675">IF(ADI60&lt;&gt;"",SUMPRODUCT((ADT58:ADT61=ADT60)*(ADO58:ADO61=ADO60)*(ADM58:ADM61=ADM60)*(ADQ58:ADQ61&gt;ADQ60)),"")</f>
        <v/>
      </c>
      <c r="ADY60" s="321" t="str">
        <f t="shared" ref="ADY60" ca="1" si="16676">IF(ADI60&lt;&gt;"",SUMPRODUCT((ADT58:ADT61=ADT60)*(ADO58:ADO61=ADO60)*(ADM58:ADM61=ADM60)*(ADQ58:ADQ61=ADQ60)*(ADR58:ADR61&gt;ADR60)),"")</f>
        <v/>
      </c>
      <c r="ADZ60" s="321" t="str">
        <f t="shared" ref="ADZ60" ca="1" si="16677">IF(ADI60&lt;&gt;"",SUMPRODUCT((ADT58:ADT61=ADT60)*(ADO58:ADO61=ADO60)*(ADM58:ADM61=ADM60)*(ADQ58:ADQ61=ADQ60)*(ADR58:ADR61=ADR60)*(ADS58:ADS61&gt;ADS60)),"")</f>
        <v/>
      </c>
      <c r="AEA60" s="321" t="str">
        <f t="shared" ca="1" si="16133"/>
        <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f t="shared" ref="AIF60" ca="1" si="16694">IF(AIG20&lt;&gt;"",SUMPRODUCT((AIN18:AIN21=AIN20)*(AIM18:AIM21=AIM20)*(AIK18:AIK21=AIK20)*(AIL18:AIL21=AIL20)),"")</f>
        <v>4</v>
      </c>
      <c r="AIG60" s="321" t="str">
        <f t="shared" ca="1" si="16135"/>
        <v>Denmark</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f t="shared" ca="1" si="16142"/>
        <v>0</v>
      </c>
      <c r="AIO60" s="321">
        <f t="shared" ref="AIO60" ca="1" si="16700">IF(AIG60&lt;&gt;"",VLOOKUP(AIG60,AHN4:AHT40,7,FALSE),"")</f>
        <v>1000</v>
      </c>
      <c r="AIP60" s="321">
        <f t="shared" ref="AIP60" ca="1" si="16701">IF(AIG60&lt;&gt;"",VLOOKUP(AIG60,AHN4:AHT40,5,FALSE),"")</f>
        <v>0</v>
      </c>
      <c r="AIQ60" s="321">
        <f t="shared" ref="AIQ60" ca="1" si="16702">IF(AIG60&lt;&gt;"",VLOOKUP(AIG60,AHN4:AHV40,9,FALSE),"")</f>
        <v>45</v>
      </c>
      <c r="AIR60" s="321">
        <f t="shared" ca="1" si="16146"/>
        <v>0</v>
      </c>
      <c r="AIS60" s="321">
        <f t="shared" ref="AIS60" ca="1" si="16703">IF(AIG60&lt;&gt;"",RANK(AIR60,AIR58:AIR61),"")</f>
        <v>1</v>
      </c>
      <c r="AIT60" s="321">
        <f t="shared" ref="AIT60" ca="1" si="16704">IF(AIG60&lt;&gt;"",SUMPRODUCT((AIR58:AIR61=AIR60)*(AIM58:AIM61&gt;AIM60)),"")</f>
        <v>0</v>
      </c>
      <c r="AIU60" s="321">
        <f t="shared" ref="AIU60" ca="1" si="16705">IF(AIG60&lt;&gt;"",SUMPRODUCT((AIR58:AIR61=AIR60)*(AIM58:AIM61=AIM60)*(AIK58:AIK61&gt;AIK60)),"")</f>
        <v>0</v>
      </c>
      <c r="AIV60" s="321">
        <f t="shared" ref="AIV60" ca="1" si="16706">IF(AIG60&lt;&gt;"",SUMPRODUCT((AIR58:AIR61=AIR60)*(AIM58:AIM61=AIM60)*(AIK58:AIK61=AIK60)*(AIO58:AIO61&gt;AIO60)),"")</f>
        <v>0</v>
      </c>
      <c r="AIW60" s="321">
        <f t="shared" ref="AIW60" ca="1" si="16707">IF(AIG60&lt;&gt;"",SUMPRODUCT((AIR58:AIR61=AIR60)*(AIM58:AIM61=AIM60)*(AIK58:AIK61=AIK60)*(AIO58:AIO61=AIO60)*(AIP58:AIP61&gt;AIP60)),"")</f>
        <v>0</v>
      </c>
      <c r="AIX60" s="321">
        <f t="shared" ref="AIX60" ca="1" si="16708">IF(AIG60&lt;&gt;"",SUMPRODUCT((AIR58:AIR61=AIR60)*(AIM58:AIM61=AIM60)*(AIK58:AIK61=AIK60)*(AIO58:AIO61=AIO60)*(AIP58:AIP61=AIP60)*(AIQ58:AIQ61&gt;AIQ60)),"")</f>
        <v>1</v>
      </c>
      <c r="AIY60" s="321">
        <f t="shared" ca="1" si="16153"/>
        <v>2</v>
      </c>
      <c r="AIZ60" s="321" t="str">
        <f t="shared" ref="AIZ60" ca="1" si="16709">IF(AJA20&lt;&gt;"",SUMPRODUCT((AJH18:AJH21=AJH20)*(AJG18:AJG21=AJG20)*(AJE18:AJE21=AJE20)*(AJF18:AJF21=AJF20)),"")</f>
        <v/>
      </c>
      <c r="AJA60" s="321" t="str">
        <f t="shared" ca="1" si="16408"/>
        <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1">
        <f t="shared" ca="1" si="16414"/>
        <v>1000</v>
      </c>
      <c r="AJH60" s="321" t="str">
        <f t="shared" ca="1" si="16415"/>
        <v/>
      </c>
      <c r="AJI60" s="321" t="str">
        <f t="shared" ref="AJI60" ca="1" si="16715">IF(AJA60&lt;&gt;"",VLOOKUP(AJA60,AHN4:AHT40,7,FALSE),"")</f>
        <v/>
      </c>
      <c r="AJJ60" s="321" t="str">
        <f t="shared" ref="AJJ60" ca="1" si="16716">IF(AJA60&lt;&gt;"",VLOOKUP(AJA60,AHN4:AHT40,5,FALSE),"")</f>
        <v/>
      </c>
      <c r="AJK60" s="321" t="str">
        <f t="shared" ref="AJK60" ca="1" si="16717">IF(AJA60&lt;&gt;"",VLOOKUP(AJA60,AHN4:AHV40,9,FALSE),"")</f>
        <v/>
      </c>
      <c r="AJL60" s="321" t="str">
        <f t="shared" ca="1" si="16419"/>
        <v/>
      </c>
      <c r="AJM60" s="321" t="str">
        <f t="shared" ref="AJM60" ca="1" si="16718">IF(AJA60&lt;&gt;"",RANK(AJL60,AJL58:AJL61),"")</f>
        <v/>
      </c>
      <c r="AJN60" s="321" t="str">
        <f t="shared" ref="AJN60" ca="1" si="16719">IF(AJA60&lt;&gt;"",SUMPRODUCT((AJL58:AJL61=AJL60)*(AJG58:AJG61&gt;AJG60)),"")</f>
        <v/>
      </c>
      <c r="AJO60" s="321" t="str">
        <f t="shared" ref="AJO60" ca="1" si="16720">IF(AJA60&lt;&gt;"",SUMPRODUCT((AJL58:AJL61=AJL60)*(AJG58:AJG61=AJG60)*(AJE58:AJE61&gt;AJE60)),"")</f>
        <v/>
      </c>
      <c r="AJP60" s="321" t="str">
        <f t="shared" ref="AJP60" ca="1" si="16721">IF(AJA60&lt;&gt;"",SUMPRODUCT((AJL58:AJL61=AJL60)*(AJG58:AJG61=AJG60)*(AJE58:AJE61=AJE60)*(AJI58:AJI61&gt;AJI60)),"")</f>
        <v/>
      </c>
      <c r="AJQ60" s="321" t="str">
        <f t="shared" ref="AJQ60" ca="1" si="16722">IF(AJA60&lt;&gt;"",SUMPRODUCT((AJL58:AJL61=AJL60)*(AJG58:AJG61=AJG60)*(AJE58:AJE61=AJE60)*(AJI58:AJI61=AJI60)*(AJJ58:AJJ61&gt;AJJ60)),"")</f>
        <v/>
      </c>
      <c r="AJR60" s="321" t="str">
        <f t="shared" ref="AJR60" ca="1" si="16723">IF(AJA60&lt;&gt;"",SUMPRODUCT((AJL58:AJL61=AJL60)*(AJG58:AJG61=AJG60)*(AJE58:AJE61=AJE60)*(AJI58:AJI61=AJI60)*(AJJ58:AJJ61=AJJ60)*(AJK58:AJK61&gt;AJK60)),"")</f>
        <v/>
      </c>
      <c r="AJS60" s="321" t="str">
        <f t="shared" ref="AJS60:AJS61" ca="1" si="16724">IF(AJA60&lt;&gt;"",SUM(AJM60:AJR60)+1,"")</f>
        <v/>
      </c>
      <c r="AMS60" s="321">
        <f ca="1">SUMPRODUCT((AMS18:AMS21=AMS20)*(AMR18:AMR21=AMR20)*(AMP18:AMP21&gt;AMP20))+1</f>
        <v>1</v>
      </c>
      <c r="AND60" s="321">
        <f t="shared" ref="AND60" ca="1" si="16725">IF(ANE20&lt;&gt;"",SUMPRODUCT((ANL18:ANL21=ANL20)*(ANK18:ANK21=ANK20)*(ANI18:ANI21=ANI20)*(ANJ18:ANJ21=ANJ20)),"")</f>
        <v>4</v>
      </c>
      <c r="ANE60" s="321" t="str">
        <f t="shared" ca="1" si="16155"/>
        <v>Denmark</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f t="shared" ca="1" si="16162"/>
        <v>0</v>
      </c>
      <c r="ANM60" s="321">
        <f t="shared" ref="ANM60" ca="1" si="16731">IF(ANE60&lt;&gt;"",VLOOKUP(ANE60,AML4:AMR40,7,FALSE),"")</f>
        <v>1000</v>
      </c>
      <c r="ANN60" s="321">
        <f t="shared" ref="ANN60" ca="1" si="16732">IF(ANE60&lt;&gt;"",VLOOKUP(ANE60,AML4:AMR40,5,FALSE),"")</f>
        <v>0</v>
      </c>
      <c r="ANO60" s="321">
        <f t="shared" ref="ANO60" ca="1" si="16733">IF(ANE60&lt;&gt;"",VLOOKUP(ANE60,AML4:AMT40,9,FALSE),"")</f>
        <v>45</v>
      </c>
      <c r="ANP60" s="321">
        <f t="shared" ca="1" si="16166"/>
        <v>0</v>
      </c>
      <c r="ANQ60" s="321">
        <f t="shared" ref="ANQ60" ca="1" si="16734">IF(ANE60&lt;&gt;"",RANK(ANP60,ANP58:ANP61),"")</f>
        <v>1</v>
      </c>
      <c r="ANR60" s="321">
        <f t="shared" ref="ANR60" ca="1" si="16735">IF(ANE60&lt;&gt;"",SUMPRODUCT((ANP58:ANP61=ANP60)*(ANK58:ANK61&gt;ANK60)),"")</f>
        <v>0</v>
      </c>
      <c r="ANS60" s="321">
        <f t="shared" ref="ANS60" ca="1" si="16736">IF(ANE60&lt;&gt;"",SUMPRODUCT((ANP58:ANP61=ANP60)*(ANK58:ANK61=ANK60)*(ANI58:ANI61&gt;ANI60)),"")</f>
        <v>0</v>
      </c>
      <c r="ANT60" s="321">
        <f t="shared" ref="ANT60" ca="1" si="16737">IF(ANE60&lt;&gt;"",SUMPRODUCT((ANP58:ANP61=ANP60)*(ANK58:ANK61=ANK60)*(ANI58:ANI61=ANI60)*(ANM58:ANM61&gt;ANM60)),"")</f>
        <v>0</v>
      </c>
      <c r="ANU60" s="321">
        <f t="shared" ref="ANU60" ca="1" si="16738">IF(ANE60&lt;&gt;"",SUMPRODUCT((ANP58:ANP61=ANP60)*(ANK58:ANK61=ANK60)*(ANI58:ANI61=ANI60)*(ANM58:ANM61=ANM60)*(ANN58:ANN61&gt;ANN60)),"")</f>
        <v>0</v>
      </c>
      <c r="ANV60" s="321">
        <f t="shared" ref="ANV60" ca="1" si="16739">IF(ANE60&lt;&gt;"",SUMPRODUCT((ANP58:ANP61=ANP60)*(ANK58:ANK61=ANK60)*(ANI58:ANI61=ANI60)*(ANM58:ANM61=ANM60)*(ANN58:ANN61=ANN60)*(ANO58:ANO61&gt;ANO60)),"")</f>
        <v>1</v>
      </c>
      <c r="ANW60" s="321">
        <f t="shared" ca="1" si="16173"/>
        <v>2</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f t="shared" ref="ASB60" ca="1" si="16756">IF(ASC20&lt;&gt;"",SUMPRODUCT((ASJ18:ASJ21=ASJ20)*(ASI18:ASI21=ASI20)*(ASG18:ASG21=ASG20)*(ASH18:ASH21=ASH20)),"")</f>
        <v>4</v>
      </c>
      <c r="ASC60" s="321" t="str">
        <f t="shared" ca="1" si="16175"/>
        <v>Denmark</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f t="shared" ca="1" si="16182"/>
        <v>0</v>
      </c>
      <c r="ASK60" s="321">
        <f t="shared" ref="ASK60" ca="1" si="16762">IF(ASC60&lt;&gt;"",VLOOKUP(ASC60,ARJ4:ARP40,7,FALSE),"")</f>
        <v>1000</v>
      </c>
      <c r="ASL60" s="321">
        <f t="shared" ref="ASL60" ca="1" si="16763">IF(ASC60&lt;&gt;"",VLOOKUP(ASC60,ARJ4:ARP40,5,FALSE),"")</f>
        <v>0</v>
      </c>
      <c r="ASM60" s="321">
        <f t="shared" ref="ASM60" ca="1" si="16764">IF(ASC60&lt;&gt;"",VLOOKUP(ASC60,ARJ4:ARR40,9,FALSE),"")</f>
        <v>45</v>
      </c>
      <c r="ASN60" s="321">
        <f t="shared" ca="1" si="16186"/>
        <v>0</v>
      </c>
      <c r="ASO60" s="321">
        <f t="shared" ref="ASO60" ca="1" si="16765">IF(ASC60&lt;&gt;"",RANK(ASN60,ASN58:ASN61),"")</f>
        <v>1</v>
      </c>
      <c r="ASP60" s="321">
        <f t="shared" ref="ASP60" ca="1" si="16766">IF(ASC60&lt;&gt;"",SUMPRODUCT((ASN58:ASN61=ASN60)*(ASI58:ASI61&gt;ASI60)),"")</f>
        <v>0</v>
      </c>
      <c r="ASQ60" s="321">
        <f t="shared" ref="ASQ60" ca="1" si="16767">IF(ASC60&lt;&gt;"",SUMPRODUCT((ASN58:ASN61=ASN60)*(ASI58:ASI61=ASI60)*(ASG58:ASG61&gt;ASG60)),"")</f>
        <v>0</v>
      </c>
      <c r="ASR60" s="321">
        <f t="shared" ref="ASR60" ca="1" si="16768">IF(ASC60&lt;&gt;"",SUMPRODUCT((ASN58:ASN61=ASN60)*(ASI58:ASI61=ASI60)*(ASG58:ASG61=ASG60)*(ASK58:ASK61&gt;ASK60)),"")</f>
        <v>0</v>
      </c>
      <c r="ASS60" s="321">
        <f t="shared" ref="ASS60" ca="1" si="16769">IF(ASC60&lt;&gt;"",SUMPRODUCT((ASN58:ASN61=ASN60)*(ASI58:ASI61=ASI60)*(ASG58:ASG61=ASG60)*(ASK58:ASK61=ASK60)*(ASL58:ASL61&gt;ASL60)),"")</f>
        <v>0</v>
      </c>
      <c r="AST60" s="321">
        <f t="shared" ref="AST60" ca="1" si="16770">IF(ASC60&lt;&gt;"",SUMPRODUCT((ASN58:ASN61=ASN60)*(ASI58:ASI61=ASI60)*(ASG58:ASG61=ASG60)*(ASK58:ASK61=ASK60)*(ASL58:ASL61=ASL60)*(ASM58:ASM61&gt;ASM60)),"")</f>
        <v>1</v>
      </c>
      <c r="ASU60" s="321">
        <f t="shared" ca="1" si="16193"/>
        <v>2</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f t="shared" ref="AWZ60" ca="1" si="16787">IF(AXA20&lt;&gt;"",SUMPRODUCT((AXH18:AXH21=AXH20)*(AXG18:AXG21=AXG20)*(AXE18:AXE21=AXE20)*(AXF18:AXF21=AXF20)),"")</f>
        <v>4</v>
      </c>
      <c r="AXA60" s="321" t="str">
        <f t="shared" ca="1" si="16195"/>
        <v>Denmark</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f t="shared" ca="1" si="16202"/>
        <v>0</v>
      </c>
      <c r="AXI60" s="321">
        <f t="shared" ref="AXI60" ca="1" si="16793">IF(AXA60&lt;&gt;"",VLOOKUP(AXA60,AWH4:AWN40,7,FALSE),"")</f>
        <v>1000</v>
      </c>
      <c r="AXJ60" s="321">
        <f t="shared" ref="AXJ60" ca="1" si="16794">IF(AXA60&lt;&gt;"",VLOOKUP(AXA60,AWH4:AWN40,5,FALSE),"")</f>
        <v>0</v>
      </c>
      <c r="AXK60" s="321">
        <f t="shared" ref="AXK60" ca="1" si="16795">IF(AXA60&lt;&gt;"",VLOOKUP(AXA60,AWH4:AWP40,9,FALSE),"")</f>
        <v>45</v>
      </c>
      <c r="AXL60" s="321">
        <f t="shared" ca="1" si="16206"/>
        <v>0</v>
      </c>
      <c r="AXM60" s="321">
        <f t="shared" ref="AXM60" ca="1" si="16796">IF(AXA60&lt;&gt;"",RANK(AXL60,AXL58:AXL61),"")</f>
        <v>1</v>
      </c>
      <c r="AXN60" s="321">
        <f t="shared" ref="AXN60" ca="1" si="16797">IF(AXA60&lt;&gt;"",SUMPRODUCT((AXL58:AXL61=AXL60)*(AXG58:AXG61&gt;AXG60)),"")</f>
        <v>0</v>
      </c>
      <c r="AXO60" s="321">
        <f t="shared" ref="AXO60" ca="1" si="16798">IF(AXA60&lt;&gt;"",SUMPRODUCT((AXL58:AXL61=AXL60)*(AXG58:AXG61=AXG60)*(AXE58:AXE61&gt;AXE60)),"")</f>
        <v>0</v>
      </c>
      <c r="AXP60" s="321">
        <f t="shared" ref="AXP60" ca="1" si="16799">IF(AXA60&lt;&gt;"",SUMPRODUCT((AXL58:AXL61=AXL60)*(AXG58:AXG61=AXG60)*(AXE58:AXE61=AXE60)*(AXI58:AXI61&gt;AXI60)),"")</f>
        <v>0</v>
      </c>
      <c r="AXQ60" s="321">
        <f t="shared" ref="AXQ60" ca="1" si="16800">IF(AXA60&lt;&gt;"",SUMPRODUCT((AXL58:AXL61=AXL60)*(AXG58:AXG61=AXG60)*(AXE58:AXE61=AXE60)*(AXI58:AXI61=AXI60)*(AXJ58:AXJ61&gt;AXJ60)),"")</f>
        <v>0</v>
      </c>
      <c r="AXR60" s="321">
        <f t="shared" ref="AXR60" ca="1" si="16801">IF(AXA60&lt;&gt;"",SUMPRODUCT((AXL58:AXL61=AXL60)*(AXG58:AXG61=AXG60)*(AXE58:AXE61=AXE60)*(AXI58:AXI61=AXI60)*(AXJ58:AXJ61=AXJ60)*(AXK58:AXK61&gt;AXK60)),"")</f>
        <v>1</v>
      </c>
      <c r="AXS60" s="321">
        <f t="shared" ca="1" si="16213"/>
        <v>2</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2">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f ca="1">IF(KK21&lt;&gt;"",SUMPRODUCT((KR18:KR21=KR21)*(KQ18:KQ21=KQ21)*(KO18:KO21=KO21)*(KP18:KP21=KP21)),"")</f>
        <v>3</v>
      </c>
      <c r="KK61" s="321" t="str">
        <f t="shared" ca="1" si="16249"/>
        <v>Denmark</v>
      </c>
      <c r="KL61" s="321">
        <f ca="1">IF(KK61&lt;&gt;"",SUMPRODUCT((MV3:MV42=KK61)*(MY3:MY42=KK62)*(MZ3:MZ42="W"))+SUMPRODUCT((MV3:MV42=KK61)*(MY3:MY42=KK59)*(MZ3:MZ42="W"))+SUMPRODUCT((MV3:MV42=KK61)*(MY3:MY42=KK60)*(MZ3:MZ42="W"))+SUMPRODUCT((MV3:MV42=KK62)*(MY3:MY42=KK61)*(NA3:NA42="W"))+SUMPRODUCT((MV3:MV42=KK59)*(MY3:MY42=KK61)*(NA3:NA42="W"))+SUMPRODUCT((MV3:MV42=KK60)*(MY3:MY42=KK61)*(NA3:NA42="W")),"")</f>
        <v>0</v>
      </c>
      <c r="KM61" s="321">
        <f ca="1">IF(KK61&lt;&gt;"",SUMPRODUCT((MV3:MV42=KK61)*(MY3:MY42=KK62)*(MZ3:MZ42="D"))+SUMPRODUCT((MV3:MV42=KK61)*(MY3:MY42=KK59)*(MZ3:MZ42="D"))+SUMPRODUCT((MV3:MV42=KK61)*(MY3:MY42=KK60)*(MZ3:MZ42="D"))+SUMPRODUCT((MV3:MV42=KK62)*(MY3:MY42=KK61)*(MZ3:MZ42="D"))+SUMPRODUCT((MV3:MV42=KK59)*(MY3:MY42=KK61)*(MZ3:MZ42="D"))+SUMPRODUCT((MV3:MV42=KK60)*(MY3:MY42=KK61)*(MZ3:MZ42="D")),"")</f>
        <v>2</v>
      </c>
      <c r="KN61" s="321">
        <f ca="1">IF(KK61&lt;&gt;"",SUMPRODUCT((MV3:MV42=KK61)*(MY3:MY42=KK62)*(MZ3:MZ42="L"))+SUMPRODUCT((MV3:MV42=KK61)*(MY3:MY42=KK59)*(MZ3:MZ42="L"))+SUMPRODUCT((MV3:MV42=KK61)*(MY3:MY42=KK60)*(MZ3:MZ42="L"))+SUMPRODUCT((MV3:MV42=KK62)*(MY3:MY42=KK61)*(NA3:NA42="L"))+SUMPRODUCT((MV3:MV42=KK59)*(MY3:MY42=KK61)*(NA3:NA42="L"))+SUMPRODUCT((MV3:MV42=KK60)*(MY3:MY42=KK61)*(NA3:NA42="L")),"")</f>
        <v>0</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2</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2</v>
      </c>
      <c r="KQ61" s="321">
        <f ca="1">KO61-KP61+1000</f>
        <v>1000</v>
      </c>
      <c r="KR61" s="321">
        <f t="shared" ca="1" si="16250"/>
        <v>2</v>
      </c>
      <c r="KS61" s="321">
        <f ca="1">IF(KK61&lt;&gt;"",VLOOKUP(KK61,IX4:JD40,7,FALSE),"")</f>
        <v>999</v>
      </c>
      <c r="KT61" s="321">
        <f ca="1">IF(KK61&lt;&gt;"",VLOOKUP(KK61,IX4:JD40,5,FALSE),"")</f>
        <v>3</v>
      </c>
      <c r="KU61" s="321">
        <f ca="1">IF(KK61&lt;&gt;"",VLOOKUP(KK61,IX4:JF40,9,FALSE),"")</f>
        <v>45</v>
      </c>
      <c r="KV61" s="321">
        <f t="shared" ca="1" si="16251"/>
        <v>2</v>
      </c>
      <c r="KW61" s="321">
        <f ca="1">IF(KK61&lt;&gt;"",RANK(KV61,KV58:KV61),"")</f>
        <v>1</v>
      </c>
      <c r="KX61" s="321">
        <f ca="1">IF(KK61&lt;&gt;"",SUMPRODUCT((KV58:KV61=KV61)*(KQ58:KQ61&gt;KQ61)),"")</f>
        <v>0</v>
      </c>
      <c r="KY61" s="321">
        <f ca="1">IF(KK61&lt;&gt;"",SUMPRODUCT((KV58:KV61=KV61)*(KQ58:KQ61=KQ61)*(KO58:KO61&gt;KO61)),"")</f>
        <v>0</v>
      </c>
      <c r="KZ61" s="321">
        <f ca="1">IF(KK61&lt;&gt;"",SUMPRODUCT((KV58:KV61=KV61)*(KQ58:KQ61=KQ61)*(KO58:KO61=KO61)*(KS58:KS61&gt;KS61)),"")</f>
        <v>0</v>
      </c>
      <c r="LA61" s="321">
        <f ca="1">IF(KK61&lt;&gt;"",SUMPRODUCT((KV58:KV61=KV61)*(KQ58:KQ61=KQ61)*(KO58:KO61=KO61)*(KS58:KS61=KS61)*(KT58:KT61&gt;KT61)),"")</f>
        <v>0</v>
      </c>
      <c r="LB61" s="321">
        <f ca="1">IF(KK61&lt;&gt;"",SUMPRODUCT((KV58:KV61=KV61)*(KQ58:KQ61=KQ61)*(KO58:KO61=KO61)*(KS58:KS61=KS61)*(KT58:KT61=KT61)*(KU58:KU61&gt;KU61)),"")</f>
        <v>0</v>
      </c>
      <c r="LC61" s="321">
        <f t="shared" ca="1" si="16569"/>
        <v>2</v>
      </c>
      <c r="OC61" s="321">
        <f ca="1">SUMPRODUCT((OC18:OC21=OC21)*(OB18:OB21=OB21)*(NZ18:NZ21&gt;NZ21))+1</f>
        <v>1</v>
      </c>
      <c r="ON61" s="321" t="str">
        <f t="shared" ref="ON61" ca="1" si="16849">IF(OO21&lt;&gt;"",SUMPRODUCT((OV18:OV21=OV21)*(OU18:OU21=OU21)*(OS18:OS21=OS21)*(OT18:OT21=OT21)),"")</f>
        <v/>
      </c>
      <c r="OO61" s="321" t="str">
        <f t="shared" ca="1" si="16055"/>
        <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t="str">
        <f t="shared" ca="1" si="16062"/>
        <v/>
      </c>
      <c r="OW61" s="321" t="str">
        <f t="shared" ref="OW61" ca="1" si="16855">IF(OO61&lt;&gt;"",VLOOKUP(OO61,NV4:OB40,7,FALSE),"")</f>
        <v/>
      </c>
      <c r="OX61" s="321" t="str">
        <f t="shared" ref="OX61" ca="1" si="16856">IF(OO61&lt;&gt;"",VLOOKUP(OO61,NV4:OB40,5,FALSE),"")</f>
        <v/>
      </c>
      <c r="OY61" s="321" t="str">
        <f t="shared" ref="OY61" ca="1" si="16857">IF(OO61&lt;&gt;"",VLOOKUP(OO61,NV4:OD40,9,FALSE),"")</f>
        <v/>
      </c>
      <c r="OZ61" s="321" t="str">
        <f t="shared" ca="1" si="16066"/>
        <v/>
      </c>
      <c r="PA61" s="321" t="str">
        <f t="shared" ref="PA61" ca="1" si="16858">IF(OO61&lt;&gt;"",RANK(OZ61,OZ58:OZ61),"")</f>
        <v/>
      </c>
      <c r="PB61" s="321" t="str">
        <f t="shared" ref="PB61" ca="1" si="16859">IF(OO61&lt;&gt;"",SUMPRODUCT((OZ58:OZ61=OZ61)*(OU58:OU61&gt;OU61)),"")</f>
        <v/>
      </c>
      <c r="PC61" s="321" t="str">
        <f t="shared" ref="PC61" ca="1" si="16860">IF(OO61&lt;&gt;"",SUMPRODUCT((OZ58:OZ61=OZ61)*(OU58:OU61=OU61)*(OS58:OS61&gt;OS61)),"")</f>
        <v/>
      </c>
      <c r="PD61" s="321" t="str">
        <f t="shared" ref="PD61" ca="1" si="16861">IF(OO61&lt;&gt;"",SUMPRODUCT((OZ58:OZ61=OZ61)*(OU58:OU61=OU61)*(OS58:OS61=OS61)*(OW58:OW61&gt;OW61)),"")</f>
        <v/>
      </c>
      <c r="PE61" s="321" t="str">
        <f t="shared" ref="PE61" ca="1" si="16862">IF(OO61&lt;&gt;"",SUMPRODUCT((OZ58:OZ61=OZ61)*(OU58:OU61=OU61)*(OS58:OS61=OS61)*(OW58:OW61=OW61)*(OX58:OX61&gt;OX61)),"")</f>
        <v/>
      </c>
      <c r="PF61" s="321" t="str">
        <f t="shared" ref="PF61" ca="1" si="16863">IF(OO61&lt;&gt;"",SUMPRODUCT((OZ58:OZ61=OZ61)*(OU58:OU61=OU61)*(OS58:OS61=OS61)*(OW58:OW61=OW61)*(OX58:OX61=OX61)*(OY58:OY61&gt;OY61)),"")</f>
        <v/>
      </c>
      <c r="PG61" s="321" t="str">
        <f t="shared" ca="1" si="16073"/>
        <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t="str">
        <f t="shared" ref="TL61" ca="1" si="16879">IF(TM21&lt;&gt;"",SUMPRODUCT((TT18:TT21=TT21)*(TS18:TS21=TS21)*(TQ18:TQ21=TQ21)*(TR18:TR21=TR21)),"")</f>
        <v/>
      </c>
      <c r="TM61" s="321" t="str">
        <f t="shared" ca="1" si="16075"/>
        <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t="str">
        <f t="shared" ca="1" si="16082"/>
        <v/>
      </c>
      <c r="TU61" s="321" t="str">
        <f t="shared" ref="TU61" ca="1" si="16885">IF(TM61&lt;&gt;"",VLOOKUP(TM61,ST4:SZ40,7,FALSE),"")</f>
        <v/>
      </c>
      <c r="TV61" s="321" t="str">
        <f t="shared" ref="TV61" ca="1" si="16886">IF(TM61&lt;&gt;"",VLOOKUP(TM61,ST4:SZ40,5,FALSE),"")</f>
        <v/>
      </c>
      <c r="TW61" s="321" t="str">
        <f t="shared" ref="TW61" ca="1" si="16887">IF(TM61&lt;&gt;"",VLOOKUP(TM61,ST4:TB40,9,FALSE),"")</f>
        <v/>
      </c>
      <c r="TX61" s="321" t="str">
        <f t="shared" ca="1" si="16086"/>
        <v/>
      </c>
      <c r="TY61" s="321" t="str">
        <f t="shared" ref="TY61" ca="1" si="16888">IF(TM61&lt;&gt;"",RANK(TX61,TX58:TX61),"")</f>
        <v/>
      </c>
      <c r="TZ61" s="321" t="str">
        <f t="shared" ref="TZ61" ca="1" si="16889">IF(TM61&lt;&gt;"",SUMPRODUCT((TX58:TX61=TX61)*(TS58:TS61&gt;TS61)),"")</f>
        <v/>
      </c>
      <c r="UA61" s="321" t="str">
        <f t="shared" ref="UA61" ca="1" si="16890">IF(TM61&lt;&gt;"",SUMPRODUCT((TX58:TX61=TX61)*(TS58:TS61=TS61)*(TQ58:TQ61&gt;TQ61)),"")</f>
        <v/>
      </c>
      <c r="UB61" s="321" t="str">
        <f t="shared" ref="UB61" ca="1" si="16891">IF(TM61&lt;&gt;"",SUMPRODUCT((TX58:TX61=TX61)*(TS58:TS61=TS61)*(TQ58:TQ61=TQ61)*(TU58:TU61&gt;TU61)),"")</f>
        <v/>
      </c>
      <c r="UC61" s="321" t="str">
        <f t="shared" ref="UC61" ca="1" si="16892">IF(TM61&lt;&gt;"",SUMPRODUCT((TX58:TX61=TX61)*(TS58:TS61=TS61)*(TQ58:TQ61=TQ61)*(TU58:TU61=TU61)*(TV58:TV61&gt;TV61)),"")</f>
        <v/>
      </c>
      <c r="UD61" s="321" t="str">
        <f t="shared" ref="UD61" ca="1" si="16893">IF(TM61&lt;&gt;"",SUMPRODUCT((TX58:TX61=TX61)*(TS58:TS61=TS61)*(TQ58:TQ61=TQ61)*(TU58:TU61=TU61)*(TV58:TV61=TV61)*(TW58:TW61&gt;TW61)),"")</f>
        <v/>
      </c>
      <c r="UE61" s="321" t="str">
        <f t="shared" ca="1" si="16093"/>
        <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t="str">
        <f t="shared" ref="ADH61" ca="1" si="16939">IF(ADI21&lt;&gt;"",SUMPRODUCT((ADP18:ADP21=ADP21)*(ADO18:ADO21=ADO21)*(ADM18:ADM21=ADM21)*(ADN18:ADN21=ADN21)),"")</f>
        <v/>
      </c>
      <c r="ADI61" s="321" t="str">
        <f t="shared" ca="1" si="16115"/>
        <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t="str">
        <f t="shared" ca="1" si="16122"/>
        <v/>
      </c>
      <c r="ADQ61" s="321" t="str">
        <f t="shared" ref="ADQ61" ca="1" si="16945">IF(ADI61&lt;&gt;"",VLOOKUP(ADI61,ACP4:ACV40,7,FALSE),"")</f>
        <v/>
      </c>
      <c r="ADR61" s="321" t="str">
        <f t="shared" ref="ADR61" ca="1" si="16946">IF(ADI61&lt;&gt;"",VLOOKUP(ADI61,ACP4:ACV40,5,FALSE),"")</f>
        <v/>
      </c>
      <c r="ADS61" s="321" t="str">
        <f t="shared" ref="ADS61" ca="1" si="16947">IF(ADI61&lt;&gt;"",VLOOKUP(ADI61,ACP4:ACX40,9,FALSE),"")</f>
        <v/>
      </c>
      <c r="ADT61" s="321" t="str">
        <f t="shared" ca="1" si="16126"/>
        <v/>
      </c>
      <c r="ADU61" s="321" t="str">
        <f t="shared" ref="ADU61" ca="1" si="16948">IF(ADI61&lt;&gt;"",RANK(ADT61,ADT58:ADT61),"")</f>
        <v/>
      </c>
      <c r="ADV61" s="321" t="str">
        <f t="shared" ref="ADV61" ca="1" si="16949">IF(ADI61&lt;&gt;"",SUMPRODUCT((ADT58:ADT61=ADT61)*(ADO58:ADO61&gt;ADO61)),"")</f>
        <v/>
      </c>
      <c r="ADW61" s="321" t="str">
        <f t="shared" ref="ADW61" ca="1" si="16950">IF(ADI61&lt;&gt;"",SUMPRODUCT((ADT58:ADT61=ADT61)*(ADO58:ADO61=ADO61)*(ADM58:ADM61&gt;ADM61)),"")</f>
        <v/>
      </c>
      <c r="ADX61" s="321" t="str">
        <f t="shared" ref="ADX61" ca="1" si="16951">IF(ADI61&lt;&gt;"",SUMPRODUCT((ADT58:ADT61=ADT61)*(ADO58:ADO61=ADO61)*(ADM58:ADM61=ADM61)*(ADQ58:ADQ61&gt;ADQ61)),"")</f>
        <v/>
      </c>
      <c r="ADY61" s="321" t="str">
        <f t="shared" ref="ADY61" ca="1" si="16952">IF(ADI61&lt;&gt;"",SUMPRODUCT((ADT58:ADT61=ADT61)*(ADO58:ADO61=ADO61)*(ADM58:ADM61=ADM61)*(ADQ58:ADQ61=ADQ61)*(ADR58:ADR61&gt;ADR61)),"")</f>
        <v/>
      </c>
      <c r="ADZ61" s="321" t="str">
        <f t="shared" ref="ADZ61" ca="1" si="16953">IF(ADI61&lt;&gt;"",SUMPRODUCT((ADT58:ADT61=ADT61)*(ADO58:ADO61=ADO61)*(ADM58:ADM61=ADM61)*(ADQ58:ADQ61=ADQ61)*(ADR58:ADR61=ADR61)*(ADS58:ADS61&gt;ADS61)),"")</f>
        <v/>
      </c>
      <c r="AEA61" s="321" t="str">
        <f t="shared" ca="1" si="16133"/>
        <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f t="shared" ref="AIF61" ca="1" si="16969">IF(AIG21&lt;&gt;"",SUMPRODUCT((AIN18:AIN21=AIN21)*(AIM18:AIM21=AIM21)*(AIK18:AIK21=AIK21)*(AIL18:AIL21=AIL21)),"")</f>
        <v>4</v>
      </c>
      <c r="AIG61" s="321" t="str">
        <f t="shared" ca="1" si="16135"/>
        <v>England</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f t="shared" ca="1" si="16142"/>
        <v>0</v>
      </c>
      <c r="AIO61" s="321">
        <f t="shared" ref="AIO61" ca="1" si="16975">IF(AIG61&lt;&gt;"",VLOOKUP(AIG61,AHN4:AHT40,7,FALSE),"")</f>
        <v>1000</v>
      </c>
      <c r="AIP61" s="321">
        <f t="shared" ref="AIP61" ca="1" si="16976">IF(AIG61&lt;&gt;"",VLOOKUP(AIG61,AHN4:AHT40,5,FALSE),"")</f>
        <v>0</v>
      </c>
      <c r="AIQ61" s="321">
        <f t="shared" ref="AIQ61" ca="1" si="16977">IF(AIG61&lt;&gt;"",VLOOKUP(AIG61,AHN4:AHV40,9,FALSE),"")</f>
        <v>49</v>
      </c>
      <c r="AIR61" s="321">
        <f t="shared" ca="1" si="16146"/>
        <v>0</v>
      </c>
      <c r="AIS61" s="321">
        <f t="shared" ref="AIS61" ca="1" si="16978">IF(AIG61&lt;&gt;"",RANK(AIR61,AIR58:AIR61),"")</f>
        <v>1</v>
      </c>
      <c r="AIT61" s="321">
        <f t="shared" ref="AIT61" ca="1" si="16979">IF(AIG61&lt;&gt;"",SUMPRODUCT((AIR58:AIR61=AIR61)*(AIM58:AIM61&gt;AIM61)),"")</f>
        <v>0</v>
      </c>
      <c r="AIU61" s="321">
        <f t="shared" ref="AIU61" ca="1" si="16980">IF(AIG61&lt;&gt;"",SUMPRODUCT((AIR58:AIR61=AIR61)*(AIM58:AIM61=AIM61)*(AIK58:AIK61&gt;AIK61)),"")</f>
        <v>0</v>
      </c>
      <c r="AIV61" s="321">
        <f t="shared" ref="AIV61" ca="1" si="16981">IF(AIG61&lt;&gt;"",SUMPRODUCT((AIR58:AIR61=AIR61)*(AIM58:AIM61=AIM61)*(AIK58:AIK61=AIK61)*(AIO58:AIO61&gt;AIO61)),"")</f>
        <v>0</v>
      </c>
      <c r="AIW61" s="321">
        <f t="shared" ref="AIW61" ca="1" si="16982">IF(AIG61&lt;&gt;"",SUMPRODUCT((AIR58:AIR61=AIR61)*(AIM58:AIM61=AIM61)*(AIK58:AIK61=AIK61)*(AIO58:AIO61=AIO61)*(AIP58:AIP61&gt;AIP61)),"")</f>
        <v>0</v>
      </c>
      <c r="AIX61" s="321">
        <f t="shared" ref="AIX61" ca="1" si="16983">IF(AIG61&lt;&gt;"",SUMPRODUCT((AIR58:AIR61=AIR61)*(AIM58:AIM61=AIM61)*(AIK58:AIK61=AIK61)*(AIO58:AIO61=AIO61)*(AIP58:AIP61=AIP61)*(AIQ58:AIQ61&gt;AIQ61)),"")</f>
        <v>0</v>
      </c>
      <c r="AIY61" s="321">
        <f t="shared" ca="1" si="16153"/>
        <v>1</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f t="shared" ref="AND61" ca="1" si="16999">IF(ANE21&lt;&gt;"",SUMPRODUCT((ANL18:ANL21=ANL21)*(ANK18:ANK21=ANK21)*(ANI18:ANI21=ANI21)*(ANJ18:ANJ21=ANJ21)),"")</f>
        <v>4</v>
      </c>
      <c r="ANE61" s="321" t="str">
        <f t="shared" ca="1" si="16155"/>
        <v>England</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f t="shared" ca="1" si="16162"/>
        <v>0</v>
      </c>
      <c r="ANM61" s="321">
        <f t="shared" ref="ANM61" ca="1" si="17005">IF(ANE61&lt;&gt;"",VLOOKUP(ANE61,AML4:AMR40,7,FALSE),"")</f>
        <v>1000</v>
      </c>
      <c r="ANN61" s="321">
        <f t="shared" ref="ANN61" ca="1" si="17006">IF(ANE61&lt;&gt;"",VLOOKUP(ANE61,AML4:AMR40,5,FALSE),"")</f>
        <v>0</v>
      </c>
      <c r="ANO61" s="321">
        <f t="shared" ref="ANO61" ca="1" si="17007">IF(ANE61&lt;&gt;"",VLOOKUP(ANE61,AML4:AMT40,9,FALSE),"")</f>
        <v>49</v>
      </c>
      <c r="ANP61" s="321">
        <f t="shared" ca="1" si="16166"/>
        <v>0</v>
      </c>
      <c r="ANQ61" s="321">
        <f t="shared" ref="ANQ61" ca="1" si="17008">IF(ANE61&lt;&gt;"",RANK(ANP61,ANP58:ANP61),"")</f>
        <v>1</v>
      </c>
      <c r="ANR61" s="321">
        <f t="shared" ref="ANR61" ca="1" si="17009">IF(ANE61&lt;&gt;"",SUMPRODUCT((ANP58:ANP61=ANP61)*(ANK58:ANK61&gt;ANK61)),"")</f>
        <v>0</v>
      </c>
      <c r="ANS61" s="321">
        <f t="shared" ref="ANS61" ca="1" si="17010">IF(ANE61&lt;&gt;"",SUMPRODUCT((ANP58:ANP61=ANP61)*(ANK58:ANK61=ANK61)*(ANI58:ANI61&gt;ANI61)),"")</f>
        <v>0</v>
      </c>
      <c r="ANT61" s="321">
        <f t="shared" ref="ANT61" ca="1" si="17011">IF(ANE61&lt;&gt;"",SUMPRODUCT((ANP58:ANP61=ANP61)*(ANK58:ANK61=ANK61)*(ANI58:ANI61=ANI61)*(ANM58:ANM61&gt;ANM61)),"")</f>
        <v>0</v>
      </c>
      <c r="ANU61" s="321">
        <f t="shared" ref="ANU61" ca="1" si="17012">IF(ANE61&lt;&gt;"",SUMPRODUCT((ANP58:ANP61=ANP61)*(ANK58:ANK61=ANK61)*(ANI58:ANI61=ANI61)*(ANM58:ANM61=ANM61)*(ANN58:ANN61&gt;ANN61)),"")</f>
        <v>0</v>
      </c>
      <c r="ANV61" s="321">
        <f t="shared" ref="ANV61" ca="1" si="17013">IF(ANE61&lt;&gt;"",SUMPRODUCT((ANP58:ANP61=ANP61)*(ANK58:ANK61=ANK61)*(ANI58:ANI61=ANI61)*(ANM58:ANM61=ANM61)*(ANN58:ANN61=ANN61)*(ANO58:ANO61&gt;ANO61)),"")</f>
        <v>0</v>
      </c>
      <c r="ANW61" s="321">
        <f t="shared" ca="1" si="16173"/>
        <v>1</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f t="shared" ref="ASB61" ca="1" si="17029">IF(ASC21&lt;&gt;"",SUMPRODUCT((ASJ18:ASJ21=ASJ21)*(ASI18:ASI21=ASI21)*(ASG18:ASG21=ASG21)*(ASH18:ASH21=ASH21)),"")</f>
        <v>4</v>
      </c>
      <c r="ASC61" s="321" t="str">
        <f t="shared" ca="1" si="16175"/>
        <v>England</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f t="shared" ca="1" si="16182"/>
        <v>0</v>
      </c>
      <c r="ASK61" s="321">
        <f t="shared" ref="ASK61" ca="1" si="17035">IF(ASC61&lt;&gt;"",VLOOKUP(ASC61,ARJ4:ARP40,7,FALSE),"")</f>
        <v>1000</v>
      </c>
      <c r="ASL61" s="321">
        <f t="shared" ref="ASL61" ca="1" si="17036">IF(ASC61&lt;&gt;"",VLOOKUP(ASC61,ARJ4:ARP40,5,FALSE),"")</f>
        <v>0</v>
      </c>
      <c r="ASM61" s="321">
        <f t="shared" ref="ASM61" ca="1" si="17037">IF(ASC61&lt;&gt;"",VLOOKUP(ASC61,ARJ4:ARR40,9,FALSE),"")</f>
        <v>49</v>
      </c>
      <c r="ASN61" s="321">
        <f t="shared" ca="1" si="16186"/>
        <v>0</v>
      </c>
      <c r="ASO61" s="321">
        <f t="shared" ref="ASO61" ca="1" si="17038">IF(ASC61&lt;&gt;"",RANK(ASN61,ASN58:ASN61),"")</f>
        <v>1</v>
      </c>
      <c r="ASP61" s="321">
        <f t="shared" ref="ASP61" ca="1" si="17039">IF(ASC61&lt;&gt;"",SUMPRODUCT((ASN58:ASN61=ASN61)*(ASI58:ASI61&gt;ASI61)),"")</f>
        <v>0</v>
      </c>
      <c r="ASQ61" s="321">
        <f t="shared" ref="ASQ61" ca="1" si="17040">IF(ASC61&lt;&gt;"",SUMPRODUCT((ASN58:ASN61=ASN61)*(ASI58:ASI61=ASI61)*(ASG58:ASG61&gt;ASG61)),"")</f>
        <v>0</v>
      </c>
      <c r="ASR61" s="321">
        <f t="shared" ref="ASR61" ca="1" si="17041">IF(ASC61&lt;&gt;"",SUMPRODUCT((ASN58:ASN61=ASN61)*(ASI58:ASI61=ASI61)*(ASG58:ASG61=ASG61)*(ASK58:ASK61&gt;ASK61)),"")</f>
        <v>0</v>
      </c>
      <c r="ASS61" s="321">
        <f t="shared" ref="ASS61" ca="1" si="17042">IF(ASC61&lt;&gt;"",SUMPRODUCT((ASN58:ASN61=ASN61)*(ASI58:ASI61=ASI61)*(ASG58:ASG61=ASG61)*(ASK58:ASK61=ASK61)*(ASL58:ASL61&gt;ASL61)),"")</f>
        <v>0</v>
      </c>
      <c r="AST61" s="321">
        <f t="shared" ref="AST61" ca="1" si="17043">IF(ASC61&lt;&gt;"",SUMPRODUCT((ASN58:ASN61=ASN61)*(ASI58:ASI61=ASI61)*(ASG58:ASG61=ASG61)*(ASK58:ASK61=ASK61)*(ASL58:ASL61=ASL61)*(ASM58:ASM61&gt;ASM61)),"")</f>
        <v>0</v>
      </c>
      <c r="ASU61" s="321">
        <f t="shared" ca="1" si="16193"/>
        <v>1</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f t="shared" ref="AWZ61" ca="1" si="17059">IF(AXA21&lt;&gt;"",SUMPRODUCT((AXH18:AXH21=AXH21)*(AXG18:AXG21=AXG21)*(AXE18:AXE21=AXE21)*(AXF18:AXF21=AXF21)),"")</f>
        <v>4</v>
      </c>
      <c r="AXA61" s="321" t="str">
        <f t="shared" ca="1" si="16195"/>
        <v>England</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f t="shared" ca="1" si="16202"/>
        <v>0</v>
      </c>
      <c r="AXI61" s="321">
        <f t="shared" ref="AXI61" ca="1" si="17065">IF(AXA61&lt;&gt;"",VLOOKUP(AXA61,AWH4:AWN40,7,FALSE),"")</f>
        <v>1000</v>
      </c>
      <c r="AXJ61" s="321">
        <f t="shared" ref="AXJ61" ca="1" si="17066">IF(AXA61&lt;&gt;"",VLOOKUP(AXA61,AWH4:AWN40,5,FALSE),"")</f>
        <v>0</v>
      </c>
      <c r="AXK61" s="321">
        <f t="shared" ref="AXK61" ca="1" si="17067">IF(AXA61&lt;&gt;"",VLOOKUP(AXA61,AWH4:AWP40,9,FALSE),"")</f>
        <v>49</v>
      </c>
      <c r="AXL61" s="321">
        <f t="shared" ca="1" si="16206"/>
        <v>0</v>
      </c>
      <c r="AXM61" s="321">
        <f t="shared" ref="AXM61" ca="1" si="17068">IF(AXA61&lt;&gt;"",RANK(AXL61,AXL58:AXL61),"")</f>
        <v>1</v>
      </c>
      <c r="AXN61" s="321">
        <f t="shared" ref="AXN61" ca="1" si="17069">IF(AXA61&lt;&gt;"",SUMPRODUCT((AXL58:AXL61=AXL61)*(AXG58:AXG61&gt;AXG61)),"")</f>
        <v>0</v>
      </c>
      <c r="AXO61" s="321">
        <f t="shared" ref="AXO61" ca="1" si="17070">IF(AXA61&lt;&gt;"",SUMPRODUCT((AXL58:AXL61=AXL61)*(AXG58:AXG61=AXG61)*(AXE58:AXE61&gt;AXE61)),"")</f>
        <v>0</v>
      </c>
      <c r="AXP61" s="321">
        <f t="shared" ref="AXP61" ca="1" si="17071">IF(AXA61&lt;&gt;"",SUMPRODUCT((AXL58:AXL61=AXL61)*(AXG58:AXG61=AXG61)*(AXE58:AXE61=AXE61)*(AXI58:AXI61&gt;AXI61)),"")</f>
        <v>0</v>
      </c>
      <c r="AXQ61" s="321">
        <f t="shared" ref="AXQ61" ca="1" si="17072">IF(AXA61&lt;&gt;"",SUMPRODUCT((AXL58:AXL61=AXL61)*(AXG58:AXG61=AXG61)*(AXE58:AXE61=AXE61)*(AXI58:AXI61=AXI61)*(AXJ58:AXJ61&gt;AXJ61)),"")</f>
        <v>0</v>
      </c>
      <c r="AXR61" s="321">
        <f t="shared" ref="AXR61" ca="1" si="17073">IF(AXA61&lt;&gt;"",SUMPRODUCT((AXL58:AXL61=AXL61)*(AXG58:AXG61=AXG61)*(AXE58:AXE61=AXE61)*(AXI58:AXI61=AXI61)*(AXJ58:AXJ61=AXJ61)*(AXK58:AXK61&gt;AXK61)),"")</f>
        <v>0</v>
      </c>
      <c r="AXS61" s="321">
        <f t="shared" ca="1" si="16213"/>
        <v>1</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2">
      <c r="T64" s="321">
        <f>IF(U65="",SUM(AG25:AL25),IF(U66="",SUM(AG26:AL26),IF(U67="",SUM(AG27:AL27),IF(U68="",SUM(AG28:AL28),0))))</f>
        <v>0</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2">
      <c r="I65" s="321">
        <f>SUMPRODUCT((I25:I28=I25)*(H25:H28=H25)*(F25:F28&gt;F25))+1</f>
        <v>1</v>
      </c>
      <c r="T65" s="321">
        <f>IF(U25&lt;&gt;"",SUMPRODUCT((AB25:AB28=AB25)*(AA25:AA28=AA25)*(Y25:Y28=Y25)*(Z25:Z28=Z25)),"")</f>
        <v>2</v>
      </c>
      <c r="U65" s="321" t="str">
        <f>IF(AND(T65&lt;&gt;"",T65&gt;1),U25,"")</f>
        <v>Netherlands</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f>IF(U65&lt;&gt;"",V65*3+W65*1,"")</f>
        <v>0</v>
      </c>
      <c r="AC65" s="321">
        <f>IF(U65&lt;&gt;"",VLOOKUP(U65,B4:H40,7,FALSE),"")</f>
        <v>1001</v>
      </c>
      <c r="AD65" s="321">
        <f>IF(U65&lt;&gt;"",VLOOKUP(U65,B4:H40,5,FALSE),"")</f>
        <v>2</v>
      </c>
      <c r="AE65" s="321">
        <f>IF(U65&lt;&gt;"",VLOOKUP(U65,B4:J40,9,FALSE),"")</f>
        <v>42</v>
      </c>
      <c r="AF65" s="321">
        <f>AB65</f>
        <v>0</v>
      </c>
      <c r="AG65" s="321">
        <f>IF(U65&lt;&gt;"",RANK(AF65,AF65:AF68),"")</f>
        <v>1</v>
      </c>
      <c r="AH65" s="321">
        <f>IF(U65&lt;&gt;"",SUMPRODUCT((AF65:AF68=AF65)*(AA65:AA68&gt;AA65)),"")</f>
        <v>0</v>
      </c>
      <c r="AI65" s="321">
        <f>IF(U65&lt;&gt;"",SUMPRODUCT((AF65:AF68=AF65)*(AA65:AA68=AA65)*(Y65:Y68&gt;Y65)),"")</f>
        <v>0</v>
      </c>
      <c r="AJ65" s="321">
        <f>IF(U65&lt;&gt;"",SUMPRODUCT((AF65:AF68=AF65)*(AA65:AA68=AA65)*(Y65:Y68=Y65)*(AC65:AC68&gt;AC65)),"")</f>
        <v>0</v>
      </c>
      <c r="AK65" s="321">
        <f>IF(U65&lt;&gt;"",SUMPRODUCT((AF65:AF68=AF65)*(AA65:AA68=AA65)*(Y65:Y68=Y65)*(AC65:AC68=AC65)*(AD65:AD68&gt;AD65)),"")</f>
        <v>0</v>
      </c>
      <c r="AL65" s="321">
        <f>IF(U65&lt;&gt;"",SUMPRODUCT((AF65:AF68=AF65)*(AA65:AA68=AA65)*(Y65:Y68=Y65)*(AC65:AC68=AC65)*(AD65:AD68=AD65)*(AE65:AE68&gt;AE65)),"")</f>
        <v>0</v>
      </c>
      <c r="AM65" s="321">
        <f>IF(U65&lt;&gt;"",SUM(AG65:AL65),"")</f>
        <v>1</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t="str">
        <f ca="1">IF(JQ25&lt;&gt;"",SUMPRODUCT((JX25:JX28=JX25)*(JW25:JW28=JW25)*(JU25:JU28=JU25)*(JV25:JV28=JV25)),"")</f>
        <v/>
      </c>
      <c r="JQ65" s="321" t="str">
        <f ca="1">IF(AND(JP65&lt;&gt;"",JP65&gt;1),JQ25,"")</f>
        <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0</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0</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0</v>
      </c>
      <c r="JW65" s="321">
        <f ca="1">JU65-JV65+1000</f>
        <v>1000</v>
      </c>
      <c r="JX65" s="321" t="str">
        <f ca="1">IF(JQ65&lt;&gt;"",JR65*3+JS65*1,"")</f>
        <v/>
      </c>
      <c r="JY65" s="321" t="str">
        <f ca="1">IF(JQ65&lt;&gt;"",VLOOKUP(JQ65,IX4:JD40,7,FALSE),"")</f>
        <v/>
      </c>
      <c r="JZ65" s="321" t="str">
        <f ca="1">IF(JQ65&lt;&gt;"",VLOOKUP(JQ65,IX4:JD40,5,FALSE),"")</f>
        <v/>
      </c>
      <c r="KA65" s="321" t="str">
        <f ca="1">IF(JQ65&lt;&gt;"",VLOOKUP(JQ65,IX4:JF40,9,FALSE),"")</f>
        <v/>
      </c>
      <c r="KB65" s="321" t="str">
        <f ca="1">JX65</f>
        <v/>
      </c>
      <c r="KC65" s="321" t="str">
        <f ca="1">IF(JQ65&lt;&gt;"",RANK(KB65,KB65:KB68),"")</f>
        <v/>
      </c>
      <c r="KD65" s="321" t="str">
        <f ca="1">IF(JQ65&lt;&gt;"",SUMPRODUCT((KB65:KB68=KB65)*(JW65:JW68&gt;JW65)),"")</f>
        <v/>
      </c>
      <c r="KE65" s="321" t="str">
        <f ca="1">IF(JQ65&lt;&gt;"",SUMPRODUCT((KB65:KB68=KB65)*(JW65:JW68=JW65)*(JU65:JU68&gt;JU65)),"")</f>
        <v/>
      </c>
      <c r="KF65" s="321" t="str">
        <f ca="1">IF(JQ65&lt;&gt;"",SUMPRODUCT((KB65:KB68=KB65)*(JW65:JW68=JW65)*(JU65:JU68=JU65)*(JY65:JY68&gt;JY65)),"")</f>
        <v/>
      </c>
      <c r="KG65" s="321" t="str">
        <f ca="1">IF(JQ65&lt;&gt;"",SUMPRODUCT((KB65:KB68=KB65)*(JW65:JW68=JW65)*(JU65:JU68=JU65)*(JY65:JY68=JY65)*(JZ65:JZ68&gt;JZ65)),"")</f>
        <v/>
      </c>
      <c r="KH65" s="321" t="str">
        <f ca="1">IF(JQ65&lt;&gt;"",SUMPRODUCT((KB65:KB68=KB65)*(JW65:JW68=JW65)*(JU65:JU68=JU65)*(JY65:JY68=JY65)*(JZ65:JZ68=JZ65)*(KA65:KA68&gt;KA65)),"")</f>
        <v/>
      </c>
      <c r="KI65" s="321" t="str">
        <f ca="1">IF(JQ65&lt;&gt;"",SUM(KC65:KH65),"")</f>
        <v/>
      </c>
      <c r="OC65" s="321">
        <f ca="1">SUMPRODUCT((OC25:OC28=OC25)*(OB25:OB28=OB25)*(NZ25:NZ28&gt;NZ25))+1</f>
        <v>1</v>
      </c>
      <c r="ON65" s="321" t="str">
        <f t="shared" ref="ON65" ca="1" si="17137">IF(OO25&lt;&gt;"",SUMPRODUCT((OV25:OV28=OV25)*(OU25:OU28=OU25)*(OS25:OS28=OS25)*(OT25:OT28=OT25)),"")</f>
        <v/>
      </c>
      <c r="OO65" s="321" t="str">
        <f t="shared" ref="OO65:OO68" ca="1" si="17138">IF(AND(ON65&lt;&gt;"",ON65&gt;1),OO25,"")</f>
        <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0</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0</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0</v>
      </c>
      <c r="OU65" s="321">
        <f t="shared" ref="OU65:OU68" ca="1" si="17144">OS65-OT65+1000</f>
        <v>1000</v>
      </c>
      <c r="OV65" s="321" t="str">
        <f t="shared" ref="OV65:OV68" ca="1" si="17145">IF(OO65&lt;&gt;"",OP65*3+OQ65*1,"")</f>
        <v/>
      </c>
      <c r="OW65" s="321" t="str">
        <f t="shared" ref="OW65" ca="1" si="17146">IF(OO65&lt;&gt;"",VLOOKUP(OO65,NV4:OB40,7,FALSE),"")</f>
        <v/>
      </c>
      <c r="OX65" s="321" t="str">
        <f t="shared" ref="OX65" ca="1" si="17147">IF(OO65&lt;&gt;"",VLOOKUP(OO65,NV4:OB40,5,FALSE),"")</f>
        <v/>
      </c>
      <c r="OY65" s="321" t="str">
        <f t="shared" ref="OY65" ca="1" si="17148">IF(OO65&lt;&gt;"",VLOOKUP(OO65,NV4:OD40,9,FALSE),"")</f>
        <v/>
      </c>
      <c r="OZ65" s="321" t="str">
        <f t="shared" ref="OZ65:OZ68" ca="1" si="17149">OV65</f>
        <v/>
      </c>
      <c r="PA65" s="321" t="str">
        <f t="shared" ref="PA65" ca="1" si="17150">IF(OO65&lt;&gt;"",RANK(OZ65,OZ65:OZ68),"")</f>
        <v/>
      </c>
      <c r="PB65" s="321" t="str">
        <f t="shared" ref="PB65" ca="1" si="17151">IF(OO65&lt;&gt;"",SUMPRODUCT((OZ65:OZ68=OZ65)*(OU65:OU68&gt;OU65)),"")</f>
        <v/>
      </c>
      <c r="PC65" s="321" t="str">
        <f t="shared" ref="PC65" ca="1" si="17152">IF(OO65&lt;&gt;"",SUMPRODUCT((OZ65:OZ68=OZ65)*(OU65:OU68=OU65)*(OS65:OS68&gt;OS65)),"")</f>
        <v/>
      </c>
      <c r="PD65" s="321" t="str">
        <f t="shared" ref="PD65" ca="1" si="17153">IF(OO65&lt;&gt;"",SUMPRODUCT((OZ65:OZ68=OZ65)*(OU65:OU68=OU65)*(OS65:OS68=OS65)*(OW65:OW68&gt;OW65)),"")</f>
        <v/>
      </c>
      <c r="PE65" s="321" t="str">
        <f t="shared" ref="PE65" ca="1" si="17154">IF(OO65&lt;&gt;"",SUMPRODUCT((OZ65:OZ68=OZ65)*(OU65:OU68=OU65)*(OS65:OS68=OS65)*(OW65:OW68=OW65)*(OX65:OX68&gt;OX65)),"")</f>
        <v/>
      </c>
      <c r="PF65" s="321" t="str">
        <f t="shared" ref="PF65" ca="1" si="17155">IF(OO65&lt;&gt;"",SUMPRODUCT((OZ65:OZ68=OZ65)*(OU65:OU68=OU65)*(OS65:OS68=OS65)*(OW65:OW68=OW65)*(OX65:OX68=OX65)*(OY65:OY68&gt;OY65)),"")</f>
        <v/>
      </c>
      <c r="PG65" s="321" t="str">
        <f t="shared" ref="PG65:PG68" ca="1" si="17156">IF(OO65&lt;&gt;"",SUM(PA65:PF65),"")</f>
        <v/>
      </c>
      <c r="TA65" s="321">
        <f ca="1">SUMPRODUCT((TA25:TA28=TA25)*(SZ25:SZ28=SZ25)*(SX25:SX28&gt;SX25))+1</f>
        <v>1</v>
      </c>
      <c r="TL65" s="321" t="str">
        <f t="shared" ref="TL65" ca="1" si="17157">IF(TM25&lt;&gt;"",SUMPRODUCT((TT25:TT28=TT25)*(TS25:TS28=TS25)*(TQ25:TQ28=TQ25)*(TR25:TR28=TR25)),"")</f>
        <v/>
      </c>
      <c r="TM65" s="321" t="str">
        <f t="shared" ref="TM65:TM68" ca="1" si="17158">IF(AND(TL65&lt;&gt;"",TL65&gt;1),TM25,"")</f>
        <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t="str">
        <f t="shared" ref="TT65:TT68" ca="1" si="17165">IF(TM65&lt;&gt;"",TN65*3+TO65*1,"")</f>
        <v/>
      </c>
      <c r="TU65" s="321" t="str">
        <f t="shared" ref="TU65" ca="1" si="17166">IF(TM65&lt;&gt;"",VLOOKUP(TM65,ST4:SZ40,7,FALSE),"")</f>
        <v/>
      </c>
      <c r="TV65" s="321" t="str">
        <f t="shared" ref="TV65" ca="1" si="17167">IF(TM65&lt;&gt;"",VLOOKUP(TM65,ST4:SZ40,5,FALSE),"")</f>
        <v/>
      </c>
      <c r="TW65" s="321" t="str">
        <f t="shared" ref="TW65" ca="1" si="17168">IF(TM65&lt;&gt;"",VLOOKUP(TM65,ST4:TB40,9,FALSE),"")</f>
        <v/>
      </c>
      <c r="TX65" s="321" t="str">
        <f t="shared" ref="TX65:TX68" ca="1" si="17169">TT65</f>
        <v/>
      </c>
      <c r="TY65" s="321" t="str">
        <f t="shared" ref="TY65" ca="1" si="17170">IF(TM65&lt;&gt;"",RANK(TX65,TX65:TX68),"")</f>
        <v/>
      </c>
      <c r="TZ65" s="321" t="str">
        <f t="shared" ref="TZ65" ca="1" si="17171">IF(TM65&lt;&gt;"",SUMPRODUCT((TX65:TX68=TX65)*(TS65:TS68&gt;TS65)),"")</f>
        <v/>
      </c>
      <c r="UA65" s="321" t="str">
        <f t="shared" ref="UA65" ca="1" si="17172">IF(TM65&lt;&gt;"",SUMPRODUCT((TX65:TX68=TX65)*(TS65:TS68=TS65)*(TQ65:TQ68&gt;TQ65)),"")</f>
        <v/>
      </c>
      <c r="UB65" s="321" t="str">
        <f t="shared" ref="UB65" ca="1" si="17173">IF(TM65&lt;&gt;"",SUMPRODUCT((TX65:TX68=TX65)*(TS65:TS68=TS65)*(TQ65:TQ68=TQ65)*(TU65:TU68&gt;TU65)),"")</f>
        <v/>
      </c>
      <c r="UC65" s="321" t="str">
        <f t="shared" ref="UC65" ca="1" si="17174">IF(TM65&lt;&gt;"",SUMPRODUCT((TX65:TX68=TX65)*(TS65:TS68=TS65)*(TQ65:TQ68=TQ65)*(TU65:TU68=TU65)*(TV65:TV68&gt;TV65)),"")</f>
        <v/>
      </c>
      <c r="UD65" s="321" t="str">
        <f t="shared" ref="UD65" ca="1" si="17175">IF(TM65&lt;&gt;"",SUMPRODUCT((TX65:TX68=TX65)*(TS65:TS68=TS65)*(TQ65:TQ68=TQ65)*(TU65:TU68=TU65)*(TV65:TV68=TV65)*(TW65:TW68&gt;TW65)),"")</f>
        <v/>
      </c>
      <c r="UE65" s="321" t="str">
        <f t="shared" ref="UE65:UE68" ca="1" si="17176">IF(TM65&lt;&gt;"",SUM(TY65:UD65),"")</f>
        <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t="str">
        <f t="shared" ref="ADH65" ca="1" si="17197">IF(ADI25&lt;&gt;"",SUMPRODUCT((ADP25:ADP28=ADP25)*(ADO25:ADO28=ADO25)*(ADM25:ADM28=ADM25)*(ADN25:ADN28=ADN25)),"")</f>
        <v/>
      </c>
      <c r="ADI65" s="321" t="str">
        <f t="shared" ref="ADI65:ADI68" ca="1" si="17198">IF(AND(ADH65&lt;&gt;"",ADH65&gt;1),ADI25,"")</f>
        <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0</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0</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0</v>
      </c>
      <c r="ADO65" s="321">
        <f t="shared" ref="ADO65:ADO68" ca="1" si="17204">ADM65-ADN65+1000</f>
        <v>1000</v>
      </c>
      <c r="ADP65" s="321" t="str">
        <f t="shared" ref="ADP65:ADP68" ca="1" si="17205">IF(ADI65&lt;&gt;"",ADJ65*3+ADK65*1,"")</f>
        <v/>
      </c>
      <c r="ADQ65" s="321" t="str">
        <f t="shared" ref="ADQ65" ca="1" si="17206">IF(ADI65&lt;&gt;"",VLOOKUP(ADI65,ACP4:ACV40,7,FALSE),"")</f>
        <v/>
      </c>
      <c r="ADR65" s="321" t="str">
        <f t="shared" ref="ADR65" ca="1" si="17207">IF(ADI65&lt;&gt;"",VLOOKUP(ADI65,ACP4:ACV40,5,FALSE),"")</f>
        <v/>
      </c>
      <c r="ADS65" s="321" t="str">
        <f t="shared" ref="ADS65" ca="1" si="17208">IF(ADI65&lt;&gt;"",VLOOKUP(ADI65,ACP4:ACX40,9,FALSE),"")</f>
        <v/>
      </c>
      <c r="ADT65" s="321" t="str">
        <f t="shared" ref="ADT65:ADT68" ca="1" si="17209">ADP65</f>
        <v/>
      </c>
      <c r="ADU65" s="321" t="str">
        <f t="shared" ref="ADU65" ca="1" si="17210">IF(ADI65&lt;&gt;"",RANK(ADT65,ADT65:ADT68),"")</f>
        <v/>
      </c>
      <c r="ADV65" s="321" t="str">
        <f t="shared" ref="ADV65" ca="1" si="17211">IF(ADI65&lt;&gt;"",SUMPRODUCT((ADT65:ADT68=ADT65)*(ADO65:ADO68&gt;ADO65)),"")</f>
        <v/>
      </c>
      <c r="ADW65" s="321" t="str">
        <f t="shared" ref="ADW65" ca="1" si="17212">IF(ADI65&lt;&gt;"",SUMPRODUCT((ADT65:ADT68=ADT65)*(ADO65:ADO68=ADO65)*(ADM65:ADM68&gt;ADM65)),"")</f>
        <v/>
      </c>
      <c r="ADX65" s="321" t="str">
        <f t="shared" ref="ADX65" ca="1" si="17213">IF(ADI65&lt;&gt;"",SUMPRODUCT((ADT65:ADT68=ADT65)*(ADO65:ADO68=ADO65)*(ADM65:ADM68=ADM65)*(ADQ65:ADQ68&gt;ADQ65)),"")</f>
        <v/>
      </c>
      <c r="ADY65" s="321" t="str">
        <f t="shared" ref="ADY65" ca="1" si="17214">IF(ADI65&lt;&gt;"",SUMPRODUCT((ADT65:ADT68=ADT65)*(ADO65:ADO68=ADO65)*(ADM65:ADM68=ADM65)*(ADQ65:ADQ68=ADQ65)*(ADR65:ADR68&gt;ADR65)),"")</f>
        <v/>
      </c>
      <c r="ADZ65" s="321" t="str">
        <f t="shared" ref="ADZ65" ca="1" si="17215">IF(ADI65&lt;&gt;"",SUMPRODUCT((ADT65:ADT68=ADT65)*(ADO65:ADO68=ADO65)*(ADM65:ADM68=ADM65)*(ADQ65:ADQ68=ADQ65)*(ADR65:ADR68=ADR65)*(ADS65:ADS68&gt;ADS65)),"")</f>
        <v/>
      </c>
      <c r="AEA65" s="321" t="str">
        <f t="shared" ref="AEA65:AEA68" ca="1" si="17216">IF(ADI65&lt;&gt;"",SUM(ADU65:ADZ65),"")</f>
        <v/>
      </c>
      <c r="AHU65" s="321">
        <f ca="1">SUMPRODUCT((AHU25:AHU28=AHU25)*(AHT25:AHT28=AHT25)*(AHR25:AHR28&gt;AHR25))+1</f>
        <v>1</v>
      </c>
      <c r="AIF65" s="321">
        <f t="shared" ref="AIF65" ca="1" si="17217">IF(AIG25&lt;&gt;"",SUMPRODUCT((AIN25:AIN28=AIN25)*(AIM25:AIM28=AIM25)*(AIK25:AIK28=AIK25)*(AIL25:AIL28=AIL25)),"")</f>
        <v>4</v>
      </c>
      <c r="AIG65" s="321" t="str">
        <f t="shared" ref="AIG65:AIG68" ca="1" si="17218">IF(AND(AIF65&lt;&gt;"",AIF65&gt;1),AIG25,"")</f>
        <v>Poland</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0</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0</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0</v>
      </c>
      <c r="AIM65" s="321">
        <f t="shared" ref="AIM65:AIM68" ca="1" si="17224">AIK65-AIL65+1000</f>
        <v>1000</v>
      </c>
      <c r="AIN65" s="321">
        <f t="shared" ref="AIN65:AIN68" ca="1" si="17225">IF(AIG65&lt;&gt;"",AIH65*3+AII65*1,"")</f>
        <v>0</v>
      </c>
      <c r="AIO65" s="321">
        <f t="shared" ref="AIO65" ca="1" si="17226">IF(AIG65&lt;&gt;"",VLOOKUP(AIG65,AHN4:AHT40,7,FALSE),"")</f>
        <v>1000</v>
      </c>
      <c r="AIP65" s="321">
        <f t="shared" ref="AIP65" ca="1" si="17227">IF(AIG65&lt;&gt;"",VLOOKUP(AIG65,AHN4:AHT40,5,FALSE),"")</f>
        <v>0</v>
      </c>
      <c r="AIQ65" s="321">
        <f t="shared" ref="AIQ65" ca="1" si="17228">IF(AIG65&lt;&gt;"",VLOOKUP(AIG65,AHN4:AHV40,9,FALSE),"")</f>
        <v>0</v>
      </c>
      <c r="AIR65" s="321">
        <f t="shared" ref="AIR65:AIR68" ca="1" si="17229">AIN65</f>
        <v>0</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0</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3</v>
      </c>
      <c r="AIY65" s="321">
        <f t="shared" ref="AIY65:AIY68" ca="1" si="17236">IF(AIG65&lt;&gt;"",SUM(AIS65:AIX65),"")</f>
        <v>4</v>
      </c>
      <c r="AMS65" s="321">
        <f ca="1">SUMPRODUCT((AMS25:AMS28=AMS25)*(AMR25:AMR28=AMR25)*(AMP25:AMP28&gt;AMP25))+1</f>
        <v>1</v>
      </c>
      <c r="AND65" s="321">
        <f t="shared" ref="AND65" ca="1" si="17237">IF(ANE25&lt;&gt;"",SUMPRODUCT((ANL25:ANL28=ANL25)*(ANK25:ANK28=ANK25)*(ANI25:ANI28=ANI25)*(ANJ25:ANJ28=ANJ25)),"")</f>
        <v>4</v>
      </c>
      <c r="ANE65" s="321" t="str">
        <f t="shared" ref="ANE65:ANE68" ca="1" si="17238">IF(AND(AND65&lt;&gt;"",AND65&gt;1),ANE25,"")</f>
        <v>Poland</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f t="shared" ref="ANL65:ANL68" ca="1" si="17245">IF(ANE65&lt;&gt;"",ANF65*3+ANG65*1,"")</f>
        <v>0</v>
      </c>
      <c r="ANM65" s="321">
        <f t="shared" ref="ANM65" ca="1" si="17246">IF(ANE65&lt;&gt;"",VLOOKUP(ANE65,AML4:AMR40,7,FALSE),"")</f>
        <v>1000</v>
      </c>
      <c r="ANN65" s="321">
        <f t="shared" ref="ANN65" ca="1" si="17247">IF(ANE65&lt;&gt;"",VLOOKUP(ANE65,AML4:AMR40,5,FALSE),"")</f>
        <v>0</v>
      </c>
      <c r="ANO65" s="321">
        <f t="shared" ref="ANO65" ca="1" si="17248">IF(ANE65&lt;&gt;"",VLOOKUP(ANE65,AML4:AMT40,9,FALSE),"")</f>
        <v>0</v>
      </c>
      <c r="ANP65" s="321">
        <f t="shared" ref="ANP65:ANP68" ca="1" si="17249">ANL65</f>
        <v>0</v>
      </c>
      <c r="ANQ65" s="321">
        <f t="shared" ref="ANQ65" ca="1" si="17250">IF(ANE65&lt;&gt;"",RANK(ANP65,ANP65:ANP68),"")</f>
        <v>1</v>
      </c>
      <c r="ANR65" s="321">
        <f t="shared" ref="ANR65" ca="1" si="17251">IF(ANE65&lt;&gt;"",SUMPRODUCT((ANP65:ANP68=ANP65)*(ANK65:ANK68&gt;ANK65)),"")</f>
        <v>0</v>
      </c>
      <c r="ANS65" s="321">
        <f t="shared" ref="ANS65" ca="1" si="17252">IF(ANE65&lt;&gt;"",SUMPRODUCT((ANP65:ANP68=ANP65)*(ANK65:ANK68=ANK65)*(ANI65:ANI68&gt;ANI65)),"")</f>
        <v>0</v>
      </c>
      <c r="ANT65" s="321">
        <f t="shared" ref="ANT65" ca="1" si="17253">IF(ANE65&lt;&gt;"",SUMPRODUCT((ANP65:ANP68=ANP65)*(ANK65:ANK68=ANK65)*(ANI65:ANI68=ANI65)*(ANM65:ANM68&gt;ANM65)),"")</f>
        <v>0</v>
      </c>
      <c r="ANU65" s="321">
        <f t="shared" ref="ANU65" ca="1" si="17254">IF(ANE65&lt;&gt;"",SUMPRODUCT((ANP65:ANP68=ANP65)*(ANK65:ANK68=ANK65)*(ANI65:ANI68=ANI65)*(ANM65:ANM68=ANM65)*(ANN65:ANN68&gt;ANN65)),"")</f>
        <v>0</v>
      </c>
      <c r="ANV65" s="321">
        <f t="shared" ref="ANV65" ca="1" si="17255">IF(ANE65&lt;&gt;"",SUMPRODUCT((ANP65:ANP68=ANP65)*(ANK65:ANK68=ANK65)*(ANI65:ANI68=ANI65)*(ANM65:ANM68=ANM65)*(ANN65:ANN68=ANN65)*(ANO65:ANO68&gt;ANO65)),"")</f>
        <v>3</v>
      </c>
      <c r="ANW65" s="321">
        <f t="shared" ref="ANW65:ANW68" ca="1" si="17256">IF(ANE65&lt;&gt;"",SUM(ANQ65:ANV65),"")</f>
        <v>4</v>
      </c>
      <c r="ARQ65" s="321">
        <f ca="1">SUMPRODUCT((ARQ25:ARQ28=ARQ25)*(ARP25:ARP28=ARP25)*(ARN25:ARN28&gt;ARN25))+1</f>
        <v>1</v>
      </c>
      <c r="ASB65" s="321">
        <f t="shared" ref="ASB65" ca="1" si="17257">IF(ASC25&lt;&gt;"",SUMPRODUCT((ASJ25:ASJ28=ASJ25)*(ASI25:ASI28=ASI25)*(ASG25:ASG28=ASG25)*(ASH25:ASH28=ASH25)),"")</f>
        <v>4</v>
      </c>
      <c r="ASC65" s="321" t="str">
        <f t="shared" ref="ASC65:ASC68" ca="1" si="17258">IF(AND(ASB65&lt;&gt;"",ASB65&gt;1),ASC25,"")</f>
        <v>Poland</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f t="shared" ref="ASJ65:ASJ68" ca="1" si="17265">IF(ASC65&lt;&gt;"",ASD65*3+ASE65*1,"")</f>
        <v>0</v>
      </c>
      <c r="ASK65" s="321">
        <f t="shared" ref="ASK65" ca="1" si="17266">IF(ASC65&lt;&gt;"",VLOOKUP(ASC65,ARJ4:ARP40,7,FALSE),"")</f>
        <v>1000</v>
      </c>
      <c r="ASL65" s="321">
        <f t="shared" ref="ASL65" ca="1" si="17267">IF(ASC65&lt;&gt;"",VLOOKUP(ASC65,ARJ4:ARP40,5,FALSE),"")</f>
        <v>0</v>
      </c>
      <c r="ASM65" s="321">
        <f t="shared" ref="ASM65" ca="1" si="17268">IF(ASC65&lt;&gt;"",VLOOKUP(ASC65,ARJ4:ARR40,9,FALSE),"")</f>
        <v>0</v>
      </c>
      <c r="ASN65" s="321">
        <f t="shared" ref="ASN65:ASN68" ca="1" si="17269">ASJ65</f>
        <v>0</v>
      </c>
      <c r="ASO65" s="321">
        <f t="shared" ref="ASO65" ca="1" si="17270">IF(ASC65&lt;&gt;"",RANK(ASN65,ASN65:ASN68),"")</f>
        <v>1</v>
      </c>
      <c r="ASP65" s="321">
        <f t="shared" ref="ASP65" ca="1" si="17271">IF(ASC65&lt;&gt;"",SUMPRODUCT((ASN65:ASN68=ASN65)*(ASI65:ASI68&gt;ASI65)),"")</f>
        <v>0</v>
      </c>
      <c r="ASQ65" s="321">
        <f t="shared" ref="ASQ65" ca="1" si="17272">IF(ASC65&lt;&gt;"",SUMPRODUCT((ASN65:ASN68=ASN65)*(ASI65:ASI68=ASI65)*(ASG65:ASG68&gt;ASG65)),"")</f>
        <v>0</v>
      </c>
      <c r="ASR65" s="321">
        <f t="shared" ref="ASR65" ca="1" si="17273">IF(ASC65&lt;&gt;"",SUMPRODUCT((ASN65:ASN68=ASN65)*(ASI65:ASI68=ASI65)*(ASG65:ASG68=ASG65)*(ASK65:ASK68&gt;ASK65)),"")</f>
        <v>0</v>
      </c>
      <c r="ASS65" s="321">
        <f t="shared" ref="ASS65" ca="1" si="17274">IF(ASC65&lt;&gt;"",SUMPRODUCT((ASN65:ASN68=ASN65)*(ASI65:ASI68=ASI65)*(ASG65:ASG68=ASG65)*(ASK65:ASK68=ASK65)*(ASL65:ASL68&gt;ASL65)),"")</f>
        <v>0</v>
      </c>
      <c r="AST65" s="321">
        <f t="shared" ref="AST65" ca="1" si="17275">IF(ASC65&lt;&gt;"",SUMPRODUCT((ASN65:ASN68=ASN65)*(ASI65:ASI68=ASI65)*(ASG65:ASG68=ASG65)*(ASK65:ASK68=ASK65)*(ASL65:ASL68=ASL65)*(ASM65:ASM68&gt;ASM65)),"")</f>
        <v>3</v>
      </c>
      <c r="ASU65" s="321">
        <f t="shared" ref="ASU65:ASU68" ca="1" si="17276">IF(ASC65&lt;&gt;"",SUM(ASO65:AST65),"")</f>
        <v>4</v>
      </c>
      <c r="AWO65" s="321">
        <f ca="1">SUMPRODUCT((AWO25:AWO28=AWO25)*(AWN25:AWN28=AWN25)*(AWL25:AWL28&gt;AWL25))+1</f>
        <v>1</v>
      </c>
      <c r="AWZ65" s="321">
        <f t="shared" ref="AWZ65" ca="1" si="17277">IF(AXA25&lt;&gt;"",SUMPRODUCT((AXH25:AXH28=AXH25)*(AXG25:AXG28=AXG25)*(AXE25:AXE28=AXE25)*(AXF25:AXF28=AXF25)),"")</f>
        <v>4</v>
      </c>
      <c r="AXA65" s="321" t="str">
        <f t="shared" ref="AXA65:AXA68" ca="1" si="17278">IF(AND(AWZ65&lt;&gt;"",AWZ65&gt;1),AXA25,"")</f>
        <v>Poland</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f t="shared" ref="AXH65:AXH68" ca="1" si="17285">IF(AXA65&lt;&gt;"",AXB65*3+AXC65*1,"")</f>
        <v>0</v>
      </c>
      <c r="AXI65" s="321">
        <f t="shared" ref="AXI65" ca="1" si="17286">IF(AXA65&lt;&gt;"",VLOOKUP(AXA65,AWH4:AWN40,7,FALSE),"")</f>
        <v>1000</v>
      </c>
      <c r="AXJ65" s="321">
        <f t="shared" ref="AXJ65" ca="1" si="17287">IF(AXA65&lt;&gt;"",VLOOKUP(AXA65,AWH4:AWN40,5,FALSE),"")</f>
        <v>0</v>
      </c>
      <c r="AXK65" s="321">
        <f t="shared" ref="AXK65" ca="1" si="17288">IF(AXA65&lt;&gt;"",VLOOKUP(AXA65,AWH4:AWP40,9,FALSE),"")</f>
        <v>0</v>
      </c>
      <c r="AXL65" s="321">
        <f t="shared" ref="AXL65:AXL68" ca="1" si="17289">AXH65</f>
        <v>0</v>
      </c>
      <c r="AXM65" s="321">
        <f t="shared" ref="AXM65" ca="1" si="17290">IF(AXA65&lt;&gt;"",RANK(AXL65,AXL65:AXL68),"")</f>
        <v>1</v>
      </c>
      <c r="AXN65" s="321">
        <f t="shared" ref="AXN65" ca="1" si="17291">IF(AXA65&lt;&gt;"",SUMPRODUCT((AXL65:AXL68=AXL65)*(AXG65:AXG68&gt;AXG65)),"")</f>
        <v>0</v>
      </c>
      <c r="AXO65" s="321">
        <f t="shared" ref="AXO65" ca="1" si="17292">IF(AXA65&lt;&gt;"",SUMPRODUCT((AXL65:AXL68=AXL65)*(AXG65:AXG68=AXG65)*(AXE65:AXE68&gt;AXE65)),"")</f>
        <v>0</v>
      </c>
      <c r="AXP65" s="321">
        <f t="shared" ref="AXP65" ca="1" si="17293">IF(AXA65&lt;&gt;"",SUMPRODUCT((AXL65:AXL68=AXL65)*(AXG65:AXG68=AXG65)*(AXE65:AXE68=AXE65)*(AXI65:AXI68&gt;AXI65)),"")</f>
        <v>0</v>
      </c>
      <c r="AXQ65" s="321">
        <f t="shared" ref="AXQ65" ca="1" si="17294">IF(AXA65&lt;&gt;"",SUMPRODUCT((AXL65:AXL68=AXL65)*(AXG65:AXG68=AXG65)*(AXE65:AXE68=AXE65)*(AXI65:AXI68=AXI65)*(AXJ65:AXJ68&gt;AXJ65)),"")</f>
        <v>0</v>
      </c>
      <c r="AXR65" s="321">
        <f t="shared" ref="AXR65" ca="1" si="17295">IF(AXA65&lt;&gt;"",SUMPRODUCT((AXL65:AXL68=AXL65)*(AXG65:AXG68=AXG65)*(AXE65:AXE68=AXE65)*(AXI65:AXI68=AXI65)*(AXJ65:AXJ68=AXJ65)*(AXK65:AXK68&gt;AXK65)),"")</f>
        <v>3</v>
      </c>
      <c r="AXS65" s="321">
        <f t="shared" ref="AXS65:AXS68" ca="1" si="17296">IF(AXA65&lt;&gt;"",SUM(AXM65:AXR65),"")</f>
        <v>4</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2">
      <c r="I66" s="321">
        <f>SUMPRODUCT((I25:I28=I26)*(H25:H28=H26)*(F25:F28&gt;F26))+1</f>
        <v>1</v>
      </c>
      <c r="T66" s="321">
        <f>IF(U26&lt;&gt;"",SUMPRODUCT((AB25:AB28=AB26)*(AA25:AA28=AA26)*(Y25:Y28=Y26)*(Z25:Z28=Z26)),"")</f>
        <v>2</v>
      </c>
      <c r="U66" s="321" t="str">
        <f t="shared" ref="U66:U68" si="17317">IF(AND(T66&lt;&gt;"",T66&gt;1),U26,"")</f>
        <v>France</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f t="shared" ref="AB66:AB68" si="17318">IF(U66&lt;&gt;"",V66*3+W66*1,"")</f>
        <v>0</v>
      </c>
      <c r="AC66" s="321">
        <f>IF(U66&lt;&gt;"",VLOOKUP(U66,B4:H40,7,FALSE),"")</f>
        <v>1001</v>
      </c>
      <c r="AD66" s="321">
        <f>IF(U66&lt;&gt;"",VLOOKUP(U66,B4:H40,5,FALSE),"")</f>
        <v>1</v>
      </c>
      <c r="AE66" s="321">
        <f>IF(U66&lt;&gt;"",VLOOKUP(U66,B4:J40,9,FALSE),"")</f>
        <v>52</v>
      </c>
      <c r="AF66" s="321">
        <f t="shared" ref="AF66:AF68" si="17319">AB66</f>
        <v>0</v>
      </c>
      <c r="AG66" s="321">
        <f>IF(U66&lt;&gt;"",RANK(AF66,AF65:AF68),"")</f>
        <v>1</v>
      </c>
      <c r="AH66" s="321">
        <f>IF(U66&lt;&gt;"",SUMPRODUCT((AF65:AF68=AF66)*(AA65:AA68&gt;AA66)),"")</f>
        <v>0</v>
      </c>
      <c r="AI66" s="321">
        <f>IF(U66&lt;&gt;"",SUMPRODUCT((AF65:AF68=AF66)*(AA65:AA68=AA66)*(Y65:Y68&gt;Y66)),"")</f>
        <v>0</v>
      </c>
      <c r="AJ66" s="321">
        <f>IF(U66&lt;&gt;"",SUMPRODUCT((AF65:AF68=AF66)*(AA65:AA68=AA66)*(Y65:Y68=Y66)*(AC65:AC68&gt;AC66)),"")</f>
        <v>0</v>
      </c>
      <c r="AK66" s="321">
        <f>IF(U66&lt;&gt;"",SUMPRODUCT((AF65:AF68=AF66)*(AA65:AA68=AA66)*(Y65:Y68=Y66)*(AC65:AC68=AC66)*(AD65:AD68&gt;AD66)),"")</f>
        <v>1</v>
      </c>
      <c r="AL66" s="321">
        <f>IF(U66&lt;&gt;"",SUMPRODUCT((AF65:AF68=AF66)*(AA65:AA68=AA66)*(Y65:Y68=Y66)*(AC65:AC68=AC66)*(AD65:AD68=AD66)*(AE65:AE68&gt;AE66)),"")</f>
        <v>0</v>
      </c>
      <c r="AM66" s="321">
        <f>IF(U66&lt;&gt;"",SUM(AG66:AL66),"")</f>
        <v>2</v>
      </c>
      <c r="AN66" s="321" t="str">
        <f>IF(AO26&lt;&gt;"",SUMPRODUCT((AV25:AV28=AV26)*(AU25:AU28=AU26)*(AS25:AS28=AS26)*(AT25:AT28=AT26)),"")</f>
        <v/>
      </c>
      <c r="AO66" s="321" t="str">
        <f t="shared" ref="AO66:AO68" si="17320">IF(AND(AN66&lt;&gt;"",AN66&gt;1),AO26,"")</f>
        <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t="str">
        <f t="shared" ref="AV66:AV68" si="17321">IF(AO66&lt;&gt;"",AP66*3+AQ66*1,"")</f>
        <v/>
      </c>
      <c r="AW66" s="321" t="str">
        <f>IF(AO66&lt;&gt;"",VLOOKUP(AO66,B4:H40,7,FALSE),"")</f>
        <v/>
      </c>
      <c r="AX66" s="321" t="str">
        <f>IF(AO66&lt;&gt;"",VLOOKUP(AO66,B4:H40,5,FALSE),"")</f>
        <v/>
      </c>
      <c r="AY66" s="321" t="str">
        <f>IF(AO66&lt;&gt;"",VLOOKUP(AO66,B4:J40,9,FALSE),"")</f>
        <v/>
      </c>
      <c r="AZ66" s="321" t="str">
        <f t="shared" ref="AZ66:AZ68" si="17322">AV66</f>
        <v/>
      </c>
      <c r="BA66" s="321" t="str">
        <f>IF(AO66&lt;&gt;"",RANK(AZ66,AZ65:AZ68),"")</f>
        <v/>
      </c>
      <c r="BB66" s="321" t="str">
        <f>IF(AO66&lt;&gt;"",SUMPRODUCT((AZ65:AZ68=AZ66)*(AU65:AU68&gt;AU66)),"")</f>
        <v/>
      </c>
      <c r="BC66" s="321" t="str">
        <f>IF(AO66&lt;&gt;"",SUMPRODUCT((AZ65:AZ68=AZ66)*(AU65:AU68=AU66)*(AS65:AS68&gt;AS66)),"")</f>
        <v/>
      </c>
      <c r="BD66" s="321" t="str">
        <f>IF(AO66&lt;&gt;"",SUMPRODUCT((AZ65:AZ68=AZ66)*(AU65:AU68=AU66)*(AS65:AS68=AS66)*(AW65:AW68&gt;AW66)),"")</f>
        <v/>
      </c>
      <c r="BE66" s="321" t="str">
        <f>IF(AO66&lt;&gt;"",SUMPRODUCT((AZ65:AZ68=AZ66)*(AU65:AU68=AU66)*(AS65:AS68=AS66)*(AW65:AW68=AW66)*(AX65:AX68&gt;AX66)),"")</f>
        <v/>
      </c>
      <c r="BF66" s="321" t="str">
        <f>IF(AO66&lt;&gt;"",SUMPRODUCT((AZ65:AZ68=AZ66)*(AU65:AU68=AU66)*(AS65:AS68=AS66)*(AW65:AW68=AW66)*(AX65:AX68=AX66)*(AY65:AY68&gt;AY66)),"")</f>
        <v/>
      </c>
      <c r="BG66" s="321" t="str">
        <f>IF(AO66&lt;&gt;"",SUM(BA66:BF66)+1,"")</f>
        <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t="str">
        <f ca="1">IF(JQ26&lt;&gt;"",SUMPRODUCT((JX25:JX28=JX26)*(JW25:JW28=JW26)*(JU25:JU28=JU26)*(JV25:JV28=JV26)),"")</f>
        <v/>
      </c>
      <c r="JQ66" s="321" t="str">
        <f t="shared" ref="JQ66:JQ68" ca="1" si="17329">IF(AND(JP66&lt;&gt;"",JP66&gt;1),JQ26,"")</f>
        <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0</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0</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0</v>
      </c>
      <c r="JW66" s="321">
        <f ca="1">JU66-JV66+1000</f>
        <v>1000</v>
      </c>
      <c r="JX66" s="321" t="str">
        <f t="shared" ref="JX66:JX68" ca="1" si="17330">IF(JQ66&lt;&gt;"",JR66*3+JS66*1,"")</f>
        <v/>
      </c>
      <c r="JY66" s="321" t="str">
        <f ca="1">IF(JQ66&lt;&gt;"",VLOOKUP(JQ66,IX4:JD40,7,FALSE),"")</f>
        <v/>
      </c>
      <c r="JZ66" s="321" t="str">
        <f ca="1">IF(JQ66&lt;&gt;"",VLOOKUP(JQ66,IX4:JD40,5,FALSE),"")</f>
        <v/>
      </c>
      <c r="KA66" s="321" t="str">
        <f ca="1">IF(JQ66&lt;&gt;"",VLOOKUP(JQ66,IX4:JF40,9,FALSE),"")</f>
        <v/>
      </c>
      <c r="KB66" s="321" t="str">
        <f t="shared" ref="KB66:KB68" ca="1" si="17331">JX66</f>
        <v/>
      </c>
      <c r="KC66" s="321" t="str">
        <f ca="1">IF(JQ66&lt;&gt;"",RANK(KB66,KB65:KB68),"")</f>
        <v/>
      </c>
      <c r="KD66" s="321" t="str">
        <f ca="1">IF(JQ66&lt;&gt;"",SUMPRODUCT((KB65:KB68=KB66)*(JW65:JW68&gt;JW66)),"")</f>
        <v/>
      </c>
      <c r="KE66" s="321" t="str">
        <f ca="1">IF(JQ66&lt;&gt;"",SUMPRODUCT((KB65:KB68=KB66)*(JW65:JW68=JW66)*(JU65:JU68&gt;JU66)),"")</f>
        <v/>
      </c>
      <c r="KF66" s="321" t="str">
        <f ca="1">IF(JQ66&lt;&gt;"",SUMPRODUCT((KB65:KB68=KB66)*(JW65:JW68=JW66)*(JU65:JU68=JU66)*(JY65:JY68&gt;JY66)),"")</f>
        <v/>
      </c>
      <c r="KG66" s="321" t="str">
        <f ca="1">IF(JQ66&lt;&gt;"",SUMPRODUCT((KB65:KB68=KB66)*(JW65:JW68=JW66)*(JU65:JU68=JU66)*(JY65:JY68=JY66)*(JZ65:JZ68&gt;JZ66)),"")</f>
        <v/>
      </c>
      <c r="KH66" s="321" t="str">
        <f ca="1">IF(JQ66&lt;&gt;"",SUMPRODUCT((KB65:KB68=KB66)*(JW65:JW68=JW66)*(JU65:JU68=JU66)*(JY65:JY68=JY66)*(JZ65:JZ68=JZ66)*(KA65:KA68&gt;KA66)),"")</f>
        <v/>
      </c>
      <c r="KI66" s="321" t="str">
        <f ca="1">IF(JQ66&lt;&gt;"",SUM(KC66:KH66),"")</f>
        <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t="str">
        <f t="shared" ref="ON66" ca="1" si="17336">IF(OO26&lt;&gt;"",SUMPRODUCT((OV25:OV28=OV26)*(OU25:OU28=OU26)*(OS25:OS28=OS26)*(OT25:OT28=OT26)),"")</f>
        <v/>
      </c>
      <c r="OO66" s="321" t="str">
        <f t="shared" ca="1" si="17138"/>
        <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0</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0</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0</v>
      </c>
      <c r="OU66" s="321">
        <f t="shared" ca="1" si="17144"/>
        <v>1000</v>
      </c>
      <c r="OV66" s="321" t="str">
        <f t="shared" ca="1" si="17145"/>
        <v/>
      </c>
      <c r="OW66" s="321" t="str">
        <f t="shared" ref="OW66" ca="1" si="17342">IF(OO66&lt;&gt;"",VLOOKUP(OO66,NV4:OB40,7,FALSE),"")</f>
        <v/>
      </c>
      <c r="OX66" s="321" t="str">
        <f t="shared" ref="OX66" ca="1" si="17343">IF(OO66&lt;&gt;"",VLOOKUP(OO66,NV4:OB40,5,FALSE),"")</f>
        <v/>
      </c>
      <c r="OY66" s="321" t="str">
        <f t="shared" ref="OY66" ca="1" si="17344">IF(OO66&lt;&gt;"",VLOOKUP(OO66,NV4:OD40,9,FALSE),"")</f>
        <v/>
      </c>
      <c r="OZ66" s="321" t="str">
        <f t="shared" ca="1" si="17149"/>
        <v/>
      </c>
      <c r="PA66" s="321" t="str">
        <f t="shared" ref="PA66" ca="1" si="17345">IF(OO66&lt;&gt;"",RANK(OZ66,OZ65:OZ68),"")</f>
        <v/>
      </c>
      <c r="PB66" s="321" t="str">
        <f t="shared" ref="PB66" ca="1" si="17346">IF(OO66&lt;&gt;"",SUMPRODUCT((OZ65:OZ68=OZ66)*(OU65:OU68&gt;OU66)),"")</f>
        <v/>
      </c>
      <c r="PC66" s="321" t="str">
        <f t="shared" ref="PC66" ca="1" si="17347">IF(OO66&lt;&gt;"",SUMPRODUCT((OZ65:OZ68=OZ66)*(OU65:OU68=OU66)*(OS65:OS68&gt;OS66)),"")</f>
        <v/>
      </c>
      <c r="PD66" s="321" t="str">
        <f t="shared" ref="PD66" ca="1" si="17348">IF(OO66&lt;&gt;"",SUMPRODUCT((OZ65:OZ68=OZ66)*(OU65:OU68=OU66)*(OS65:OS68=OS66)*(OW65:OW68&gt;OW66)),"")</f>
        <v/>
      </c>
      <c r="PE66" s="321" t="str">
        <f t="shared" ref="PE66" ca="1" si="17349">IF(OO66&lt;&gt;"",SUMPRODUCT((OZ65:OZ68=OZ66)*(OU65:OU68=OU66)*(OS65:OS68=OS66)*(OW65:OW68=OW66)*(OX65:OX68&gt;OX66)),"")</f>
        <v/>
      </c>
      <c r="PF66" s="321" t="str">
        <f t="shared" ref="PF66" ca="1" si="17350">IF(OO66&lt;&gt;"",SUMPRODUCT((OZ65:OZ68=OZ66)*(OU65:OU68=OU66)*(OS65:OS68=OS66)*(OW65:OW68=OW66)*(OX65:OX68=OX66)*(OY65:OY68&gt;OY66)),"")</f>
        <v/>
      </c>
      <c r="PG66" s="321" t="str">
        <f t="shared" ca="1" si="17156"/>
        <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t="str">
        <f t="shared" ref="TL66" ca="1" si="17372">IF(TM26&lt;&gt;"",SUMPRODUCT((TT25:TT28=TT26)*(TS25:TS28=TS26)*(TQ25:TQ28=TQ26)*(TR25:TR28=TR26)),"")</f>
        <v/>
      </c>
      <c r="TM66" s="321" t="str">
        <f t="shared" ca="1" si="17158"/>
        <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t="str">
        <f t="shared" ca="1" si="17165"/>
        <v/>
      </c>
      <c r="TU66" s="321" t="str">
        <f t="shared" ref="TU66" ca="1" si="17378">IF(TM66&lt;&gt;"",VLOOKUP(TM66,ST4:SZ40,7,FALSE),"")</f>
        <v/>
      </c>
      <c r="TV66" s="321" t="str">
        <f t="shared" ref="TV66" ca="1" si="17379">IF(TM66&lt;&gt;"",VLOOKUP(TM66,ST4:SZ40,5,FALSE),"")</f>
        <v/>
      </c>
      <c r="TW66" s="321" t="str">
        <f t="shared" ref="TW66" ca="1" si="17380">IF(TM66&lt;&gt;"",VLOOKUP(TM66,ST4:TB40,9,FALSE),"")</f>
        <v/>
      </c>
      <c r="TX66" s="321" t="str">
        <f t="shared" ca="1" si="17169"/>
        <v/>
      </c>
      <c r="TY66" s="321" t="str">
        <f t="shared" ref="TY66" ca="1" si="17381">IF(TM66&lt;&gt;"",RANK(TX66,TX65:TX68),"")</f>
        <v/>
      </c>
      <c r="TZ66" s="321" t="str">
        <f t="shared" ref="TZ66" ca="1" si="17382">IF(TM66&lt;&gt;"",SUMPRODUCT((TX65:TX68=TX66)*(TS65:TS68&gt;TS66)),"")</f>
        <v/>
      </c>
      <c r="UA66" s="321" t="str">
        <f t="shared" ref="UA66" ca="1" si="17383">IF(TM66&lt;&gt;"",SUMPRODUCT((TX65:TX68=TX66)*(TS65:TS68=TS66)*(TQ65:TQ68&gt;TQ66)),"")</f>
        <v/>
      </c>
      <c r="UB66" s="321" t="str">
        <f t="shared" ref="UB66" ca="1" si="17384">IF(TM66&lt;&gt;"",SUMPRODUCT((TX65:TX68=TX66)*(TS65:TS68=TS66)*(TQ65:TQ68=TQ66)*(TU65:TU68&gt;TU66)),"")</f>
        <v/>
      </c>
      <c r="UC66" s="321" t="str">
        <f t="shared" ref="UC66" ca="1" si="17385">IF(TM66&lt;&gt;"",SUMPRODUCT((TX65:TX68=TX66)*(TS65:TS68=TS66)*(TQ65:TQ68=TQ66)*(TU65:TU68=TU66)*(TV65:TV68&gt;TV66)),"")</f>
        <v/>
      </c>
      <c r="UD66" s="321" t="str">
        <f t="shared" ref="UD66" ca="1" si="17386">IF(TM66&lt;&gt;"",SUMPRODUCT((TX65:TX68=TX66)*(TS65:TS68=TS66)*(TQ65:TQ68=TQ66)*(TU65:TU68=TU66)*(TV65:TV68=TV66)*(TW65:TW68&gt;TW66)),"")</f>
        <v/>
      </c>
      <c r="UE66" s="321" t="str">
        <f t="shared" ca="1" si="17176"/>
        <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t="str">
        <f t="shared" ref="ADH66" ca="1" si="17444">IF(ADI26&lt;&gt;"",SUMPRODUCT((ADP25:ADP28=ADP26)*(ADO25:ADO28=ADO26)*(ADM25:ADM28=ADM26)*(ADN25:ADN28=ADN26)),"")</f>
        <v/>
      </c>
      <c r="ADI66" s="321" t="str">
        <f t="shared" ca="1" si="17198"/>
        <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0</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0</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0</v>
      </c>
      <c r="ADO66" s="321">
        <f t="shared" ca="1" si="17204"/>
        <v>1000</v>
      </c>
      <c r="ADP66" s="321" t="str">
        <f t="shared" ca="1" si="17205"/>
        <v/>
      </c>
      <c r="ADQ66" s="321" t="str">
        <f t="shared" ref="ADQ66" ca="1" si="17450">IF(ADI66&lt;&gt;"",VLOOKUP(ADI66,ACP4:ACV40,7,FALSE),"")</f>
        <v/>
      </c>
      <c r="ADR66" s="321" t="str">
        <f t="shared" ref="ADR66" ca="1" si="17451">IF(ADI66&lt;&gt;"",VLOOKUP(ADI66,ACP4:ACV40,5,FALSE),"")</f>
        <v/>
      </c>
      <c r="ADS66" s="321" t="str">
        <f t="shared" ref="ADS66" ca="1" si="17452">IF(ADI66&lt;&gt;"",VLOOKUP(ADI66,ACP4:ACX40,9,FALSE),"")</f>
        <v/>
      </c>
      <c r="ADT66" s="321" t="str">
        <f t="shared" ca="1" si="17209"/>
        <v/>
      </c>
      <c r="ADU66" s="321" t="str">
        <f t="shared" ref="ADU66" ca="1" si="17453">IF(ADI66&lt;&gt;"",RANK(ADT66,ADT65:ADT68),"")</f>
        <v/>
      </c>
      <c r="ADV66" s="321" t="str">
        <f t="shared" ref="ADV66" ca="1" si="17454">IF(ADI66&lt;&gt;"",SUMPRODUCT((ADT65:ADT68=ADT66)*(ADO65:ADO68&gt;ADO66)),"")</f>
        <v/>
      </c>
      <c r="ADW66" s="321" t="str">
        <f t="shared" ref="ADW66" ca="1" si="17455">IF(ADI66&lt;&gt;"",SUMPRODUCT((ADT65:ADT68=ADT66)*(ADO65:ADO68=ADO66)*(ADM65:ADM68&gt;ADM66)),"")</f>
        <v/>
      </c>
      <c r="ADX66" s="321" t="str">
        <f t="shared" ref="ADX66" ca="1" si="17456">IF(ADI66&lt;&gt;"",SUMPRODUCT((ADT65:ADT68=ADT66)*(ADO65:ADO68=ADO66)*(ADM65:ADM68=ADM66)*(ADQ65:ADQ68&gt;ADQ66)),"")</f>
        <v/>
      </c>
      <c r="ADY66" s="321" t="str">
        <f t="shared" ref="ADY66" ca="1" si="17457">IF(ADI66&lt;&gt;"",SUMPRODUCT((ADT65:ADT68=ADT66)*(ADO65:ADO68=ADO66)*(ADM65:ADM68=ADM66)*(ADQ65:ADQ68=ADQ66)*(ADR65:ADR68&gt;ADR66)),"")</f>
        <v/>
      </c>
      <c r="ADZ66" s="321" t="str">
        <f t="shared" ref="ADZ66" ca="1" si="17458">IF(ADI66&lt;&gt;"",SUMPRODUCT((ADT65:ADT68=ADT66)*(ADO65:ADO68=ADO66)*(ADM65:ADM68=ADM66)*(ADQ65:ADQ68=ADQ66)*(ADR65:ADR68=ADR66)*(ADS65:ADS68&gt;ADS66)),"")</f>
        <v/>
      </c>
      <c r="AEA66" s="321" t="str">
        <f t="shared" ca="1" si="17216"/>
        <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4</v>
      </c>
      <c r="AIG66" s="321" t="str">
        <f t="shared" ca="1" si="17218"/>
        <v>Austria</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0</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0</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0</v>
      </c>
      <c r="AIM66" s="321">
        <f t="shared" ca="1" si="17224"/>
        <v>1000</v>
      </c>
      <c r="AIN66" s="321">
        <f t="shared" ca="1" si="17225"/>
        <v>0</v>
      </c>
      <c r="AIO66" s="321">
        <f t="shared" ref="AIO66" ca="1" si="17486">IF(AIG66&lt;&gt;"",VLOOKUP(AIG66,AHN4:AHT40,7,FALSE),"")</f>
        <v>1000</v>
      </c>
      <c r="AIP66" s="321">
        <f t="shared" ref="AIP66" ca="1" si="17487">IF(AIG66&lt;&gt;"",VLOOKUP(AIG66,AHN4:AHT40,5,FALSE),"")</f>
        <v>0</v>
      </c>
      <c r="AIQ66" s="321">
        <f t="shared" ref="AIQ66" ca="1" si="17488">IF(AIG66&lt;&gt;"",VLOOKUP(AIG66,AHN4:AHV40,9,FALSE),"")</f>
        <v>41</v>
      </c>
      <c r="AIR66" s="321">
        <f t="shared" ca="1" si="17229"/>
        <v>0</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2</v>
      </c>
      <c r="AIY66" s="321">
        <f t="shared" ca="1" si="17236"/>
        <v>3</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f t="shared" ref="AND66" ca="1" si="17516">IF(ANE26&lt;&gt;"",SUMPRODUCT((ANL25:ANL28=ANL26)*(ANK25:ANK28=ANK26)*(ANI25:ANI28=ANI26)*(ANJ25:ANJ28=ANJ26)),"")</f>
        <v>4</v>
      </c>
      <c r="ANE66" s="321" t="str">
        <f t="shared" ca="1" si="17238"/>
        <v>Austria</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f t="shared" ca="1" si="17245"/>
        <v>0</v>
      </c>
      <c r="ANM66" s="321">
        <f t="shared" ref="ANM66" ca="1" si="17522">IF(ANE66&lt;&gt;"",VLOOKUP(ANE66,AML4:AMR40,7,FALSE),"")</f>
        <v>1000</v>
      </c>
      <c r="ANN66" s="321">
        <f t="shared" ref="ANN66" ca="1" si="17523">IF(ANE66&lt;&gt;"",VLOOKUP(ANE66,AML4:AMR40,5,FALSE),"")</f>
        <v>0</v>
      </c>
      <c r="ANO66" s="321">
        <f t="shared" ref="ANO66" ca="1" si="17524">IF(ANE66&lt;&gt;"",VLOOKUP(ANE66,AML4:AMT40,9,FALSE),"")</f>
        <v>41</v>
      </c>
      <c r="ANP66" s="321">
        <f t="shared" ca="1" si="17249"/>
        <v>0</v>
      </c>
      <c r="ANQ66" s="321">
        <f t="shared" ref="ANQ66" ca="1" si="17525">IF(ANE66&lt;&gt;"",RANK(ANP66,ANP65:ANP68),"")</f>
        <v>1</v>
      </c>
      <c r="ANR66" s="321">
        <f t="shared" ref="ANR66" ca="1" si="17526">IF(ANE66&lt;&gt;"",SUMPRODUCT((ANP65:ANP68=ANP66)*(ANK65:ANK68&gt;ANK66)),"")</f>
        <v>0</v>
      </c>
      <c r="ANS66" s="321">
        <f t="shared" ref="ANS66" ca="1" si="17527">IF(ANE66&lt;&gt;"",SUMPRODUCT((ANP65:ANP68=ANP66)*(ANK65:ANK68=ANK66)*(ANI65:ANI68&gt;ANI66)),"")</f>
        <v>0</v>
      </c>
      <c r="ANT66" s="321">
        <f t="shared" ref="ANT66" ca="1" si="17528">IF(ANE66&lt;&gt;"",SUMPRODUCT((ANP65:ANP68=ANP66)*(ANK65:ANK68=ANK66)*(ANI65:ANI68=ANI66)*(ANM65:ANM68&gt;ANM66)),"")</f>
        <v>0</v>
      </c>
      <c r="ANU66" s="321">
        <f t="shared" ref="ANU66" ca="1" si="17529">IF(ANE66&lt;&gt;"",SUMPRODUCT((ANP65:ANP68=ANP66)*(ANK65:ANK68=ANK66)*(ANI65:ANI68=ANI66)*(ANM65:ANM68=ANM66)*(ANN65:ANN68&gt;ANN66)),"")</f>
        <v>0</v>
      </c>
      <c r="ANV66" s="321">
        <f t="shared" ref="ANV66" ca="1" si="17530">IF(ANE66&lt;&gt;"",SUMPRODUCT((ANP65:ANP68=ANP66)*(ANK65:ANK68=ANK66)*(ANI65:ANI68=ANI66)*(ANM65:ANM68=ANM66)*(ANN65:ANN68=ANN66)*(ANO65:ANO68&gt;ANO66)),"")</f>
        <v>2</v>
      </c>
      <c r="ANW66" s="321">
        <f t="shared" ca="1" si="17256"/>
        <v>3</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f t="shared" ref="ASB66" ca="1" si="17552">IF(ASC26&lt;&gt;"",SUMPRODUCT((ASJ25:ASJ28=ASJ26)*(ASI25:ASI28=ASI26)*(ASG25:ASG28=ASG26)*(ASH25:ASH28=ASH26)),"")</f>
        <v>4</v>
      </c>
      <c r="ASC66" s="321" t="str">
        <f t="shared" ca="1" si="17258"/>
        <v>Austria</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f t="shared" ca="1" si="17265"/>
        <v>0</v>
      </c>
      <c r="ASK66" s="321">
        <f t="shared" ref="ASK66" ca="1" si="17558">IF(ASC66&lt;&gt;"",VLOOKUP(ASC66,ARJ4:ARP40,7,FALSE),"")</f>
        <v>1000</v>
      </c>
      <c r="ASL66" s="321">
        <f t="shared" ref="ASL66" ca="1" si="17559">IF(ASC66&lt;&gt;"",VLOOKUP(ASC66,ARJ4:ARP40,5,FALSE),"")</f>
        <v>0</v>
      </c>
      <c r="ASM66" s="321">
        <f t="shared" ref="ASM66" ca="1" si="17560">IF(ASC66&lt;&gt;"",VLOOKUP(ASC66,ARJ4:ARR40,9,FALSE),"")</f>
        <v>41</v>
      </c>
      <c r="ASN66" s="321">
        <f t="shared" ca="1" si="17269"/>
        <v>0</v>
      </c>
      <c r="ASO66" s="321">
        <f t="shared" ref="ASO66" ca="1" si="17561">IF(ASC66&lt;&gt;"",RANK(ASN66,ASN65:ASN68),"")</f>
        <v>1</v>
      </c>
      <c r="ASP66" s="321">
        <f t="shared" ref="ASP66" ca="1" si="17562">IF(ASC66&lt;&gt;"",SUMPRODUCT((ASN65:ASN68=ASN66)*(ASI65:ASI68&gt;ASI66)),"")</f>
        <v>0</v>
      </c>
      <c r="ASQ66" s="321">
        <f t="shared" ref="ASQ66" ca="1" si="17563">IF(ASC66&lt;&gt;"",SUMPRODUCT((ASN65:ASN68=ASN66)*(ASI65:ASI68=ASI66)*(ASG65:ASG68&gt;ASG66)),"")</f>
        <v>0</v>
      </c>
      <c r="ASR66" s="321">
        <f t="shared" ref="ASR66" ca="1" si="17564">IF(ASC66&lt;&gt;"",SUMPRODUCT((ASN65:ASN68=ASN66)*(ASI65:ASI68=ASI66)*(ASG65:ASG68=ASG66)*(ASK65:ASK68&gt;ASK66)),"")</f>
        <v>0</v>
      </c>
      <c r="ASS66" s="321">
        <f t="shared" ref="ASS66" ca="1" si="17565">IF(ASC66&lt;&gt;"",SUMPRODUCT((ASN65:ASN68=ASN66)*(ASI65:ASI68=ASI66)*(ASG65:ASG68=ASG66)*(ASK65:ASK68=ASK66)*(ASL65:ASL68&gt;ASL66)),"")</f>
        <v>0</v>
      </c>
      <c r="AST66" s="321">
        <f t="shared" ref="AST66" ca="1" si="17566">IF(ASC66&lt;&gt;"",SUMPRODUCT((ASN65:ASN68=ASN66)*(ASI65:ASI68=ASI66)*(ASG65:ASG68=ASG66)*(ASK65:ASK68=ASK66)*(ASL65:ASL68=ASL66)*(ASM65:ASM68&gt;ASM66)),"")</f>
        <v>2</v>
      </c>
      <c r="ASU66" s="321">
        <f t="shared" ca="1" si="17276"/>
        <v>3</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f t="shared" ref="AWZ66" ca="1" si="17588">IF(AXA26&lt;&gt;"",SUMPRODUCT((AXH25:AXH28=AXH26)*(AXG25:AXG28=AXG26)*(AXE25:AXE28=AXE26)*(AXF25:AXF28=AXF26)),"")</f>
        <v>4</v>
      </c>
      <c r="AXA66" s="321" t="str">
        <f t="shared" ca="1" si="17278"/>
        <v>Austria</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f t="shared" ca="1" si="17285"/>
        <v>0</v>
      </c>
      <c r="AXI66" s="321">
        <f t="shared" ref="AXI66" ca="1" si="17594">IF(AXA66&lt;&gt;"",VLOOKUP(AXA66,AWH4:AWN40,7,FALSE),"")</f>
        <v>1000</v>
      </c>
      <c r="AXJ66" s="321">
        <f t="shared" ref="AXJ66" ca="1" si="17595">IF(AXA66&lt;&gt;"",VLOOKUP(AXA66,AWH4:AWN40,5,FALSE),"")</f>
        <v>0</v>
      </c>
      <c r="AXK66" s="321">
        <f t="shared" ref="AXK66" ca="1" si="17596">IF(AXA66&lt;&gt;"",VLOOKUP(AXA66,AWH4:AWP40,9,FALSE),"")</f>
        <v>41</v>
      </c>
      <c r="AXL66" s="321">
        <f t="shared" ca="1" si="17289"/>
        <v>0</v>
      </c>
      <c r="AXM66" s="321">
        <f t="shared" ref="AXM66" ca="1" si="17597">IF(AXA66&lt;&gt;"",RANK(AXL66,AXL65:AXL68),"")</f>
        <v>1</v>
      </c>
      <c r="AXN66" s="321">
        <f t="shared" ref="AXN66" ca="1" si="17598">IF(AXA66&lt;&gt;"",SUMPRODUCT((AXL65:AXL68=AXL66)*(AXG65:AXG68&gt;AXG66)),"")</f>
        <v>0</v>
      </c>
      <c r="AXO66" s="321">
        <f t="shared" ref="AXO66" ca="1" si="17599">IF(AXA66&lt;&gt;"",SUMPRODUCT((AXL65:AXL68=AXL66)*(AXG65:AXG68=AXG66)*(AXE65:AXE68&gt;AXE66)),"")</f>
        <v>0</v>
      </c>
      <c r="AXP66" s="321">
        <f t="shared" ref="AXP66" ca="1" si="17600">IF(AXA66&lt;&gt;"",SUMPRODUCT((AXL65:AXL68=AXL66)*(AXG65:AXG68=AXG66)*(AXE65:AXE68=AXE66)*(AXI65:AXI68&gt;AXI66)),"")</f>
        <v>0</v>
      </c>
      <c r="AXQ66" s="321">
        <f t="shared" ref="AXQ66" ca="1" si="17601">IF(AXA66&lt;&gt;"",SUMPRODUCT((AXL65:AXL68=AXL66)*(AXG65:AXG68=AXG66)*(AXE65:AXE68=AXE66)*(AXI65:AXI68=AXI66)*(AXJ65:AXJ68&gt;AXJ66)),"")</f>
        <v>0</v>
      </c>
      <c r="AXR66" s="321">
        <f t="shared" ref="AXR66" ca="1" si="17602">IF(AXA66&lt;&gt;"",SUMPRODUCT((AXL65:AXL68=AXL66)*(AXG65:AXG68=AXG66)*(AXE65:AXE68=AXE66)*(AXI65:AXI68=AXI66)*(AXJ65:AXJ68=AXJ66)*(AXK65:AXK68&gt;AXK66)),"")</f>
        <v>2</v>
      </c>
      <c r="AXS66" s="321">
        <f t="shared" ca="1" si="17296"/>
        <v>3</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2">
      <c r="I67" s="321">
        <f>SUMPRODUCT((I25:I28=I27)*(H25:H28=H27)*(F25:F28&gt;F27))+1</f>
        <v>2</v>
      </c>
      <c r="T67" s="321" t="str">
        <f>IF(U27&lt;&gt;"",SUMPRODUCT((AB25:AB28=AB27)*(AA25:AA28=AA27)*(Y25:Y28=Y27)*(Z25:Z28=Z27)),"")</f>
        <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t="str">
        <f>IF(AO27&lt;&gt;"",SUMPRODUCT((AV25:AV28=AV27)*(AU25:AU28=AU27)*(AS25:AS28=AS27)*(AT25:AT28=AT27)),"")</f>
        <v/>
      </c>
      <c r="AO67" s="321" t="str">
        <f t="shared" si="17320"/>
        <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t="str">
        <f t="shared" si="17321"/>
        <v/>
      </c>
      <c r="AW67" s="321" t="str">
        <f>IF(AO67&lt;&gt;"",VLOOKUP(AO67,B4:H40,7,FALSE),"")</f>
        <v/>
      </c>
      <c r="AX67" s="321" t="str">
        <f>IF(AO67&lt;&gt;"",VLOOKUP(AO67,B4:H40,5,FALSE),"")</f>
        <v/>
      </c>
      <c r="AY67" s="321" t="str">
        <f>IF(AO67&lt;&gt;"",VLOOKUP(AO67,B4:J40,9,FALSE),"")</f>
        <v/>
      </c>
      <c r="AZ67" s="321" t="str">
        <f t="shared" si="17322"/>
        <v/>
      </c>
      <c r="BA67" s="321" t="str">
        <f>IF(AO67&lt;&gt;"",RANK(AZ67,AZ65:AZ68),"")</f>
        <v/>
      </c>
      <c r="BB67" s="321" t="str">
        <f>IF(AO67&lt;&gt;"",SUMPRODUCT((AZ65:AZ68=AZ67)*(AU65:AU68&gt;AU67)),"")</f>
        <v/>
      </c>
      <c r="BC67" s="321" t="str">
        <f>IF(AO67&lt;&gt;"",SUMPRODUCT((AZ65:AZ68=AZ67)*(AU65:AU68=AU67)*(AS65:AS68&gt;AS67)),"")</f>
        <v/>
      </c>
      <c r="BD67" s="321" t="str">
        <f>IF(AO67&lt;&gt;"",SUMPRODUCT((AZ65:AZ68=AZ67)*(AU65:AU68=AU67)*(AS65:AS68=AS67)*(AW65:AW68&gt;AW67)),"")</f>
        <v/>
      </c>
      <c r="BE67" s="321" t="str">
        <f>IF(AO67&lt;&gt;"",SUMPRODUCT((AZ65:AZ68=AZ67)*(AU65:AU68=AU67)*(AS65:AS68=AS67)*(AW65:AW68=AW67)*(AX65:AX68&gt;AX67)),"")</f>
        <v/>
      </c>
      <c r="BF67" s="321" t="str">
        <f>IF(AO67&lt;&gt;"",SUMPRODUCT((AZ65:AZ68=AZ67)*(AU65:AU68=AU67)*(AS65:AS68=AS67)*(AW65:AW68=AW67)*(AX65:AX68=AX67)*(AY65:AY68&gt;AY67)),"")</f>
        <v/>
      </c>
      <c r="BG67" s="321" t="str">
        <f t="shared" ref="BG67:BG68" si="17659">IF(AO67&lt;&gt;"",SUM(BA67:BF67)+1,"")</f>
        <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t="str">
        <f t="shared" ref="ON67" ca="1" si="17662">IF(OO27&lt;&gt;"",SUMPRODUCT((OV25:OV28=OV27)*(OU25:OU28=OU27)*(OS25:OS28=OS27)*(OT25:OT28=OT27)),"")</f>
        <v/>
      </c>
      <c r="OO67" s="321" t="str">
        <f t="shared" ca="1" si="17138"/>
        <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t="str">
        <f t="shared" ca="1" si="17145"/>
        <v/>
      </c>
      <c r="OW67" s="321" t="str">
        <f t="shared" ref="OW67" ca="1" si="17668">IF(OO67&lt;&gt;"",VLOOKUP(OO67,NV4:OB40,7,FALSE),"")</f>
        <v/>
      </c>
      <c r="OX67" s="321" t="str">
        <f t="shared" ref="OX67" ca="1" si="17669">IF(OO67&lt;&gt;"",VLOOKUP(OO67,NV4:OB40,5,FALSE),"")</f>
        <v/>
      </c>
      <c r="OY67" s="321" t="str">
        <f t="shared" ref="OY67" ca="1" si="17670">IF(OO67&lt;&gt;"",VLOOKUP(OO67,NV4:OD40,9,FALSE),"")</f>
        <v/>
      </c>
      <c r="OZ67" s="321" t="str">
        <f t="shared" ca="1" si="17149"/>
        <v/>
      </c>
      <c r="PA67" s="321" t="str">
        <f t="shared" ref="PA67" ca="1" si="17671">IF(OO67&lt;&gt;"",RANK(OZ67,OZ65:OZ68),"")</f>
        <v/>
      </c>
      <c r="PB67" s="321" t="str">
        <f t="shared" ref="PB67" ca="1" si="17672">IF(OO67&lt;&gt;"",SUMPRODUCT((OZ65:OZ68=OZ67)*(OU65:OU68&gt;OU67)),"")</f>
        <v/>
      </c>
      <c r="PC67" s="321" t="str">
        <f t="shared" ref="PC67" ca="1" si="17673">IF(OO67&lt;&gt;"",SUMPRODUCT((OZ65:OZ68=OZ67)*(OU65:OU68=OU67)*(OS65:OS68&gt;OS67)),"")</f>
        <v/>
      </c>
      <c r="PD67" s="321" t="str">
        <f t="shared" ref="PD67" ca="1" si="17674">IF(OO67&lt;&gt;"",SUMPRODUCT((OZ65:OZ68=OZ67)*(OU65:OU68=OU67)*(OS65:OS68=OS67)*(OW65:OW68&gt;OW67)),"")</f>
        <v/>
      </c>
      <c r="PE67" s="321" t="str">
        <f t="shared" ref="PE67" ca="1" si="17675">IF(OO67&lt;&gt;"",SUMPRODUCT((OZ65:OZ68=OZ67)*(OU65:OU68=OU67)*(OS65:OS68=OS67)*(OW65:OW68=OW67)*(OX65:OX68&gt;OX67)),"")</f>
        <v/>
      </c>
      <c r="PF67" s="321" t="str">
        <f t="shared" ref="PF67" ca="1" si="17676">IF(OO67&lt;&gt;"",SUMPRODUCT((OZ65:OZ68=OZ67)*(OU65:OU68=OU67)*(OS65:OS68=OS67)*(OW65:OW68=OW67)*(OX65:OX68=OX67)*(OY65:OY68&gt;OY67)),"")</f>
        <v/>
      </c>
      <c r="PG67" s="321" t="str">
        <f t="shared" ca="1" si="17156"/>
        <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t="str">
        <f t="shared" ref="TL67" ca="1" si="17693">IF(TM27&lt;&gt;"",SUMPRODUCT((TT25:TT28=TT27)*(TS25:TS28=TS27)*(TQ25:TQ28=TQ27)*(TR25:TR28=TR27)),"")</f>
        <v/>
      </c>
      <c r="TM67" s="321" t="str">
        <f t="shared" ca="1" si="17158"/>
        <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t="str">
        <f t="shared" ca="1" si="17165"/>
        <v/>
      </c>
      <c r="TU67" s="321" t="str">
        <f t="shared" ref="TU67" ca="1" si="17699">IF(TM67&lt;&gt;"",VLOOKUP(TM67,ST4:SZ40,7,FALSE),"")</f>
        <v/>
      </c>
      <c r="TV67" s="321" t="str">
        <f t="shared" ref="TV67" ca="1" si="17700">IF(TM67&lt;&gt;"",VLOOKUP(TM67,ST4:SZ40,5,FALSE),"")</f>
        <v/>
      </c>
      <c r="TW67" s="321" t="str">
        <f t="shared" ref="TW67" ca="1" si="17701">IF(TM67&lt;&gt;"",VLOOKUP(TM67,ST4:TB40,9,FALSE),"")</f>
        <v/>
      </c>
      <c r="TX67" s="321" t="str">
        <f t="shared" ca="1" si="17169"/>
        <v/>
      </c>
      <c r="TY67" s="321" t="str">
        <f t="shared" ref="TY67" ca="1" si="17702">IF(TM67&lt;&gt;"",RANK(TX67,TX65:TX68),"")</f>
        <v/>
      </c>
      <c r="TZ67" s="321" t="str">
        <f t="shared" ref="TZ67" ca="1" si="17703">IF(TM67&lt;&gt;"",SUMPRODUCT((TX65:TX68=TX67)*(TS65:TS68&gt;TS67)),"")</f>
        <v/>
      </c>
      <c r="UA67" s="321" t="str">
        <f t="shared" ref="UA67" ca="1" si="17704">IF(TM67&lt;&gt;"",SUMPRODUCT((TX65:TX68=TX67)*(TS65:TS68=TS67)*(TQ65:TQ68&gt;TQ67)),"")</f>
        <v/>
      </c>
      <c r="UB67" s="321" t="str">
        <f t="shared" ref="UB67" ca="1" si="17705">IF(TM67&lt;&gt;"",SUMPRODUCT((TX65:TX68=TX67)*(TS65:TS68=TS67)*(TQ65:TQ68=TQ67)*(TU65:TU68&gt;TU67)),"")</f>
        <v/>
      </c>
      <c r="UC67" s="321" t="str">
        <f t="shared" ref="UC67" ca="1" si="17706">IF(TM67&lt;&gt;"",SUMPRODUCT((TX65:TX68=TX67)*(TS65:TS68=TS67)*(TQ65:TQ68=TQ67)*(TU65:TU68=TU67)*(TV65:TV68&gt;TV67)),"")</f>
        <v/>
      </c>
      <c r="UD67" s="321" t="str">
        <f t="shared" ref="UD67" ca="1" si="17707">IF(TM67&lt;&gt;"",SUMPRODUCT((TX65:TX68=TX67)*(TS65:TS68=TS67)*(TQ65:TQ68=TQ67)*(TU65:TU68=TU67)*(TV65:TV68=TV67)*(TW65:TW68&gt;TW67)),"")</f>
        <v/>
      </c>
      <c r="UE67" s="321" t="str">
        <f t="shared" ca="1" si="17176"/>
        <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t="str">
        <f t="shared" ref="ADH67" ca="1" si="17755">IF(ADI27&lt;&gt;"",SUMPRODUCT((ADP25:ADP28=ADP27)*(ADO25:ADO28=ADO27)*(ADM25:ADM28=ADM27)*(ADN25:ADN28=ADN27)),"")</f>
        <v/>
      </c>
      <c r="ADI67" s="321" t="str">
        <f t="shared" ca="1" si="17198"/>
        <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t="str">
        <f t="shared" ca="1" si="17205"/>
        <v/>
      </c>
      <c r="ADQ67" s="321" t="str">
        <f t="shared" ref="ADQ67" ca="1" si="17761">IF(ADI67&lt;&gt;"",VLOOKUP(ADI67,ACP4:ACV40,7,FALSE),"")</f>
        <v/>
      </c>
      <c r="ADR67" s="321" t="str">
        <f t="shared" ref="ADR67" ca="1" si="17762">IF(ADI67&lt;&gt;"",VLOOKUP(ADI67,ACP4:ACV40,5,FALSE),"")</f>
        <v/>
      </c>
      <c r="ADS67" s="321" t="str">
        <f t="shared" ref="ADS67" ca="1" si="17763">IF(ADI67&lt;&gt;"",VLOOKUP(ADI67,ACP4:ACX40,9,FALSE),"")</f>
        <v/>
      </c>
      <c r="ADT67" s="321" t="str">
        <f t="shared" ca="1" si="17209"/>
        <v/>
      </c>
      <c r="ADU67" s="321" t="str">
        <f t="shared" ref="ADU67" ca="1" si="17764">IF(ADI67&lt;&gt;"",RANK(ADT67,ADT65:ADT68),"")</f>
        <v/>
      </c>
      <c r="ADV67" s="321" t="str">
        <f t="shared" ref="ADV67" ca="1" si="17765">IF(ADI67&lt;&gt;"",SUMPRODUCT((ADT65:ADT68=ADT67)*(ADO65:ADO68&gt;ADO67)),"")</f>
        <v/>
      </c>
      <c r="ADW67" s="321" t="str">
        <f t="shared" ref="ADW67" ca="1" si="17766">IF(ADI67&lt;&gt;"",SUMPRODUCT((ADT65:ADT68=ADT67)*(ADO65:ADO68=ADO67)*(ADM65:ADM68&gt;ADM67)),"")</f>
        <v/>
      </c>
      <c r="ADX67" s="321" t="str">
        <f t="shared" ref="ADX67" ca="1" si="17767">IF(ADI67&lt;&gt;"",SUMPRODUCT((ADT65:ADT68=ADT67)*(ADO65:ADO68=ADO67)*(ADM65:ADM68=ADM67)*(ADQ65:ADQ68&gt;ADQ67)),"")</f>
        <v/>
      </c>
      <c r="ADY67" s="321" t="str">
        <f t="shared" ref="ADY67" ca="1" si="17768">IF(ADI67&lt;&gt;"",SUMPRODUCT((ADT65:ADT68=ADT67)*(ADO65:ADO68=ADO67)*(ADM65:ADM68=ADM67)*(ADQ65:ADQ68=ADQ67)*(ADR65:ADR68&gt;ADR67)),"")</f>
        <v/>
      </c>
      <c r="ADZ67" s="321" t="str">
        <f t="shared" ref="ADZ67" ca="1" si="17769">IF(ADI67&lt;&gt;"",SUMPRODUCT((ADT65:ADT68=ADT67)*(ADO65:ADO68=ADO67)*(ADM65:ADM68=ADM67)*(ADQ65:ADQ68=ADQ67)*(ADR65:ADR68=ADR67)*(ADS65:ADS68&gt;ADS67)),"")</f>
        <v/>
      </c>
      <c r="AEA67" s="321" t="str">
        <f t="shared" ca="1" si="17216"/>
        <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f t="shared" ref="AIF67" ca="1" si="17786">IF(AIG27&lt;&gt;"",SUMPRODUCT((AIN25:AIN28=AIN27)*(AIM25:AIM28=AIM27)*(AIK25:AIK28=AIK27)*(AIL25:AIL28=AIL27)),"")</f>
        <v>4</v>
      </c>
      <c r="AIG67" s="321" t="str">
        <f t="shared" ca="1" si="17218"/>
        <v>Netherlands</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f t="shared" ca="1" si="17225"/>
        <v>0</v>
      </c>
      <c r="AIO67" s="321">
        <f t="shared" ref="AIO67" ca="1" si="17792">IF(AIG67&lt;&gt;"",VLOOKUP(AIG67,AHN4:AHT40,7,FALSE),"")</f>
        <v>1000</v>
      </c>
      <c r="AIP67" s="321">
        <f t="shared" ref="AIP67" ca="1" si="17793">IF(AIG67&lt;&gt;"",VLOOKUP(AIG67,AHN4:AHT40,5,FALSE),"")</f>
        <v>0</v>
      </c>
      <c r="AIQ67" s="321">
        <f t="shared" ref="AIQ67" ca="1" si="17794">IF(AIG67&lt;&gt;"",VLOOKUP(AIG67,AHN4:AHV40,9,FALSE),"")</f>
        <v>42</v>
      </c>
      <c r="AIR67" s="321">
        <f t="shared" ca="1" si="17229"/>
        <v>0</v>
      </c>
      <c r="AIS67" s="321">
        <f t="shared" ref="AIS67" ca="1" si="17795">IF(AIG67&lt;&gt;"",RANK(AIR67,AIR65:AIR68),"")</f>
        <v>1</v>
      </c>
      <c r="AIT67" s="321">
        <f t="shared" ref="AIT67" ca="1" si="17796">IF(AIG67&lt;&gt;"",SUMPRODUCT((AIR65:AIR68=AIR67)*(AIM65:AIM68&gt;AIM67)),"")</f>
        <v>0</v>
      </c>
      <c r="AIU67" s="321">
        <f t="shared" ref="AIU67" ca="1" si="17797">IF(AIG67&lt;&gt;"",SUMPRODUCT((AIR65:AIR68=AIR67)*(AIM65:AIM68=AIM67)*(AIK65:AIK68&gt;AIK67)),"")</f>
        <v>0</v>
      </c>
      <c r="AIV67" s="321">
        <f t="shared" ref="AIV67" ca="1" si="17798">IF(AIG67&lt;&gt;"",SUMPRODUCT((AIR65:AIR68=AIR67)*(AIM65:AIM68=AIM67)*(AIK65:AIK68=AIK67)*(AIO65:AIO68&gt;AIO67)),"")</f>
        <v>0</v>
      </c>
      <c r="AIW67" s="321">
        <f t="shared" ref="AIW67" ca="1" si="17799">IF(AIG67&lt;&gt;"",SUMPRODUCT((AIR65:AIR68=AIR67)*(AIM65:AIM68=AIM67)*(AIK65:AIK68=AIK67)*(AIO65:AIO68=AIO67)*(AIP65:AIP68&gt;AIP67)),"")</f>
        <v>0</v>
      </c>
      <c r="AIX67" s="321">
        <f t="shared" ref="AIX67" ca="1" si="17800">IF(AIG67&lt;&gt;"",SUMPRODUCT((AIR65:AIR68=AIR67)*(AIM65:AIM68=AIM67)*(AIK65:AIK68=AIK67)*(AIO65:AIO68=AIO67)*(AIP65:AIP68=AIP67)*(AIQ65:AIQ68&gt;AIQ67)),"")</f>
        <v>1</v>
      </c>
      <c r="AIY67" s="321">
        <f t="shared" ca="1" si="17236"/>
        <v>2</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f t="shared" ref="AND67" ca="1" si="17817">IF(ANE27&lt;&gt;"",SUMPRODUCT((ANL25:ANL28=ANL27)*(ANK25:ANK28=ANK27)*(ANI25:ANI28=ANI27)*(ANJ25:ANJ28=ANJ27)),"")</f>
        <v>4</v>
      </c>
      <c r="ANE67" s="321" t="str">
        <f t="shared" ca="1" si="17238"/>
        <v>Netherlands</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f t="shared" ca="1" si="17245"/>
        <v>0</v>
      </c>
      <c r="ANM67" s="321">
        <f t="shared" ref="ANM67" ca="1" si="17823">IF(ANE67&lt;&gt;"",VLOOKUP(ANE67,AML4:AMR40,7,FALSE),"")</f>
        <v>1000</v>
      </c>
      <c r="ANN67" s="321">
        <f t="shared" ref="ANN67" ca="1" si="17824">IF(ANE67&lt;&gt;"",VLOOKUP(ANE67,AML4:AMR40,5,FALSE),"")</f>
        <v>0</v>
      </c>
      <c r="ANO67" s="321">
        <f t="shared" ref="ANO67" ca="1" si="17825">IF(ANE67&lt;&gt;"",VLOOKUP(ANE67,AML4:AMT40,9,FALSE),"")</f>
        <v>42</v>
      </c>
      <c r="ANP67" s="321">
        <f t="shared" ca="1" si="17249"/>
        <v>0</v>
      </c>
      <c r="ANQ67" s="321">
        <f t="shared" ref="ANQ67" ca="1" si="17826">IF(ANE67&lt;&gt;"",RANK(ANP67,ANP65:ANP68),"")</f>
        <v>1</v>
      </c>
      <c r="ANR67" s="321">
        <f t="shared" ref="ANR67" ca="1" si="17827">IF(ANE67&lt;&gt;"",SUMPRODUCT((ANP65:ANP68=ANP67)*(ANK65:ANK68&gt;ANK67)),"")</f>
        <v>0</v>
      </c>
      <c r="ANS67" s="321">
        <f t="shared" ref="ANS67" ca="1" si="17828">IF(ANE67&lt;&gt;"",SUMPRODUCT((ANP65:ANP68=ANP67)*(ANK65:ANK68=ANK67)*(ANI65:ANI68&gt;ANI67)),"")</f>
        <v>0</v>
      </c>
      <c r="ANT67" s="321">
        <f t="shared" ref="ANT67" ca="1" si="17829">IF(ANE67&lt;&gt;"",SUMPRODUCT((ANP65:ANP68=ANP67)*(ANK65:ANK68=ANK67)*(ANI65:ANI68=ANI67)*(ANM65:ANM68&gt;ANM67)),"")</f>
        <v>0</v>
      </c>
      <c r="ANU67" s="321">
        <f t="shared" ref="ANU67" ca="1" si="17830">IF(ANE67&lt;&gt;"",SUMPRODUCT((ANP65:ANP68=ANP67)*(ANK65:ANK68=ANK67)*(ANI65:ANI68=ANI67)*(ANM65:ANM68=ANM67)*(ANN65:ANN68&gt;ANN67)),"")</f>
        <v>0</v>
      </c>
      <c r="ANV67" s="321">
        <f t="shared" ref="ANV67" ca="1" si="17831">IF(ANE67&lt;&gt;"",SUMPRODUCT((ANP65:ANP68=ANP67)*(ANK65:ANK68=ANK67)*(ANI65:ANI68=ANI67)*(ANM65:ANM68=ANM67)*(ANN65:ANN68=ANN67)*(ANO65:ANO68&gt;ANO67)),"")</f>
        <v>1</v>
      </c>
      <c r="ANW67" s="321">
        <f t="shared" ca="1" si="17256"/>
        <v>2</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f t="shared" ref="ASB67" ca="1" si="17848">IF(ASC27&lt;&gt;"",SUMPRODUCT((ASJ25:ASJ28=ASJ27)*(ASI25:ASI28=ASI27)*(ASG25:ASG28=ASG27)*(ASH25:ASH28=ASH27)),"")</f>
        <v>4</v>
      </c>
      <c r="ASC67" s="321" t="str">
        <f t="shared" ca="1" si="17258"/>
        <v>Netherlands</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f t="shared" ca="1" si="17265"/>
        <v>0</v>
      </c>
      <c r="ASK67" s="321">
        <f t="shared" ref="ASK67" ca="1" si="17854">IF(ASC67&lt;&gt;"",VLOOKUP(ASC67,ARJ4:ARP40,7,FALSE),"")</f>
        <v>1000</v>
      </c>
      <c r="ASL67" s="321">
        <f t="shared" ref="ASL67" ca="1" si="17855">IF(ASC67&lt;&gt;"",VLOOKUP(ASC67,ARJ4:ARP40,5,FALSE),"")</f>
        <v>0</v>
      </c>
      <c r="ASM67" s="321">
        <f t="shared" ref="ASM67" ca="1" si="17856">IF(ASC67&lt;&gt;"",VLOOKUP(ASC67,ARJ4:ARR40,9,FALSE),"")</f>
        <v>42</v>
      </c>
      <c r="ASN67" s="321">
        <f t="shared" ca="1" si="17269"/>
        <v>0</v>
      </c>
      <c r="ASO67" s="321">
        <f t="shared" ref="ASO67" ca="1" si="17857">IF(ASC67&lt;&gt;"",RANK(ASN67,ASN65:ASN68),"")</f>
        <v>1</v>
      </c>
      <c r="ASP67" s="321">
        <f t="shared" ref="ASP67" ca="1" si="17858">IF(ASC67&lt;&gt;"",SUMPRODUCT((ASN65:ASN68=ASN67)*(ASI65:ASI68&gt;ASI67)),"")</f>
        <v>0</v>
      </c>
      <c r="ASQ67" s="321">
        <f t="shared" ref="ASQ67" ca="1" si="17859">IF(ASC67&lt;&gt;"",SUMPRODUCT((ASN65:ASN68=ASN67)*(ASI65:ASI68=ASI67)*(ASG65:ASG68&gt;ASG67)),"")</f>
        <v>0</v>
      </c>
      <c r="ASR67" s="321">
        <f t="shared" ref="ASR67" ca="1" si="17860">IF(ASC67&lt;&gt;"",SUMPRODUCT((ASN65:ASN68=ASN67)*(ASI65:ASI68=ASI67)*(ASG65:ASG68=ASG67)*(ASK65:ASK68&gt;ASK67)),"")</f>
        <v>0</v>
      </c>
      <c r="ASS67" s="321">
        <f t="shared" ref="ASS67" ca="1" si="17861">IF(ASC67&lt;&gt;"",SUMPRODUCT((ASN65:ASN68=ASN67)*(ASI65:ASI68=ASI67)*(ASG65:ASG68=ASG67)*(ASK65:ASK68=ASK67)*(ASL65:ASL68&gt;ASL67)),"")</f>
        <v>0</v>
      </c>
      <c r="AST67" s="321">
        <f t="shared" ref="AST67" ca="1" si="17862">IF(ASC67&lt;&gt;"",SUMPRODUCT((ASN65:ASN68=ASN67)*(ASI65:ASI68=ASI67)*(ASG65:ASG68=ASG67)*(ASK65:ASK68=ASK67)*(ASL65:ASL68=ASL67)*(ASM65:ASM68&gt;ASM67)),"")</f>
        <v>1</v>
      </c>
      <c r="ASU67" s="321">
        <f t="shared" ca="1" si="17276"/>
        <v>2</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f t="shared" ref="AWZ67" ca="1" si="17879">IF(AXA27&lt;&gt;"",SUMPRODUCT((AXH25:AXH28=AXH27)*(AXG25:AXG28=AXG27)*(AXE25:AXE28=AXE27)*(AXF25:AXF28=AXF27)),"")</f>
        <v>4</v>
      </c>
      <c r="AXA67" s="321" t="str">
        <f t="shared" ca="1" si="17278"/>
        <v>Netherlands</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f t="shared" ca="1" si="17285"/>
        <v>0</v>
      </c>
      <c r="AXI67" s="321">
        <f t="shared" ref="AXI67" ca="1" si="17885">IF(AXA67&lt;&gt;"",VLOOKUP(AXA67,AWH4:AWN40,7,FALSE),"")</f>
        <v>1000</v>
      </c>
      <c r="AXJ67" s="321">
        <f t="shared" ref="AXJ67" ca="1" si="17886">IF(AXA67&lt;&gt;"",VLOOKUP(AXA67,AWH4:AWN40,5,FALSE),"")</f>
        <v>0</v>
      </c>
      <c r="AXK67" s="321">
        <f t="shared" ref="AXK67" ca="1" si="17887">IF(AXA67&lt;&gt;"",VLOOKUP(AXA67,AWH4:AWP40,9,FALSE),"")</f>
        <v>42</v>
      </c>
      <c r="AXL67" s="321">
        <f t="shared" ca="1" si="17289"/>
        <v>0</v>
      </c>
      <c r="AXM67" s="321">
        <f t="shared" ref="AXM67" ca="1" si="17888">IF(AXA67&lt;&gt;"",RANK(AXL67,AXL65:AXL68),"")</f>
        <v>1</v>
      </c>
      <c r="AXN67" s="321">
        <f t="shared" ref="AXN67" ca="1" si="17889">IF(AXA67&lt;&gt;"",SUMPRODUCT((AXL65:AXL68=AXL67)*(AXG65:AXG68&gt;AXG67)),"")</f>
        <v>0</v>
      </c>
      <c r="AXO67" s="321">
        <f t="shared" ref="AXO67" ca="1" si="17890">IF(AXA67&lt;&gt;"",SUMPRODUCT((AXL65:AXL68=AXL67)*(AXG65:AXG68=AXG67)*(AXE65:AXE68&gt;AXE67)),"")</f>
        <v>0</v>
      </c>
      <c r="AXP67" s="321">
        <f t="shared" ref="AXP67" ca="1" si="17891">IF(AXA67&lt;&gt;"",SUMPRODUCT((AXL65:AXL68=AXL67)*(AXG65:AXG68=AXG67)*(AXE65:AXE68=AXE67)*(AXI65:AXI68&gt;AXI67)),"")</f>
        <v>0</v>
      </c>
      <c r="AXQ67" s="321">
        <f t="shared" ref="AXQ67" ca="1" si="17892">IF(AXA67&lt;&gt;"",SUMPRODUCT((AXL65:AXL68=AXL67)*(AXG65:AXG68=AXG67)*(AXE65:AXE68=AXE67)*(AXI65:AXI68=AXI67)*(AXJ65:AXJ68&gt;AXJ67)),"")</f>
        <v>0</v>
      </c>
      <c r="AXR67" s="321">
        <f t="shared" ref="AXR67" ca="1" si="17893">IF(AXA67&lt;&gt;"",SUMPRODUCT((AXL65:AXL68=AXL67)*(AXG65:AXG68=AXG67)*(AXE65:AXE68=AXE67)*(AXI65:AXI68=AXI67)*(AXJ65:AXJ68=AXJ67)*(AXK65:AXK68&gt;AXK67)),"")</f>
        <v>1</v>
      </c>
      <c r="AXS67" s="321">
        <f t="shared" ca="1" si="17296"/>
        <v>2</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2">
      <c r="I68" s="321">
        <f>SUMPRODUCT((I25:I28=I28)*(H25:H28=H28)*(F25:F28&gt;F28))+1</f>
        <v>2</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t="str">
        <f>IF(AO28&lt;&gt;"",SUMPRODUCT((AV25:AV28=AV28)*(AU25:AU28=AU28)*(AS25:AS28=AS28)*(AT25:AT28=AT28)),"")</f>
        <v/>
      </c>
      <c r="AO68" s="321" t="str">
        <f t="shared" si="17320"/>
        <v/>
      </c>
      <c r="AP68" s="321" t="str">
        <f>IF(AO68&lt;&gt;"",SUMPRODUCT((CZ3:CZ42=AO68)*(DC3:DC42=AO69)*(DD3:DD42="W"))+SUMPRODUCT((CZ3:CZ42=AO68)*(DC3:DC42=AO66)*(DD3:DD42="W"))+SUMPRODUCT((CZ3:CZ42=AO68)*(DC3:DC42=AO67)*(DD3:DD42="W"))+SUMPRODUCT((CZ3:CZ42=AO69)*(DC3:DC42=AO68)*(DE3:DE42="W"))+SUMPRODUCT((CZ3:CZ42=AO66)*(DC3:DC42=AO68)*(DE3:DE42="W"))+SUMPRODUCT((CZ3:CZ42=AO67)*(DC3:DC42=AO68)*(DE3:DE42="W")),"")</f>
        <v/>
      </c>
      <c r="AQ68" s="321" t="str">
        <f>IF(AO68&lt;&gt;"",SUMPRODUCT((CZ3:CZ42=AO68)*(DC3:DC42=AO69)*(DD3:DD42="D"))+SUMPRODUCT((CZ3:CZ42=AO68)*(DC3:DC42=AO66)*(DD3:DD42="D"))+SUMPRODUCT((CZ3:CZ42=AO68)*(DC3:DC42=AO67)*(DD3:DD42="D"))+SUMPRODUCT((CZ3:CZ42=AO69)*(DC3:DC42=AO68)*(DD3:DD42="D"))+SUMPRODUCT((CZ3:CZ42=AO66)*(DC3:DC42=AO68)*(DD3:DD42="D"))+SUMPRODUCT((CZ3:CZ42=AO67)*(DC3:DC42=AO68)*(DD3:DD42="D")),"")</f>
        <v/>
      </c>
      <c r="AR68" s="321" t="str">
        <f>IF(AO68&lt;&gt;"",SUMPRODUCT((CZ3:CZ42=AO68)*(DC3:DC42=AO69)*(DD3:DD42="L"))+SUMPRODUCT((CZ3:CZ42=AO68)*(DC3:DC42=AO66)*(DD3:DD42="L"))+SUMPRODUCT((CZ3:CZ42=AO68)*(DC3:DC42=AO67)*(DD3:DD42="L"))+SUMPRODUCT((CZ3:CZ42=AO69)*(DC3:DC42=AO68)*(DE3:DE42="L"))+SUMPRODUCT((CZ3:CZ42=AO66)*(DC3:DC42=AO68)*(DE3:DE42="L"))+SUMPRODUCT((CZ3:CZ42=AO67)*(DC3:DC42=AO68)*(DE3:DE42="L")),"")</f>
        <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t="str">
        <f t="shared" si="17321"/>
        <v/>
      </c>
      <c r="AW68" s="321" t="str">
        <f>IF(AO68&lt;&gt;"",VLOOKUP(AO68,B4:H40,7,FALSE),"")</f>
        <v/>
      </c>
      <c r="AX68" s="321" t="str">
        <f>IF(AO68&lt;&gt;"",VLOOKUP(AO68,B4:H40,5,FALSE),"")</f>
        <v/>
      </c>
      <c r="AY68" s="321" t="str">
        <f>IF(AO68&lt;&gt;"",VLOOKUP(AO68,B4:J40,9,FALSE),"")</f>
        <v/>
      </c>
      <c r="AZ68" s="321" t="str">
        <f t="shared" si="17322"/>
        <v/>
      </c>
      <c r="BA68" s="321" t="str">
        <f>IF(AO68&lt;&gt;"",RANK(AZ68,AZ65:AZ68),"")</f>
        <v/>
      </c>
      <c r="BB68" s="321" t="str">
        <f>IF(AO68&lt;&gt;"",SUMPRODUCT((AZ65:AZ68=AZ68)*(AU65:AU68&gt;AU68)),"")</f>
        <v/>
      </c>
      <c r="BC68" s="321" t="str">
        <f>IF(AO68&lt;&gt;"",SUMPRODUCT((AZ65:AZ68=AZ68)*(AU65:AU68=AU68)*(AS65:AS68&gt;AS68)),"")</f>
        <v/>
      </c>
      <c r="BD68" s="321" t="str">
        <f>IF(AO68&lt;&gt;"",SUMPRODUCT((AZ65:AZ68=AZ68)*(AU65:AU68=AU68)*(AS65:AS68=AS68)*(AW65:AW68&gt;AW68)),"")</f>
        <v/>
      </c>
      <c r="BE68" s="321" t="str">
        <f>IF(AO68&lt;&gt;"",SUMPRODUCT((AZ65:AZ68=AZ68)*(AU65:AU68=AU68)*(AS65:AS68=AS68)*(AW65:AW68=AW68)*(AX65:AX68&gt;AX68)),"")</f>
        <v/>
      </c>
      <c r="BF68" s="321" t="str">
        <f>IF(AO68&lt;&gt;"",SUMPRODUCT((AZ65:AZ68=AZ68)*(AU65:AU68=AU68)*(AS65:AS68=AS68)*(AW65:AW68=AW68)*(AX65:AX68=AX68)*(AY65:AY68&gt;AY68)),"")</f>
        <v/>
      </c>
      <c r="BG68" s="321" t="str">
        <f t="shared" si="17659"/>
        <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t="str">
        <f t="shared" ref="ON68" ca="1" si="17941">IF(OO28&lt;&gt;"",SUMPRODUCT((OV25:OV28=OV28)*(OU25:OU28=OU28)*(OS25:OS28=OS28)*(OT25:OT28=OT28)),"")</f>
        <v/>
      </c>
      <c r="OO68" s="321" t="str">
        <f t="shared" ca="1" si="17138"/>
        <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t="str">
        <f t="shared" ca="1" si="17145"/>
        <v/>
      </c>
      <c r="OW68" s="321" t="str">
        <f t="shared" ref="OW68" ca="1" si="17947">IF(OO68&lt;&gt;"",VLOOKUP(OO68,NV4:OB40,7,FALSE),"")</f>
        <v/>
      </c>
      <c r="OX68" s="321" t="str">
        <f t="shared" ref="OX68" ca="1" si="17948">IF(OO68&lt;&gt;"",VLOOKUP(OO68,NV4:OB40,5,FALSE),"")</f>
        <v/>
      </c>
      <c r="OY68" s="321" t="str">
        <f t="shared" ref="OY68" ca="1" si="17949">IF(OO68&lt;&gt;"",VLOOKUP(OO68,NV4:OD40,9,FALSE),"")</f>
        <v/>
      </c>
      <c r="OZ68" s="321" t="str">
        <f t="shared" ca="1" si="17149"/>
        <v/>
      </c>
      <c r="PA68" s="321" t="str">
        <f t="shared" ref="PA68" ca="1" si="17950">IF(OO68&lt;&gt;"",RANK(OZ68,OZ65:OZ68),"")</f>
        <v/>
      </c>
      <c r="PB68" s="321" t="str">
        <f t="shared" ref="PB68" ca="1" si="17951">IF(OO68&lt;&gt;"",SUMPRODUCT((OZ65:OZ68=OZ68)*(OU65:OU68&gt;OU68)),"")</f>
        <v/>
      </c>
      <c r="PC68" s="321" t="str">
        <f t="shared" ref="PC68" ca="1" si="17952">IF(OO68&lt;&gt;"",SUMPRODUCT((OZ65:OZ68=OZ68)*(OU65:OU68=OU68)*(OS65:OS68&gt;OS68)),"")</f>
        <v/>
      </c>
      <c r="PD68" s="321" t="str">
        <f t="shared" ref="PD68" ca="1" si="17953">IF(OO68&lt;&gt;"",SUMPRODUCT((OZ65:OZ68=OZ68)*(OU65:OU68=OU68)*(OS65:OS68=OS68)*(OW65:OW68&gt;OW68)),"")</f>
        <v/>
      </c>
      <c r="PE68" s="321" t="str">
        <f t="shared" ref="PE68" ca="1" si="17954">IF(OO68&lt;&gt;"",SUMPRODUCT((OZ65:OZ68=OZ68)*(OU65:OU68=OU68)*(OS65:OS68=OS68)*(OW65:OW68=OW68)*(OX65:OX68&gt;OX68)),"")</f>
        <v/>
      </c>
      <c r="PF68" s="321" t="str">
        <f t="shared" ref="PF68" ca="1" si="17955">IF(OO68&lt;&gt;"",SUMPRODUCT((OZ65:OZ68=OZ68)*(OU65:OU68=OU68)*(OS65:OS68=OS68)*(OW65:OW68=OW68)*(OX65:OX68=OX68)*(OY65:OY68&gt;OY68)),"")</f>
        <v/>
      </c>
      <c r="PG68" s="321" t="str">
        <f t="shared" ca="1" si="17156"/>
        <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t="str">
        <f t="shared" ref="TL68" ca="1" si="17971">IF(TM28&lt;&gt;"",SUMPRODUCT((TT25:TT28=TT28)*(TS25:TS28=TS28)*(TQ25:TQ28=TQ28)*(TR25:TR28=TR28)),"")</f>
        <v/>
      </c>
      <c r="TM68" s="321" t="str">
        <f t="shared" ca="1" si="17158"/>
        <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t="str">
        <f t="shared" ca="1" si="17165"/>
        <v/>
      </c>
      <c r="TU68" s="321" t="str">
        <f t="shared" ref="TU68" ca="1" si="17977">IF(TM68&lt;&gt;"",VLOOKUP(TM68,ST4:SZ40,7,FALSE),"")</f>
        <v/>
      </c>
      <c r="TV68" s="321" t="str">
        <f t="shared" ref="TV68" ca="1" si="17978">IF(TM68&lt;&gt;"",VLOOKUP(TM68,ST4:SZ40,5,FALSE),"")</f>
        <v/>
      </c>
      <c r="TW68" s="321" t="str">
        <f t="shared" ref="TW68" ca="1" si="17979">IF(TM68&lt;&gt;"",VLOOKUP(TM68,ST4:TB40,9,FALSE),"")</f>
        <v/>
      </c>
      <c r="TX68" s="321" t="str">
        <f t="shared" ca="1" si="17169"/>
        <v/>
      </c>
      <c r="TY68" s="321" t="str">
        <f t="shared" ref="TY68" ca="1" si="17980">IF(TM68&lt;&gt;"",RANK(TX68,TX65:TX68),"")</f>
        <v/>
      </c>
      <c r="TZ68" s="321" t="str">
        <f t="shared" ref="TZ68" ca="1" si="17981">IF(TM68&lt;&gt;"",SUMPRODUCT((TX65:TX68=TX68)*(TS65:TS68&gt;TS68)),"")</f>
        <v/>
      </c>
      <c r="UA68" s="321" t="str">
        <f t="shared" ref="UA68" ca="1" si="17982">IF(TM68&lt;&gt;"",SUMPRODUCT((TX65:TX68=TX68)*(TS65:TS68=TS68)*(TQ65:TQ68&gt;TQ68)),"")</f>
        <v/>
      </c>
      <c r="UB68" s="321" t="str">
        <f t="shared" ref="UB68" ca="1" si="17983">IF(TM68&lt;&gt;"",SUMPRODUCT((TX65:TX68=TX68)*(TS65:TS68=TS68)*(TQ65:TQ68=TQ68)*(TU65:TU68&gt;TU68)),"")</f>
        <v/>
      </c>
      <c r="UC68" s="321" t="str">
        <f t="shared" ref="UC68" ca="1" si="17984">IF(TM68&lt;&gt;"",SUMPRODUCT((TX65:TX68=TX68)*(TS65:TS68=TS68)*(TQ65:TQ68=TQ68)*(TU65:TU68=TU68)*(TV65:TV68&gt;TV68)),"")</f>
        <v/>
      </c>
      <c r="UD68" s="321" t="str">
        <f t="shared" ref="UD68" ca="1" si="17985">IF(TM68&lt;&gt;"",SUMPRODUCT((TX65:TX68=TX68)*(TS65:TS68=TS68)*(TQ65:TQ68=TQ68)*(TU65:TU68=TU68)*(TV65:TV68=TV68)*(TW65:TW68&gt;TW68)),"")</f>
        <v/>
      </c>
      <c r="UE68" s="321" t="str">
        <f t="shared" ca="1" si="17176"/>
        <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t="str">
        <f t="shared" ref="ADH68" ca="1" si="18031">IF(ADI28&lt;&gt;"",SUMPRODUCT((ADP25:ADP28=ADP28)*(ADO25:ADO28=ADO28)*(ADM25:ADM28=ADM28)*(ADN25:ADN28=ADN28)),"")</f>
        <v/>
      </c>
      <c r="ADI68" s="321" t="str">
        <f t="shared" ca="1" si="17198"/>
        <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t="str">
        <f t="shared" ca="1" si="17205"/>
        <v/>
      </c>
      <c r="ADQ68" s="321" t="str">
        <f t="shared" ref="ADQ68" ca="1" si="18037">IF(ADI68&lt;&gt;"",VLOOKUP(ADI68,ACP4:ACV40,7,FALSE),"")</f>
        <v/>
      </c>
      <c r="ADR68" s="321" t="str">
        <f t="shared" ref="ADR68" ca="1" si="18038">IF(ADI68&lt;&gt;"",VLOOKUP(ADI68,ACP4:ACV40,5,FALSE),"")</f>
        <v/>
      </c>
      <c r="ADS68" s="321" t="str">
        <f t="shared" ref="ADS68" ca="1" si="18039">IF(ADI68&lt;&gt;"",VLOOKUP(ADI68,ACP4:ACX40,9,FALSE),"")</f>
        <v/>
      </c>
      <c r="ADT68" s="321" t="str">
        <f t="shared" ca="1" si="17209"/>
        <v/>
      </c>
      <c r="ADU68" s="321" t="str">
        <f t="shared" ref="ADU68" ca="1" si="18040">IF(ADI68&lt;&gt;"",RANK(ADT68,ADT65:ADT68),"")</f>
        <v/>
      </c>
      <c r="ADV68" s="321" t="str">
        <f t="shared" ref="ADV68" ca="1" si="18041">IF(ADI68&lt;&gt;"",SUMPRODUCT((ADT65:ADT68=ADT68)*(ADO65:ADO68&gt;ADO68)),"")</f>
        <v/>
      </c>
      <c r="ADW68" s="321" t="str">
        <f t="shared" ref="ADW68" ca="1" si="18042">IF(ADI68&lt;&gt;"",SUMPRODUCT((ADT65:ADT68=ADT68)*(ADO65:ADO68=ADO68)*(ADM65:ADM68&gt;ADM68)),"")</f>
        <v/>
      </c>
      <c r="ADX68" s="321" t="str">
        <f t="shared" ref="ADX68" ca="1" si="18043">IF(ADI68&lt;&gt;"",SUMPRODUCT((ADT65:ADT68=ADT68)*(ADO65:ADO68=ADO68)*(ADM65:ADM68=ADM68)*(ADQ65:ADQ68&gt;ADQ68)),"")</f>
        <v/>
      </c>
      <c r="ADY68" s="321" t="str">
        <f t="shared" ref="ADY68" ca="1" si="18044">IF(ADI68&lt;&gt;"",SUMPRODUCT((ADT65:ADT68=ADT68)*(ADO65:ADO68=ADO68)*(ADM65:ADM68=ADM68)*(ADQ65:ADQ68=ADQ68)*(ADR65:ADR68&gt;ADR68)),"")</f>
        <v/>
      </c>
      <c r="ADZ68" s="321" t="str">
        <f t="shared" ref="ADZ68" ca="1" si="18045">IF(ADI68&lt;&gt;"",SUMPRODUCT((ADT65:ADT68=ADT68)*(ADO65:ADO68=ADO68)*(ADM65:ADM68=ADM68)*(ADQ65:ADQ68=ADQ68)*(ADR65:ADR68=ADR68)*(ADS65:ADS68&gt;ADS68)),"")</f>
        <v/>
      </c>
      <c r="AEA68" s="321" t="str">
        <f t="shared" ca="1" si="17216"/>
        <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f t="shared" ref="AIF68" ca="1" si="18061">IF(AIG28&lt;&gt;"",SUMPRODUCT((AIN25:AIN28=AIN28)*(AIM25:AIM28=AIM28)*(AIK25:AIK28=AIK28)*(AIL25:AIL28=AIL28)),"")</f>
        <v>4</v>
      </c>
      <c r="AIG68" s="321" t="str">
        <f t="shared" ca="1" si="17218"/>
        <v>France</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f t="shared" ca="1" si="17225"/>
        <v>0</v>
      </c>
      <c r="AIO68" s="321">
        <f t="shared" ref="AIO68" ca="1" si="18067">IF(AIG68&lt;&gt;"",VLOOKUP(AIG68,AHN4:AHT40,7,FALSE),"")</f>
        <v>1000</v>
      </c>
      <c r="AIP68" s="321">
        <f t="shared" ref="AIP68" ca="1" si="18068">IF(AIG68&lt;&gt;"",VLOOKUP(AIG68,AHN4:AHT40,5,FALSE),"")</f>
        <v>0</v>
      </c>
      <c r="AIQ68" s="321">
        <f t="shared" ref="AIQ68" ca="1" si="18069">IF(AIG68&lt;&gt;"",VLOOKUP(AIG68,AHN4:AHV40,9,FALSE),"")</f>
        <v>52</v>
      </c>
      <c r="AIR68" s="321">
        <f t="shared" ca="1" si="17229"/>
        <v>0</v>
      </c>
      <c r="AIS68" s="321">
        <f t="shared" ref="AIS68" ca="1" si="18070">IF(AIG68&lt;&gt;"",RANK(AIR68,AIR65:AIR68),"")</f>
        <v>1</v>
      </c>
      <c r="AIT68" s="321">
        <f t="shared" ref="AIT68" ca="1" si="18071">IF(AIG68&lt;&gt;"",SUMPRODUCT((AIR65:AIR68=AIR68)*(AIM65:AIM68&gt;AIM68)),"")</f>
        <v>0</v>
      </c>
      <c r="AIU68" s="321">
        <f t="shared" ref="AIU68" ca="1" si="18072">IF(AIG68&lt;&gt;"",SUMPRODUCT((AIR65:AIR68=AIR68)*(AIM65:AIM68=AIM68)*(AIK65:AIK68&gt;AIK68)),"")</f>
        <v>0</v>
      </c>
      <c r="AIV68" s="321">
        <f t="shared" ref="AIV68" ca="1" si="18073">IF(AIG68&lt;&gt;"",SUMPRODUCT((AIR65:AIR68=AIR68)*(AIM65:AIM68=AIM68)*(AIK65:AIK68=AIK68)*(AIO65:AIO68&gt;AIO68)),"")</f>
        <v>0</v>
      </c>
      <c r="AIW68" s="321">
        <f t="shared" ref="AIW68" ca="1" si="18074">IF(AIG68&lt;&gt;"",SUMPRODUCT((AIR65:AIR68=AIR68)*(AIM65:AIM68=AIM68)*(AIK65:AIK68=AIK68)*(AIO65:AIO68=AIO68)*(AIP65:AIP68&gt;AIP68)),"")</f>
        <v>0</v>
      </c>
      <c r="AIX68" s="321">
        <f t="shared" ref="AIX68" ca="1" si="18075">IF(AIG68&lt;&gt;"",SUMPRODUCT((AIR65:AIR68=AIR68)*(AIM65:AIM68=AIM68)*(AIK65:AIK68=AIK68)*(AIO65:AIO68=AIO68)*(AIP65:AIP68=AIP68)*(AIQ65:AIQ68&gt;AIQ68)),"")</f>
        <v>0</v>
      </c>
      <c r="AIY68" s="321">
        <f t="shared" ca="1" si="17236"/>
        <v>1</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f t="shared" ref="AND68" ca="1" si="18091">IF(ANE28&lt;&gt;"",SUMPRODUCT((ANL25:ANL28=ANL28)*(ANK25:ANK28=ANK28)*(ANI25:ANI28=ANI28)*(ANJ25:ANJ28=ANJ28)),"")</f>
        <v>4</v>
      </c>
      <c r="ANE68" s="321" t="str">
        <f t="shared" ca="1" si="17238"/>
        <v>France</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f t="shared" ca="1" si="17245"/>
        <v>0</v>
      </c>
      <c r="ANM68" s="321">
        <f t="shared" ref="ANM68" ca="1" si="18097">IF(ANE68&lt;&gt;"",VLOOKUP(ANE68,AML4:AMR40,7,FALSE),"")</f>
        <v>1000</v>
      </c>
      <c r="ANN68" s="321">
        <f t="shared" ref="ANN68" ca="1" si="18098">IF(ANE68&lt;&gt;"",VLOOKUP(ANE68,AML4:AMR40,5,FALSE),"")</f>
        <v>0</v>
      </c>
      <c r="ANO68" s="321">
        <f t="shared" ref="ANO68" ca="1" si="18099">IF(ANE68&lt;&gt;"",VLOOKUP(ANE68,AML4:AMT40,9,FALSE),"")</f>
        <v>52</v>
      </c>
      <c r="ANP68" s="321">
        <f t="shared" ca="1" si="17249"/>
        <v>0</v>
      </c>
      <c r="ANQ68" s="321">
        <f t="shared" ref="ANQ68" ca="1" si="18100">IF(ANE68&lt;&gt;"",RANK(ANP68,ANP65:ANP68),"")</f>
        <v>1</v>
      </c>
      <c r="ANR68" s="321">
        <f t="shared" ref="ANR68" ca="1" si="18101">IF(ANE68&lt;&gt;"",SUMPRODUCT((ANP65:ANP68=ANP68)*(ANK65:ANK68&gt;ANK68)),"")</f>
        <v>0</v>
      </c>
      <c r="ANS68" s="321">
        <f t="shared" ref="ANS68" ca="1" si="18102">IF(ANE68&lt;&gt;"",SUMPRODUCT((ANP65:ANP68=ANP68)*(ANK65:ANK68=ANK68)*(ANI65:ANI68&gt;ANI68)),"")</f>
        <v>0</v>
      </c>
      <c r="ANT68" s="321">
        <f t="shared" ref="ANT68" ca="1" si="18103">IF(ANE68&lt;&gt;"",SUMPRODUCT((ANP65:ANP68=ANP68)*(ANK65:ANK68=ANK68)*(ANI65:ANI68=ANI68)*(ANM65:ANM68&gt;ANM68)),"")</f>
        <v>0</v>
      </c>
      <c r="ANU68" s="321">
        <f t="shared" ref="ANU68" ca="1" si="18104">IF(ANE68&lt;&gt;"",SUMPRODUCT((ANP65:ANP68=ANP68)*(ANK65:ANK68=ANK68)*(ANI65:ANI68=ANI68)*(ANM65:ANM68=ANM68)*(ANN65:ANN68&gt;ANN68)),"")</f>
        <v>0</v>
      </c>
      <c r="ANV68" s="321">
        <f t="shared" ref="ANV68" ca="1" si="18105">IF(ANE68&lt;&gt;"",SUMPRODUCT((ANP65:ANP68=ANP68)*(ANK65:ANK68=ANK68)*(ANI65:ANI68=ANI68)*(ANM65:ANM68=ANM68)*(ANN65:ANN68=ANN68)*(ANO65:ANO68&gt;ANO68)),"")</f>
        <v>0</v>
      </c>
      <c r="ANW68" s="321">
        <f t="shared" ca="1" si="17256"/>
        <v>1</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f t="shared" ref="ASB68" ca="1" si="18121">IF(ASC28&lt;&gt;"",SUMPRODUCT((ASJ25:ASJ28=ASJ28)*(ASI25:ASI28=ASI28)*(ASG25:ASG28=ASG28)*(ASH25:ASH28=ASH28)),"")</f>
        <v>4</v>
      </c>
      <c r="ASC68" s="321" t="str">
        <f t="shared" ca="1" si="17258"/>
        <v>France</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f t="shared" ca="1" si="17265"/>
        <v>0</v>
      </c>
      <c r="ASK68" s="321">
        <f t="shared" ref="ASK68" ca="1" si="18127">IF(ASC68&lt;&gt;"",VLOOKUP(ASC68,ARJ4:ARP40,7,FALSE),"")</f>
        <v>1000</v>
      </c>
      <c r="ASL68" s="321">
        <f t="shared" ref="ASL68" ca="1" si="18128">IF(ASC68&lt;&gt;"",VLOOKUP(ASC68,ARJ4:ARP40,5,FALSE),"")</f>
        <v>0</v>
      </c>
      <c r="ASM68" s="321">
        <f t="shared" ref="ASM68" ca="1" si="18129">IF(ASC68&lt;&gt;"",VLOOKUP(ASC68,ARJ4:ARR40,9,FALSE),"")</f>
        <v>52</v>
      </c>
      <c r="ASN68" s="321">
        <f t="shared" ca="1" si="17269"/>
        <v>0</v>
      </c>
      <c r="ASO68" s="321">
        <f t="shared" ref="ASO68" ca="1" si="18130">IF(ASC68&lt;&gt;"",RANK(ASN68,ASN65:ASN68),"")</f>
        <v>1</v>
      </c>
      <c r="ASP68" s="321">
        <f t="shared" ref="ASP68" ca="1" si="18131">IF(ASC68&lt;&gt;"",SUMPRODUCT((ASN65:ASN68=ASN68)*(ASI65:ASI68&gt;ASI68)),"")</f>
        <v>0</v>
      </c>
      <c r="ASQ68" s="321">
        <f t="shared" ref="ASQ68" ca="1" si="18132">IF(ASC68&lt;&gt;"",SUMPRODUCT((ASN65:ASN68=ASN68)*(ASI65:ASI68=ASI68)*(ASG65:ASG68&gt;ASG68)),"")</f>
        <v>0</v>
      </c>
      <c r="ASR68" s="321">
        <f t="shared" ref="ASR68" ca="1" si="18133">IF(ASC68&lt;&gt;"",SUMPRODUCT((ASN65:ASN68=ASN68)*(ASI65:ASI68=ASI68)*(ASG65:ASG68=ASG68)*(ASK65:ASK68&gt;ASK68)),"")</f>
        <v>0</v>
      </c>
      <c r="ASS68" s="321">
        <f t="shared" ref="ASS68" ca="1" si="18134">IF(ASC68&lt;&gt;"",SUMPRODUCT((ASN65:ASN68=ASN68)*(ASI65:ASI68=ASI68)*(ASG65:ASG68=ASG68)*(ASK65:ASK68=ASK68)*(ASL65:ASL68&gt;ASL68)),"")</f>
        <v>0</v>
      </c>
      <c r="AST68" s="321">
        <f t="shared" ref="AST68" ca="1" si="18135">IF(ASC68&lt;&gt;"",SUMPRODUCT((ASN65:ASN68=ASN68)*(ASI65:ASI68=ASI68)*(ASG65:ASG68=ASG68)*(ASK65:ASK68=ASK68)*(ASL65:ASL68=ASL68)*(ASM65:ASM68&gt;ASM68)),"")</f>
        <v>0</v>
      </c>
      <c r="ASU68" s="321">
        <f t="shared" ca="1" si="17276"/>
        <v>1</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f t="shared" ref="AWZ68" ca="1" si="18151">IF(AXA28&lt;&gt;"",SUMPRODUCT((AXH25:AXH28=AXH28)*(AXG25:AXG28=AXG28)*(AXE25:AXE28=AXE28)*(AXF25:AXF28=AXF28)),"")</f>
        <v>4</v>
      </c>
      <c r="AXA68" s="321" t="str">
        <f t="shared" ca="1" si="17278"/>
        <v>France</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f t="shared" ca="1" si="17285"/>
        <v>0</v>
      </c>
      <c r="AXI68" s="321">
        <f t="shared" ref="AXI68" ca="1" si="18157">IF(AXA68&lt;&gt;"",VLOOKUP(AXA68,AWH4:AWN40,7,FALSE),"")</f>
        <v>1000</v>
      </c>
      <c r="AXJ68" s="321">
        <f t="shared" ref="AXJ68" ca="1" si="18158">IF(AXA68&lt;&gt;"",VLOOKUP(AXA68,AWH4:AWN40,5,FALSE),"")</f>
        <v>0</v>
      </c>
      <c r="AXK68" s="321">
        <f t="shared" ref="AXK68" ca="1" si="18159">IF(AXA68&lt;&gt;"",VLOOKUP(AXA68,AWH4:AWP40,9,FALSE),"")</f>
        <v>52</v>
      </c>
      <c r="AXL68" s="321">
        <f t="shared" ca="1" si="17289"/>
        <v>0</v>
      </c>
      <c r="AXM68" s="321">
        <f t="shared" ref="AXM68" ca="1" si="18160">IF(AXA68&lt;&gt;"",RANK(AXL68,AXL65:AXL68),"")</f>
        <v>1</v>
      </c>
      <c r="AXN68" s="321">
        <f t="shared" ref="AXN68" ca="1" si="18161">IF(AXA68&lt;&gt;"",SUMPRODUCT((AXL65:AXL68=AXL68)*(AXG65:AXG68&gt;AXG68)),"")</f>
        <v>0</v>
      </c>
      <c r="AXO68" s="321">
        <f t="shared" ref="AXO68" ca="1" si="18162">IF(AXA68&lt;&gt;"",SUMPRODUCT((AXL65:AXL68=AXL68)*(AXG65:AXG68=AXG68)*(AXE65:AXE68&gt;AXE68)),"")</f>
        <v>0</v>
      </c>
      <c r="AXP68" s="321">
        <f t="shared" ref="AXP68" ca="1" si="18163">IF(AXA68&lt;&gt;"",SUMPRODUCT((AXL65:AXL68=AXL68)*(AXG65:AXG68=AXG68)*(AXE65:AXE68=AXE68)*(AXI65:AXI68&gt;AXI68)),"")</f>
        <v>0</v>
      </c>
      <c r="AXQ68" s="321">
        <f t="shared" ref="AXQ68" ca="1" si="18164">IF(AXA68&lt;&gt;"",SUMPRODUCT((AXL65:AXL68=AXL68)*(AXG65:AXG68=AXG68)*(AXE65:AXE68=AXE68)*(AXI65:AXI68=AXI68)*(AXJ65:AXJ68&gt;AXJ68)),"")</f>
        <v>0</v>
      </c>
      <c r="AXR68" s="321">
        <f t="shared" ref="AXR68" ca="1" si="18165">IF(AXA68&lt;&gt;"",SUMPRODUCT((AXL65:AXL68=AXL68)*(AXG65:AXG68=AXG68)*(AXE65:AXE68=AXE68)*(AXI65:AXI68=AXI68)*(AXJ65:AXJ68=AXJ68)*(AXK65:AXK68&gt;AXK68)),"")</f>
        <v>0</v>
      </c>
      <c r="AXS68" s="321">
        <f t="shared" ca="1" si="17296"/>
        <v>1</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2">
      <c r="T70" s="321">
        <f>IF(U71="",SUM(AG31:AL31),IF(U72="",SUM(AG32:AL32),IF(U73="",SUM(AG33:AL33),IF(U74="",SUM(AG34:AL34),0))))</f>
        <v>0</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0</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2">
      <c r="I71" s="321">
        <f>SUMPRODUCT((I31:I34=I31)*(H31:H34=H31)*(F31:F34&gt;F31))+1</f>
        <v>1</v>
      </c>
      <c r="T71" s="321">
        <f>IF(U31&lt;&gt;"",SUMPRODUCT((AB31:AB34=AB31)*(AA31:AA34=AA31)*(Y31:Y34=Y31)*(Z31:Z34=Z31)),"")</f>
        <v>2</v>
      </c>
      <c r="U71" s="321" t="str">
        <f>IF(AND(T71&lt;&gt;"",T71&gt;1),U31,"")</f>
        <v>Slovakia</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f>IF(U71&lt;&gt;"",V71*3+W71*1,"")</f>
        <v>0</v>
      </c>
      <c r="AC71" s="321">
        <f>IF(U71&lt;&gt;"",VLOOKUP(U71,B4:H40,7,FALSE),"")</f>
        <v>1001</v>
      </c>
      <c r="AD71" s="321">
        <f>IF(U71&lt;&gt;"",VLOOKUP(U71,B4:H40,5,FALSE),"")</f>
        <v>1</v>
      </c>
      <c r="AE71" s="321">
        <f>IF(U71&lt;&gt;"",VLOOKUP(U71,B4:J40,9,FALSE),"")</f>
        <v>38</v>
      </c>
      <c r="AF71" s="321">
        <f>AB71</f>
        <v>0</v>
      </c>
      <c r="AG71" s="321">
        <f>IF(U71&lt;&gt;"",RANK(AF71,AF71:AF74),"")</f>
        <v>1</v>
      </c>
      <c r="AH71" s="321">
        <f>IF(U71&lt;&gt;"",SUMPRODUCT((AF71:AF74=AF71)*(AA71:AA74&gt;AA71)),"")</f>
        <v>0</v>
      </c>
      <c r="AI71" s="321">
        <f>IF(U71&lt;&gt;"",SUMPRODUCT((AF71:AF74=AF71)*(AA71:AA74=AA71)*(Y71:Y74&gt;Y71)),"")</f>
        <v>0</v>
      </c>
      <c r="AJ71" s="321">
        <f>IF(U71&lt;&gt;"",SUMPRODUCT((AF71:AF74=AF71)*(AA71:AA74=AA71)*(Y71:Y74=Y71)*(AC71:AC74&gt;AC71)),"")</f>
        <v>1</v>
      </c>
      <c r="AK71" s="321">
        <f>IF(U71&lt;&gt;"",SUMPRODUCT((AF71:AF74=AF71)*(AA71:AA74=AA71)*(Y71:Y74=Y71)*(AC71:AC74=AC71)*(AD71:AD74&gt;AD71)),"")</f>
        <v>0</v>
      </c>
      <c r="AL71" s="321">
        <f>IF(U71&lt;&gt;"",SUMPRODUCT((AF71:AF74=AF71)*(AA71:AA74=AA71)*(Y71:Y74=Y71)*(AC71:AC74=AC71)*(AD71:AD74=AD71)*(AE71:AE74&gt;AE71)),"")</f>
        <v>0</v>
      </c>
      <c r="AM71" s="321">
        <f>IF(U71&lt;&gt;"",SUM(AG71:AL71),"")</f>
        <v>2</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t="str">
        <f ca="1">IF(JQ31&lt;&gt;"",SUMPRODUCT((JX31:JX34=JX31)*(JW31:JW34=JW31)*(JU31:JU34=JU31)*(JV31:JV34=JV31)),"")</f>
        <v/>
      </c>
      <c r="JQ71" s="321" t="str">
        <f ca="1">IF(AND(JP71&lt;&gt;"",JP71&gt;1),JQ31,"")</f>
        <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1">
        <f ca="1">JU71-JV71+1000</f>
        <v>1000</v>
      </c>
      <c r="JX71" s="321" t="str">
        <f ca="1">IF(JQ71&lt;&gt;"",JR71*3+JS71*1,"")</f>
        <v/>
      </c>
      <c r="JY71" s="321" t="str">
        <f ca="1">IF(JQ71&lt;&gt;"",VLOOKUP(JQ71,IX4:JD40,7,FALSE),"")</f>
        <v/>
      </c>
      <c r="JZ71" s="321" t="str">
        <f ca="1">IF(JQ71&lt;&gt;"",VLOOKUP(JQ71,IX4:JD40,5,FALSE),"")</f>
        <v/>
      </c>
      <c r="KA71" s="321" t="str">
        <f ca="1">IF(JQ71&lt;&gt;"",VLOOKUP(JQ71,IX4:JF40,9,FALSE),"")</f>
        <v/>
      </c>
      <c r="KB71" s="321" t="str">
        <f ca="1">JX71</f>
        <v/>
      </c>
      <c r="KC71" s="321" t="str">
        <f ca="1">IF(JQ71&lt;&gt;"",RANK(KB71,KB71:KB74),"")</f>
        <v/>
      </c>
      <c r="KD71" s="321" t="str">
        <f ca="1">IF(JQ71&lt;&gt;"",SUMPRODUCT((KB71:KB74=KB71)*(JW71:JW74&gt;JW71)),"")</f>
        <v/>
      </c>
      <c r="KE71" s="321" t="str">
        <f ca="1">IF(JQ71&lt;&gt;"",SUMPRODUCT((KB71:KB74=KB71)*(JW71:JW74=JW71)*(JU71:JU74&gt;JU71)),"")</f>
        <v/>
      </c>
      <c r="KF71" s="321" t="str">
        <f ca="1">IF(JQ71&lt;&gt;"",SUMPRODUCT((KB71:KB74=KB71)*(JW71:JW74=JW71)*(JU71:JU74=JU71)*(JY71:JY74&gt;JY71)),"")</f>
        <v/>
      </c>
      <c r="KG71" s="321" t="str">
        <f ca="1">IF(JQ71&lt;&gt;"",SUMPRODUCT((KB71:KB74=KB71)*(JW71:JW74=JW71)*(JU71:JU74=JU71)*(JY71:JY74=JY71)*(JZ71:JZ74&gt;JZ71)),"")</f>
        <v/>
      </c>
      <c r="KH71" s="321" t="str">
        <f ca="1">IF(JQ71&lt;&gt;"",SUMPRODUCT((KB71:KB74=KB71)*(JW71:JW74=JW71)*(JU71:JU74=JU71)*(JY71:JY74=JY71)*(JZ71:JZ74=JZ71)*(KA71:KA74&gt;KA71)),"")</f>
        <v/>
      </c>
      <c r="KI71" s="321" t="str">
        <f ca="1">IF(JQ71&lt;&gt;"",SUM(KC71:KH71),"")</f>
        <v/>
      </c>
      <c r="OC71" s="321">
        <f ca="1">SUMPRODUCT((OC31:OC34=OC31)*(OB31:OB34=OB31)*(NZ31:NZ34&gt;NZ31))+1</f>
        <v>1</v>
      </c>
      <c r="ON71" s="321" t="str">
        <f t="shared" ref="ON71" ca="1" si="18229">IF(OO31&lt;&gt;"",SUMPRODUCT((OV31:OV34=OV31)*(OU31:OU34=OU31)*(OS31:OS34=OS31)*(OT31:OT34=OT31)),"")</f>
        <v/>
      </c>
      <c r="OO71" s="321" t="str">
        <f t="shared" ref="OO71:OO74" ca="1" si="18230">IF(AND(ON71&lt;&gt;"",ON71&gt;1),OO31,"")</f>
        <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t="str">
        <f t="shared" ref="OV71:OV74" ca="1" si="18237">IF(OO71&lt;&gt;"",OP71*3+OQ71*1,"")</f>
        <v/>
      </c>
      <c r="OW71" s="321" t="str">
        <f t="shared" ref="OW71" ca="1" si="18238">IF(OO71&lt;&gt;"",VLOOKUP(OO71,NV4:OB40,7,FALSE),"")</f>
        <v/>
      </c>
      <c r="OX71" s="321" t="str">
        <f t="shared" ref="OX71" ca="1" si="18239">IF(OO71&lt;&gt;"",VLOOKUP(OO71,NV4:OB40,5,FALSE),"")</f>
        <v/>
      </c>
      <c r="OY71" s="321" t="str">
        <f t="shared" ref="OY71" ca="1" si="18240">IF(OO71&lt;&gt;"",VLOOKUP(OO71,NV4:OD40,9,FALSE),"")</f>
        <v/>
      </c>
      <c r="OZ71" s="321" t="str">
        <f t="shared" ref="OZ71:OZ74" ca="1" si="18241">OV71</f>
        <v/>
      </c>
      <c r="PA71" s="321" t="str">
        <f t="shared" ref="PA71" ca="1" si="18242">IF(OO71&lt;&gt;"",RANK(OZ71,OZ71:OZ74),"")</f>
        <v/>
      </c>
      <c r="PB71" s="321" t="str">
        <f t="shared" ref="PB71" ca="1" si="18243">IF(OO71&lt;&gt;"",SUMPRODUCT((OZ71:OZ74=OZ71)*(OU71:OU74&gt;OU71)),"")</f>
        <v/>
      </c>
      <c r="PC71" s="321" t="str">
        <f t="shared" ref="PC71" ca="1" si="18244">IF(OO71&lt;&gt;"",SUMPRODUCT((OZ71:OZ74=OZ71)*(OU71:OU74=OU71)*(OS71:OS74&gt;OS71)),"")</f>
        <v/>
      </c>
      <c r="PD71" s="321" t="str">
        <f t="shared" ref="PD71" ca="1" si="18245">IF(OO71&lt;&gt;"",SUMPRODUCT((OZ71:OZ74=OZ71)*(OU71:OU74=OU71)*(OS71:OS74=OS71)*(OW71:OW74&gt;OW71)),"")</f>
        <v/>
      </c>
      <c r="PE71" s="321" t="str">
        <f t="shared" ref="PE71" ca="1" si="18246">IF(OO71&lt;&gt;"",SUMPRODUCT((OZ71:OZ74=OZ71)*(OU71:OU74=OU71)*(OS71:OS74=OS71)*(OW71:OW74=OW71)*(OX71:OX74&gt;OX71)),"")</f>
        <v/>
      </c>
      <c r="PF71" s="321" t="str">
        <f t="shared" ref="PF71" ca="1" si="18247">IF(OO71&lt;&gt;"",SUMPRODUCT((OZ71:OZ74=OZ71)*(OU71:OU74=OU71)*(OS71:OS74=OS71)*(OW71:OW74=OW71)*(OX71:OX74=OX71)*(OY71:OY74&gt;OY71)),"")</f>
        <v/>
      </c>
      <c r="PG71" s="321" t="str">
        <f t="shared" ref="PG71:PG74" ca="1" si="18248">IF(OO71&lt;&gt;"",SUM(PA71:PF71),"")</f>
        <v/>
      </c>
      <c r="TA71" s="321">
        <f ca="1">SUMPRODUCT((TA31:TA34=TA31)*(SZ31:SZ34=SZ31)*(SX31:SX34&gt;SX31))+1</f>
        <v>1</v>
      </c>
      <c r="TL71" s="321" t="str">
        <f t="shared" ref="TL71" ca="1" si="18249">IF(TM31&lt;&gt;"",SUMPRODUCT((TT31:TT34=TT31)*(TS31:TS34=TS31)*(TQ31:TQ34=TQ31)*(TR31:TR34=TR31)),"")</f>
        <v/>
      </c>
      <c r="TM71" s="321" t="str">
        <f t="shared" ref="TM71:TM74" ca="1" si="18250">IF(AND(TL71&lt;&gt;"",TL71&gt;1),TM31,"")</f>
        <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t="str">
        <f t="shared" ref="TT71:TT74" ca="1" si="18257">IF(TM71&lt;&gt;"",TN71*3+TO71*1,"")</f>
        <v/>
      </c>
      <c r="TU71" s="321" t="str">
        <f t="shared" ref="TU71" ca="1" si="18258">IF(TM71&lt;&gt;"",VLOOKUP(TM71,ST4:SZ40,7,FALSE),"")</f>
        <v/>
      </c>
      <c r="TV71" s="321" t="str">
        <f t="shared" ref="TV71" ca="1" si="18259">IF(TM71&lt;&gt;"",VLOOKUP(TM71,ST4:SZ40,5,FALSE),"")</f>
        <v/>
      </c>
      <c r="TW71" s="321" t="str">
        <f t="shared" ref="TW71" ca="1" si="18260">IF(TM71&lt;&gt;"",VLOOKUP(TM71,ST4:TB40,9,FALSE),"")</f>
        <v/>
      </c>
      <c r="TX71" s="321" t="str">
        <f t="shared" ref="TX71:TX74" ca="1" si="18261">TT71</f>
        <v/>
      </c>
      <c r="TY71" s="321" t="str">
        <f t="shared" ref="TY71" ca="1" si="18262">IF(TM71&lt;&gt;"",RANK(TX71,TX71:TX74),"")</f>
        <v/>
      </c>
      <c r="TZ71" s="321" t="str">
        <f t="shared" ref="TZ71" ca="1" si="18263">IF(TM71&lt;&gt;"",SUMPRODUCT((TX71:TX74=TX71)*(TS71:TS74&gt;TS71)),"")</f>
        <v/>
      </c>
      <c r="UA71" s="321" t="str">
        <f t="shared" ref="UA71" ca="1" si="18264">IF(TM71&lt;&gt;"",SUMPRODUCT((TX71:TX74=TX71)*(TS71:TS74=TS71)*(TQ71:TQ74&gt;TQ71)),"")</f>
        <v/>
      </c>
      <c r="UB71" s="321" t="str">
        <f t="shared" ref="UB71" ca="1" si="18265">IF(TM71&lt;&gt;"",SUMPRODUCT((TX71:TX74=TX71)*(TS71:TS74=TS71)*(TQ71:TQ74=TQ71)*(TU71:TU74&gt;TU71)),"")</f>
        <v/>
      </c>
      <c r="UC71" s="321" t="str">
        <f t="shared" ref="UC71" ca="1" si="18266">IF(TM71&lt;&gt;"",SUMPRODUCT((TX71:TX74=TX71)*(TS71:TS74=TS71)*(TQ71:TQ74=TQ71)*(TU71:TU74=TU71)*(TV71:TV74&gt;TV71)),"")</f>
        <v/>
      </c>
      <c r="UD71" s="321" t="str">
        <f t="shared" ref="UD71" ca="1" si="18267">IF(TM71&lt;&gt;"",SUMPRODUCT((TX71:TX74=TX71)*(TS71:TS74=TS71)*(TQ71:TQ74=TQ71)*(TU71:TU74=TU71)*(TV71:TV74=TV71)*(TW71:TW74&gt;TW71)),"")</f>
        <v/>
      </c>
      <c r="UE71" s="321" t="str">
        <f t="shared" ref="UE71:UE74" ca="1" si="18268">IF(TM71&lt;&gt;"",SUM(TY71:UD71),"")</f>
        <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t="str">
        <f t="shared" ref="ADH71" ca="1" si="18289">IF(ADI31&lt;&gt;"",SUMPRODUCT((ADP31:ADP34=ADP31)*(ADO31:ADO34=ADO31)*(ADM31:ADM34=ADM31)*(ADN31:ADN34=ADN31)),"")</f>
        <v/>
      </c>
      <c r="ADI71" s="321" t="str">
        <f t="shared" ref="ADI71:ADI74" ca="1" si="18290">IF(AND(ADH71&lt;&gt;"",ADH71&gt;1),ADI31,"")</f>
        <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t="str">
        <f t="shared" ref="ADP71:ADP74" ca="1" si="18297">IF(ADI71&lt;&gt;"",ADJ71*3+ADK71*1,"")</f>
        <v/>
      </c>
      <c r="ADQ71" s="321" t="str">
        <f t="shared" ref="ADQ71" ca="1" si="18298">IF(ADI71&lt;&gt;"",VLOOKUP(ADI71,ACP4:ACV40,7,FALSE),"")</f>
        <v/>
      </c>
      <c r="ADR71" s="321" t="str">
        <f t="shared" ref="ADR71" ca="1" si="18299">IF(ADI71&lt;&gt;"",VLOOKUP(ADI71,ACP4:ACV40,5,FALSE),"")</f>
        <v/>
      </c>
      <c r="ADS71" s="321" t="str">
        <f t="shared" ref="ADS71" ca="1" si="18300">IF(ADI71&lt;&gt;"",VLOOKUP(ADI71,ACP4:ACX40,9,FALSE),"")</f>
        <v/>
      </c>
      <c r="ADT71" s="321" t="str">
        <f t="shared" ref="ADT71:ADT74" ca="1" si="18301">ADP71</f>
        <v/>
      </c>
      <c r="ADU71" s="321" t="str">
        <f t="shared" ref="ADU71" ca="1" si="18302">IF(ADI71&lt;&gt;"",RANK(ADT71,ADT71:ADT74),"")</f>
        <v/>
      </c>
      <c r="ADV71" s="321" t="str">
        <f t="shared" ref="ADV71" ca="1" si="18303">IF(ADI71&lt;&gt;"",SUMPRODUCT((ADT71:ADT74=ADT71)*(ADO71:ADO74&gt;ADO71)),"")</f>
        <v/>
      </c>
      <c r="ADW71" s="321" t="str">
        <f t="shared" ref="ADW71" ca="1" si="18304">IF(ADI71&lt;&gt;"",SUMPRODUCT((ADT71:ADT74=ADT71)*(ADO71:ADO74=ADO71)*(ADM71:ADM74&gt;ADM71)),"")</f>
        <v/>
      </c>
      <c r="ADX71" s="321" t="str">
        <f t="shared" ref="ADX71" ca="1" si="18305">IF(ADI71&lt;&gt;"",SUMPRODUCT((ADT71:ADT74=ADT71)*(ADO71:ADO74=ADO71)*(ADM71:ADM74=ADM71)*(ADQ71:ADQ74&gt;ADQ71)),"")</f>
        <v/>
      </c>
      <c r="ADY71" s="321" t="str">
        <f t="shared" ref="ADY71" ca="1" si="18306">IF(ADI71&lt;&gt;"",SUMPRODUCT((ADT71:ADT74=ADT71)*(ADO71:ADO74=ADO71)*(ADM71:ADM74=ADM71)*(ADQ71:ADQ74=ADQ71)*(ADR71:ADR74&gt;ADR71)),"")</f>
        <v/>
      </c>
      <c r="ADZ71" s="321" t="str">
        <f t="shared" ref="ADZ71" ca="1" si="18307">IF(ADI71&lt;&gt;"",SUMPRODUCT((ADT71:ADT74=ADT71)*(ADO71:ADO74=ADO71)*(ADM71:ADM74=ADM71)*(ADQ71:ADQ74=ADQ71)*(ADR71:ADR74=ADR71)*(ADS71:ADS74&gt;ADS71)),"")</f>
        <v/>
      </c>
      <c r="AEA71" s="321" t="str">
        <f t="shared" ref="AEA71:AEA74" ca="1" si="18308">IF(ADI71&lt;&gt;"",SUM(ADU71:ADZ71),"")</f>
        <v/>
      </c>
      <c r="AHU71" s="321">
        <f ca="1">SUMPRODUCT((AHU31:AHU34=AHU31)*(AHT31:AHT34=AHT31)*(AHR31:AHR34&gt;AHR31))+1</f>
        <v>1</v>
      </c>
      <c r="AIF71" s="321">
        <f t="shared" ref="AIF71" ca="1" si="18309">IF(AIG31&lt;&gt;"",SUMPRODUCT((AIN31:AIN34=AIN31)*(AIM31:AIM34=AIM31)*(AIK31:AIK34=AIK31)*(AIL31:AIL34=AIL31)),"")</f>
        <v>4</v>
      </c>
      <c r="AIG71" s="321" t="str">
        <f t="shared" ref="AIG71:AIG74" ca="1" si="18310">IF(AND(AIF71&lt;&gt;"",AIF71&gt;1),AIG31,"")</f>
        <v>Ukraine</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f t="shared" ref="AIN71:AIN74" ca="1" si="18317">IF(AIG71&lt;&gt;"",AIH71*3+AII71*1,"")</f>
        <v>0</v>
      </c>
      <c r="AIO71" s="321">
        <f t="shared" ref="AIO71" ca="1" si="18318">IF(AIG71&lt;&gt;"",VLOOKUP(AIG71,AHN4:AHT40,7,FALSE),"")</f>
        <v>1000</v>
      </c>
      <c r="AIP71" s="321">
        <f t="shared" ref="AIP71" ca="1" si="18319">IF(AIG71&lt;&gt;"",VLOOKUP(AIG71,AHN4:AHT40,5,FALSE),"")</f>
        <v>0</v>
      </c>
      <c r="AIQ71" s="321">
        <f t="shared" ref="AIQ71" ca="1" si="18320">IF(AIG71&lt;&gt;"",VLOOKUP(AIG71,AHN4:AHV40,9,FALSE),"")</f>
        <v>0</v>
      </c>
      <c r="AIR71" s="321">
        <f t="shared" ref="AIR71:AIR74" ca="1" si="18321">AIN71</f>
        <v>0</v>
      </c>
      <c r="AIS71" s="321">
        <f t="shared" ref="AIS71" ca="1" si="18322">IF(AIG71&lt;&gt;"",RANK(AIR71,AIR71:AIR74),"")</f>
        <v>1</v>
      </c>
      <c r="AIT71" s="321">
        <f t="shared" ref="AIT71" ca="1" si="18323">IF(AIG71&lt;&gt;"",SUMPRODUCT((AIR71:AIR74=AIR71)*(AIM71:AIM74&gt;AIM71)),"")</f>
        <v>0</v>
      </c>
      <c r="AIU71" s="321">
        <f t="shared" ref="AIU71" ca="1" si="18324">IF(AIG71&lt;&gt;"",SUMPRODUCT((AIR71:AIR74=AIR71)*(AIM71:AIM74=AIM71)*(AIK71:AIK74&gt;AIK71)),"")</f>
        <v>0</v>
      </c>
      <c r="AIV71" s="321">
        <f t="shared" ref="AIV71" ca="1" si="18325">IF(AIG71&lt;&gt;"",SUMPRODUCT((AIR71:AIR74=AIR71)*(AIM71:AIM74=AIM71)*(AIK71:AIK74=AIK71)*(AIO71:AIO74&gt;AIO71)),"")</f>
        <v>0</v>
      </c>
      <c r="AIW71" s="321">
        <f t="shared" ref="AIW71" ca="1" si="18326">IF(AIG71&lt;&gt;"",SUMPRODUCT((AIR71:AIR74=AIR71)*(AIM71:AIM74=AIM71)*(AIK71:AIK74=AIK71)*(AIO71:AIO74=AIO71)*(AIP71:AIP74&gt;AIP71)),"")</f>
        <v>0</v>
      </c>
      <c r="AIX71" s="321">
        <f t="shared" ref="AIX71" ca="1" si="18327">IF(AIG71&lt;&gt;"",SUMPRODUCT((AIR71:AIR74=AIR71)*(AIM71:AIM74=AIM71)*(AIK71:AIK74=AIK71)*(AIO71:AIO74=AIO71)*(AIP71:AIP74=AIP71)*(AIQ71:AIQ74&gt;AIQ71)),"")</f>
        <v>3</v>
      </c>
      <c r="AIY71" s="321">
        <f t="shared" ref="AIY71:AIY74" ca="1" si="18328">IF(AIG71&lt;&gt;"",SUM(AIS71:AIX71),"")</f>
        <v>4</v>
      </c>
      <c r="AMS71" s="321">
        <f ca="1">SUMPRODUCT((AMS31:AMS34=AMS31)*(AMR31:AMR34=AMR31)*(AMP31:AMP34&gt;AMP31))+1</f>
        <v>1</v>
      </c>
      <c r="AND71" s="321">
        <f t="shared" ref="AND71" ca="1" si="18329">IF(ANE31&lt;&gt;"",SUMPRODUCT((ANL31:ANL34=ANL31)*(ANK31:ANK34=ANK31)*(ANI31:ANI34=ANI31)*(ANJ31:ANJ34=ANJ31)),"")</f>
        <v>4</v>
      </c>
      <c r="ANE71" s="321" t="str">
        <f t="shared" ref="ANE71:ANE74" ca="1" si="18330">IF(AND(AND71&lt;&gt;"",AND71&gt;1),ANE31,"")</f>
        <v>Ukraine</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f t="shared" ref="ANL71:ANL74" ca="1" si="18337">IF(ANE71&lt;&gt;"",ANF71*3+ANG71*1,"")</f>
        <v>0</v>
      </c>
      <c r="ANM71" s="321">
        <f t="shared" ref="ANM71" ca="1" si="18338">IF(ANE71&lt;&gt;"",VLOOKUP(ANE71,AML4:AMR40,7,FALSE),"")</f>
        <v>1000</v>
      </c>
      <c r="ANN71" s="321">
        <f t="shared" ref="ANN71" ca="1" si="18339">IF(ANE71&lt;&gt;"",VLOOKUP(ANE71,AML4:AMR40,5,FALSE),"")</f>
        <v>0</v>
      </c>
      <c r="ANO71" s="321">
        <f t="shared" ref="ANO71" ca="1" si="18340">IF(ANE71&lt;&gt;"",VLOOKUP(ANE71,AML4:AMT40,9,FALSE),"")</f>
        <v>0</v>
      </c>
      <c r="ANP71" s="321">
        <f t="shared" ref="ANP71:ANP74" ca="1" si="18341">ANL71</f>
        <v>0</v>
      </c>
      <c r="ANQ71" s="321">
        <f t="shared" ref="ANQ71" ca="1" si="18342">IF(ANE71&lt;&gt;"",RANK(ANP71,ANP71:ANP74),"")</f>
        <v>1</v>
      </c>
      <c r="ANR71" s="321">
        <f t="shared" ref="ANR71" ca="1" si="18343">IF(ANE71&lt;&gt;"",SUMPRODUCT((ANP71:ANP74=ANP71)*(ANK71:ANK74&gt;ANK71)),"")</f>
        <v>0</v>
      </c>
      <c r="ANS71" s="321">
        <f t="shared" ref="ANS71" ca="1" si="18344">IF(ANE71&lt;&gt;"",SUMPRODUCT((ANP71:ANP74=ANP71)*(ANK71:ANK74=ANK71)*(ANI71:ANI74&gt;ANI71)),"")</f>
        <v>0</v>
      </c>
      <c r="ANT71" s="321">
        <f t="shared" ref="ANT71" ca="1" si="18345">IF(ANE71&lt;&gt;"",SUMPRODUCT((ANP71:ANP74=ANP71)*(ANK71:ANK74=ANK71)*(ANI71:ANI74=ANI71)*(ANM71:ANM74&gt;ANM71)),"")</f>
        <v>0</v>
      </c>
      <c r="ANU71" s="321">
        <f t="shared" ref="ANU71" ca="1" si="18346">IF(ANE71&lt;&gt;"",SUMPRODUCT((ANP71:ANP74=ANP71)*(ANK71:ANK74=ANK71)*(ANI71:ANI74=ANI71)*(ANM71:ANM74=ANM71)*(ANN71:ANN74&gt;ANN71)),"")</f>
        <v>0</v>
      </c>
      <c r="ANV71" s="321">
        <f t="shared" ref="ANV71" ca="1" si="18347">IF(ANE71&lt;&gt;"",SUMPRODUCT((ANP71:ANP74=ANP71)*(ANK71:ANK74=ANK71)*(ANI71:ANI74=ANI71)*(ANM71:ANM74=ANM71)*(ANN71:ANN74=ANN71)*(ANO71:ANO74&gt;ANO71)),"")</f>
        <v>3</v>
      </c>
      <c r="ANW71" s="321">
        <f t="shared" ref="ANW71:ANW74" ca="1" si="18348">IF(ANE71&lt;&gt;"",SUM(ANQ71:ANV71),"")</f>
        <v>4</v>
      </c>
      <c r="ARQ71" s="321">
        <f ca="1">SUMPRODUCT((ARQ31:ARQ34=ARQ31)*(ARP31:ARP34=ARP31)*(ARN31:ARN34&gt;ARN31))+1</f>
        <v>1</v>
      </c>
      <c r="ASB71" s="321">
        <f t="shared" ref="ASB71" ca="1" si="18349">IF(ASC31&lt;&gt;"",SUMPRODUCT((ASJ31:ASJ34=ASJ31)*(ASI31:ASI34=ASI31)*(ASG31:ASG34=ASG31)*(ASH31:ASH34=ASH31)),"")</f>
        <v>4</v>
      </c>
      <c r="ASC71" s="321" t="str">
        <f t="shared" ref="ASC71:ASC74" ca="1" si="18350">IF(AND(ASB71&lt;&gt;"",ASB71&gt;1),ASC31,"")</f>
        <v>Ukraine</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f t="shared" ref="ASJ71:ASJ74" ca="1" si="18357">IF(ASC71&lt;&gt;"",ASD71*3+ASE71*1,"")</f>
        <v>0</v>
      </c>
      <c r="ASK71" s="321">
        <f t="shared" ref="ASK71" ca="1" si="18358">IF(ASC71&lt;&gt;"",VLOOKUP(ASC71,ARJ4:ARP40,7,FALSE),"")</f>
        <v>1000</v>
      </c>
      <c r="ASL71" s="321">
        <f t="shared" ref="ASL71" ca="1" si="18359">IF(ASC71&lt;&gt;"",VLOOKUP(ASC71,ARJ4:ARP40,5,FALSE),"")</f>
        <v>0</v>
      </c>
      <c r="ASM71" s="321">
        <f t="shared" ref="ASM71" ca="1" si="18360">IF(ASC71&lt;&gt;"",VLOOKUP(ASC71,ARJ4:ARR40,9,FALSE),"")</f>
        <v>0</v>
      </c>
      <c r="ASN71" s="321">
        <f t="shared" ref="ASN71:ASN74" ca="1" si="18361">ASJ71</f>
        <v>0</v>
      </c>
      <c r="ASO71" s="321">
        <f t="shared" ref="ASO71" ca="1" si="18362">IF(ASC71&lt;&gt;"",RANK(ASN71,ASN71:ASN74),"")</f>
        <v>1</v>
      </c>
      <c r="ASP71" s="321">
        <f t="shared" ref="ASP71" ca="1" si="18363">IF(ASC71&lt;&gt;"",SUMPRODUCT((ASN71:ASN74=ASN71)*(ASI71:ASI74&gt;ASI71)),"")</f>
        <v>0</v>
      </c>
      <c r="ASQ71" s="321">
        <f t="shared" ref="ASQ71" ca="1" si="18364">IF(ASC71&lt;&gt;"",SUMPRODUCT((ASN71:ASN74=ASN71)*(ASI71:ASI74=ASI71)*(ASG71:ASG74&gt;ASG71)),"")</f>
        <v>0</v>
      </c>
      <c r="ASR71" s="321">
        <f t="shared" ref="ASR71" ca="1" si="18365">IF(ASC71&lt;&gt;"",SUMPRODUCT((ASN71:ASN74=ASN71)*(ASI71:ASI74=ASI71)*(ASG71:ASG74=ASG71)*(ASK71:ASK74&gt;ASK71)),"")</f>
        <v>0</v>
      </c>
      <c r="ASS71" s="321">
        <f t="shared" ref="ASS71" ca="1" si="18366">IF(ASC71&lt;&gt;"",SUMPRODUCT((ASN71:ASN74=ASN71)*(ASI71:ASI74=ASI71)*(ASG71:ASG74=ASG71)*(ASK71:ASK74=ASK71)*(ASL71:ASL74&gt;ASL71)),"")</f>
        <v>0</v>
      </c>
      <c r="AST71" s="321">
        <f t="shared" ref="AST71" ca="1" si="18367">IF(ASC71&lt;&gt;"",SUMPRODUCT((ASN71:ASN74=ASN71)*(ASI71:ASI74=ASI71)*(ASG71:ASG74=ASG71)*(ASK71:ASK74=ASK71)*(ASL71:ASL74=ASL71)*(ASM71:ASM74&gt;ASM71)),"")</f>
        <v>3</v>
      </c>
      <c r="ASU71" s="321">
        <f t="shared" ref="ASU71:ASU74" ca="1" si="18368">IF(ASC71&lt;&gt;"",SUM(ASO71:AST71),"")</f>
        <v>4</v>
      </c>
      <c r="AWO71" s="321">
        <f ca="1">SUMPRODUCT((AWO31:AWO34=AWO31)*(AWN31:AWN34=AWN31)*(AWL31:AWL34&gt;AWL31))+1</f>
        <v>1</v>
      </c>
      <c r="AWZ71" s="321">
        <f t="shared" ref="AWZ71" ca="1" si="18369">IF(AXA31&lt;&gt;"",SUMPRODUCT((AXH31:AXH34=AXH31)*(AXG31:AXG34=AXG31)*(AXE31:AXE34=AXE31)*(AXF31:AXF34=AXF31)),"")</f>
        <v>4</v>
      </c>
      <c r="AXA71" s="321" t="str">
        <f t="shared" ref="AXA71:AXA74" ca="1" si="18370">IF(AND(AWZ71&lt;&gt;"",AWZ71&gt;1),AXA31,"")</f>
        <v>Ukraine</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f t="shared" ref="AXH71:AXH74" ca="1" si="18377">IF(AXA71&lt;&gt;"",AXB71*3+AXC71*1,"")</f>
        <v>0</v>
      </c>
      <c r="AXI71" s="321">
        <f t="shared" ref="AXI71" ca="1" si="18378">IF(AXA71&lt;&gt;"",VLOOKUP(AXA71,AWH4:AWN40,7,FALSE),"")</f>
        <v>1000</v>
      </c>
      <c r="AXJ71" s="321">
        <f t="shared" ref="AXJ71" ca="1" si="18379">IF(AXA71&lt;&gt;"",VLOOKUP(AXA71,AWH4:AWN40,5,FALSE),"")</f>
        <v>0</v>
      </c>
      <c r="AXK71" s="321">
        <f t="shared" ref="AXK71" ca="1" si="18380">IF(AXA71&lt;&gt;"",VLOOKUP(AXA71,AWH4:AWP40,9,FALSE),"")</f>
        <v>0</v>
      </c>
      <c r="AXL71" s="321">
        <f t="shared" ref="AXL71:AXL74" ca="1" si="18381">AXH71</f>
        <v>0</v>
      </c>
      <c r="AXM71" s="321">
        <f t="shared" ref="AXM71" ca="1" si="18382">IF(AXA71&lt;&gt;"",RANK(AXL71,AXL71:AXL74),"")</f>
        <v>1</v>
      </c>
      <c r="AXN71" s="321">
        <f t="shared" ref="AXN71" ca="1" si="18383">IF(AXA71&lt;&gt;"",SUMPRODUCT((AXL71:AXL74=AXL71)*(AXG71:AXG74&gt;AXG71)),"")</f>
        <v>0</v>
      </c>
      <c r="AXO71" s="321">
        <f t="shared" ref="AXO71" ca="1" si="18384">IF(AXA71&lt;&gt;"",SUMPRODUCT((AXL71:AXL74=AXL71)*(AXG71:AXG74=AXG71)*(AXE71:AXE74&gt;AXE71)),"")</f>
        <v>0</v>
      </c>
      <c r="AXP71" s="321">
        <f t="shared" ref="AXP71" ca="1" si="18385">IF(AXA71&lt;&gt;"",SUMPRODUCT((AXL71:AXL74=AXL71)*(AXG71:AXG74=AXG71)*(AXE71:AXE74=AXE71)*(AXI71:AXI74&gt;AXI71)),"")</f>
        <v>0</v>
      </c>
      <c r="AXQ71" s="321">
        <f t="shared" ref="AXQ71" ca="1" si="18386">IF(AXA71&lt;&gt;"",SUMPRODUCT((AXL71:AXL74=AXL71)*(AXG71:AXG74=AXG71)*(AXE71:AXE74=AXE71)*(AXI71:AXI74=AXI71)*(AXJ71:AXJ74&gt;AXJ71)),"")</f>
        <v>0</v>
      </c>
      <c r="AXR71" s="321">
        <f t="shared" ref="AXR71" ca="1" si="18387">IF(AXA71&lt;&gt;"",SUMPRODUCT((AXL71:AXL74=AXL71)*(AXG71:AXG74=AXG71)*(AXE71:AXE74=AXE71)*(AXI71:AXI74=AXI71)*(AXJ71:AXJ74=AXJ71)*(AXK71:AXK74&gt;AXK71)),"")</f>
        <v>3</v>
      </c>
      <c r="AXS71" s="321">
        <f t="shared" ref="AXS71:AXS74" ca="1" si="18388">IF(AXA71&lt;&gt;"",SUM(AXM71:AXR71),"")</f>
        <v>4</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2">
      <c r="I72" s="321">
        <f>SUMPRODUCT((I31:I34=I32)*(H31:H34=H32)*(F31:F34&gt;F32))+1</f>
        <v>1</v>
      </c>
      <c r="T72" s="321">
        <f>IF(U32&lt;&gt;"",SUMPRODUCT((AB31:AB34=AB32)*(AA31:AA34=AA32)*(Y31:Y34=Y32)*(Z31:Z34=Z32)),"")</f>
        <v>2</v>
      </c>
      <c r="U72" s="321" t="str">
        <f t="shared" ref="U72:U74" si="18409">IF(AND(T72&lt;&gt;"",T72&gt;1),U32,"")</f>
        <v>Romania</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f t="shared" ref="AB72:AB74" si="18410">IF(U72&lt;&gt;"",V72*3+W72*1,"")</f>
        <v>0</v>
      </c>
      <c r="AC72" s="321">
        <f>IF(U72&lt;&gt;"",VLOOKUP(U72,B4:H40,7,FALSE),"")</f>
        <v>1003</v>
      </c>
      <c r="AD72" s="321">
        <f>IF(U72&lt;&gt;"",VLOOKUP(U72,B4:H40,5,FALSE),"")</f>
        <v>3</v>
      </c>
      <c r="AE72" s="321">
        <f>IF(U72&lt;&gt;"",VLOOKUP(U72,B4:J40,9,FALSE),"")</f>
        <v>46</v>
      </c>
      <c r="AF72" s="321">
        <f t="shared" ref="AF72:AF74" si="18411">AB72</f>
        <v>0</v>
      </c>
      <c r="AG72" s="321">
        <f>IF(U72&lt;&gt;"",RANK(AF72,AF71:AF74),"")</f>
        <v>1</v>
      </c>
      <c r="AH72" s="321">
        <f>IF(U72&lt;&gt;"",SUMPRODUCT((AF71:AF74=AF72)*(AA71:AA74&gt;AA72)),"")</f>
        <v>0</v>
      </c>
      <c r="AI72" s="321">
        <f>IF(U72&lt;&gt;"",SUMPRODUCT((AF71:AF74=AF72)*(AA71:AA74=AA72)*(Y71:Y74&gt;Y72)),"")</f>
        <v>0</v>
      </c>
      <c r="AJ72" s="321">
        <f>IF(U72&lt;&gt;"",SUMPRODUCT((AF71:AF74=AF72)*(AA71:AA74=AA72)*(Y71:Y74=Y72)*(AC71:AC74&gt;AC72)),"")</f>
        <v>0</v>
      </c>
      <c r="AK72" s="321">
        <f>IF(U72&lt;&gt;"",SUMPRODUCT((AF71:AF74=AF72)*(AA71:AA74=AA72)*(Y71:Y74=Y72)*(AC71:AC74=AC72)*(AD71:AD74&gt;AD72)),"")</f>
        <v>0</v>
      </c>
      <c r="AL72" s="321">
        <f>IF(U72&lt;&gt;"",SUMPRODUCT((AF71:AF74=AF72)*(AA71:AA74=AA72)*(Y71:Y74=Y72)*(AC71:AC74=AC72)*(AD71:AD74=AD72)*(AE71:AE74&gt;AE72)),"")</f>
        <v>0</v>
      </c>
      <c r="AM72" s="321">
        <f>IF(U72&lt;&gt;"",SUM(AG72:AL72),"")</f>
        <v>1</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f ca="1">IF(FM32&lt;&gt;"",SUMPRODUCT((FT31:FT34=FT32)*(FS31:FS34=FS32)*(FQ31:FQ34=FQ32)*(FR31:FR34=FR32)),"")</f>
        <v>3</v>
      </c>
      <c r="FM72" s="321" t="str">
        <f t="shared" ref="FM72:FM74" ca="1" si="18418">IF(AND(FL72&lt;&gt;"",FL72&gt;1),FM32,"")</f>
        <v>Ukraine</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2</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2</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2</v>
      </c>
      <c r="FS72" s="321">
        <f ca="1">FQ72-FR72+1000</f>
        <v>1000</v>
      </c>
      <c r="FT72" s="321">
        <f t="shared" ref="FT72:FT74" ca="1" si="18419">IF(FM72&lt;&gt;"",FN72*3+FO72*1,"")</f>
        <v>2</v>
      </c>
      <c r="FU72" s="321">
        <f ca="1">IF(FM72&lt;&gt;"",VLOOKUP(FM72,DZ4:EF40,7,FALSE),"")</f>
        <v>997</v>
      </c>
      <c r="FV72" s="321">
        <f ca="1">IF(FM72&lt;&gt;"",VLOOKUP(FM72,DZ4:EF40,5,FALSE),"")</f>
        <v>2</v>
      </c>
      <c r="FW72" s="321">
        <f ca="1">IF(FM72&lt;&gt;"",VLOOKUP(FM72,DZ4:EH40,9,FALSE),"")</f>
        <v>0</v>
      </c>
      <c r="FX72" s="321">
        <f t="shared" ref="FX72:FX74" ca="1" si="18420">FT72</f>
        <v>2</v>
      </c>
      <c r="FY72" s="321">
        <f ca="1">IF(FM72&lt;&gt;"",RANK(FX72,FX71:FX74),"")</f>
        <v>1</v>
      </c>
      <c r="FZ72" s="321">
        <f ca="1">IF(FM72&lt;&gt;"",SUMPRODUCT((FX71:FX74=FX72)*(FS71:FS74&gt;FS72)),"")</f>
        <v>0</v>
      </c>
      <c r="GA72" s="321">
        <f ca="1">IF(FM72&lt;&gt;"",SUMPRODUCT((FX71:FX74=FX72)*(FS71:FS74=FS72)*(FQ71:FQ74&gt;FQ72)),"")</f>
        <v>0</v>
      </c>
      <c r="GB72" s="321">
        <f ca="1">IF(FM72&lt;&gt;"",SUMPRODUCT((FX71:FX74=FX72)*(FS71:FS74=FS72)*(FQ71:FQ74=FQ72)*(FU71:FU74&gt;FU72)),"")</f>
        <v>1</v>
      </c>
      <c r="GC72" s="321">
        <f ca="1">IF(FM72&lt;&gt;"",SUMPRODUCT((FX71:FX74=FX72)*(FS71:FS74=FS72)*(FQ71:FQ74=FQ72)*(FU71:FU74=FU72)*(FV71:FV74&gt;FV72)),"")</f>
        <v>0</v>
      </c>
      <c r="GD72" s="321">
        <f ca="1">IF(FM72&lt;&gt;"",SUMPRODUCT((FX71:FX74=FX72)*(FS71:FS74=FS72)*(FQ71:FQ74=FQ72)*(FU71:FU74=FU72)*(FV71:FV74=FV72)*(FW71:FW74&gt;FW72)),"")</f>
        <v>0</v>
      </c>
      <c r="GE72" s="321">
        <f ca="1">IF(FM72&lt;&gt;"",SUM(FY72:GD72)+1,"")</f>
        <v>3</v>
      </c>
      <c r="JE72" s="321">
        <f ca="1">SUMPRODUCT((JE31:JE34=JE32)*(JD31:JD34=JD32)*(JB31:JB34&gt;JB32))+1</f>
        <v>2</v>
      </c>
      <c r="JP72" s="321" t="str">
        <f ca="1">IF(JQ32&lt;&gt;"",SUMPRODUCT((JX31:JX34=JX32)*(JW31:JW34=JW32)*(JU31:JU34=JU32)*(JV31:JV34=JV32)),"")</f>
        <v/>
      </c>
      <c r="JQ72" s="321" t="str">
        <f t="shared" ref="JQ72:JQ74" ca="1" si="18421">IF(AND(JP72&lt;&gt;"",JP72&gt;1),JQ32,"")</f>
        <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1">
        <f ca="1">JU72-JV72+1000</f>
        <v>1000</v>
      </c>
      <c r="JX72" s="321" t="str">
        <f t="shared" ref="JX72:JX74" ca="1" si="18422">IF(JQ72&lt;&gt;"",JR72*3+JS72*1,"")</f>
        <v/>
      </c>
      <c r="JY72" s="321" t="str">
        <f ca="1">IF(JQ72&lt;&gt;"",VLOOKUP(JQ72,IX4:JD40,7,FALSE),"")</f>
        <v/>
      </c>
      <c r="JZ72" s="321" t="str">
        <f ca="1">IF(JQ72&lt;&gt;"",VLOOKUP(JQ72,IX4:JD40,5,FALSE),"")</f>
        <v/>
      </c>
      <c r="KA72" s="321" t="str">
        <f ca="1">IF(JQ72&lt;&gt;"",VLOOKUP(JQ72,IX4:JF40,9,FALSE),"")</f>
        <v/>
      </c>
      <c r="KB72" s="321" t="str">
        <f t="shared" ref="KB72:KB74" ca="1" si="18423">JX72</f>
        <v/>
      </c>
      <c r="KC72" s="321" t="str">
        <f ca="1">IF(JQ72&lt;&gt;"",RANK(KB72,KB71:KB74),"")</f>
        <v/>
      </c>
      <c r="KD72" s="321" t="str">
        <f ca="1">IF(JQ72&lt;&gt;"",SUMPRODUCT((KB71:KB74=KB72)*(JW71:JW74&gt;JW72)),"")</f>
        <v/>
      </c>
      <c r="KE72" s="321" t="str">
        <f ca="1">IF(JQ72&lt;&gt;"",SUMPRODUCT((KB71:KB74=KB72)*(JW71:JW74=JW72)*(JU71:JU74&gt;JU72)),"")</f>
        <v/>
      </c>
      <c r="KF72" s="321" t="str">
        <f ca="1">IF(JQ72&lt;&gt;"",SUMPRODUCT((KB71:KB74=KB72)*(JW71:JW74=JW72)*(JU71:JU74=JU72)*(JY71:JY74&gt;JY72)),"")</f>
        <v/>
      </c>
      <c r="KG72" s="321" t="str">
        <f ca="1">IF(JQ72&lt;&gt;"",SUMPRODUCT((KB71:KB74=KB72)*(JW71:JW74=JW72)*(JU71:JU74=JU72)*(JY71:JY74=JY72)*(JZ71:JZ74&gt;JZ72)),"")</f>
        <v/>
      </c>
      <c r="KH72" s="321" t="str">
        <f ca="1">IF(JQ72&lt;&gt;"",SUMPRODUCT((KB71:KB74=KB72)*(JW71:JW74=JW72)*(JU71:JU74=JU72)*(JY71:JY74=JY72)*(JZ71:JZ74=JZ72)*(KA71:KA74&gt;KA72)),"")</f>
        <v/>
      </c>
      <c r="KI72" s="321" t="str">
        <f ca="1">IF(JQ72&lt;&gt;"",SUM(KC72:KH72),"")</f>
        <v/>
      </c>
      <c r="KJ72" s="321" t="str">
        <f ca="1">IF(KK32&lt;&gt;"",SUMPRODUCT((KR31:KR34=KR32)*(KQ31:KQ34=KQ32)*(KO31:KO34=KO32)*(KP31:KP34=KP32)),"")</f>
        <v/>
      </c>
      <c r="KK72" s="321" t="str">
        <f t="shared" ref="KK72:KK74" ca="1" si="18424">IF(AND(KJ72&lt;&gt;"",KJ72&gt;1),KK32,"")</f>
        <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0</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0</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0</v>
      </c>
      <c r="KQ72" s="321">
        <f ca="1">KO72-KP72+1000</f>
        <v>1000</v>
      </c>
      <c r="KR72" s="321" t="str">
        <f t="shared" ref="KR72:KR74" ca="1" si="18425">IF(KK72&lt;&gt;"",KL72*3+KM72*1,"")</f>
        <v/>
      </c>
      <c r="KS72" s="321" t="str">
        <f ca="1">IF(KK72&lt;&gt;"",VLOOKUP(KK72,IX4:JD40,7,FALSE),"")</f>
        <v/>
      </c>
      <c r="KT72" s="321" t="str">
        <f ca="1">IF(KK72&lt;&gt;"",VLOOKUP(KK72,IX4:JD40,5,FALSE),"")</f>
        <v/>
      </c>
      <c r="KU72" s="321" t="str">
        <f ca="1">IF(KK72&lt;&gt;"",VLOOKUP(KK72,IX4:JF40,9,FALSE),"")</f>
        <v/>
      </c>
      <c r="KV72" s="321" t="str">
        <f t="shared" ref="KV72:KV74" ca="1" si="18426">KR72</f>
        <v/>
      </c>
      <c r="KW72" s="321" t="str">
        <f ca="1">IF(KK72&lt;&gt;"",RANK(KV72,KV71:KV74),"")</f>
        <v/>
      </c>
      <c r="KX72" s="321" t="str">
        <f ca="1">IF(KK72&lt;&gt;"",SUMPRODUCT((KV71:KV74=KV72)*(KQ71:KQ74&gt;KQ72)),"")</f>
        <v/>
      </c>
      <c r="KY72" s="321" t="str">
        <f ca="1">IF(KK72&lt;&gt;"",SUMPRODUCT((KV71:KV74=KV72)*(KQ71:KQ74=KQ72)*(KO71:KO74&gt;KO72)),"")</f>
        <v/>
      </c>
      <c r="KZ72" s="321" t="str">
        <f ca="1">IF(KK72&lt;&gt;"",SUMPRODUCT((KV71:KV74=KV72)*(KQ71:KQ74=KQ72)*(KO71:KO74=KO72)*(KS71:KS74&gt;KS72)),"")</f>
        <v/>
      </c>
      <c r="LA72" s="321" t="str">
        <f ca="1">IF(KK72&lt;&gt;"",SUMPRODUCT((KV71:KV74=KV72)*(KQ71:KQ74=KQ72)*(KO71:KO74=KO72)*(KS71:KS74=KS72)*(KT71:KT74&gt;KT72)),"")</f>
        <v/>
      </c>
      <c r="LB72" s="321" t="str">
        <f ca="1">IF(KK72&lt;&gt;"",SUMPRODUCT((KV71:KV74=KV72)*(KQ71:KQ74=KQ72)*(KO71:KO74=KO72)*(KS71:KS74=KS72)*(KT71:KT74=KT72)*(KU71:KU74&gt;KU72)),"")</f>
        <v/>
      </c>
      <c r="LC72" s="321" t="str">
        <f ca="1">IF(KK72&lt;&gt;"",SUM(KW72:LB72)+1,"")</f>
        <v/>
      </c>
      <c r="OC72" s="321">
        <f ca="1">SUMPRODUCT((OC31:OC34=OC32)*(OB31:OB34=OB32)*(NZ31:NZ34&gt;NZ32))+1</f>
        <v>1</v>
      </c>
      <c r="ON72" s="321" t="str">
        <f t="shared" ref="ON72" ca="1" si="18427">IF(OO32&lt;&gt;"",SUMPRODUCT((OV31:OV34=OV32)*(OU31:OU34=OU32)*(OS31:OS34=OS32)*(OT31:OT34=OT32)),"")</f>
        <v/>
      </c>
      <c r="OO72" s="321" t="str">
        <f t="shared" ca="1" si="18230"/>
        <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t="str">
        <f t="shared" ca="1" si="18237"/>
        <v/>
      </c>
      <c r="OW72" s="321" t="str">
        <f t="shared" ref="OW72" ca="1" si="18433">IF(OO72&lt;&gt;"",VLOOKUP(OO72,NV4:OB40,7,FALSE),"")</f>
        <v/>
      </c>
      <c r="OX72" s="321" t="str">
        <f t="shared" ref="OX72" ca="1" si="18434">IF(OO72&lt;&gt;"",VLOOKUP(OO72,NV4:OB40,5,FALSE),"")</f>
        <v/>
      </c>
      <c r="OY72" s="321" t="str">
        <f t="shared" ref="OY72" ca="1" si="18435">IF(OO72&lt;&gt;"",VLOOKUP(OO72,NV4:OD40,9,FALSE),"")</f>
        <v/>
      </c>
      <c r="OZ72" s="321" t="str">
        <f t="shared" ca="1" si="18241"/>
        <v/>
      </c>
      <c r="PA72" s="321" t="str">
        <f t="shared" ref="PA72" ca="1" si="18436">IF(OO72&lt;&gt;"",RANK(OZ72,OZ71:OZ74),"")</f>
        <v/>
      </c>
      <c r="PB72" s="321" t="str">
        <f t="shared" ref="PB72" ca="1" si="18437">IF(OO72&lt;&gt;"",SUMPRODUCT((OZ71:OZ74=OZ72)*(OU71:OU74&gt;OU72)),"")</f>
        <v/>
      </c>
      <c r="PC72" s="321" t="str">
        <f t="shared" ref="PC72" ca="1" si="18438">IF(OO72&lt;&gt;"",SUMPRODUCT((OZ71:OZ74=OZ72)*(OU71:OU74=OU72)*(OS71:OS74&gt;OS72)),"")</f>
        <v/>
      </c>
      <c r="PD72" s="321" t="str">
        <f t="shared" ref="PD72" ca="1" si="18439">IF(OO72&lt;&gt;"",SUMPRODUCT((OZ71:OZ74=OZ72)*(OU71:OU74=OU72)*(OS71:OS74=OS72)*(OW71:OW74&gt;OW72)),"")</f>
        <v/>
      </c>
      <c r="PE72" s="321" t="str">
        <f t="shared" ref="PE72" ca="1" si="18440">IF(OO72&lt;&gt;"",SUMPRODUCT((OZ71:OZ74=OZ72)*(OU71:OU74=OU72)*(OS71:OS74=OS72)*(OW71:OW74=OW72)*(OX71:OX74&gt;OX72)),"")</f>
        <v/>
      </c>
      <c r="PF72" s="321" t="str">
        <f t="shared" ref="PF72" ca="1" si="18441">IF(OO72&lt;&gt;"",SUMPRODUCT((OZ71:OZ74=OZ72)*(OU71:OU74=OU72)*(OS71:OS74=OS72)*(OW71:OW74=OW72)*(OX71:OX74=OX72)*(OY71:OY74&gt;OY72)),"")</f>
        <v/>
      </c>
      <c r="PG72" s="321" t="str">
        <f t="shared" ca="1" si="18248"/>
        <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t="str">
        <f t="shared" ref="TL72" ca="1" si="18462">IF(TM32&lt;&gt;"",SUMPRODUCT((TT31:TT34=TT32)*(TS31:TS34=TS32)*(TQ31:TQ34=TQ32)*(TR31:TR34=TR32)),"")</f>
        <v/>
      </c>
      <c r="TM72" s="321" t="str">
        <f t="shared" ca="1" si="18250"/>
        <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t="str">
        <f t="shared" ca="1" si="18257"/>
        <v/>
      </c>
      <c r="TU72" s="321" t="str">
        <f t="shared" ref="TU72" ca="1" si="18468">IF(TM72&lt;&gt;"",VLOOKUP(TM72,ST4:SZ40,7,FALSE),"")</f>
        <v/>
      </c>
      <c r="TV72" s="321" t="str">
        <f t="shared" ref="TV72" ca="1" si="18469">IF(TM72&lt;&gt;"",VLOOKUP(TM72,ST4:SZ40,5,FALSE),"")</f>
        <v/>
      </c>
      <c r="TW72" s="321" t="str">
        <f t="shared" ref="TW72" ca="1" si="18470">IF(TM72&lt;&gt;"",VLOOKUP(TM72,ST4:TB40,9,FALSE),"")</f>
        <v/>
      </c>
      <c r="TX72" s="321" t="str">
        <f t="shared" ca="1" si="18261"/>
        <v/>
      </c>
      <c r="TY72" s="321" t="str">
        <f t="shared" ref="TY72" ca="1" si="18471">IF(TM72&lt;&gt;"",RANK(TX72,TX71:TX74),"")</f>
        <v/>
      </c>
      <c r="TZ72" s="321" t="str">
        <f t="shared" ref="TZ72" ca="1" si="18472">IF(TM72&lt;&gt;"",SUMPRODUCT((TX71:TX74=TX72)*(TS71:TS74&gt;TS72)),"")</f>
        <v/>
      </c>
      <c r="UA72" s="321" t="str">
        <f t="shared" ref="UA72" ca="1" si="18473">IF(TM72&lt;&gt;"",SUMPRODUCT((TX71:TX74=TX72)*(TS71:TS74=TS72)*(TQ71:TQ74&gt;TQ72)),"")</f>
        <v/>
      </c>
      <c r="UB72" s="321" t="str">
        <f t="shared" ref="UB72" ca="1" si="18474">IF(TM72&lt;&gt;"",SUMPRODUCT((TX71:TX74=TX72)*(TS71:TS74=TS72)*(TQ71:TQ74=TQ72)*(TU71:TU74&gt;TU72)),"")</f>
        <v/>
      </c>
      <c r="UC72" s="321" t="str">
        <f t="shared" ref="UC72" ca="1" si="18475">IF(TM72&lt;&gt;"",SUMPRODUCT((TX71:TX74=TX72)*(TS71:TS74=TS72)*(TQ71:TQ74=TQ72)*(TU71:TU74=TU72)*(TV71:TV74&gt;TV72)),"")</f>
        <v/>
      </c>
      <c r="UD72" s="321" t="str">
        <f t="shared" ref="UD72" ca="1" si="18476">IF(TM72&lt;&gt;"",SUMPRODUCT((TX71:TX74=TX72)*(TS71:TS74=TS72)*(TQ71:TQ74=TQ72)*(TU71:TU74=TU72)*(TV71:TV74=TV72)*(TW71:TW74&gt;TW72)),"")</f>
        <v/>
      </c>
      <c r="UE72" s="321" t="str">
        <f t="shared" ca="1" si="18268"/>
        <v/>
      </c>
      <c r="UF72" s="321">
        <f t="shared" ref="UF72" ca="1" si="18477">IF(UG32&lt;&gt;"",SUMPRODUCT((UN31:UN34=UN32)*(UM31:UM34=UM32)*(UK31:UK34=UK32)*(UL31:UL34=UL32)),"")</f>
        <v>2</v>
      </c>
      <c r="UG72" s="321" t="str">
        <f t="shared" ref="UG72:UG74" ca="1" si="18478">IF(AND(UF72&lt;&gt;"",UF72&gt;1),UG32,"")</f>
        <v>Ukraine</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1</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f t="shared" ref="UN72:UN74" ca="1" si="18485">IF(UG72&lt;&gt;"",UH72*3+UI72*1,"")</f>
        <v>1</v>
      </c>
      <c r="UO72" s="321">
        <f t="shared" ref="UO72" ca="1" si="18486">IF(UG72&lt;&gt;"",VLOOKUP(UG72,ST4:SZ40,7,FALSE),"")</f>
        <v>999</v>
      </c>
      <c r="UP72" s="321">
        <f t="shared" ref="UP72" ca="1" si="18487">IF(UG72&lt;&gt;"",VLOOKUP(UG72,ST4:SZ40,5,FALSE),"")</f>
        <v>1</v>
      </c>
      <c r="UQ72" s="321">
        <f t="shared" ref="UQ72" ca="1" si="18488">IF(UG72&lt;&gt;"",VLOOKUP(UG72,ST4:TB40,9,FALSE),"")</f>
        <v>0</v>
      </c>
      <c r="UR72" s="321">
        <f t="shared" ref="UR72:UR74" ca="1" si="18489">UN72</f>
        <v>1</v>
      </c>
      <c r="US72" s="321">
        <f t="shared" ref="US72" ca="1" si="18490">IF(UG72&lt;&gt;"",RANK(UR72,UR71:UR74),"")</f>
        <v>1</v>
      </c>
      <c r="UT72" s="321">
        <f t="shared" ref="UT72" ca="1" si="18491">IF(UG72&lt;&gt;"",SUMPRODUCT((UR71:UR74=UR72)*(UM71:UM74&gt;UM72)),"")</f>
        <v>0</v>
      </c>
      <c r="UU72" s="321">
        <f t="shared" ref="UU72" ca="1" si="18492">IF(UG72&lt;&gt;"",SUMPRODUCT((UR71:UR74=UR72)*(UM71:UM74=UM72)*(UK71:UK74&gt;UK72)),"")</f>
        <v>0</v>
      </c>
      <c r="UV72" s="321">
        <f t="shared" ref="UV72" ca="1" si="18493">IF(UG72&lt;&gt;"",SUMPRODUCT((UR71:UR74=UR72)*(UM71:UM74=UM72)*(UK71:UK74=UK72)*(UO71:UO74&gt;UO72)),"")</f>
        <v>0</v>
      </c>
      <c r="UW72" s="321">
        <f t="shared" ref="UW72" ca="1" si="18494">IF(UG72&lt;&gt;"",SUMPRODUCT((UR71:UR74=UR72)*(UM71:UM74=UM72)*(UK71:UK74=UK72)*(UO71:UO74=UO72)*(UP71:UP74&gt;UP72)),"")</f>
        <v>1</v>
      </c>
      <c r="UX72" s="321">
        <f t="shared" ref="UX72" ca="1" si="18495">IF(UG72&lt;&gt;"",SUMPRODUCT((UR71:UR74=UR72)*(UM71:UM74=UM72)*(UK71:UK74=UK72)*(UO71:UO74=UO72)*(UP71:UP74=UP72)*(UQ71:UQ74&gt;UQ72)),"")</f>
        <v>0</v>
      </c>
      <c r="UY72" s="321">
        <f t="shared" ref="UY72" ca="1" si="18496">IF(UG72&lt;&gt;"",SUM(US72:UX72)+1,"")</f>
        <v>3</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t="str">
        <f t="shared" ref="ADH72" ca="1" si="18532">IF(ADI32&lt;&gt;"",SUMPRODUCT((ADP31:ADP34=ADP32)*(ADO31:ADO34=ADO32)*(ADM31:ADM34=ADM32)*(ADN31:ADN34=ADN32)),"")</f>
        <v/>
      </c>
      <c r="ADI72" s="321" t="str">
        <f t="shared" ca="1" si="18290"/>
        <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t="str">
        <f t="shared" ca="1" si="18297"/>
        <v/>
      </c>
      <c r="ADQ72" s="321" t="str">
        <f t="shared" ref="ADQ72" ca="1" si="18538">IF(ADI72&lt;&gt;"",VLOOKUP(ADI72,ACP4:ACV40,7,FALSE),"")</f>
        <v/>
      </c>
      <c r="ADR72" s="321" t="str">
        <f t="shared" ref="ADR72" ca="1" si="18539">IF(ADI72&lt;&gt;"",VLOOKUP(ADI72,ACP4:ACV40,5,FALSE),"")</f>
        <v/>
      </c>
      <c r="ADS72" s="321" t="str">
        <f t="shared" ref="ADS72" ca="1" si="18540">IF(ADI72&lt;&gt;"",VLOOKUP(ADI72,ACP4:ACX40,9,FALSE),"")</f>
        <v/>
      </c>
      <c r="ADT72" s="321" t="str">
        <f t="shared" ca="1" si="18301"/>
        <v/>
      </c>
      <c r="ADU72" s="321" t="str">
        <f t="shared" ref="ADU72" ca="1" si="18541">IF(ADI72&lt;&gt;"",RANK(ADT72,ADT71:ADT74),"")</f>
        <v/>
      </c>
      <c r="ADV72" s="321" t="str">
        <f t="shared" ref="ADV72" ca="1" si="18542">IF(ADI72&lt;&gt;"",SUMPRODUCT((ADT71:ADT74=ADT72)*(ADO71:ADO74&gt;ADO72)),"")</f>
        <v/>
      </c>
      <c r="ADW72" s="321" t="str">
        <f t="shared" ref="ADW72" ca="1" si="18543">IF(ADI72&lt;&gt;"",SUMPRODUCT((ADT71:ADT74=ADT72)*(ADO71:ADO74=ADO72)*(ADM71:ADM74&gt;ADM72)),"")</f>
        <v/>
      </c>
      <c r="ADX72" s="321" t="str">
        <f t="shared" ref="ADX72" ca="1" si="18544">IF(ADI72&lt;&gt;"",SUMPRODUCT((ADT71:ADT74=ADT72)*(ADO71:ADO74=ADO72)*(ADM71:ADM74=ADM72)*(ADQ71:ADQ74&gt;ADQ72)),"")</f>
        <v/>
      </c>
      <c r="ADY72" s="321" t="str">
        <f t="shared" ref="ADY72" ca="1" si="18545">IF(ADI72&lt;&gt;"",SUMPRODUCT((ADT71:ADT74=ADT72)*(ADO71:ADO74=ADO72)*(ADM71:ADM74=ADM72)*(ADQ71:ADQ74=ADQ72)*(ADR71:ADR74&gt;ADR72)),"")</f>
        <v/>
      </c>
      <c r="ADZ72" s="321" t="str">
        <f t="shared" ref="ADZ72" ca="1" si="18546">IF(ADI72&lt;&gt;"",SUMPRODUCT((ADT71:ADT74=ADT72)*(ADO71:ADO74=ADO72)*(ADM71:ADM74=ADM72)*(ADQ71:ADQ74=ADQ72)*(ADR71:ADR74=ADR72)*(ADS71:ADS74&gt;ADS72)),"")</f>
        <v/>
      </c>
      <c r="AEA72" s="321" t="str">
        <f t="shared" ca="1" si="18308"/>
        <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f t="shared" ref="AIF72" ca="1" si="18567">IF(AIG32&lt;&gt;"",SUMPRODUCT((AIN31:AIN34=AIN32)*(AIM31:AIM34=AIM32)*(AIK31:AIK34=AIK32)*(AIL31:AIL34=AIL32)),"")</f>
        <v>4</v>
      </c>
      <c r="AIG72" s="321" t="str">
        <f t="shared" ca="1" si="18310"/>
        <v>Slovakia</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f t="shared" ca="1" si="18317"/>
        <v>0</v>
      </c>
      <c r="AIO72" s="321">
        <f t="shared" ref="AIO72" ca="1" si="18573">IF(AIG72&lt;&gt;"",VLOOKUP(AIG72,AHN4:AHT40,7,FALSE),"")</f>
        <v>1000</v>
      </c>
      <c r="AIP72" s="321">
        <f t="shared" ref="AIP72" ca="1" si="18574">IF(AIG72&lt;&gt;"",VLOOKUP(AIG72,AHN4:AHT40,5,FALSE),"")</f>
        <v>0</v>
      </c>
      <c r="AIQ72" s="321">
        <f t="shared" ref="AIQ72" ca="1" si="18575">IF(AIG72&lt;&gt;"",VLOOKUP(AIG72,AHN4:AHV40,9,FALSE),"")</f>
        <v>38</v>
      </c>
      <c r="AIR72" s="321">
        <f t="shared" ca="1" si="18321"/>
        <v>0</v>
      </c>
      <c r="AIS72" s="321">
        <f t="shared" ref="AIS72" ca="1" si="18576">IF(AIG72&lt;&gt;"",RANK(AIR72,AIR71:AIR74),"")</f>
        <v>1</v>
      </c>
      <c r="AIT72" s="321">
        <f t="shared" ref="AIT72" ca="1" si="18577">IF(AIG72&lt;&gt;"",SUMPRODUCT((AIR71:AIR74=AIR72)*(AIM71:AIM74&gt;AIM72)),"")</f>
        <v>0</v>
      </c>
      <c r="AIU72" s="321">
        <f t="shared" ref="AIU72" ca="1" si="18578">IF(AIG72&lt;&gt;"",SUMPRODUCT((AIR71:AIR74=AIR72)*(AIM71:AIM74=AIM72)*(AIK71:AIK74&gt;AIK72)),"")</f>
        <v>0</v>
      </c>
      <c r="AIV72" s="321">
        <f t="shared" ref="AIV72" ca="1" si="18579">IF(AIG72&lt;&gt;"",SUMPRODUCT((AIR71:AIR74=AIR72)*(AIM71:AIM74=AIM72)*(AIK71:AIK74=AIK72)*(AIO71:AIO74&gt;AIO72)),"")</f>
        <v>0</v>
      </c>
      <c r="AIW72" s="321">
        <f t="shared" ref="AIW72" ca="1" si="18580">IF(AIG72&lt;&gt;"",SUMPRODUCT((AIR71:AIR74=AIR72)*(AIM71:AIM74=AIM72)*(AIK71:AIK74=AIK72)*(AIO71:AIO74=AIO72)*(AIP71:AIP74&gt;AIP72)),"")</f>
        <v>0</v>
      </c>
      <c r="AIX72" s="321">
        <f t="shared" ref="AIX72" ca="1" si="18581">IF(AIG72&lt;&gt;"",SUMPRODUCT((AIR71:AIR74=AIR72)*(AIM71:AIM74=AIM72)*(AIK71:AIK74=AIK72)*(AIO71:AIO74=AIO72)*(AIP71:AIP74=AIP72)*(AIQ71:AIQ74&gt;AIQ72)),"")</f>
        <v>2</v>
      </c>
      <c r="AIY72" s="321">
        <f t="shared" ca="1" si="18328"/>
        <v>3</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f t="shared" ref="AND72" ca="1" si="18602">IF(ANE32&lt;&gt;"",SUMPRODUCT((ANL31:ANL34=ANL32)*(ANK31:ANK34=ANK32)*(ANI31:ANI34=ANI32)*(ANJ31:ANJ34=ANJ32)),"")</f>
        <v>4</v>
      </c>
      <c r="ANE72" s="321" t="str">
        <f t="shared" ca="1" si="18330"/>
        <v>Slovakia</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f t="shared" ca="1" si="18337"/>
        <v>0</v>
      </c>
      <c r="ANM72" s="321">
        <f t="shared" ref="ANM72" ca="1" si="18608">IF(ANE72&lt;&gt;"",VLOOKUP(ANE72,AML4:AMR40,7,FALSE),"")</f>
        <v>1000</v>
      </c>
      <c r="ANN72" s="321">
        <f t="shared" ref="ANN72" ca="1" si="18609">IF(ANE72&lt;&gt;"",VLOOKUP(ANE72,AML4:AMR40,5,FALSE),"")</f>
        <v>0</v>
      </c>
      <c r="ANO72" s="321">
        <f t="shared" ref="ANO72" ca="1" si="18610">IF(ANE72&lt;&gt;"",VLOOKUP(ANE72,AML4:AMT40,9,FALSE),"")</f>
        <v>38</v>
      </c>
      <c r="ANP72" s="321">
        <f t="shared" ca="1" si="18341"/>
        <v>0</v>
      </c>
      <c r="ANQ72" s="321">
        <f t="shared" ref="ANQ72" ca="1" si="18611">IF(ANE72&lt;&gt;"",RANK(ANP72,ANP71:ANP74),"")</f>
        <v>1</v>
      </c>
      <c r="ANR72" s="321">
        <f t="shared" ref="ANR72" ca="1" si="18612">IF(ANE72&lt;&gt;"",SUMPRODUCT((ANP71:ANP74=ANP72)*(ANK71:ANK74&gt;ANK72)),"")</f>
        <v>0</v>
      </c>
      <c r="ANS72" s="321">
        <f t="shared" ref="ANS72" ca="1" si="18613">IF(ANE72&lt;&gt;"",SUMPRODUCT((ANP71:ANP74=ANP72)*(ANK71:ANK74=ANK72)*(ANI71:ANI74&gt;ANI72)),"")</f>
        <v>0</v>
      </c>
      <c r="ANT72" s="321">
        <f t="shared" ref="ANT72" ca="1" si="18614">IF(ANE72&lt;&gt;"",SUMPRODUCT((ANP71:ANP74=ANP72)*(ANK71:ANK74=ANK72)*(ANI71:ANI74=ANI72)*(ANM71:ANM74&gt;ANM72)),"")</f>
        <v>0</v>
      </c>
      <c r="ANU72" s="321">
        <f t="shared" ref="ANU72" ca="1" si="18615">IF(ANE72&lt;&gt;"",SUMPRODUCT((ANP71:ANP74=ANP72)*(ANK71:ANK74=ANK72)*(ANI71:ANI74=ANI72)*(ANM71:ANM74=ANM72)*(ANN71:ANN74&gt;ANN72)),"")</f>
        <v>0</v>
      </c>
      <c r="ANV72" s="321">
        <f t="shared" ref="ANV72" ca="1" si="18616">IF(ANE72&lt;&gt;"",SUMPRODUCT((ANP71:ANP74=ANP72)*(ANK71:ANK74=ANK72)*(ANI71:ANI74=ANI72)*(ANM71:ANM74=ANM72)*(ANN71:ANN74=ANN72)*(ANO71:ANO74&gt;ANO72)),"")</f>
        <v>2</v>
      </c>
      <c r="ANW72" s="321">
        <f t="shared" ca="1" si="18348"/>
        <v>3</v>
      </c>
      <c r="ANX72" s="321" t="str">
        <f t="shared" ref="ANX72" ca="1" si="18617">IF(ANY32&lt;&gt;"",SUMPRODUCT((AOF31:AOF34=AOF32)*(AOE31:AOE34=AOE32)*(AOC31:AOC34=AOC32)*(AOD31:AOD34=AOD32)),"")</f>
        <v/>
      </c>
      <c r="ANY72" s="321" t="str">
        <f t="shared" ref="ANY72:ANY74" ca="1" si="18618">IF(AND(ANX72&lt;&gt;"",ANX72&gt;1),ANY32,"")</f>
        <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0</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0</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0</v>
      </c>
      <c r="AOE72" s="321">
        <f t="shared" ref="AOE72:AOE74" ca="1" si="18624">AOC72-AOD72+1000</f>
        <v>1000</v>
      </c>
      <c r="AOF72" s="321" t="str">
        <f t="shared" ref="AOF72:AOF74" ca="1" si="18625">IF(ANY72&lt;&gt;"",ANZ72*3+AOA72*1,"")</f>
        <v/>
      </c>
      <c r="AOG72" s="321" t="str">
        <f t="shared" ref="AOG72" ca="1" si="18626">IF(ANY72&lt;&gt;"",VLOOKUP(ANY72,AML4:AMR40,7,FALSE),"")</f>
        <v/>
      </c>
      <c r="AOH72" s="321" t="str">
        <f t="shared" ref="AOH72" ca="1" si="18627">IF(ANY72&lt;&gt;"",VLOOKUP(ANY72,AML4:AMR40,5,FALSE),"")</f>
        <v/>
      </c>
      <c r="AOI72" s="321" t="str">
        <f t="shared" ref="AOI72" ca="1" si="18628">IF(ANY72&lt;&gt;"",VLOOKUP(ANY72,AML4:AMT40,9,FALSE),"")</f>
        <v/>
      </c>
      <c r="AOJ72" s="321" t="str">
        <f t="shared" ref="AOJ72:AOJ74" ca="1" si="18629">AOF72</f>
        <v/>
      </c>
      <c r="AOK72" s="321" t="str">
        <f t="shared" ref="AOK72" ca="1" si="18630">IF(ANY72&lt;&gt;"",RANK(AOJ72,AOJ71:AOJ74),"")</f>
        <v/>
      </c>
      <c r="AOL72" s="321" t="str">
        <f t="shared" ref="AOL72" ca="1" si="18631">IF(ANY72&lt;&gt;"",SUMPRODUCT((AOJ71:AOJ74=AOJ72)*(AOE71:AOE74&gt;AOE72)),"")</f>
        <v/>
      </c>
      <c r="AOM72" s="321" t="str">
        <f t="shared" ref="AOM72" ca="1" si="18632">IF(ANY72&lt;&gt;"",SUMPRODUCT((AOJ71:AOJ74=AOJ72)*(AOE71:AOE74=AOE72)*(AOC71:AOC74&gt;AOC72)),"")</f>
        <v/>
      </c>
      <c r="AON72" s="321" t="str">
        <f t="shared" ref="AON72" ca="1" si="18633">IF(ANY72&lt;&gt;"",SUMPRODUCT((AOJ71:AOJ74=AOJ72)*(AOE71:AOE74=AOE72)*(AOC71:AOC74=AOC72)*(AOG71:AOG74&gt;AOG72)),"")</f>
        <v/>
      </c>
      <c r="AOO72" s="321" t="str">
        <f t="shared" ref="AOO72" ca="1" si="18634">IF(ANY72&lt;&gt;"",SUMPRODUCT((AOJ71:AOJ74=AOJ72)*(AOE71:AOE74=AOE72)*(AOC71:AOC74=AOC72)*(AOG71:AOG74=AOG72)*(AOH71:AOH74&gt;AOH72)),"")</f>
        <v/>
      </c>
      <c r="AOP72" s="321" t="str">
        <f t="shared" ref="AOP72" ca="1" si="18635">IF(ANY72&lt;&gt;"",SUMPRODUCT((AOJ71:AOJ74=AOJ72)*(AOE71:AOE74=AOE72)*(AOC71:AOC74=AOC72)*(AOG71:AOG74=AOG72)*(AOH71:AOH74=AOH72)*(AOI71:AOI74&gt;AOI72)),"")</f>
        <v/>
      </c>
      <c r="AOQ72" s="321" t="str">
        <f t="shared" ref="AOQ72" ca="1" si="18636">IF(ANY72&lt;&gt;"",SUM(AOK72:AOP72)+1,"")</f>
        <v/>
      </c>
      <c r="ARQ72" s="321">
        <f ca="1">SUMPRODUCT((ARQ31:ARQ34=ARQ32)*(ARP31:ARP34=ARP32)*(ARN31:ARN34&gt;ARN32))+1</f>
        <v>1</v>
      </c>
      <c r="ASB72" s="321">
        <f t="shared" ref="ASB72" ca="1" si="18637">IF(ASC32&lt;&gt;"",SUMPRODUCT((ASJ31:ASJ34=ASJ32)*(ASI31:ASI34=ASI32)*(ASG31:ASG34=ASG32)*(ASH31:ASH34=ASH32)),"")</f>
        <v>4</v>
      </c>
      <c r="ASC72" s="321" t="str">
        <f t="shared" ca="1" si="18350"/>
        <v>Slovakia</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f t="shared" ca="1" si="18357"/>
        <v>0</v>
      </c>
      <c r="ASK72" s="321">
        <f t="shared" ref="ASK72" ca="1" si="18643">IF(ASC72&lt;&gt;"",VLOOKUP(ASC72,ARJ4:ARP40,7,FALSE),"")</f>
        <v>1000</v>
      </c>
      <c r="ASL72" s="321">
        <f t="shared" ref="ASL72" ca="1" si="18644">IF(ASC72&lt;&gt;"",VLOOKUP(ASC72,ARJ4:ARP40,5,FALSE),"")</f>
        <v>0</v>
      </c>
      <c r="ASM72" s="321">
        <f t="shared" ref="ASM72" ca="1" si="18645">IF(ASC72&lt;&gt;"",VLOOKUP(ASC72,ARJ4:ARR40,9,FALSE),"")</f>
        <v>38</v>
      </c>
      <c r="ASN72" s="321">
        <f t="shared" ca="1" si="18361"/>
        <v>0</v>
      </c>
      <c r="ASO72" s="321">
        <f t="shared" ref="ASO72" ca="1" si="18646">IF(ASC72&lt;&gt;"",RANK(ASN72,ASN71:ASN74),"")</f>
        <v>1</v>
      </c>
      <c r="ASP72" s="321">
        <f t="shared" ref="ASP72" ca="1" si="18647">IF(ASC72&lt;&gt;"",SUMPRODUCT((ASN71:ASN74=ASN72)*(ASI71:ASI74&gt;ASI72)),"")</f>
        <v>0</v>
      </c>
      <c r="ASQ72" s="321">
        <f t="shared" ref="ASQ72" ca="1" si="18648">IF(ASC72&lt;&gt;"",SUMPRODUCT((ASN71:ASN74=ASN72)*(ASI71:ASI74=ASI72)*(ASG71:ASG74&gt;ASG72)),"")</f>
        <v>0</v>
      </c>
      <c r="ASR72" s="321">
        <f t="shared" ref="ASR72" ca="1" si="18649">IF(ASC72&lt;&gt;"",SUMPRODUCT((ASN71:ASN74=ASN72)*(ASI71:ASI74=ASI72)*(ASG71:ASG74=ASG72)*(ASK71:ASK74&gt;ASK72)),"")</f>
        <v>0</v>
      </c>
      <c r="ASS72" s="321">
        <f t="shared" ref="ASS72" ca="1" si="18650">IF(ASC72&lt;&gt;"",SUMPRODUCT((ASN71:ASN74=ASN72)*(ASI71:ASI74=ASI72)*(ASG71:ASG74=ASG72)*(ASK71:ASK74=ASK72)*(ASL71:ASL74&gt;ASL72)),"")</f>
        <v>0</v>
      </c>
      <c r="AST72" s="321">
        <f t="shared" ref="AST72" ca="1" si="18651">IF(ASC72&lt;&gt;"",SUMPRODUCT((ASN71:ASN74=ASN72)*(ASI71:ASI74=ASI72)*(ASG71:ASG74=ASG72)*(ASK71:ASK74=ASK72)*(ASL71:ASL74=ASL72)*(ASM71:ASM74&gt;ASM72)),"")</f>
        <v>2</v>
      </c>
      <c r="ASU72" s="321">
        <f t="shared" ca="1" si="18368"/>
        <v>3</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f t="shared" ref="AWZ72" ca="1" si="18672">IF(AXA32&lt;&gt;"",SUMPRODUCT((AXH31:AXH34=AXH32)*(AXG31:AXG34=AXG32)*(AXE31:AXE34=AXE32)*(AXF31:AXF34=AXF32)),"")</f>
        <v>4</v>
      </c>
      <c r="AXA72" s="321" t="str">
        <f t="shared" ca="1" si="18370"/>
        <v>Slovakia</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f t="shared" ca="1" si="18377"/>
        <v>0</v>
      </c>
      <c r="AXI72" s="321">
        <f t="shared" ref="AXI72" ca="1" si="18678">IF(AXA72&lt;&gt;"",VLOOKUP(AXA72,AWH4:AWN40,7,FALSE),"")</f>
        <v>1000</v>
      </c>
      <c r="AXJ72" s="321">
        <f t="shared" ref="AXJ72" ca="1" si="18679">IF(AXA72&lt;&gt;"",VLOOKUP(AXA72,AWH4:AWN40,5,FALSE),"")</f>
        <v>0</v>
      </c>
      <c r="AXK72" s="321">
        <f t="shared" ref="AXK72" ca="1" si="18680">IF(AXA72&lt;&gt;"",VLOOKUP(AXA72,AWH4:AWP40,9,FALSE),"")</f>
        <v>38</v>
      </c>
      <c r="AXL72" s="321">
        <f t="shared" ca="1" si="18381"/>
        <v>0</v>
      </c>
      <c r="AXM72" s="321">
        <f t="shared" ref="AXM72" ca="1" si="18681">IF(AXA72&lt;&gt;"",RANK(AXL72,AXL71:AXL74),"")</f>
        <v>1</v>
      </c>
      <c r="AXN72" s="321">
        <f t="shared" ref="AXN72" ca="1" si="18682">IF(AXA72&lt;&gt;"",SUMPRODUCT((AXL71:AXL74=AXL72)*(AXG71:AXG74&gt;AXG72)),"")</f>
        <v>0</v>
      </c>
      <c r="AXO72" s="321">
        <f t="shared" ref="AXO72" ca="1" si="18683">IF(AXA72&lt;&gt;"",SUMPRODUCT((AXL71:AXL74=AXL72)*(AXG71:AXG74=AXG72)*(AXE71:AXE74&gt;AXE72)),"")</f>
        <v>0</v>
      </c>
      <c r="AXP72" s="321">
        <f t="shared" ref="AXP72" ca="1" si="18684">IF(AXA72&lt;&gt;"",SUMPRODUCT((AXL71:AXL74=AXL72)*(AXG71:AXG74=AXG72)*(AXE71:AXE74=AXE72)*(AXI71:AXI74&gt;AXI72)),"")</f>
        <v>0</v>
      </c>
      <c r="AXQ72" s="321">
        <f t="shared" ref="AXQ72" ca="1" si="18685">IF(AXA72&lt;&gt;"",SUMPRODUCT((AXL71:AXL74=AXL72)*(AXG71:AXG74=AXG72)*(AXE71:AXE74=AXE72)*(AXI71:AXI74=AXI72)*(AXJ71:AXJ74&gt;AXJ72)),"")</f>
        <v>0</v>
      </c>
      <c r="AXR72" s="321">
        <f t="shared" ref="AXR72" ca="1" si="18686">IF(AXA72&lt;&gt;"",SUMPRODUCT((AXL71:AXL74=AXL72)*(AXG71:AXG74=AXG72)*(AXE71:AXE74=AXE72)*(AXI71:AXI74=AXI72)*(AXJ71:AXJ74=AXJ72)*(AXK71:AXK74&gt;AXK72)),"")</f>
        <v>2</v>
      </c>
      <c r="AXS72" s="321">
        <f t="shared" ca="1" si="18388"/>
        <v>3</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2">
      <c r="I73" s="321">
        <f>SUMPRODUCT((I31:I34=I33)*(H31:H34=H33)*(F31:F34&gt;F33))+1</f>
        <v>1</v>
      </c>
      <c r="T73" s="321" t="str">
        <f>IF(U33&lt;&gt;"",SUMPRODUCT((AB31:AB34=AB33)*(AA31:AA34=AA33)*(Y31:Y34=Y33)*(Z31:Z34=Z33)),"")</f>
        <v/>
      </c>
      <c r="U73" s="321" t="str">
        <f t="shared" si="18409"/>
        <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t="str">
        <f t="shared" si="18410"/>
        <v/>
      </c>
      <c r="AC73" s="321" t="str">
        <f>IF(U73&lt;&gt;"",VLOOKUP(U73,B4:H40,7,FALSE),"")</f>
        <v/>
      </c>
      <c r="AD73" s="321" t="str">
        <f>IF(U73&lt;&gt;"",VLOOKUP(U73,B4:H40,5,FALSE),"")</f>
        <v/>
      </c>
      <c r="AE73" s="321" t="str">
        <f>IF(U73&lt;&gt;"",VLOOKUP(U73,B4:J40,9,FALSE),"")</f>
        <v/>
      </c>
      <c r="AF73" s="321" t="str">
        <f t="shared" si="18411"/>
        <v/>
      </c>
      <c r="AG73" s="321" t="str">
        <f>IF(U73&lt;&gt;"",RANK(AF73,AF71:AF74),"")</f>
        <v/>
      </c>
      <c r="AH73" s="321" t="str">
        <f>IF(U73&lt;&gt;"",SUMPRODUCT((AF71:AF74=AF73)*(AA71:AA74&gt;AA73)),"")</f>
        <v/>
      </c>
      <c r="AI73" s="321" t="str">
        <f>IF(U73&lt;&gt;"",SUMPRODUCT((AF71:AF74=AF73)*(AA71:AA74=AA73)*(Y71:Y74&gt;Y73)),"")</f>
        <v/>
      </c>
      <c r="AJ73" s="321" t="str">
        <f>IF(U73&lt;&gt;"",SUMPRODUCT((AF71:AF74=AF73)*(AA71:AA74=AA73)*(Y71:Y74=Y73)*(AC71:AC74&gt;AC73)),"")</f>
        <v/>
      </c>
      <c r="AK73" s="321" t="str">
        <f>IF(U73&lt;&gt;"",SUMPRODUCT((AF71:AF74=AF73)*(AA71:AA74=AA73)*(Y71:Y74=Y73)*(AC71:AC74=AC73)*(AD71:AD74&gt;AD73)),"")</f>
        <v/>
      </c>
      <c r="AL73" s="321" t="str">
        <f>IF(U73&lt;&gt;"",SUMPRODUCT((AF71:AF74=AF73)*(AA71:AA74=AA73)*(Y71:Y74=Y73)*(AC71:AC74=AC73)*(AD71:AD74=AD73)*(AE71:AE74&gt;AE73)),"")</f>
        <v/>
      </c>
      <c r="AM73" s="321" t="str">
        <f>IF(U73&lt;&gt;"",SUM(AG73:AL73),"")</f>
        <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f ca="1">IF(FM33&lt;&gt;"",SUMPRODUCT((FT31:FT34=FT33)*(FS31:FS34=FS33)*(FQ31:FQ34=FQ33)*(FR31:FR34=FR33)),"")</f>
        <v>3</v>
      </c>
      <c r="FM73" s="321" t="str">
        <f t="shared" ca="1" si="18418"/>
        <v>Slovakia</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2</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2</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2</v>
      </c>
      <c r="FS73" s="321">
        <f ca="1">FQ73-FR73+1000</f>
        <v>1000</v>
      </c>
      <c r="FT73" s="321">
        <f t="shared" ca="1" si="18419"/>
        <v>2</v>
      </c>
      <c r="FU73" s="321">
        <f ca="1">IF(FM73&lt;&gt;"",VLOOKUP(FM73,DZ4:EF40,7,FALSE),"")</f>
        <v>999</v>
      </c>
      <c r="FV73" s="321">
        <f ca="1">IF(FM73&lt;&gt;"",VLOOKUP(FM73,DZ4:EF40,5,FALSE),"")</f>
        <v>3</v>
      </c>
      <c r="FW73" s="321">
        <f ca="1">IF(FM73&lt;&gt;"",VLOOKUP(FM73,DZ4:EH40,9,FALSE),"")</f>
        <v>38</v>
      </c>
      <c r="FX73" s="321">
        <f t="shared" ca="1" si="18420"/>
        <v>2</v>
      </c>
      <c r="FY73" s="321">
        <f ca="1">IF(FM73&lt;&gt;"",RANK(FX73,FX71:FX74),"")</f>
        <v>1</v>
      </c>
      <c r="FZ73" s="321">
        <f ca="1">IF(FM73&lt;&gt;"",SUMPRODUCT((FX71:FX74=FX73)*(FS71:FS74&gt;FS73)),"")</f>
        <v>0</v>
      </c>
      <c r="GA73" s="321">
        <f ca="1">IF(FM73&lt;&gt;"",SUMPRODUCT((FX71:FX74=FX73)*(FS71:FS74=FS73)*(FQ71:FQ74&gt;FQ73)),"")</f>
        <v>0</v>
      </c>
      <c r="GB73" s="321">
        <f ca="1">IF(FM73&lt;&gt;"",SUMPRODUCT((FX71:FX74=FX73)*(FS71:FS74=FS73)*(FQ71:FQ74=FQ73)*(FU71:FU74&gt;FU73)),"")</f>
        <v>0</v>
      </c>
      <c r="GC73" s="321">
        <f ca="1">IF(FM73&lt;&gt;"",SUMPRODUCT((FX71:FX74=FX73)*(FS71:FS74=FS73)*(FQ71:FQ74=FQ73)*(FU71:FU74=FU73)*(FV71:FV74&gt;FV73)),"")</f>
        <v>0</v>
      </c>
      <c r="GD73" s="321">
        <f ca="1">IF(FM73&lt;&gt;"",SUMPRODUCT((FX71:FX74=FX73)*(FS71:FS74=FS73)*(FQ71:FQ74=FQ73)*(FU71:FU74=FU73)*(FV71:FV74=FV73)*(FW71:FW74&gt;FW73)),"")</f>
        <v>0</v>
      </c>
      <c r="GE73" s="321">
        <f t="shared" ref="GE73:GE74" ca="1" si="18743">IF(FM73&lt;&gt;"",SUM(FY73:GD73)+1,"")</f>
        <v>2</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t="str">
        <f ca="1">IF(KK33&lt;&gt;"",SUMPRODUCT((KR31:KR34=KR33)*(KQ31:KQ34=KQ33)*(KO31:KO34=KO33)*(KP31:KP34=KP33)),"")</f>
        <v/>
      </c>
      <c r="KK73" s="321" t="str">
        <f t="shared" ca="1" si="18424"/>
        <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0</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0</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0</v>
      </c>
      <c r="KQ73" s="321">
        <f ca="1">KO73-KP73+1000</f>
        <v>1000</v>
      </c>
      <c r="KR73" s="321" t="str">
        <f t="shared" ca="1" si="18425"/>
        <v/>
      </c>
      <c r="KS73" s="321" t="str">
        <f ca="1">IF(KK73&lt;&gt;"",VLOOKUP(KK73,IX4:JD40,7,FALSE),"")</f>
        <v/>
      </c>
      <c r="KT73" s="321" t="str">
        <f ca="1">IF(KK73&lt;&gt;"",VLOOKUP(KK73,IX4:JD40,5,FALSE),"")</f>
        <v/>
      </c>
      <c r="KU73" s="321" t="str">
        <f ca="1">IF(KK73&lt;&gt;"",VLOOKUP(KK73,IX4:JF40,9,FALSE),"")</f>
        <v/>
      </c>
      <c r="KV73" s="321" t="str">
        <f t="shared" ca="1" si="18426"/>
        <v/>
      </c>
      <c r="KW73" s="321" t="str">
        <f ca="1">IF(KK73&lt;&gt;"",RANK(KV73,KV71:KV74),"")</f>
        <v/>
      </c>
      <c r="KX73" s="321" t="str">
        <f ca="1">IF(KK73&lt;&gt;"",SUMPRODUCT((KV71:KV74=KV73)*(KQ71:KQ74&gt;KQ73)),"")</f>
        <v/>
      </c>
      <c r="KY73" s="321" t="str">
        <f ca="1">IF(KK73&lt;&gt;"",SUMPRODUCT((KV71:KV74=KV73)*(KQ71:KQ74=KQ73)*(KO71:KO74&gt;KO73)),"")</f>
        <v/>
      </c>
      <c r="KZ73" s="321" t="str">
        <f ca="1">IF(KK73&lt;&gt;"",SUMPRODUCT((KV71:KV74=KV73)*(KQ71:KQ74=KQ73)*(KO71:KO74=KO73)*(KS71:KS74&gt;KS73)),"")</f>
        <v/>
      </c>
      <c r="LA73" s="321" t="str">
        <f ca="1">IF(KK73&lt;&gt;"",SUMPRODUCT((KV71:KV74=KV73)*(KQ71:KQ74=KQ73)*(KO71:KO74=KO73)*(KS71:KS74=KS73)*(KT71:KT74&gt;KT73)),"")</f>
        <v/>
      </c>
      <c r="LB73" s="321" t="str">
        <f ca="1">IF(KK73&lt;&gt;"",SUMPRODUCT((KV71:KV74=KV73)*(KQ71:KQ74=KQ73)*(KO71:KO74=KO73)*(KS71:KS74=KS73)*(KT71:KT74=KT73)*(KU71:KU74&gt;KU73)),"")</f>
        <v/>
      </c>
      <c r="LC73" s="321" t="str">
        <f t="shared" ref="LC73:LC74" ca="1" si="18744">IF(KK73&lt;&gt;"",SUM(KW73:LB73)+1,"")</f>
        <v/>
      </c>
      <c r="OC73" s="321">
        <f ca="1">SUMPRODUCT((OC31:OC34=OC33)*(OB31:OB34=OB33)*(NZ31:NZ34&gt;NZ33))+1</f>
        <v>1</v>
      </c>
      <c r="ON73" s="321" t="str">
        <f t="shared" ref="ON73" ca="1" si="18745">IF(OO33&lt;&gt;"",SUMPRODUCT((OV31:OV34=OV33)*(OU31:OU34=OU33)*(OS31:OS34=OS33)*(OT31:OT34=OT33)),"")</f>
        <v/>
      </c>
      <c r="OO73" s="321" t="str">
        <f t="shared" ca="1" si="18230"/>
        <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t="str">
        <f t="shared" ca="1" si="18237"/>
        <v/>
      </c>
      <c r="OW73" s="321" t="str">
        <f t="shared" ref="OW73" ca="1" si="18751">IF(OO73&lt;&gt;"",VLOOKUP(OO73,NV4:OB40,7,FALSE),"")</f>
        <v/>
      </c>
      <c r="OX73" s="321" t="str">
        <f t="shared" ref="OX73" ca="1" si="18752">IF(OO73&lt;&gt;"",VLOOKUP(OO73,NV4:OB40,5,FALSE),"")</f>
        <v/>
      </c>
      <c r="OY73" s="321" t="str">
        <f t="shared" ref="OY73" ca="1" si="18753">IF(OO73&lt;&gt;"",VLOOKUP(OO73,NV4:OD40,9,FALSE),"")</f>
        <v/>
      </c>
      <c r="OZ73" s="321" t="str">
        <f t="shared" ca="1" si="18241"/>
        <v/>
      </c>
      <c r="PA73" s="321" t="str">
        <f t="shared" ref="PA73" ca="1" si="18754">IF(OO73&lt;&gt;"",RANK(OZ73,OZ71:OZ74),"")</f>
        <v/>
      </c>
      <c r="PB73" s="321" t="str">
        <f t="shared" ref="PB73" ca="1" si="18755">IF(OO73&lt;&gt;"",SUMPRODUCT((OZ71:OZ74=OZ73)*(OU71:OU74&gt;OU73)),"")</f>
        <v/>
      </c>
      <c r="PC73" s="321" t="str">
        <f t="shared" ref="PC73" ca="1" si="18756">IF(OO73&lt;&gt;"",SUMPRODUCT((OZ71:OZ74=OZ73)*(OU71:OU74=OU73)*(OS71:OS74&gt;OS73)),"")</f>
        <v/>
      </c>
      <c r="PD73" s="321" t="str">
        <f t="shared" ref="PD73" ca="1" si="18757">IF(OO73&lt;&gt;"",SUMPRODUCT((OZ71:OZ74=OZ73)*(OU71:OU74=OU73)*(OS71:OS74=OS73)*(OW71:OW74&gt;OW73)),"")</f>
        <v/>
      </c>
      <c r="PE73" s="321" t="str">
        <f t="shared" ref="PE73" ca="1" si="18758">IF(OO73&lt;&gt;"",SUMPRODUCT((OZ71:OZ74=OZ73)*(OU71:OU74=OU73)*(OS71:OS74=OS73)*(OW71:OW74=OW73)*(OX71:OX74&gt;OX73)),"")</f>
        <v/>
      </c>
      <c r="PF73" s="321" t="str">
        <f t="shared" ref="PF73" ca="1" si="18759">IF(OO73&lt;&gt;"",SUMPRODUCT((OZ71:OZ74=OZ73)*(OU71:OU74=OU73)*(OS71:OS74=OS73)*(OW71:OW74=OW73)*(OX71:OX74=OX73)*(OY71:OY74&gt;OY73)),"")</f>
        <v/>
      </c>
      <c r="PG73" s="321" t="str">
        <f t="shared" ca="1" si="18248"/>
        <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t="str">
        <f t="shared" ref="TL73" ca="1" si="18776">IF(TM33&lt;&gt;"",SUMPRODUCT((TT31:TT34=TT33)*(TS31:TS34=TS33)*(TQ31:TQ34=TQ33)*(TR31:TR34=TR33)),"")</f>
        <v/>
      </c>
      <c r="TM73" s="321" t="str">
        <f t="shared" ca="1" si="18250"/>
        <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t="str">
        <f t="shared" ca="1" si="18257"/>
        <v/>
      </c>
      <c r="TU73" s="321" t="str">
        <f t="shared" ref="TU73" ca="1" si="18782">IF(TM73&lt;&gt;"",VLOOKUP(TM73,ST4:SZ40,7,FALSE),"")</f>
        <v/>
      </c>
      <c r="TV73" s="321" t="str">
        <f t="shared" ref="TV73" ca="1" si="18783">IF(TM73&lt;&gt;"",VLOOKUP(TM73,ST4:SZ40,5,FALSE),"")</f>
        <v/>
      </c>
      <c r="TW73" s="321" t="str">
        <f t="shared" ref="TW73" ca="1" si="18784">IF(TM73&lt;&gt;"",VLOOKUP(TM73,ST4:TB40,9,FALSE),"")</f>
        <v/>
      </c>
      <c r="TX73" s="321" t="str">
        <f t="shared" ca="1" si="18261"/>
        <v/>
      </c>
      <c r="TY73" s="321" t="str">
        <f t="shared" ref="TY73" ca="1" si="18785">IF(TM73&lt;&gt;"",RANK(TX73,TX71:TX74),"")</f>
        <v/>
      </c>
      <c r="TZ73" s="321" t="str">
        <f t="shared" ref="TZ73" ca="1" si="18786">IF(TM73&lt;&gt;"",SUMPRODUCT((TX71:TX74=TX73)*(TS71:TS74&gt;TS73)),"")</f>
        <v/>
      </c>
      <c r="UA73" s="321" t="str">
        <f t="shared" ref="UA73" ca="1" si="18787">IF(TM73&lt;&gt;"",SUMPRODUCT((TX71:TX74=TX73)*(TS71:TS74=TS73)*(TQ71:TQ74&gt;TQ73)),"")</f>
        <v/>
      </c>
      <c r="UB73" s="321" t="str">
        <f t="shared" ref="UB73" ca="1" si="18788">IF(TM73&lt;&gt;"",SUMPRODUCT((TX71:TX74=TX73)*(TS71:TS74=TS73)*(TQ71:TQ74=TQ73)*(TU71:TU74&gt;TU73)),"")</f>
        <v/>
      </c>
      <c r="UC73" s="321" t="str">
        <f t="shared" ref="UC73" ca="1" si="18789">IF(TM73&lt;&gt;"",SUMPRODUCT((TX71:TX74=TX73)*(TS71:TS74=TS73)*(TQ71:TQ74=TQ73)*(TU71:TU74=TU73)*(TV71:TV74&gt;TV73)),"")</f>
        <v/>
      </c>
      <c r="UD73" s="321" t="str">
        <f t="shared" ref="UD73" ca="1" si="18790">IF(TM73&lt;&gt;"",SUMPRODUCT((TX71:TX74=TX73)*(TS71:TS74=TS73)*(TQ71:TQ74=TQ73)*(TU71:TU74=TU73)*(TV71:TV74=TV73)*(TW71:TW74&gt;TW73)),"")</f>
        <v/>
      </c>
      <c r="UE73" s="321" t="str">
        <f t="shared" ca="1" si="18268"/>
        <v/>
      </c>
      <c r="UF73" s="321">
        <f t="shared" ref="UF73" ca="1" si="18791">IF(UG33&lt;&gt;"",SUMPRODUCT((UN31:UN34=UN33)*(UM31:UM34=UM33)*(UK31:UK34=UK33)*(UL31:UL34=UL33)),"")</f>
        <v>2</v>
      </c>
      <c r="UG73" s="321" t="str">
        <f t="shared" ca="1" si="18478"/>
        <v>Romania</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1</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f t="shared" ca="1" si="18485"/>
        <v>1</v>
      </c>
      <c r="UO73" s="321">
        <f t="shared" ref="UO73" ca="1" si="18797">IF(UG73&lt;&gt;"",VLOOKUP(UG73,ST4:SZ40,7,FALSE),"")</f>
        <v>999</v>
      </c>
      <c r="UP73" s="321">
        <f t="shared" ref="UP73" ca="1" si="18798">IF(UG73&lt;&gt;"",VLOOKUP(UG73,ST4:SZ40,5,FALSE),"")</f>
        <v>2</v>
      </c>
      <c r="UQ73" s="321">
        <f t="shared" ref="UQ73" ca="1" si="18799">IF(UG73&lt;&gt;"",VLOOKUP(UG73,ST4:TB40,9,FALSE),"")</f>
        <v>46</v>
      </c>
      <c r="UR73" s="321">
        <f t="shared" ca="1" si="18489"/>
        <v>1</v>
      </c>
      <c r="US73" s="321">
        <f t="shared" ref="US73" ca="1" si="18800">IF(UG73&lt;&gt;"",RANK(UR73,UR71:UR74),"")</f>
        <v>1</v>
      </c>
      <c r="UT73" s="321">
        <f t="shared" ref="UT73" ca="1" si="18801">IF(UG73&lt;&gt;"",SUMPRODUCT((UR71:UR74=UR73)*(UM71:UM74&gt;UM73)),"")</f>
        <v>0</v>
      </c>
      <c r="UU73" s="321">
        <f t="shared" ref="UU73" ca="1" si="18802">IF(UG73&lt;&gt;"",SUMPRODUCT((UR71:UR74=UR73)*(UM71:UM74=UM73)*(UK71:UK74&gt;UK73)),"")</f>
        <v>0</v>
      </c>
      <c r="UV73" s="321">
        <f t="shared" ref="UV73" ca="1" si="18803">IF(UG73&lt;&gt;"",SUMPRODUCT((UR71:UR74=UR73)*(UM71:UM74=UM73)*(UK71:UK74=UK73)*(UO71:UO74&gt;UO73)),"")</f>
        <v>0</v>
      </c>
      <c r="UW73" s="321">
        <f t="shared" ref="UW73" ca="1" si="18804">IF(UG73&lt;&gt;"",SUMPRODUCT((UR71:UR74=UR73)*(UM71:UM74=UM73)*(UK71:UK74=UK73)*(UO71:UO74=UO73)*(UP71:UP74&gt;UP73)),"")</f>
        <v>0</v>
      </c>
      <c r="UX73" s="321">
        <f t="shared" ref="UX73" ca="1" si="18805">IF(UG73&lt;&gt;"",SUMPRODUCT((UR71:UR74=UR73)*(UM71:UM74=UM73)*(UK71:UK74=UK73)*(UO71:UO74=UO73)*(UP71:UP74=UP73)*(UQ71:UQ74&gt;UQ73)),"")</f>
        <v>0</v>
      </c>
      <c r="UY73" s="321">
        <f t="shared" ref="UY73:UY74" ca="1" si="18806">IF(UG73&lt;&gt;"",SUM(US73:UX73)+1,"")</f>
        <v>2</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t="str">
        <f t="shared" ref="ADH73" ca="1" si="18838">IF(ADI33&lt;&gt;"",SUMPRODUCT((ADP31:ADP34=ADP33)*(ADO31:ADO34=ADO33)*(ADM31:ADM34=ADM33)*(ADN31:ADN34=ADN33)),"")</f>
        <v/>
      </c>
      <c r="ADI73" s="321" t="str">
        <f t="shared" ca="1" si="18290"/>
        <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t="str">
        <f t="shared" ca="1" si="18297"/>
        <v/>
      </c>
      <c r="ADQ73" s="321" t="str">
        <f t="shared" ref="ADQ73" ca="1" si="18844">IF(ADI73&lt;&gt;"",VLOOKUP(ADI73,ACP4:ACV40,7,FALSE),"")</f>
        <v/>
      </c>
      <c r="ADR73" s="321" t="str">
        <f t="shared" ref="ADR73" ca="1" si="18845">IF(ADI73&lt;&gt;"",VLOOKUP(ADI73,ACP4:ACV40,5,FALSE),"")</f>
        <v/>
      </c>
      <c r="ADS73" s="321" t="str">
        <f t="shared" ref="ADS73" ca="1" si="18846">IF(ADI73&lt;&gt;"",VLOOKUP(ADI73,ACP4:ACX40,9,FALSE),"")</f>
        <v/>
      </c>
      <c r="ADT73" s="321" t="str">
        <f t="shared" ca="1" si="18301"/>
        <v/>
      </c>
      <c r="ADU73" s="321" t="str">
        <f t="shared" ref="ADU73" ca="1" si="18847">IF(ADI73&lt;&gt;"",RANK(ADT73,ADT71:ADT74),"")</f>
        <v/>
      </c>
      <c r="ADV73" s="321" t="str">
        <f t="shared" ref="ADV73" ca="1" si="18848">IF(ADI73&lt;&gt;"",SUMPRODUCT((ADT71:ADT74=ADT73)*(ADO71:ADO74&gt;ADO73)),"")</f>
        <v/>
      </c>
      <c r="ADW73" s="321" t="str">
        <f t="shared" ref="ADW73" ca="1" si="18849">IF(ADI73&lt;&gt;"",SUMPRODUCT((ADT71:ADT74=ADT73)*(ADO71:ADO74=ADO73)*(ADM71:ADM74&gt;ADM73)),"")</f>
        <v/>
      </c>
      <c r="ADX73" s="321" t="str">
        <f t="shared" ref="ADX73" ca="1" si="18850">IF(ADI73&lt;&gt;"",SUMPRODUCT((ADT71:ADT74=ADT73)*(ADO71:ADO74=ADO73)*(ADM71:ADM74=ADM73)*(ADQ71:ADQ74&gt;ADQ73)),"")</f>
        <v/>
      </c>
      <c r="ADY73" s="321" t="str">
        <f t="shared" ref="ADY73" ca="1" si="18851">IF(ADI73&lt;&gt;"",SUMPRODUCT((ADT71:ADT74=ADT73)*(ADO71:ADO74=ADO73)*(ADM71:ADM74=ADM73)*(ADQ71:ADQ74=ADQ73)*(ADR71:ADR74&gt;ADR73)),"")</f>
        <v/>
      </c>
      <c r="ADZ73" s="321" t="str">
        <f t="shared" ref="ADZ73" ca="1" si="18852">IF(ADI73&lt;&gt;"",SUMPRODUCT((ADT71:ADT74=ADT73)*(ADO71:ADO74=ADO73)*(ADM71:ADM74=ADM73)*(ADQ71:ADQ74=ADQ73)*(ADR71:ADR74=ADR73)*(ADS71:ADS74&gt;ADS73)),"")</f>
        <v/>
      </c>
      <c r="AEA73" s="321" t="str">
        <f t="shared" ca="1" si="18308"/>
        <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f t="shared" ref="AIF73" ca="1" si="18869">IF(AIG33&lt;&gt;"",SUMPRODUCT((AIN31:AIN34=AIN33)*(AIM31:AIM34=AIM33)*(AIK31:AIK34=AIK33)*(AIL31:AIL34=AIL33)),"")</f>
        <v>4</v>
      </c>
      <c r="AIG73" s="321" t="str">
        <f t="shared" ca="1" si="18310"/>
        <v>Romania</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f t="shared" ca="1" si="18317"/>
        <v>0</v>
      </c>
      <c r="AIO73" s="321">
        <f t="shared" ref="AIO73" ca="1" si="18875">IF(AIG73&lt;&gt;"",VLOOKUP(AIG73,AHN4:AHT40,7,FALSE),"")</f>
        <v>1000</v>
      </c>
      <c r="AIP73" s="321">
        <f t="shared" ref="AIP73" ca="1" si="18876">IF(AIG73&lt;&gt;"",VLOOKUP(AIG73,AHN4:AHT40,5,FALSE),"")</f>
        <v>0</v>
      </c>
      <c r="AIQ73" s="321">
        <f t="shared" ref="AIQ73" ca="1" si="18877">IF(AIG73&lt;&gt;"",VLOOKUP(AIG73,AHN4:AHV40,9,FALSE),"")</f>
        <v>46</v>
      </c>
      <c r="AIR73" s="321">
        <f t="shared" ca="1" si="18321"/>
        <v>0</v>
      </c>
      <c r="AIS73" s="321">
        <f t="shared" ref="AIS73" ca="1" si="18878">IF(AIG73&lt;&gt;"",RANK(AIR73,AIR71:AIR74),"")</f>
        <v>1</v>
      </c>
      <c r="AIT73" s="321">
        <f t="shared" ref="AIT73" ca="1" si="18879">IF(AIG73&lt;&gt;"",SUMPRODUCT((AIR71:AIR74=AIR73)*(AIM71:AIM74&gt;AIM73)),"")</f>
        <v>0</v>
      </c>
      <c r="AIU73" s="321">
        <f t="shared" ref="AIU73" ca="1" si="18880">IF(AIG73&lt;&gt;"",SUMPRODUCT((AIR71:AIR74=AIR73)*(AIM71:AIM74=AIM73)*(AIK71:AIK74&gt;AIK73)),"")</f>
        <v>0</v>
      </c>
      <c r="AIV73" s="321">
        <f t="shared" ref="AIV73" ca="1" si="18881">IF(AIG73&lt;&gt;"",SUMPRODUCT((AIR71:AIR74=AIR73)*(AIM71:AIM74=AIM73)*(AIK71:AIK74=AIK73)*(AIO71:AIO74&gt;AIO73)),"")</f>
        <v>0</v>
      </c>
      <c r="AIW73" s="321">
        <f t="shared" ref="AIW73" ca="1" si="18882">IF(AIG73&lt;&gt;"",SUMPRODUCT((AIR71:AIR74=AIR73)*(AIM71:AIM74=AIM73)*(AIK71:AIK74=AIK73)*(AIO71:AIO74=AIO73)*(AIP71:AIP74&gt;AIP73)),"")</f>
        <v>0</v>
      </c>
      <c r="AIX73" s="321">
        <f t="shared" ref="AIX73" ca="1" si="18883">IF(AIG73&lt;&gt;"",SUMPRODUCT((AIR71:AIR74=AIR73)*(AIM71:AIM74=AIM73)*(AIK71:AIK74=AIK73)*(AIO71:AIO74=AIO73)*(AIP71:AIP74=AIP73)*(AIQ71:AIQ74&gt;AIQ73)),"")</f>
        <v>1</v>
      </c>
      <c r="AIY73" s="321">
        <f t="shared" ca="1" si="18328"/>
        <v>2</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f t="shared" ref="AND73" ca="1" si="18900">IF(ANE33&lt;&gt;"",SUMPRODUCT((ANL31:ANL34=ANL33)*(ANK31:ANK34=ANK33)*(ANI31:ANI34=ANI33)*(ANJ31:ANJ34=ANJ33)),"")</f>
        <v>4</v>
      </c>
      <c r="ANE73" s="321" t="str">
        <f t="shared" ca="1" si="18330"/>
        <v>Romania</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f t="shared" ca="1" si="18337"/>
        <v>0</v>
      </c>
      <c r="ANM73" s="321">
        <f t="shared" ref="ANM73" ca="1" si="18906">IF(ANE73&lt;&gt;"",VLOOKUP(ANE73,AML4:AMR40,7,FALSE),"")</f>
        <v>1000</v>
      </c>
      <c r="ANN73" s="321">
        <f t="shared" ref="ANN73" ca="1" si="18907">IF(ANE73&lt;&gt;"",VLOOKUP(ANE73,AML4:AMR40,5,FALSE),"")</f>
        <v>0</v>
      </c>
      <c r="ANO73" s="321">
        <f t="shared" ref="ANO73" ca="1" si="18908">IF(ANE73&lt;&gt;"",VLOOKUP(ANE73,AML4:AMT40,9,FALSE),"")</f>
        <v>46</v>
      </c>
      <c r="ANP73" s="321">
        <f t="shared" ca="1" si="18341"/>
        <v>0</v>
      </c>
      <c r="ANQ73" s="321">
        <f t="shared" ref="ANQ73" ca="1" si="18909">IF(ANE73&lt;&gt;"",RANK(ANP73,ANP71:ANP74),"")</f>
        <v>1</v>
      </c>
      <c r="ANR73" s="321">
        <f t="shared" ref="ANR73" ca="1" si="18910">IF(ANE73&lt;&gt;"",SUMPRODUCT((ANP71:ANP74=ANP73)*(ANK71:ANK74&gt;ANK73)),"")</f>
        <v>0</v>
      </c>
      <c r="ANS73" s="321">
        <f t="shared" ref="ANS73" ca="1" si="18911">IF(ANE73&lt;&gt;"",SUMPRODUCT((ANP71:ANP74=ANP73)*(ANK71:ANK74=ANK73)*(ANI71:ANI74&gt;ANI73)),"")</f>
        <v>0</v>
      </c>
      <c r="ANT73" s="321">
        <f t="shared" ref="ANT73" ca="1" si="18912">IF(ANE73&lt;&gt;"",SUMPRODUCT((ANP71:ANP74=ANP73)*(ANK71:ANK74=ANK73)*(ANI71:ANI74=ANI73)*(ANM71:ANM74&gt;ANM73)),"")</f>
        <v>0</v>
      </c>
      <c r="ANU73" s="321">
        <f t="shared" ref="ANU73" ca="1" si="18913">IF(ANE73&lt;&gt;"",SUMPRODUCT((ANP71:ANP74=ANP73)*(ANK71:ANK74=ANK73)*(ANI71:ANI74=ANI73)*(ANM71:ANM74=ANM73)*(ANN71:ANN74&gt;ANN73)),"")</f>
        <v>0</v>
      </c>
      <c r="ANV73" s="321">
        <f t="shared" ref="ANV73" ca="1" si="18914">IF(ANE73&lt;&gt;"",SUMPRODUCT((ANP71:ANP74=ANP73)*(ANK71:ANK74=ANK73)*(ANI71:ANI74=ANI73)*(ANM71:ANM74=ANM73)*(ANN71:ANN74=ANN73)*(ANO71:ANO74&gt;ANO73)),"")</f>
        <v>1</v>
      </c>
      <c r="ANW73" s="321">
        <f t="shared" ca="1" si="18348"/>
        <v>2</v>
      </c>
      <c r="ANX73" s="321" t="str">
        <f t="shared" ref="ANX73" ca="1" si="18915">IF(ANY33&lt;&gt;"",SUMPRODUCT((AOF31:AOF34=AOF33)*(AOE31:AOE34=AOE33)*(AOC31:AOC34=AOC33)*(AOD31:AOD34=AOD33)),"")</f>
        <v/>
      </c>
      <c r="ANY73" s="321" t="str">
        <f t="shared" ca="1" si="18618"/>
        <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0</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0</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0</v>
      </c>
      <c r="AOE73" s="321">
        <f t="shared" ca="1" si="18624"/>
        <v>1000</v>
      </c>
      <c r="AOF73" s="321" t="str">
        <f t="shared" ca="1" si="18625"/>
        <v/>
      </c>
      <c r="AOG73" s="321" t="str">
        <f t="shared" ref="AOG73" ca="1" si="18921">IF(ANY73&lt;&gt;"",VLOOKUP(ANY73,AML4:AMR40,7,FALSE),"")</f>
        <v/>
      </c>
      <c r="AOH73" s="321" t="str">
        <f t="shared" ref="AOH73" ca="1" si="18922">IF(ANY73&lt;&gt;"",VLOOKUP(ANY73,AML4:AMR40,5,FALSE),"")</f>
        <v/>
      </c>
      <c r="AOI73" s="321" t="str">
        <f t="shared" ref="AOI73" ca="1" si="18923">IF(ANY73&lt;&gt;"",VLOOKUP(ANY73,AML4:AMT40,9,FALSE),"")</f>
        <v/>
      </c>
      <c r="AOJ73" s="321" t="str">
        <f t="shared" ca="1" si="18629"/>
        <v/>
      </c>
      <c r="AOK73" s="321" t="str">
        <f t="shared" ref="AOK73" ca="1" si="18924">IF(ANY73&lt;&gt;"",RANK(AOJ73,AOJ71:AOJ74),"")</f>
        <v/>
      </c>
      <c r="AOL73" s="321" t="str">
        <f t="shared" ref="AOL73" ca="1" si="18925">IF(ANY73&lt;&gt;"",SUMPRODUCT((AOJ71:AOJ74=AOJ73)*(AOE71:AOE74&gt;AOE73)),"")</f>
        <v/>
      </c>
      <c r="AOM73" s="321" t="str">
        <f t="shared" ref="AOM73" ca="1" si="18926">IF(ANY73&lt;&gt;"",SUMPRODUCT((AOJ71:AOJ74=AOJ73)*(AOE71:AOE74=AOE73)*(AOC71:AOC74&gt;AOC73)),"")</f>
        <v/>
      </c>
      <c r="AON73" s="321" t="str">
        <f t="shared" ref="AON73" ca="1" si="18927">IF(ANY73&lt;&gt;"",SUMPRODUCT((AOJ71:AOJ74=AOJ73)*(AOE71:AOE74=AOE73)*(AOC71:AOC74=AOC73)*(AOG71:AOG74&gt;AOG73)),"")</f>
        <v/>
      </c>
      <c r="AOO73" s="321" t="str">
        <f t="shared" ref="AOO73" ca="1" si="18928">IF(ANY73&lt;&gt;"",SUMPRODUCT((AOJ71:AOJ74=AOJ73)*(AOE71:AOE74=AOE73)*(AOC71:AOC74=AOC73)*(AOG71:AOG74=AOG73)*(AOH71:AOH74&gt;AOH73)),"")</f>
        <v/>
      </c>
      <c r="AOP73" s="321" t="str">
        <f t="shared" ref="AOP73" ca="1" si="18929">IF(ANY73&lt;&gt;"",SUMPRODUCT((AOJ71:AOJ74=AOJ73)*(AOE71:AOE74=AOE73)*(AOC71:AOC74=AOC73)*(AOG71:AOG74=AOG73)*(AOH71:AOH74=AOH73)*(AOI71:AOI74&gt;AOI73)),"")</f>
        <v/>
      </c>
      <c r="AOQ73" s="321" t="str">
        <f t="shared" ref="AOQ73:AOQ74" ca="1" si="18930">IF(ANY73&lt;&gt;"",SUM(AOK73:AOP73)+1,"")</f>
        <v/>
      </c>
      <c r="ARQ73" s="321">
        <f ca="1">SUMPRODUCT((ARQ31:ARQ34=ARQ33)*(ARP31:ARP34=ARP33)*(ARN31:ARN34&gt;ARN33))+1</f>
        <v>1</v>
      </c>
      <c r="ASB73" s="321">
        <f t="shared" ref="ASB73" ca="1" si="18931">IF(ASC33&lt;&gt;"",SUMPRODUCT((ASJ31:ASJ34=ASJ33)*(ASI31:ASI34=ASI33)*(ASG31:ASG34=ASG33)*(ASH31:ASH34=ASH33)),"")</f>
        <v>4</v>
      </c>
      <c r="ASC73" s="321" t="str">
        <f t="shared" ca="1" si="18350"/>
        <v>Romania</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f t="shared" ca="1" si="18357"/>
        <v>0</v>
      </c>
      <c r="ASK73" s="321">
        <f t="shared" ref="ASK73" ca="1" si="18937">IF(ASC73&lt;&gt;"",VLOOKUP(ASC73,ARJ4:ARP40,7,FALSE),"")</f>
        <v>1000</v>
      </c>
      <c r="ASL73" s="321">
        <f t="shared" ref="ASL73" ca="1" si="18938">IF(ASC73&lt;&gt;"",VLOOKUP(ASC73,ARJ4:ARP40,5,FALSE),"")</f>
        <v>0</v>
      </c>
      <c r="ASM73" s="321">
        <f t="shared" ref="ASM73" ca="1" si="18939">IF(ASC73&lt;&gt;"",VLOOKUP(ASC73,ARJ4:ARR40,9,FALSE),"")</f>
        <v>46</v>
      </c>
      <c r="ASN73" s="321">
        <f t="shared" ca="1" si="18361"/>
        <v>0</v>
      </c>
      <c r="ASO73" s="321">
        <f t="shared" ref="ASO73" ca="1" si="18940">IF(ASC73&lt;&gt;"",RANK(ASN73,ASN71:ASN74),"")</f>
        <v>1</v>
      </c>
      <c r="ASP73" s="321">
        <f t="shared" ref="ASP73" ca="1" si="18941">IF(ASC73&lt;&gt;"",SUMPRODUCT((ASN71:ASN74=ASN73)*(ASI71:ASI74&gt;ASI73)),"")</f>
        <v>0</v>
      </c>
      <c r="ASQ73" s="321">
        <f t="shared" ref="ASQ73" ca="1" si="18942">IF(ASC73&lt;&gt;"",SUMPRODUCT((ASN71:ASN74=ASN73)*(ASI71:ASI74=ASI73)*(ASG71:ASG74&gt;ASG73)),"")</f>
        <v>0</v>
      </c>
      <c r="ASR73" s="321">
        <f t="shared" ref="ASR73" ca="1" si="18943">IF(ASC73&lt;&gt;"",SUMPRODUCT((ASN71:ASN74=ASN73)*(ASI71:ASI74=ASI73)*(ASG71:ASG74=ASG73)*(ASK71:ASK74&gt;ASK73)),"")</f>
        <v>0</v>
      </c>
      <c r="ASS73" s="321">
        <f t="shared" ref="ASS73" ca="1" si="18944">IF(ASC73&lt;&gt;"",SUMPRODUCT((ASN71:ASN74=ASN73)*(ASI71:ASI74=ASI73)*(ASG71:ASG74=ASG73)*(ASK71:ASK74=ASK73)*(ASL71:ASL74&gt;ASL73)),"")</f>
        <v>0</v>
      </c>
      <c r="AST73" s="321">
        <f t="shared" ref="AST73" ca="1" si="18945">IF(ASC73&lt;&gt;"",SUMPRODUCT((ASN71:ASN74=ASN73)*(ASI71:ASI74=ASI73)*(ASG71:ASG74=ASG73)*(ASK71:ASK74=ASK73)*(ASL71:ASL74=ASL73)*(ASM71:ASM74&gt;ASM73)),"")</f>
        <v>1</v>
      </c>
      <c r="ASU73" s="321">
        <f t="shared" ca="1" si="18368"/>
        <v>2</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f t="shared" ref="AWZ73" ca="1" si="18962">IF(AXA33&lt;&gt;"",SUMPRODUCT((AXH31:AXH34=AXH33)*(AXG31:AXG34=AXG33)*(AXE31:AXE34=AXE33)*(AXF31:AXF34=AXF33)),"")</f>
        <v>4</v>
      </c>
      <c r="AXA73" s="321" t="str">
        <f t="shared" ca="1" si="18370"/>
        <v>Romania</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f t="shared" ca="1" si="18377"/>
        <v>0</v>
      </c>
      <c r="AXI73" s="321">
        <f t="shared" ref="AXI73" ca="1" si="18968">IF(AXA73&lt;&gt;"",VLOOKUP(AXA73,AWH4:AWN40,7,FALSE),"")</f>
        <v>1000</v>
      </c>
      <c r="AXJ73" s="321">
        <f t="shared" ref="AXJ73" ca="1" si="18969">IF(AXA73&lt;&gt;"",VLOOKUP(AXA73,AWH4:AWN40,5,FALSE),"")</f>
        <v>0</v>
      </c>
      <c r="AXK73" s="321">
        <f t="shared" ref="AXK73" ca="1" si="18970">IF(AXA73&lt;&gt;"",VLOOKUP(AXA73,AWH4:AWP40,9,FALSE),"")</f>
        <v>46</v>
      </c>
      <c r="AXL73" s="321">
        <f t="shared" ca="1" si="18381"/>
        <v>0</v>
      </c>
      <c r="AXM73" s="321">
        <f t="shared" ref="AXM73" ca="1" si="18971">IF(AXA73&lt;&gt;"",RANK(AXL73,AXL71:AXL74),"")</f>
        <v>1</v>
      </c>
      <c r="AXN73" s="321">
        <f t="shared" ref="AXN73" ca="1" si="18972">IF(AXA73&lt;&gt;"",SUMPRODUCT((AXL71:AXL74=AXL73)*(AXG71:AXG74&gt;AXG73)),"")</f>
        <v>0</v>
      </c>
      <c r="AXO73" s="321">
        <f t="shared" ref="AXO73" ca="1" si="18973">IF(AXA73&lt;&gt;"",SUMPRODUCT((AXL71:AXL74=AXL73)*(AXG71:AXG74=AXG73)*(AXE71:AXE74&gt;AXE73)),"")</f>
        <v>0</v>
      </c>
      <c r="AXP73" s="321">
        <f t="shared" ref="AXP73" ca="1" si="18974">IF(AXA73&lt;&gt;"",SUMPRODUCT((AXL71:AXL74=AXL73)*(AXG71:AXG74=AXG73)*(AXE71:AXE74=AXE73)*(AXI71:AXI74&gt;AXI73)),"")</f>
        <v>0</v>
      </c>
      <c r="AXQ73" s="321">
        <f t="shared" ref="AXQ73" ca="1" si="18975">IF(AXA73&lt;&gt;"",SUMPRODUCT((AXL71:AXL74=AXL73)*(AXG71:AXG74=AXG73)*(AXE71:AXE74=AXE73)*(AXI71:AXI74=AXI73)*(AXJ71:AXJ74&gt;AXJ73)),"")</f>
        <v>0</v>
      </c>
      <c r="AXR73" s="321">
        <f t="shared" ref="AXR73" ca="1" si="18976">IF(AXA73&lt;&gt;"",SUMPRODUCT((AXL71:AXL74=AXL73)*(AXG71:AXG74=AXG73)*(AXE71:AXE74=AXE73)*(AXI71:AXI74=AXI73)*(AXJ71:AXJ74=AXJ73)*(AXK71:AXK74&gt;AXK73)),"")</f>
        <v>1</v>
      </c>
      <c r="AXS73" s="321">
        <f t="shared" ca="1" si="18388"/>
        <v>2</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2">
      <c r="I74" s="321">
        <f>SUMPRODUCT((I31:I34=I34)*(H31:H34=H34)*(F31:F34&gt;F34))+1</f>
        <v>1</v>
      </c>
      <c r="T74" s="321" t="str">
        <f>IF(U34&lt;&gt;"",SUMPRODUCT((AB31:AB34=AB34)*(AA31:AA34=AA34)*(Y31:Y34=Y34)*(Z31:Z34=Z34)),"")</f>
        <v/>
      </c>
      <c r="U74" s="321" t="str">
        <f t="shared" si="18409"/>
        <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t="str">
        <f t="shared" si="18410"/>
        <v/>
      </c>
      <c r="AC74" s="321" t="str">
        <f>IF(U74&lt;&gt;"",VLOOKUP(U74,B4:H40,7,FALSE),"")</f>
        <v/>
      </c>
      <c r="AD74" s="321" t="str">
        <f>IF(U74&lt;&gt;"",VLOOKUP(U74,B4:H40,5,FALSE),"")</f>
        <v/>
      </c>
      <c r="AE74" s="321" t="str">
        <f>IF(U74&lt;&gt;"",VLOOKUP(U74,B4:J40,9,FALSE),"")</f>
        <v/>
      </c>
      <c r="AF74" s="321" t="str">
        <f t="shared" si="18411"/>
        <v/>
      </c>
      <c r="AG74" s="321" t="str">
        <f>IF(U74&lt;&gt;"",RANK(AF74,AF71:AF74),"")</f>
        <v/>
      </c>
      <c r="AH74" s="321" t="str">
        <f>IF(U74&lt;&gt;"",SUMPRODUCT((AF71:AF74=AF74)*(AA71:AA74&gt;AA74)),"")</f>
        <v/>
      </c>
      <c r="AI74" s="321" t="str">
        <f>IF(U74&lt;&gt;"",SUMPRODUCT((AF71:AF74=AF74)*(AA71:AA74=AA74)*(Y71:Y74&gt;Y74)),"")</f>
        <v/>
      </c>
      <c r="AJ74" s="321" t="str">
        <f>IF(U74&lt;&gt;"",SUMPRODUCT((AF71:AF74=AF74)*(AA71:AA74=AA74)*(Y71:Y74=Y74)*(AC71:AC74&gt;AC74)),"")</f>
        <v/>
      </c>
      <c r="AK74" s="321" t="str">
        <f>IF(U74&lt;&gt;"",SUMPRODUCT((AF71:AF74=AF74)*(AA71:AA74=AA74)*(Y71:Y74=Y74)*(AC71:AC74=AC74)*(AD71:AD74&gt;AD74)),"")</f>
        <v/>
      </c>
      <c r="AL74" s="321" t="str">
        <f>IF(U74&lt;&gt;"",SUMPRODUCT((AF71:AF74=AF74)*(AA71:AA74=AA74)*(Y71:Y74=Y74)*(AC71:AC74=AC74)*(AD71:AD74=AD74)*(AE71:AE74&gt;AE74)),"")</f>
        <v/>
      </c>
      <c r="AM74" s="321" t="str">
        <f>IF(U74&lt;&gt;"",SUM(AG74:AL74),"")</f>
        <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f ca="1">IF(FM34&lt;&gt;"",SUMPRODUCT((FT31:FT34=FT34)*(FS31:FS34=FS34)*(FQ31:FQ34=FQ34)*(FR31:FR34=FR34)),"")</f>
        <v>3</v>
      </c>
      <c r="FM74" s="321" t="str">
        <f t="shared" ca="1" si="18418"/>
        <v>Romania</v>
      </c>
      <c r="FN74" s="321">
        <f ca="1">IF(FM74&lt;&gt;"",SUMPRODUCT((HX3:HX42=FM74)*(IA3:IA42=FM75)*(IB3:IB42="W"))+SUMPRODUCT((HX3:HX42=FM74)*(IA3:IA42=FM72)*(IB3:IB42="W"))+SUMPRODUCT((HX3:HX42=FM74)*(IA3:IA42=FM73)*(IB3:IB42="W"))+SUMPRODUCT((HX3:HX42=FM75)*(IA3:IA42=FM74)*(IC3:IC42="W"))+SUMPRODUCT((HX3:HX42=FM72)*(IA3:IA42=FM74)*(IC3:IC42="W"))+SUMPRODUCT((HX3:HX42=FM73)*(IA3:IA42=FM74)*(IC3:IC42="W")),"")</f>
        <v>0</v>
      </c>
      <c r="FO74" s="321">
        <f ca="1">IF(FM74&lt;&gt;"",SUMPRODUCT((HX3:HX42=FM74)*(IA3:IA42=FM75)*(IB3:IB42="D"))+SUMPRODUCT((HX3:HX42=FM74)*(IA3:IA42=FM72)*(IB3:IB42="D"))+SUMPRODUCT((HX3:HX42=FM74)*(IA3:IA42=FM73)*(IB3:IB42="D"))+SUMPRODUCT((HX3:HX42=FM75)*(IA3:IA42=FM74)*(IB3:IB42="D"))+SUMPRODUCT((HX3:HX42=FM72)*(IA3:IA42=FM74)*(IB3:IB42="D"))+SUMPRODUCT((HX3:HX42=FM73)*(IA3:IA42=FM74)*(IB3:IB42="D")),"")</f>
        <v>2</v>
      </c>
      <c r="FP74" s="321">
        <f ca="1">IF(FM74&lt;&gt;"",SUMPRODUCT((HX3:HX42=FM74)*(IA3:IA42=FM75)*(IB3:IB42="L"))+SUMPRODUCT((HX3:HX42=FM74)*(IA3:IA42=FM72)*(IB3:IB42="L"))+SUMPRODUCT((HX3:HX42=FM74)*(IA3:IA42=FM73)*(IB3:IB42="L"))+SUMPRODUCT((HX3:HX42=FM75)*(IA3:IA42=FM74)*(IC3:IC42="L"))+SUMPRODUCT((HX3:HX42=FM72)*(IA3:IA42=FM74)*(IC3:IC42="L"))+SUMPRODUCT((HX3:HX42=FM73)*(IA3:IA42=FM74)*(IC3:IC42="L")),"")</f>
        <v>0</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2</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2</v>
      </c>
      <c r="FS74" s="321">
        <f ca="1">FQ74-FR74+1000</f>
        <v>1000</v>
      </c>
      <c r="FT74" s="321">
        <f t="shared" ca="1" si="18419"/>
        <v>2</v>
      </c>
      <c r="FU74" s="321">
        <f ca="1">IF(FM74&lt;&gt;"",VLOOKUP(FM74,DZ4:EF40,7,FALSE),"")</f>
        <v>996</v>
      </c>
      <c r="FV74" s="321">
        <f ca="1">IF(FM74&lt;&gt;"",VLOOKUP(FM74,DZ4:EF40,5,FALSE),"")</f>
        <v>3</v>
      </c>
      <c r="FW74" s="321">
        <f ca="1">IF(FM74&lt;&gt;"",VLOOKUP(FM74,DZ4:EH40,9,FALSE),"")</f>
        <v>46</v>
      </c>
      <c r="FX74" s="321">
        <f t="shared" ca="1" si="18420"/>
        <v>2</v>
      </c>
      <c r="FY74" s="321">
        <f ca="1">IF(FM74&lt;&gt;"",RANK(FX74,FX71:FX74),"")</f>
        <v>1</v>
      </c>
      <c r="FZ74" s="321">
        <f ca="1">IF(FM74&lt;&gt;"",SUMPRODUCT((FX71:FX74=FX74)*(FS71:FS74&gt;FS74)),"")</f>
        <v>0</v>
      </c>
      <c r="GA74" s="321">
        <f ca="1">IF(FM74&lt;&gt;"",SUMPRODUCT((FX71:FX74=FX74)*(FS71:FS74=FS74)*(FQ71:FQ74&gt;FQ74)),"")</f>
        <v>0</v>
      </c>
      <c r="GB74" s="321">
        <f ca="1">IF(FM74&lt;&gt;"",SUMPRODUCT((FX71:FX74=FX74)*(FS71:FS74=FS74)*(FQ71:FQ74=FQ74)*(FU71:FU74&gt;FU74)),"")</f>
        <v>2</v>
      </c>
      <c r="GC74" s="321">
        <f ca="1">IF(FM74&lt;&gt;"",SUMPRODUCT((FX71:FX74=FX74)*(FS71:FS74=FS74)*(FQ71:FQ74=FQ74)*(FU71:FU74=FU74)*(FV71:FV74&gt;FV74)),"")</f>
        <v>0</v>
      </c>
      <c r="GD74" s="321">
        <f ca="1">IF(FM74&lt;&gt;"",SUMPRODUCT((FX71:FX74=FX74)*(FS71:FS74=FS74)*(FQ71:FQ74=FQ74)*(FU71:FU74=FU74)*(FV71:FV74=FV74)*(FW71:FW74&gt;FW74)),"")</f>
        <v>0</v>
      </c>
      <c r="GE74" s="321">
        <f t="shared" ca="1" si="18743"/>
        <v>4</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t="str">
        <f t="shared" ref="ON74" ca="1" si="19024">IF(OO34&lt;&gt;"",SUMPRODUCT((OV31:OV34=OV34)*(OU31:OU34=OU34)*(OS31:OS34=OS34)*(OT31:OT34=OT34)),"")</f>
        <v/>
      </c>
      <c r="OO74" s="321" t="str">
        <f t="shared" ca="1" si="18230"/>
        <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t="str">
        <f t="shared" ca="1" si="18237"/>
        <v/>
      </c>
      <c r="OW74" s="321" t="str">
        <f t="shared" ref="OW74" ca="1" si="19030">IF(OO74&lt;&gt;"",VLOOKUP(OO74,NV4:OB40,7,FALSE),"")</f>
        <v/>
      </c>
      <c r="OX74" s="321" t="str">
        <f t="shared" ref="OX74" ca="1" si="19031">IF(OO74&lt;&gt;"",VLOOKUP(OO74,NV4:OB40,5,FALSE),"")</f>
        <v/>
      </c>
      <c r="OY74" s="321" t="str">
        <f t="shared" ref="OY74" ca="1" si="19032">IF(OO74&lt;&gt;"",VLOOKUP(OO74,NV4:OD40,9,FALSE),"")</f>
        <v/>
      </c>
      <c r="OZ74" s="321" t="str">
        <f t="shared" ca="1" si="18241"/>
        <v/>
      </c>
      <c r="PA74" s="321" t="str">
        <f t="shared" ref="PA74" ca="1" si="19033">IF(OO74&lt;&gt;"",RANK(OZ74,OZ71:OZ74),"")</f>
        <v/>
      </c>
      <c r="PB74" s="321" t="str">
        <f t="shared" ref="PB74" ca="1" si="19034">IF(OO74&lt;&gt;"",SUMPRODUCT((OZ71:OZ74=OZ74)*(OU71:OU74&gt;OU74)),"")</f>
        <v/>
      </c>
      <c r="PC74" s="321" t="str">
        <f t="shared" ref="PC74" ca="1" si="19035">IF(OO74&lt;&gt;"",SUMPRODUCT((OZ71:OZ74=OZ74)*(OU71:OU74=OU74)*(OS71:OS74&gt;OS74)),"")</f>
        <v/>
      </c>
      <c r="PD74" s="321" t="str">
        <f t="shared" ref="PD74" ca="1" si="19036">IF(OO74&lt;&gt;"",SUMPRODUCT((OZ71:OZ74=OZ74)*(OU71:OU74=OU74)*(OS71:OS74=OS74)*(OW71:OW74&gt;OW74)),"")</f>
        <v/>
      </c>
      <c r="PE74" s="321" t="str">
        <f t="shared" ref="PE74" ca="1" si="19037">IF(OO74&lt;&gt;"",SUMPRODUCT((OZ71:OZ74=OZ74)*(OU71:OU74=OU74)*(OS71:OS74=OS74)*(OW71:OW74=OW74)*(OX71:OX74&gt;OX74)),"")</f>
        <v/>
      </c>
      <c r="PF74" s="321" t="str">
        <f t="shared" ref="PF74" ca="1" si="19038">IF(OO74&lt;&gt;"",SUMPRODUCT((OZ71:OZ74=OZ74)*(OU71:OU74=OU74)*(OS71:OS74=OS74)*(OW71:OW74=OW74)*(OX71:OX74=OX74)*(OY71:OY74&gt;OY74)),"")</f>
        <v/>
      </c>
      <c r="PG74" s="321" t="str">
        <f t="shared" ca="1" si="18248"/>
        <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2</v>
      </c>
      <c r="TL74" s="321" t="str">
        <f t="shared" ref="TL74" ca="1" si="19054">IF(TM34&lt;&gt;"",SUMPRODUCT((TT31:TT34=TT34)*(TS31:TS34=TS34)*(TQ31:TQ34=TQ34)*(TR31:TR34=TR34)),"")</f>
        <v/>
      </c>
      <c r="TM74" s="321" t="str">
        <f t="shared" ca="1" si="18250"/>
        <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t="str">
        <f t="shared" ca="1" si="18257"/>
        <v/>
      </c>
      <c r="TU74" s="321" t="str">
        <f t="shared" ref="TU74" ca="1" si="19060">IF(TM74&lt;&gt;"",VLOOKUP(TM74,ST4:SZ40,7,FALSE),"")</f>
        <v/>
      </c>
      <c r="TV74" s="321" t="str">
        <f t="shared" ref="TV74" ca="1" si="19061">IF(TM74&lt;&gt;"",VLOOKUP(TM74,ST4:SZ40,5,FALSE),"")</f>
        <v/>
      </c>
      <c r="TW74" s="321" t="str">
        <f t="shared" ref="TW74" ca="1" si="19062">IF(TM74&lt;&gt;"",VLOOKUP(TM74,ST4:TB40,9,FALSE),"")</f>
        <v/>
      </c>
      <c r="TX74" s="321" t="str">
        <f t="shared" ca="1" si="18261"/>
        <v/>
      </c>
      <c r="TY74" s="321" t="str">
        <f t="shared" ref="TY74" ca="1" si="19063">IF(TM74&lt;&gt;"",RANK(TX74,TX71:TX74),"")</f>
        <v/>
      </c>
      <c r="TZ74" s="321" t="str">
        <f t="shared" ref="TZ74" ca="1" si="19064">IF(TM74&lt;&gt;"",SUMPRODUCT((TX71:TX74=TX74)*(TS71:TS74&gt;TS74)),"")</f>
        <v/>
      </c>
      <c r="UA74" s="321" t="str">
        <f t="shared" ref="UA74" ca="1" si="19065">IF(TM74&lt;&gt;"",SUMPRODUCT((TX71:TX74=TX74)*(TS71:TS74=TS74)*(TQ71:TQ74&gt;TQ74)),"")</f>
        <v/>
      </c>
      <c r="UB74" s="321" t="str">
        <f t="shared" ref="UB74" ca="1" si="19066">IF(TM74&lt;&gt;"",SUMPRODUCT((TX71:TX74=TX74)*(TS71:TS74=TS74)*(TQ71:TQ74=TQ74)*(TU71:TU74&gt;TU74)),"")</f>
        <v/>
      </c>
      <c r="UC74" s="321" t="str">
        <f t="shared" ref="UC74" ca="1" si="19067">IF(TM74&lt;&gt;"",SUMPRODUCT((TX71:TX74=TX74)*(TS71:TS74=TS74)*(TQ71:TQ74=TQ74)*(TU71:TU74=TU74)*(TV71:TV74&gt;TV74)),"")</f>
        <v/>
      </c>
      <c r="UD74" s="321" t="str">
        <f t="shared" ref="UD74" ca="1" si="19068">IF(TM74&lt;&gt;"",SUMPRODUCT((TX71:TX74=TX74)*(TS71:TS74=TS74)*(TQ71:TQ74=TQ74)*(TU71:TU74=TU74)*(TV71:TV74=TV74)*(TW71:TW74&gt;TW74)),"")</f>
        <v/>
      </c>
      <c r="UE74" s="321" t="str">
        <f t="shared" ca="1" si="18268"/>
        <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t="str">
        <f t="shared" ref="ADH74" ca="1" si="19114">IF(ADI34&lt;&gt;"",SUMPRODUCT((ADP31:ADP34=ADP34)*(ADO31:ADO34=ADO34)*(ADM31:ADM34=ADM34)*(ADN31:ADN34=ADN34)),"")</f>
        <v/>
      </c>
      <c r="ADI74" s="321" t="str">
        <f t="shared" ca="1" si="18290"/>
        <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t="str">
        <f t="shared" ca="1" si="18297"/>
        <v/>
      </c>
      <c r="ADQ74" s="321" t="str">
        <f t="shared" ref="ADQ74" ca="1" si="19120">IF(ADI74&lt;&gt;"",VLOOKUP(ADI74,ACP4:ACV40,7,FALSE),"")</f>
        <v/>
      </c>
      <c r="ADR74" s="321" t="str">
        <f t="shared" ref="ADR74" ca="1" si="19121">IF(ADI74&lt;&gt;"",VLOOKUP(ADI74,ACP4:ACV40,5,FALSE),"")</f>
        <v/>
      </c>
      <c r="ADS74" s="321" t="str">
        <f t="shared" ref="ADS74" ca="1" si="19122">IF(ADI74&lt;&gt;"",VLOOKUP(ADI74,ACP4:ACX40,9,FALSE),"")</f>
        <v/>
      </c>
      <c r="ADT74" s="321" t="str">
        <f t="shared" ca="1" si="18301"/>
        <v/>
      </c>
      <c r="ADU74" s="321" t="str">
        <f t="shared" ref="ADU74" ca="1" si="19123">IF(ADI74&lt;&gt;"",RANK(ADT74,ADT71:ADT74),"")</f>
        <v/>
      </c>
      <c r="ADV74" s="321" t="str">
        <f t="shared" ref="ADV74" ca="1" si="19124">IF(ADI74&lt;&gt;"",SUMPRODUCT((ADT71:ADT74=ADT74)*(ADO71:ADO74&gt;ADO74)),"")</f>
        <v/>
      </c>
      <c r="ADW74" s="321" t="str">
        <f t="shared" ref="ADW74" ca="1" si="19125">IF(ADI74&lt;&gt;"",SUMPRODUCT((ADT71:ADT74=ADT74)*(ADO71:ADO74=ADO74)*(ADM71:ADM74&gt;ADM74)),"")</f>
        <v/>
      </c>
      <c r="ADX74" s="321" t="str">
        <f t="shared" ref="ADX74" ca="1" si="19126">IF(ADI74&lt;&gt;"",SUMPRODUCT((ADT71:ADT74=ADT74)*(ADO71:ADO74=ADO74)*(ADM71:ADM74=ADM74)*(ADQ71:ADQ74&gt;ADQ74)),"")</f>
        <v/>
      </c>
      <c r="ADY74" s="321" t="str">
        <f t="shared" ref="ADY74" ca="1" si="19127">IF(ADI74&lt;&gt;"",SUMPRODUCT((ADT71:ADT74=ADT74)*(ADO71:ADO74=ADO74)*(ADM71:ADM74=ADM74)*(ADQ71:ADQ74=ADQ74)*(ADR71:ADR74&gt;ADR74)),"")</f>
        <v/>
      </c>
      <c r="ADZ74" s="321" t="str">
        <f t="shared" ref="ADZ74" ca="1" si="19128">IF(ADI74&lt;&gt;"",SUMPRODUCT((ADT71:ADT74=ADT74)*(ADO71:ADO74=ADO74)*(ADM71:ADM74=ADM74)*(ADQ71:ADQ74=ADQ74)*(ADR71:ADR74=ADR74)*(ADS71:ADS74&gt;ADS74)),"")</f>
        <v/>
      </c>
      <c r="AEA74" s="321" t="str">
        <f t="shared" ca="1" si="18308"/>
        <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f t="shared" ref="AIF74" ca="1" si="19144">IF(AIG34&lt;&gt;"",SUMPRODUCT((AIN31:AIN34=AIN34)*(AIM31:AIM34=AIM34)*(AIK31:AIK34=AIK34)*(AIL31:AIL34=AIL34)),"")</f>
        <v>4</v>
      </c>
      <c r="AIG74" s="321" t="str">
        <f t="shared" ca="1" si="18310"/>
        <v>Belgium</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f t="shared" ca="1" si="18317"/>
        <v>0</v>
      </c>
      <c r="AIO74" s="321">
        <f t="shared" ref="AIO74" ca="1" si="19150">IF(AIG74&lt;&gt;"",VLOOKUP(AIG74,AHN4:AHT40,7,FALSE),"")</f>
        <v>1000</v>
      </c>
      <c r="AIP74" s="321">
        <f t="shared" ref="AIP74" ca="1" si="19151">IF(AIG74&lt;&gt;"",VLOOKUP(AIG74,AHN4:AHT40,5,FALSE),"")</f>
        <v>0</v>
      </c>
      <c r="AIQ74" s="321">
        <f t="shared" ref="AIQ74" ca="1" si="19152">IF(AIG74&lt;&gt;"",VLOOKUP(AIG74,AHN4:AHV40,9,FALSE),"")</f>
        <v>50</v>
      </c>
      <c r="AIR74" s="321">
        <f t="shared" ca="1" si="18321"/>
        <v>0</v>
      </c>
      <c r="AIS74" s="321">
        <f t="shared" ref="AIS74" ca="1" si="19153">IF(AIG74&lt;&gt;"",RANK(AIR74,AIR71:AIR74),"")</f>
        <v>1</v>
      </c>
      <c r="AIT74" s="321">
        <f t="shared" ref="AIT74" ca="1" si="19154">IF(AIG74&lt;&gt;"",SUMPRODUCT((AIR71:AIR74=AIR74)*(AIM71:AIM74&gt;AIM74)),"")</f>
        <v>0</v>
      </c>
      <c r="AIU74" s="321">
        <f t="shared" ref="AIU74" ca="1" si="19155">IF(AIG74&lt;&gt;"",SUMPRODUCT((AIR71:AIR74=AIR74)*(AIM71:AIM74=AIM74)*(AIK71:AIK74&gt;AIK74)),"")</f>
        <v>0</v>
      </c>
      <c r="AIV74" s="321">
        <f t="shared" ref="AIV74" ca="1" si="19156">IF(AIG74&lt;&gt;"",SUMPRODUCT((AIR71:AIR74=AIR74)*(AIM71:AIM74=AIM74)*(AIK71:AIK74=AIK74)*(AIO71:AIO74&gt;AIO74)),"")</f>
        <v>0</v>
      </c>
      <c r="AIW74" s="321">
        <f t="shared" ref="AIW74" ca="1" si="19157">IF(AIG74&lt;&gt;"",SUMPRODUCT((AIR71:AIR74=AIR74)*(AIM71:AIM74=AIM74)*(AIK71:AIK74=AIK74)*(AIO71:AIO74=AIO74)*(AIP71:AIP74&gt;AIP74)),"")</f>
        <v>0</v>
      </c>
      <c r="AIX74" s="321">
        <f t="shared" ref="AIX74" ca="1" si="19158">IF(AIG74&lt;&gt;"",SUMPRODUCT((AIR71:AIR74=AIR74)*(AIM71:AIM74=AIM74)*(AIK71:AIK74=AIK74)*(AIO71:AIO74=AIO74)*(AIP71:AIP74=AIP74)*(AIQ71:AIQ74&gt;AIQ74)),"")</f>
        <v>0</v>
      </c>
      <c r="AIY74" s="321">
        <f t="shared" ca="1" si="18328"/>
        <v>1</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f t="shared" ref="AND74" ca="1" si="19174">IF(ANE34&lt;&gt;"",SUMPRODUCT((ANL31:ANL34=ANL34)*(ANK31:ANK34=ANK34)*(ANI31:ANI34=ANI34)*(ANJ31:ANJ34=ANJ34)),"")</f>
        <v>4</v>
      </c>
      <c r="ANE74" s="321" t="str">
        <f t="shared" ca="1" si="18330"/>
        <v>Belgium</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f t="shared" ca="1" si="18337"/>
        <v>0</v>
      </c>
      <c r="ANM74" s="321">
        <f t="shared" ref="ANM74" ca="1" si="19180">IF(ANE74&lt;&gt;"",VLOOKUP(ANE74,AML4:AMR40,7,FALSE),"")</f>
        <v>1000</v>
      </c>
      <c r="ANN74" s="321">
        <f t="shared" ref="ANN74" ca="1" si="19181">IF(ANE74&lt;&gt;"",VLOOKUP(ANE74,AML4:AMR40,5,FALSE),"")</f>
        <v>0</v>
      </c>
      <c r="ANO74" s="321">
        <f t="shared" ref="ANO74" ca="1" si="19182">IF(ANE74&lt;&gt;"",VLOOKUP(ANE74,AML4:AMT40,9,FALSE),"")</f>
        <v>50</v>
      </c>
      <c r="ANP74" s="321">
        <f t="shared" ca="1" si="18341"/>
        <v>0</v>
      </c>
      <c r="ANQ74" s="321">
        <f t="shared" ref="ANQ74" ca="1" si="19183">IF(ANE74&lt;&gt;"",RANK(ANP74,ANP71:ANP74),"")</f>
        <v>1</v>
      </c>
      <c r="ANR74" s="321">
        <f t="shared" ref="ANR74" ca="1" si="19184">IF(ANE74&lt;&gt;"",SUMPRODUCT((ANP71:ANP74=ANP74)*(ANK71:ANK74&gt;ANK74)),"")</f>
        <v>0</v>
      </c>
      <c r="ANS74" s="321">
        <f t="shared" ref="ANS74" ca="1" si="19185">IF(ANE74&lt;&gt;"",SUMPRODUCT((ANP71:ANP74=ANP74)*(ANK71:ANK74=ANK74)*(ANI71:ANI74&gt;ANI74)),"")</f>
        <v>0</v>
      </c>
      <c r="ANT74" s="321">
        <f t="shared" ref="ANT74" ca="1" si="19186">IF(ANE74&lt;&gt;"",SUMPRODUCT((ANP71:ANP74=ANP74)*(ANK71:ANK74=ANK74)*(ANI71:ANI74=ANI74)*(ANM71:ANM74&gt;ANM74)),"")</f>
        <v>0</v>
      </c>
      <c r="ANU74" s="321">
        <f t="shared" ref="ANU74" ca="1" si="19187">IF(ANE74&lt;&gt;"",SUMPRODUCT((ANP71:ANP74=ANP74)*(ANK71:ANK74=ANK74)*(ANI71:ANI74=ANI74)*(ANM71:ANM74=ANM74)*(ANN71:ANN74&gt;ANN74)),"")</f>
        <v>0</v>
      </c>
      <c r="ANV74" s="321">
        <f t="shared" ref="ANV74" ca="1" si="19188">IF(ANE74&lt;&gt;"",SUMPRODUCT((ANP71:ANP74=ANP74)*(ANK71:ANK74=ANK74)*(ANI71:ANI74=ANI74)*(ANM71:ANM74=ANM74)*(ANN71:ANN74=ANN74)*(ANO71:ANO74&gt;ANO74)),"")</f>
        <v>0</v>
      </c>
      <c r="ANW74" s="321">
        <f t="shared" ca="1" si="18348"/>
        <v>1</v>
      </c>
      <c r="ANX74" s="321" t="str">
        <f t="shared" ref="ANX74" ca="1" si="19189">IF(ANY34&lt;&gt;"",SUMPRODUCT((AOF31:AOF34=AOF34)*(AOE31:AOE34=AOE34)*(AOC31:AOC34=AOC34)*(AOD31:AOD34=AOD34)),"")</f>
        <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f t="shared" ref="ASB74" ca="1" si="19204">IF(ASC34&lt;&gt;"",SUMPRODUCT((ASJ31:ASJ34=ASJ34)*(ASI31:ASI34=ASI34)*(ASG31:ASG34=ASG34)*(ASH31:ASH34=ASH34)),"")</f>
        <v>4</v>
      </c>
      <c r="ASC74" s="321" t="str">
        <f t="shared" ca="1" si="18350"/>
        <v>Belgium</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f t="shared" ca="1" si="18357"/>
        <v>0</v>
      </c>
      <c r="ASK74" s="321">
        <f t="shared" ref="ASK74" ca="1" si="19210">IF(ASC74&lt;&gt;"",VLOOKUP(ASC74,ARJ4:ARP40,7,FALSE),"")</f>
        <v>1000</v>
      </c>
      <c r="ASL74" s="321">
        <f t="shared" ref="ASL74" ca="1" si="19211">IF(ASC74&lt;&gt;"",VLOOKUP(ASC74,ARJ4:ARP40,5,FALSE),"")</f>
        <v>0</v>
      </c>
      <c r="ASM74" s="321">
        <f t="shared" ref="ASM74" ca="1" si="19212">IF(ASC74&lt;&gt;"",VLOOKUP(ASC74,ARJ4:ARR40,9,FALSE),"")</f>
        <v>50</v>
      </c>
      <c r="ASN74" s="321">
        <f t="shared" ca="1" si="18361"/>
        <v>0</v>
      </c>
      <c r="ASO74" s="321">
        <f t="shared" ref="ASO74" ca="1" si="19213">IF(ASC74&lt;&gt;"",RANK(ASN74,ASN71:ASN74),"")</f>
        <v>1</v>
      </c>
      <c r="ASP74" s="321">
        <f t="shared" ref="ASP74" ca="1" si="19214">IF(ASC74&lt;&gt;"",SUMPRODUCT((ASN71:ASN74=ASN74)*(ASI71:ASI74&gt;ASI74)),"")</f>
        <v>0</v>
      </c>
      <c r="ASQ74" s="321">
        <f t="shared" ref="ASQ74" ca="1" si="19215">IF(ASC74&lt;&gt;"",SUMPRODUCT((ASN71:ASN74=ASN74)*(ASI71:ASI74=ASI74)*(ASG71:ASG74&gt;ASG74)),"")</f>
        <v>0</v>
      </c>
      <c r="ASR74" s="321">
        <f t="shared" ref="ASR74" ca="1" si="19216">IF(ASC74&lt;&gt;"",SUMPRODUCT((ASN71:ASN74=ASN74)*(ASI71:ASI74=ASI74)*(ASG71:ASG74=ASG74)*(ASK71:ASK74&gt;ASK74)),"")</f>
        <v>0</v>
      </c>
      <c r="ASS74" s="321">
        <f t="shared" ref="ASS74" ca="1" si="19217">IF(ASC74&lt;&gt;"",SUMPRODUCT((ASN71:ASN74=ASN74)*(ASI71:ASI74=ASI74)*(ASG71:ASG74=ASG74)*(ASK71:ASK74=ASK74)*(ASL71:ASL74&gt;ASL74)),"")</f>
        <v>0</v>
      </c>
      <c r="AST74" s="321">
        <f t="shared" ref="AST74" ca="1" si="19218">IF(ASC74&lt;&gt;"",SUMPRODUCT((ASN71:ASN74=ASN74)*(ASI71:ASI74=ASI74)*(ASG71:ASG74=ASG74)*(ASK71:ASK74=ASK74)*(ASL71:ASL74=ASL74)*(ASM71:ASM74&gt;ASM74)),"")</f>
        <v>0</v>
      </c>
      <c r="ASU74" s="321">
        <f t="shared" ca="1" si="18368"/>
        <v>1</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f t="shared" ref="AWZ74" ca="1" si="19234">IF(AXA34&lt;&gt;"",SUMPRODUCT((AXH31:AXH34=AXH34)*(AXG31:AXG34=AXG34)*(AXE31:AXE34=AXE34)*(AXF31:AXF34=AXF34)),"")</f>
        <v>4</v>
      </c>
      <c r="AXA74" s="321" t="str">
        <f t="shared" ca="1" si="18370"/>
        <v>Belgium</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f t="shared" ca="1" si="18377"/>
        <v>0</v>
      </c>
      <c r="AXI74" s="321">
        <f t="shared" ref="AXI74" ca="1" si="19240">IF(AXA74&lt;&gt;"",VLOOKUP(AXA74,AWH4:AWN40,7,FALSE),"")</f>
        <v>1000</v>
      </c>
      <c r="AXJ74" s="321">
        <f t="shared" ref="AXJ74" ca="1" si="19241">IF(AXA74&lt;&gt;"",VLOOKUP(AXA74,AWH4:AWN40,5,FALSE),"")</f>
        <v>0</v>
      </c>
      <c r="AXK74" s="321">
        <f t="shared" ref="AXK74" ca="1" si="19242">IF(AXA74&lt;&gt;"",VLOOKUP(AXA74,AWH4:AWP40,9,FALSE),"")</f>
        <v>50</v>
      </c>
      <c r="AXL74" s="321">
        <f t="shared" ca="1" si="18381"/>
        <v>0</v>
      </c>
      <c r="AXM74" s="321">
        <f t="shared" ref="AXM74" ca="1" si="19243">IF(AXA74&lt;&gt;"",RANK(AXL74,AXL71:AXL74),"")</f>
        <v>1</v>
      </c>
      <c r="AXN74" s="321">
        <f t="shared" ref="AXN74" ca="1" si="19244">IF(AXA74&lt;&gt;"",SUMPRODUCT((AXL71:AXL74=AXL74)*(AXG71:AXG74&gt;AXG74)),"")</f>
        <v>0</v>
      </c>
      <c r="AXO74" s="321">
        <f t="shared" ref="AXO74" ca="1" si="19245">IF(AXA74&lt;&gt;"",SUMPRODUCT((AXL71:AXL74=AXL74)*(AXG71:AXG74=AXG74)*(AXE71:AXE74&gt;AXE74)),"")</f>
        <v>0</v>
      </c>
      <c r="AXP74" s="321">
        <f t="shared" ref="AXP74" ca="1" si="19246">IF(AXA74&lt;&gt;"",SUMPRODUCT((AXL71:AXL74=AXL74)*(AXG71:AXG74=AXG74)*(AXE71:AXE74=AXE74)*(AXI71:AXI74&gt;AXI74)),"")</f>
        <v>0</v>
      </c>
      <c r="AXQ74" s="321">
        <f t="shared" ref="AXQ74" ca="1" si="19247">IF(AXA74&lt;&gt;"",SUMPRODUCT((AXL71:AXL74=AXL74)*(AXG71:AXG74=AXG74)*(AXE71:AXE74=AXE74)*(AXI71:AXI74=AXI74)*(AXJ71:AXJ74&gt;AXJ74)),"")</f>
        <v>0</v>
      </c>
      <c r="AXR74" s="321">
        <f t="shared" ref="AXR74" ca="1" si="19248">IF(AXA74&lt;&gt;"",SUMPRODUCT((AXL71:AXL74=AXL74)*(AXG71:AXG74=AXG74)*(AXE71:AXE74=AXE74)*(AXI71:AXI74=AXI74)*(AXJ71:AXJ74=AXJ74)*(AXK71:AXK74&gt;AXK74)),"")</f>
        <v>0</v>
      </c>
      <c r="AXS74" s="321">
        <f t="shared" ca="1" si="18388"/>
        <v>1</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2">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2">
      <c r="I77" s="321">
        <f>SUMPRODUCT((I37:I40=I37)*(H37:H40=H37)*(F37:F40&gt;F37))+1</f>
        <v>1</v>
      </c>
      <c r="T77" s="321">
        <f>IF(U37&lt;&gt;"",SUMPRODUCT((AB37:AB40=AB37)*(AA37:AA40=AA37)*(Y37:Y40=Y37)*(Z37:Z40=Z37)),"")</f>
        <v>2</v>
      </c>
      <c r="U77" s="321" t="str">
        <f>IF(AND(T77&lt;&gt;"",T77&gt;1),U37,"")</f>
        <v>Türkiye</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f>IF(U77&lt;&gt;"",V77*3+W77*1,"")</f>
        <v>0</v>
      </c>
      <c r="AC77" s="321">
        <f>IF(U77&lt;&gt;"",VLOOKUP(U77,B4:H40,7,FALSE),"")</f>
        <v>1002</v>
      </c>
      <c r="AD77" s="321">
        <f>IF(U77&lt;&gt;"",VLOOKUP(U77,B4:H40,5,FALSE),"")</f>
        <v>3</v>
      </c>
      <c r="AE77" s="321">
        <f>IF(U77&lt;&gt;"",VLOOKUP(U77,B4:J40,9,FALSE),"")</f>
        <v>47</v>
      </c>
      <c r="AF77" s="321">
        <f>AB77</f>
        <v>0</v>
      </c>
      <c r="AG77" s="321">
        <f>IF(U77&lt;&gt;"",RANK(AF77,AF77:AF80),"")</f>
        <v>1</v>
      </c>
      <c r="AH77" s="321">
        <f>IF(U77&lt;&gt;"",SUMPRODUCT((AF77:AF80=AF77)*(AA77:AA80&gt;AA77)),"")</f>
        <v>0</v>
      </c>
      <c r="AI77" s="321">
        <f>IF(U77&lt;&gt;"",SUMPRODUCT((AF77:AF80=AF77)*(AA77:AA80=AA77)*(Y77:Y80&gt;Y77)),"")</f>
        <v>0</v>
      </c>
      <c r="AJ77" s="321">
        <f>IF(U77&lt;&gt;"",SUMPRODUCT((AF77:AF80=AF77)*(AA77:AA80=AA77)*(Y77:Y80=Y77)*(AC77:AC80&gt;AC77)),"")</f>
        <v>0</v>
      </c>
      <c r="AK77" s="321">
        <f>IF(U77&lt;&gt;"",SUMPRODUCT((AF77:AF80=AF77)*(AA77:AA80=AA77)*(Y77:Y80=Y77)*(AC77:AC80=AC77)*(AD77:AD80&gt;AD77)),"")</f>
        <v>0</v>
      </c>
      <c r="AL77" s="321">
        <f>IF(U77&lt;&gt;"",SUMPRODUCT((AF77:AF80=AF77)*(AA77:AA80=AA77)*(Y77:Y80=Y77)*(AC77:AC80=AC77)*(AD77:AD80=AD77)*(AE77:AE80&gt;AE77)),"")</f>
        <v>0</v>
      </c>
      <c r="AM77" s="321">
        <f>IF(U77&lt;&gt;"",SUM(AG77:AL77),"")</f>
        <v>1</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2</v>
      </c>
      <c r="ON77" s="321">
        <f t="shared" ref="ON77" ca="1" si="19312">IF(OO37&lt;&gt;"",SUMPRODUCT((OV37:OV40=OV37)*(OU37:OU40=OU37)*(OS37:OS40=OS37)*(OT37:OT40=OT37)),"")</f>
        <v>2</v>
      </c>
      <c r="OO77" s="321" t="str">
        <f t="shared" ref="OO77:OO80" ca="1" si="19313">IF(AND(ON77&lt;&gt;"",ON77&gt;1),OO37,"")</f>
        <v>Türkiye</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1</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1</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1</v>
      </c>
      <c r="OU77" s="321">
        <f t="shared" ref="OU77:OU80" ca="1" si="19319">OS77-OT77+1000</f>
        <v>1000</v>
      </c>
      <c r="OV77" s="321">
        <f t="shared" ref="OV77:OV80" ca="1" si="19320">IF(OO77&lt;&gt;"",OP77*3+OQ77*1,"")</f>
        <v>1</v>
      </c>
      <c r="OW77" s="321">
        <f t="shared" ref="OW77" ca="1" si="19321">IF(OO77&lt;&gt;"",VLOOKUP(OO77,NV4:OB40,7,FALSE),"")</f>
        <v>1003</v>
      </c>
      <c r="OX77" s="321">
        <f t="shared" ref="OX77" ca="1" si="19322">IF(OO77&lt;&gt;"",VLOOKUP(OO77,NV4:OB40,5,FALSE),"")</f>
        <v>5</v>
      </c>
      <c r="OY77" s="321">
        <f t="shared" ref="OY77" ca="1" si="19323">IF(OO77&lt;&gt;"",VLOOKUP(OO77,NV4:OD40,9,FALSE),"")</f>
        <v>47</v>
      </c>
      <c r="OZ77" s="321">
        <f t="shared" ref="OZ77:OZ80" ca="1" si="19324">OV77</f>
        <v>1</v>
      </c>
      <c r="PA77" s="321">
        <f t="shared" ref="PA77" ca="1" si="19325">IF(OO77&lt;&gt;"",RANK(OZ77,OZ77:OZ80),"")</f>
        <v>1</v>
      </c>
      <c r="PB77" s="321">
        <f t="shared" ref="PB77" ca="1" si="19326">IF(OO77&lt;&gt;"",SUMPRODUCT((OZ77:OZ80=OZ77)*(OU77:OU80&gt;OU77)),"")</f>
        <v>0</v>
      </c>
      <c r="PC77" s="321">
        <f t="shared" ref="PC77" ca="1" si="19327">IF(OO77&lt;&gt;"",SUMPRODUCT((OZ77:OZ80=OZ77)*(OU77:OU80=OU77)*(OS77:OS80&gt;OS77)),"")</f>
        <v>0</v>
      </c>
      <c r="PD77" s="321">
        <f t="shared" ref="PD77" ca="1" si="19328">IF(OO77&lt;&gt;"",SUMPRODUCT((OZ77:OZ80=OZ77)*(OU77:OU80=OU77)*(OS77:OS80=OS77)*(OW77:OW80&gt;OW77)),"")</f>
        <v>0</v>
      </c>
      <c r="PE77" s="321">
        <f t="shared" ref="PE77" ca="1" si="19329">IF(OO77&lt;&gt;"",SUMPRODUCT((OZ77:OZ80=OZ77)*(OU77:OU80=OU77)*(OS77:OS80=OS77)*(OW77:OW80=OW77)*(OX77:OX80&gt;OX77)),"")</f>
        <v>0</v>
      </c>
      <c r="PF77" s="321">
        <f t="shared" ref="PF77" ca="1" si="19330">IF(OO77&lt;&gt;"",SUMPRODUCT((OZ77:OZ80=OZ77)*(OU77:OU80=OU77)*(OS77:OS80=OS77)*(OW77:OW80=OW77)*(OX77:OX80=OX77)*(OY77:OY80&gt;OY77)),"")</f>
        <v>0</v>
      </c>
      <c r="PG77" s="321">
        <f t="shared" ref="PG77:PG80" ca="1" si="19331">IF(OO77&lt;&gt;"",SUM(PA77:PF77),"")</f>
        <v>1</v>
      </c>
      <c r="TA77" s="321">
        <f ca="1">SUMPRODUCT((TA37:TA40=TA37)*(SZ37:SZ40=SZ37)*(SX37:SX40&gt;SX37))+1</f>
        <v>1</v>
      </c>
      <c r="TL77" s="321" t="str">
        <f t="shared" ref="TL77" ca="1" si="19332">IF(TM37&lt;&gt;"",SUMPRODUCT((TT37:TT40=TT37)*(TS37:TS40=TS37)*(TQ37:TQ40=TQ37)*(TR37:TR40=TR37)),"")</f>
        <v/>
      </c>
      <c r="TM77" s="321" t="str">
        <f t="shared" ref="TM77:TM80" ca="1" si="19333">IF(AND(TL77&lt;&gt;"",TL77&gt;1),TM37,"")</f>
        <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t="str">
        <f t="shared" ref="TT77:TT80" ca="1" si="19340">IF(TM77&lt;&gt;"",TN77*3+TO77*1,"")</f>
        <v/>
      </c>
      <c r="TU77" s="321" t="str">
        <f t="shared" ref="TU77" ca="1" si="19341">IF(TM77&lt;&gt;"",VLOOKUP(TM77,ST4:SZ40,7,FALSE),"")</f>
        <v/>
      </c>
      <c r="TV77" s="321" t="str">
        <f t="shared" ref="TV77" ca="1" si="19342">IF(TM77&lt;&gt;"",VLOOKUP(TM77,ST4:SZ40,5,FALSE),"")</f>
        <v/>
      </c>
      <c r="TW77" s="321" t="str">
        <f t="shared" ref="TW77" ca="1" si="19343">IF(TM77&lt;&gt;"",VLOOKUP(TM77,ST4:TB40,9,FALSE),"")</f>
        <v/>
      </c>
      <c r="TX77" s="321" t="str">
        <f t="shared" ref="TX77:TX80" ca="1" si="19344">TT77</f>
        <v/>
      </c>
      <c r="TY77" s="321" t="str">
        <f t="shared" ref="TY77" ca="1" si="19345">IF(TM77&lt;&gt;"",RANK(TX77,TX77:TX80),"")</f>
        <v/>
      </c>
      <c r="TZ77" s="321" t="str">
        <f t="shared" ref="TZ77" ca="1" si="19346">IF(TM77&lt;&gt;"",SUMPRODUCT((TX77:TX80=TX77)*(TS77:TS80&gt;TS77)),"")</f>
        <v/>
      </c>
      <c r="UA77" s="321" t="str">
        <f t="shared" ref="UA77" ca="1" si="19347">IF(TM77&lt;&gt;"",SUMPRODUCT((TX77:TX80=TX77)*(TS77:TS80=TS77)*(TQ77:TQ80&gt;TQ77)),"")</f>
        <v/>
      </c>
      <c r="UB77" s="321" t="str">
        <f t="shared" ref="UB77" ca="1" si="19348">IF(TM77&lt;&gt;"",SUMPRODUCT((TX77:TX80=TX77)*(TS77:TS80=TS77)*(TQ77:TQ80=TQ77)*(TU77:TU80&gt;TU77)),"")</f>
        <v/>
      </c>
      <c r="UC77" s="321" t="str">
        <f t="shared" ref="UC77" ca="1" si="19349">IF(TM77&lt;&gt;"",SUMPRODUCT((TX77:TX80=TX77)*(TS77:TS80=TS77)*(TQ77:TQ80=TQ77)*(TU77:TU80=TU77)*(TV77:TV80&gt;TV77)),"")</f>
        <v/>
      </c>
      <c r="UD77" s="321" t="str">
        <f t="shared" ref="UD77" ca="1" si="19350">IF(TM77&lt;&gt;"",SUMPRODUCT((TX77:TX80=TX77)*(TS77:TS80=TS77)*(TQ77:TQ80=TQ77)*(TU77:TU80=TU77)*(TV77:TV80=TV77)*(TW77:TW80&gt;TW77)),"")</f>
        <v/>
      </c>
      <c r="UE77" s="321" t="str">
        <f t="shared" ref="UE77:UE80" ca="1" si="19351">IF(TM77&lt;&gt;"",SUM(TY77:UD77),"")</f>
        <v/>
      </c>
      <c r="XY77" s="321">
        <f ca="1">SUMPRODUCT((XY37:XY40=XY37)*(XX37:XX40=XX37)*(XV37:XV40&gt;XV37))+1</f>
        <v>1</v>
      </c>
      <c r="YJ77" s="321">
        <f t="shared" ref="YJ77" ca="1" si="19352">IF(YK37&lt;&gt;"",SUMPRODUCT((YR37:YR40=YR37)*(YQ37:YQ40=YQ37)*(YO37:YO40=YO37)*(YP37:YP40=YP37)),"")</f>
        <v>2</v>
      </c>
      <c r="YK77" s="321" t="str">
        <f t="shared" ref="YK77:YK80" ca="1" si="19353">IF(AND(YJ77&lt;&gt;"",YJ77&gt;1),YK37,"")</f>
        <v>Türkiye</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1</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2</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2</v>
      </c>
      <c r="YQ77" s="321">
        <f t="shared" ref="YQ77:YQ80" ca="1" si="19359">YO77-YP77+1000</f>
        <v>1000</v>
      </c>
      <c r="YR77" s="321">
        <f t="shared" ref="YR77:YR80" ca="1" si="19360">IF(YK77&lt;&gt;"",YL77*3+YM77*1,"")</f>
        <v>1</v>
      </c>
      <c r="YS77" s="321">
        <f t="shared" ref="YS77" ca="1" si="19361">IF(YK77&lt;&gt;"",VLOOKUP(YK77,XR4:XX40,7,FALSE),"")</f>
        <v>1003</v>
      </c>
      <c r="YT77" s="321">
        <f t="shared" ref="YT77" ca="1" si="19362">IF(YK77&lt;&gt;"",VLOOKUP(YK77,XR4:XX40,5,FALSE),"")</f>
        <v>6</v>
      </c>
      <c r="YU77" s="321">
        <f t="shared" ref="YU77" ca="1" si="19363">IF(YK77&lt;&gt;"",VLOOKUP(YK77,XR4:XZ40,9,FALSE),"")</f>
        <v>47</v>
      </c>
      <c r="YV77" s="321">
        <f t="shared" ref="YV77:YV80" ca="1" si="19364">YR77</f>
        <v>1</v>
      </c>
      <c r="YW77" s="321">
        <f t="shared" ref="YW77" ca="1" si="19365">IF(YK77&lt;&gt;"",RANK(YV77,YV77:YV80),"")</f>
        <v>1</v>
      </c>
      <c r="YX77" s="321">
        <f t="shared" ref="YX77" ca="1" si="19366">IF(YK77&lt;&gt;"",SUMPRODUCT((YV77:YV80=YV77)*(YQ77:YQ80&gt;YQ77)),"")</f>
        <v>0</v>
      </c>
      <c r="YY77" s="321">
        <f t="shared" ref="YY77" ca="1" si="19367">IF(YK77&lt;&gt;"",SUMPRODUCT((YV77:YV80=YV77)*(YQ77:YQ80=YQ77)*(YO77:YO80&gt;YO77)),"")</f>
        <v>0</v>
      </c>
      <c r="YZ77" s="321">
        <f t="shared" ref="YZ77" ca="1" si="19368">IF(YK77&lt;&gt;"",SUMPRODUCT((YV77:YV80=YV77)*(YQ77:YQ80=YQ77)*(YO77:YO80=YO77)*(YS77:YS80&gt;YS77)),"")</f>
        <v>1</v>
      </c>
      <c r="ZA77" s="321">
        <f t="shared" ref="ZA77" ca="1" si="19369">IF(YK77&lt;&gt;"",SUMPRODUCT((YV77:YV80=YV77)*(YQ77:YQ80=YQ77)*(YO77:YO80=YO77)*(YS77:YS80=YS77)*(YT77:YT80&gt;YT77)),"")</f>
        <v>0</v>
      </c>
      <c r="ZB77" s="321">
        <f t="shared" ref="ZB77" ca="1" si="19370">IF(YK77&lt;&gt;"",SUMPRODUCT((YV77:YV80=YV77)*(YQ77:YQ80=YQ77)*(YO77:YO80=YO77)*(YS77:YS80=YS77)*(YT77:YT80=YT77)*(YU77:YU80&gt;YU77)),"")</f>
        <v>0</v>
      </c>
      <c r="ZC77" s="321">
        <f t="shared" ref="ZC77:ZC80" ca="1" si="19371">IF(YK77&lt;&gt;"",SUM(YW77:ZB77),"")</f>
        <v>2</v>
      </c>
      <c r="ACW77" s="321">
        <f ca="1">SUMPRODUCT((ACW37:ACW40=ACW37)*(ACV37:ACV40=ACV37)*(ACT37:ACT40&gt;ACT37))+1</f>
        <v>1</v>
      </c>
      <c r="ADH77" s="321" t="str">
        <f t="shared" ref="ADH77" ca="1" si="19372">IF(ADI37&lt;&gt;"",SUMPRODUCT((ADP37:ADP40=ADP37)*(ADO37:ADO40=ADO37)*(ADM37:ADM40=ADM37)*(ADN37:ADN40=ADN37)),"")</f>
        <v/>
      </c>
      <c r="ADI77" s="321" t="str">
        <f t="shared" ref="ADI77:ADI80" ca="1" si="19373">IF(AND(ADH77&lt;&gt;"",ADH77&gt;1),ADI37,"")</f>
        <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0</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0</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0</v>
      </c>
      <c r="ADO77" s="321">
        <f t="shared" ref="ADO77:ADO80" ca="1" si="19379">ADM77-ADN77+1000</f>
        <v>1000</v>
      </c>
      <c r="ADP77" s="321" t="str">
        <f t="shared" ref="ADP77:ADP80" ca="1" si="19380">IF(ADI77&lt;&gt;"",ADJ77*3+ADK77*1,"")</f>
        <v/>
      </c>
      <c r="ADQ77" s="321" t="str">
        <f t="shared" ref="ADQ77" ca="1" si="19381">IF(ADI77&lt;&gt;"",VLOOKUP(ADI77,ACP4:ACV40,7,FALSE),"")</f>
        <v/>
      </c>
      <c r="ADR77" s="321" t="str">
        <f t="shared" ref="ADR77" ca="1" si="19382">IF(ADI77&lt;&gt;"",VLOOKUP(ADI77,ACP4:ACV40,5,FALSE),"")</f>
        <v/>
      </c>
      <c r="ADS77" s="321" t="str">
        <f t="shared" ref="ADS77" ca="1" si="19383">IF(ADI77&lt;&gt;"",VLOOKUP(ADI77,ACP4:ACX40,9,FALSE),"")</f>
        <v/>
      </c>
      <c r="ADT77" s="321" t="str">
        <f t="shared" ref="ADT77:ADT80" ca="1" si="19384">ADP77</f>
        <v/>
      </c>
      <c r="ADU77" s="321" t="str">
        <f t="shared" ref="ADU77" ca="1" si="19385">IF(ADI77&lt;&gt;"",RANK(ADT77,ADT77:ADT80),"")</f>
        <v/>
      </c>
      <c r="ADV77" s="321" t="str">
        <f t="shared" ref="ADV77" ca="1" si="19386">IF(ADI77&lt;&gt;"",SUMPRODUCT((ADT77:ADT80=ADT77)*(ADO77:ADO80&gt;ADO77)),"")</f>
        <v/>
      </c>
      <c r="ADW77" s="321" t="str">
        <f t="shared" ref="ADW77" ca="1" si="19387">IF(ADI77&lt;&gt;"",SUMPRODUCT((ADT77:ADT80=ADT77)*(ADO77:ADO80=ADO77)*(ADM77:ADM80&gt;ADM77)),"")</f>
        <v/>
      </c>
      <c r="ADX77" s="321" t="str">
        <f t="shared" ref="ADX77" ca="1" si="19388">IF(ADI77&lt;&gt;"",SUMPRODUCT((ADT77:ADT80=ADT77)*(ADO77:ADO80=ADO77)*(ADM77:ADM80=ADM77)*(ADQ77:ADQ80&gt;ADQ77)),"")</f>
        <v/>
      </c>
      <c r="ADY77" s="321" t="str">
        <f t="shared" ref="ADY77" ca="1" si="19389">IF(ADI77&lt;&gt;"",SUMPRODUCT((ADT77:ADT80=ADT77)*(ADO77:ADO80=ADO77)*(ADM77:ADM80=ADM77)*(ADQ77:ADQ80=ADQ77)*(ADR77:ADR80&gt;ADR77)),"")</f>
        <v/>
      </c>
      <c r="ADZ77" s="321" t="str">
        <f t="shared" ref="ADZ77" ca="1" si="19390">IF(ADI77&lt;&gt;"",SUMPRODUCT((ADT77:ADT80=ADT77)*(ADO77:ADO80=ADO77)*(ADM77:ADM80=ADM77)*(ADQ77:ADQ80=ADQ77)*(ADR77:ADR80=ADR77)*(ADS77:ADS80&gt;ADS77)),"")</f>
        <v/>
      </c>
      <c r="AEA77" s="321" t="str">
        <f t="shared" ref="AEA77:AEA80" ca="1" si="19391">IF(ADI77&lt;&gt;"",SUM(ADU77:ADZ77),"")</f>
        <v/>
      </c>
      <c r="AHU77" s="321">
        <f ca="1">SUMPRODUCT((AHU37:AHU40=AHU37)*(AHT37:AHT40=AHT37)*(AHR37:AHR40&gt;AHR37))+1</f>
        <v>1</v>
      </c>
      <c r="AIF77" s="321">
        <f t="shared" ref="AIF77" ca="1" si="19392">IF(AIG37&lt;&gt;"",SUMPRODUCT((AIN37:AIN40=AIN37)*(AIM37:AIM40=AIM37)*(AIK37:AIK40=AIK37)*(AIL37:AIL40=AIL37)),"")</f>
        <v>4</v>
      </c>
      <c r="AIG77" s="321" t="str">
        <f t="shared" ref="AIG77:AIG80" ca="1" si="19393">IF(AND(AIF77&lt;&gt;"",AIF77&gt;1),AIG37,"")</f>
        <v>Georgia</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1">
        <f t="shared" ref="AIM77:AIM80" ca="1" si="19399">AIK77-AIL77+1000</f>
        <v>1000</v>
      </c>
      <c r="AIN77" s="321">
        <f t="shared" ref="AIN77:AIN80" ca="1" si="19400">IF(AIG77&lt;&gt;"",AIH77*3+AII77*1,"")</f>
        <v>0</v>
      </c>
      <c r="AIO77" s="321">
        <f t="shared" ref="AIO77" ca="1" si="19401">IF(AIG77&lt;&gt;"",VLOOKUP(AIG77,AHN4:AHT40,7,FALSE),"")</f>
        <v>1000</v>
      </c>
      <c r="AIP77" s="321">
        <f t="shared" ref="AIP77" ca="1" si="19402">IF(AIG77&lt;&gt;"",VLOOKUP(AIG77,AHN4:AHT40,5,FALSE),"")</f>
        <v>0</v>
      </c>
      <c r="AIQ77" s="321">
        <f t="shared" ref="AIQ77" ca="1" si="19403">IF(AIG77&lt;&gt;"",VLOOKUP(AIG77,AHN4:AHV40,9,FALSE),"")</f>
        <v>0</v>
      </c>
      <c r="AIR77" s="321">
        <f t="shared" ref="AIR77:AIR80" ca="1" si="19404">AIN77</f>
        <v>0</v>
      </c>
      <c r="AIS77" s="321">
        <f t="shared" ref="AIS77" ca="1" si="19405">IF(AIG77&lt;&gt;"",RANK(AIR77,AIR77:AIR80),"")</f>
        <v>1</v>
      </c>
      <c r="AIT77" s="321">
        <f t="shared" ref="AIT77" ca="1" si="19406">IF(AIG77&lt;&gt;"",SUMPRODUCT((AIR77:AIR80=AIR77)*(AIM77:AIM80&gt;AIM77)),"")</f>
        <v>0</v>
      </c>
      <c r="AIU77" s="321">
        <f t="shared" ref="AIU77" ca="1" si="19407">IF(AIG77&lt;&gt;"",SUMPRODUCT((AIR77:AIR80=AIR77)*(AIM77:AIM80=AIM77)*(AIK77:AIK80&gt;AIK77)),"")</f>
        <v>0</v>
      </c>
      <c r="AIV77" s="321">
        <f t="shared" ref="AIV77" ca="1" si="19408">IF(AIG77&lt;&gt;"",SUMPRODUCT((AIR77:AIR80=AIR77)*(AIM77:AIM80=AIM77)*(AIK77:AIK80=AIK77)*(AIO77:AIO80&gt;AIO77)),"")</f>
        <v>0</v>
      </c>
      <c r="AIW77" s="321">
        <f t="shared" ref="AIW77" ca="1" si="19409">IF(AIG77&lt;&gt;"",SUMPRODUCT((AIR77:AIR80=AIR77)*(AIM77:AIM80=AIM77)*(AIK77:AIK80=AIK77)*(AIO77:AIO80=AIO77)*(AIP77:AIP80&gt;AIP77)),"")</f>
        <v>0</v>
      </c>
      <c r="AIX77" s="321">
        <f t="shared" ref="AIX77" ca="1" si="19410">IF(AIG77&lt;&gt;"",SUMPRODUCT((AIR77:AIR80=AIR77)*(AIM77:AIM80=AIM77)*(AIK77:AIK80=AIK77)*(AIO77:AIO80=AIO77)*(AIP77:AIP80=AIP77)*(AIQ77:AIQ80&gt;AIQ77)),"")</f>
        <v>3</v>
      </c>
      <c r="AIY77" s="321">
        <f t="shared" ref="AIY77:AIY80" ca="1" si="19411">IF(AIG77&lt;&gt;"",SUM(AIS77:AIX77),"")</f>
        <v>4</v>
      </c>
      <c r="AMS77" s="321">
        <f ca="1">SUMPRODUCT((AMS37:AMS40=AMS37)*(AMR37:AMR40=AMR37)*(AMP37:AMP40&gt;AMP37))+1</f>
        <v>1</v>
      </c>
      <c r="AND77" s="321">
        <f t="shared" ref="AND77" ca="1" si="19412">IF(ANE37&lt;&gt;"",SUMPRODUCT((ANL37:ANL40=ANL37)*(ANK37:ANK40=ANK37)*(ANI37:ANI40=ANI37)*(ANJ37:ANJ40=ANJ37)),"")</f>
        <v>4</v>
      </c>
      <c r="ANE77" s="321" t="str">
        <f t="shared" ref="ANE77:ANE80" ca="1" si="19413">IF(AND(AND77&lt;&gt;"",AND77&gt;1),ANE37,"")</f>
        <v>Georgia</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f t="shared" ref="ANL77:ANL80" ca="1" si="19420">IF(ANE77&lt;&gt;"",ANF77*3+ANG77*1,"")</f>
        <v>0</v>
      </c>
      <c r="ANM77" s="321">
        <f t="shared" ref="ANM77" ca="1" si="19421">IF(ANE77&lt;&gt;"",VLOOKUP(ANE77,AML4:AMR40,7,FALSE),"")</f>
        <v>1000</v>
      </c>
      <c r="ANN77" s="321">
        <f t="shared" ref="ANN77" ca="1" si="19422">IF(ANE77&lt;&gt;"",VLOOKUP(ANE77,AML4:AMR40,5,FALSE),"")</f>
        <v>0</v>
      </c>
      <c r="ANO77" s="321">
        <f t="shared" ref="ANO77" ca="1" si="19423">IF(ANE77&lt;&gt;"",VLOOKUP(ANE77,AML4:AMT40,9,FALSE),"")</f>
        <v>0</v>
      </c>
      <c r="ANP77" s="321">
        <f t="shared" ref="ANP77:ANP80" ca="1" si="19424">ANL77</f>
        <v>0</v>
      </c>
      <c r="ANQ77" s="321">
        <f t="shared" ref="ANQ77" ca="1" si="19425">IF(ANE77&lt;&gt;"",RANK(ANP77,ANP77:ANP80),"")</f>
        <v>1</v>
      </c>
      <c r="ANR77" s="321">
        <f t="shared" ref="ANR77" ca="1" si="19426">IF(ANE77&lt;&gt;"",SUMPRODUCT((ANP77:ANP80=ANP77)*(ANK77:ANK80&gt;ANK77)),"")</f>
        <v>0</v>
      </c>
      <c r="ANS77" s="321">
        <f t="shared" ref="ANS77" ca="1" si="19427">IF(ANE77&lt;&gt;"",SUMPRODUCT((ANP77:ANP80=ANP77)*(ANK77:ANK80=ANK77)*(ANI77:ANI80&gt;ANI77)),"")</f>
        <v>0</v>
      </c>
      <c r="ANT77" s="321">
        <f t="shared" ref="ANT77" ca="1" si="19428">IF(ANE77&lt;&gt;"",SUMPRODUCT((ANP77:ANP80=ANP77)*(ANK77:ANK80=ANK77)*(ANI77:ANI80=ANI77)*(ANM77:ANM80&gt;ANM77)),"")</f>
        <v>0</v>
      </c>
      <c r="ANU77" s="321">
        <f t="shared" ref="ANU77" ca="1" si="19429">IF(ANE77&lt;&gt;"",SUMPRODUCT((ANP77:ANP80=ANP77)*(ANK77:ANK80=ANK77)*(ANI77:ANI80=ANI77)*(ANM77:ANM80=ANM77)*(ANN77:ANN80&gt;ANN77)),"")</f>
        <v>0</v>
      </c>
      <c r="ANV77" s="321">
        <f t="shared" ref="ANV77" ca="1" si="19430">IF(ANE77&lt;&gt;"",SUMPRODUCT((ANP77:ANP80=ANP77)*(ANK77:ANK80=ANK77)*(ANI77:ANI80=ANI77)*(ANM77:ANM80=ANM77)*(ANN77:ANN80=ANN77)*(ANO77:ANO80&gt;ANO77)),"")</f>
        <v>3</v>
      </c>
      <c r="ANW77" s="321">
        <f t="shared" ref="ANW77:ANW80" ca="1" si="19431">IF(ANE77&lt;&gt;"",SUM(ANQ77:ANV77),"")</f>
        <v>4</v>
      </c>
      <c r="ARQ77" s="321">
        <f ca="1">SUMPRODUCT((ARQ37:ARQ40=ARQ37)*(ARP37:ARP40=ARP37)*(ARN37:ARN40&gt;ARN37))+1</f>
        <v>1</v>
      </c>
      <c r="ASB77" s="321">
        <f t="shared" ref="ASB77" ca="1" si="19432">IF(ASC37&lt;&gt;"",SUMPRODUCT((ASJ37:ASJ40=ASJ37)*(ASI37:ASI40=ASI37)*(ASG37:ASG40=ASG37)*(ASH37:ASH40=ASH37)),"")</f>
        <v>4</v>
      </c>
      <c r="ASC77" s="321" t="str">
        <f t="shared" ref="ASC77:ASC80" ca="1" si="19433">IF(AND(ASB77&lt;&gt;"",ASB77&gt;1),ASC37,"")</f>
        <v>Georgia</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f t="shared" ref="ASJ77:ASJ80" ca="1" si="19440">IF(ASC77&lt;&gt;"",ASD77*3+ASE77*1,"")</f>
        <v>0</v>
      </c>
      <c r="ASK77" s="321">
        <f t="shared" ref="ASK77" ca="1" si="19441">IF(ASC77&lt;&gt;"",VLOOKUP(ASC77,ARJ4:ARP40,7,FALSE),"")</f>
        <v>1000</v>
      </c>
      <c r="ASL77" s="321">
        <f t="shared" ref="ASL77" ca="1" si="19442">IF(ASC77&lt;&gt;"",VLOOKUP(ASC77,ARJ4:ARP40,5,FALSE),"")</f>
        <v>0</v>
      </c>
      <c r="ASM77" s="321">
        <f t="shared" ref="ASM77" ca="1" si="19443">IF(ASC77&lt;&gt;"",VLOOKUP(ASC77,ARJ4:ARR40,9,FALSE),"")</f>
        <v>0</v>
      </c>
      <c r="ASN77" s="321">
        <f t="shared" ref="ASN77:ASN80" ca="1" si="19444">ASJ77</f>
        <v>0</v>
      </c>
      <c r="ASO77" s="321">
        <f t="shared" ref="ASO77" ca="1" si="19445">IF(ASC77&lt;&gt;"",RANK(ASN77,ASN77:ASN80),"")</f>
        <v>1</v>
      </c>
      <c r="ASP77" s="321">
        <f t="shared" ref="ASP77" ca="1" si="19446">IF(ASC77&lt;&gt;"",SUMPRODUCT((ASN77:ASN80=ASN77)*(ASI77:ASI80&gt;ASI77)),"")</f>
        <v>0</v>
      </c>
      <c r="ASQ77" s="321">
        <f t="shared" ref="ASQ77" ca="1" si="19447">IF(ASC77&lt;&gt;"",SUMPRODUCT((ASN77:ASN80=ASN77)*(ASI77:ASI80=ASI77)*(ASG77:ASG80&gt;ASG77)),"")</f>
        <v>0</v>
      </c>
      <c r="ASR77" s="321">
        <f t="shared" ref="ASR77" ca="1" si="19448">IF(ASC77&lt;&gt;"",SUMPRODUCT((ASN77:ASN80=ASN77)*(ASI77:ASI80=ASI77)*(ASG77:ASG80=ASG77)*(ASK77:ASK80&gt;ASK77)),"")</f>
        <v>0</v>
      </c>
      <c r="ASS77" s="321">
        <f t="shared" ref="ASS77" ca="1" si="19449">IF(ASC77&lt;&gt;"",SUMPRODUCT((ASN77:ASN80=ASN77)*(ASI77:ASI80=ASI77)*(ASG77:ASG80=ASG77)*(ASK77:ASK80=ASK77)*(ASL77:ASL80&gt;ASL77)),"")</f>
        <v>0</v>
      </c>
      <c r="AST77" s="321">
        <f t="shared" ref="AST77" ca="1" si="19450">IF(ASC77&lt;&gt;"",SUMPRODUCT((ASN77:ASN80=ASN77)*(ASI77:ASI80=ASI77)*(ASG77:ASG80=ASG77)*(ASK77:ASK80=ASK77)*(ASL77:ASL80=ASL77)*(ASM77:ASM80&gt;ASM77)),"")</f>
        <v>3</v>
      </c>
      <c r="ASU77" s="321">
        <f t="shared" ref="ASU77:ASU80" ca="1" si="19451">IF(ASC77&lt;&gt;"",SUM(ASO77:AST77),"")</f>
        <v>4</v>
      </c>
      <c r="AWO77" s="321">
        <f ca="1">SUMPRODUCT((AWO37:AWO40=AWO37)*(AWN37:AWN40=AWN37)*(AWL37:AWL40&gt;AWL37))+1</f>
        <v>1</v>
      </c>
      <c r="AWZ77" s="321">
        <f t="shared" ref="AWZ77" ca="1" si="19452">IF(AXA37&lt;&gt;"",SUMPRODUCT((AXH37:AXH40=AXH37)*(AXG37:AXG40=AXG37)*(AXE37:AXE40=AXE37)*(AXF37:AXF40=AXF37)),"")</f>
        <v>4</v>
      </c>
      <c r="AXA77" s="321" t="str">
        <f t="shared" ref="AXA77:AXA80" ca="1" si="19453">IF(AND(AWZ77&lt;&gt;"",AWZ77&gt;1),AXA37,"")</f>
        <v>Georgia</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f t="shared" ref="AXH77:AXH80" ca="1" si="19460">IF(AXA77&lt;&gt;"",AXB77*3+AXC77*1,"")</f>
        <v>0</v>
      </c>
      <c r="AXI77" s="321">
        <f t="shared" ref="AXI77" ca="1" si="19461">IF(AXA77&lt;&gt;"",VLOOKUP(AXA77,AWH4:AWN40,7,FALSE),"")</f>
        <v>1000</v>
      </c>
      <c r="AXJ77" s="321">
        <f t="shared" ref="AXJ77" ca="1" si="19462">IF(AXA77&lt;&gt;"",VLOOKUP(AXA77,AWH4:AWN40,5,FALSE),"")</f>
        <v>0</v>
      </c>
      <c r="AXK77" s="321">
        <f t="shared" ref="AXK77" ca="1" si="19463">IF(AXA77&lt;&gt;"",VLOOKUP(AXA77,AWH4:AWP40,9,FALSE),"")</f>
        <v>0</v>
      </c>
      <c r="AXL77" s="321">
        <f t="shared" ref="AXL77:AXL80" ca="1" si="19464">AXH77</f>
        <v>0</v>
      </c>
      <c r="AXM77" s="321">
        <f t="shared" ref="AXM77" ca="1" si="19465">IF(AXA77&lt;&gt;"",RANK(AXL77,AXL77:AXL80),"")</f>
        <v>1</v>
      </c>
      <c r="AXN77" s="321">
        <f t="shared" ref="AXN77" ca="1" si="19466">IF(AXA77&lt;&gt;"",SUMPRODUCT((AXL77:AXL80=AXL77)*(AXG77:AXG80&gt;AXG77)),"")</f>
        <v>0</v>
      </c>
      <c r="AXO77" s="321">
        <f t="shared" ref="AXO77" ca="1" si="19467">IF(AXA77&lt;&gt;"",SUMPRODUCT((AXL77:AXL80=AXL77)*(AXG77:AXG80=AXG77)*(AXE77:AXE80&gt;AXE77)),"")</f>
        <v>0</v>
      </c>
      <c r="AXP77" s="321">
        <f t="shared" ref="AXP77" ca="1" si="19468">IF(AXA77&lt;&gt;"",SUMPRODUCT((AXL77:AXL80=AXL77)*(AXG77:AXG80=AXG77)*(AXE77:AXE80=AXE77)*(AXI77:AXI80&gt;AXI77)),"")</f>
        <v>0</v>
      </c>
      <c r="AXQ77" s="321">
        <f t="shared" ref="AXQ77" ca="1" si="19469">IF(AXA77&lt;&gt;"",SUMPRODUCT((AXL77:AXL80=AXL77)*(AXG77:AXG80=AXG77)*(AXE77:AXE80=AXE77)*(AXI77:AXI80=AXI77)*(AXJ77:AXJ80&gt;AXJ77)),"")</f>
        <v>0</v>
      </c>
      <c r="AXR77" s="321">
        <f t="shared" ref="AXR77" ca="1" si="19470">IF(AXA77&lt;&gt;"",SUMPRODUCT((AXL77:AXL80=AXL77)*(AXG77:AXG80=AXG77)*(AXE77:AXE80=AXE77)*(AXI77:AXI80=AXI77)*(AXJ77:AXJ80=AXJ77)*(AXK77:AXK80&gt;AXK77)),"")</f>
        <v>3</v>
      </c>
      <c r="AXS77" s="321">
        <f t="shared" ref="AXS77:AXS80" ca="1" si="19471">IF(AXA77&lt;&gt;"",SUM(AXM77:AXR77),"")</f>
        <v>4</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2">
      <c r="I78" s="321">
        <f>SUMPRODUCT((I37:I40=I38)*(H37:H40=H38)*(F37:F40&gt;F38))+1</f>
        <v>1</v>
      </c>
      <c r="T78" s="321">
        <f>IF(U38&lt;&gt;"",SUMPRODUCT((AB37:AB40=AB38)*(AA37:AA40=AA38)*(Y37:Y40=Y38)*(Z37:Z40=Z38)),"")</f>
        <v>2</v>
      </c>
      <c r="U78" s="321" t="str">
        <f t="shared" ref="U78:U80" si="19492">IF(AND(T78&lt;&gt;"",T78&gt;1),U38,"")</f>
        <v>Portugal</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f t="shared" ref="AB78:AB80" si="19493">IF(U78&lt;&gt;"",V78*3+W78*1,"")</f>
        <v>0</v>
      </c>
      <c r="AC78" s="321">
        <f>IF(U78&lt;&gt;"",VLOOKUP(U78,B4:H40,7,FALSE),"")</f>
        <v>1001</v>
      </c>
      <c r="AD78" s="321">
        <f>IF(U78&lt;&gt;"",VLOOKUP(U78,B4:H40,5,FALSE),"")</f>
        <v>2</v>
      </c>
      <c r="AE78" s="321">
        <f>IF(U78&lt;&gt;"",VLOOKUP(U78,B4:J40,9,FALSE),"")</f>
        <v>53</v>
      </c>
      <c r="AF78" s="321">
        <f t="shared" ref="AF78:AF80" si="19494">AB78</f>
        <v>0</v>
      </c>
      <c r="AG78" s="321">
        <f>IF(U78&lt;&gt;"",RANK(AF78,AF77:AF80),"")</f>
        <v>1</v>
      </c>
      <c r="AH78" s="321">
        <f>IF(U78&lt;&gt;"",SUMPRODUCT((AF77:AF80=AF78)*(AA77:AA80&gt;AA78)),"")</f>
        <v>0</v>
      </c>
      <c r="AI78" s="321">
        <f>IF(U78&lt;&gt;"",SUMPRODUCT((AF77:AF80=AF78)*(AA77:AA80=AA78)*(Y77:Y80&gt;Y78)),"")</f>
        <v>0</v>
      </c>
      <c r="AJ78" s="321">
        <f>IF(U78&lt;&gt;"",SUMPRODUCT((AF77:AF80=AF78)*(AA77:AA80=AA78)*(Y77:Y80=Y78)*(AC77:AC80&gt;AC78)),"")</f>
        <v>1</v>
      </c>
      <c r="AK78" s="321">
        <f>IF(U78&lt;&gt;"",SUMPRODUCT((AF77:AF80=AF78)*(AA77:AA80=AA78)*(Y77:Y80=Y78)*(AC77:AC80=AC78)*(AD77:AD80&gt;AD78)),"")</f>
        <v>0</v>
      </c>
      <c r="AL78" s="321">
        <f>IF(U78&lt;&gt;"",SUMPRODUCT((AF77:AF80=AF78)*(AA77:AA80=AA78)*(Y77:Y80=Y78)*(AC77:AC80=AC78)*(AD77:AD80=AD78)*(AE77:AE80&gt;AE78)),"")</f>
        <v>0</v>
      </c>
      <c r="AM78" s="321">
        <f>IF(U78&lt;&gt;"",SUM(AG78:AL78),"")</f>
        <v>2</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f ca="1">IF(FM38&lt;&gt;"",SUMPRODUCT((FT37:FT40=FT38)*(FS37:FS40=FS38)*(FQ37:FQ40=FQ38)*(FR37:FR40=FR38)),"")</f>
        <v>2</v>
      </c>
      <c r="FM78" s="321" t="str">
        <f t="shared" ref="FM78:FM80" ca="1" si="19501">IF(AND(FL78&lt;&gt;"",FL78&gt;1),FM38,"")</f>
        <v>Czechia</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1</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2</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2</v>
      </c>
      <c r="FS78" s="321">
        <f ca="1">FQ78-FR78+1000</f>
        <v>1000</v>
      </c>
      <c r="FT78" s="321">
        <f t="shared" ref="FT78:FT80" ca="1" si="19502">IF(FM78&lt;&gt;"",FN78*3+FO78*1,"")</f>
        <v>1</v>
      </c>
      <c r="FU78" s="321">
        <f ca="1">IF(FM78&lt;&gt;"",VLOOKUP(FM78,DZ4:EF40,7,FALSE),"")</f>
        <v>999</v>
      </c>
      <c r="FV78" s="321">
        <f ca="1">IF(FM78&lt;&gt;"",VLOOKUP(FM78,DZ4:EF40,5,FALSE),"")</f>
        <v>5</v>
      </c>
      <c r="FW78" s="321">
        <f ca="1">IF(FM78&lt;&gt;"",VLOOKUP(FM78,DZ4:EH40,9,FALSE),"")</f>
        <v>37</v>
      </c>
      <c r="FX78" s="321">
        <f t="shared" ref="FX78:FX80" ca="1" si="19503">FT78</f>
        <v>1</v>
      </c>
      <c r="FY78" s="321">
        <f ca="1">IF(FM78&lt;&gt;"",RANK(FX78,FX77:FX80),"")</f>
        <v>1</v>
      </c>
      <c r="FZ78" s="321">
        <f ca="1">IF(FM78&lt;&gt;"",SUMPRODUCT((FX77:FX80=FX78)*(FS77:FS80&gt;FS78)),"")</f>
        <v>0</v>
      </c>
      <c r="GA78" s="321">
        <f ca="1">IF(FM78&lt;&gt;"",SUMPRODUCT((FX77:FX80=FX78)*(FS77:FS80=FS78)*(FQ77:FQ80&gt;FQ78)),"")</f>
        <v>0</v>
      </c>
      <c r="GB78" s="321">
        <f ca="1">IF(FM78&lt;&gt;"",SUMPRODUCT((FX77:FX80=FX78)*(FS77:FS80=FS78)*(FQ77:FQ80=FQ78)*(FU77:FU80&gt;FU78)),"")</f>
        <v>1</v>
      </c>
      <c r="GC78" s="321">
        <f ca="1">IF(FM78&lt;&gt;"",SUMPRODUCT((FX77:FX80=FX78)*(FS77:FS80=FS78)*(FQ77:FQ80=FQ78)*(FU77:FU80=FU78)*(FV77:FV80&gt;FV78)),"")</f>
        <v>0</v>
      </c>
      <c r="GD78" s="321">
        <f ca="1">IF(FM78&lt;&gt;"",SUMPRODUCT((FX77:FX80=FX78)*(FS77:FS80=FS78)*(FQ77:FQ80=FQ78)*(FU77:FU80=FU78)*(FV77:FV80=FV78)*(FW77:FW80&gt;FW78)),"")</f>
        <v>0</v>
      </c>
      <c r="GE78" s="321">
        <f ca="1">IF(FM78&lt;&gt;"",SUM(FY78:GD78)+1,"")</f>
        <v>3</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f t="shared" ref="ON78" ca="1" si="19510">IF(OO38&lt;&gt;"",SUMPRODUCT((OV37:OV40=OV38)*(OU37:OU40=OU38)*(OS37:OS40=OS38)*(OT37:OT40=OT38)),"")</f>
        <v>2</v>
      </c>
      <c r="OO78" s="321" t="str">
        <f t="shared" ca="1" si="19313"/>
        <v>Portugal</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1</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1</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1</v>
      </c>
      <c r="OU78" s="321">
        <f t="shared" ca="1" si="19319"/>
        <v>1000</v>
      </c>
      <c r="OV78" s="321">
        <f t="shared" ca="1" si="19320"/>
        <v>1</v>
      </c>
      <c r="OW78" s="321">
        <f t="shared" ref="OW78" ca="1" si="19516">IF(OO78&lt;&gt;"",VLOOKUP(OO78,NV4:OB40,7,FALSE),"")</f>
        <v>1003</v>
      </c>
      <c r="OX78" s="321">
        <f t="shared" ref="OX78" ca="1" si="19517">IF(OO78&lt;&gt;"",VLOOKUP(OO78,NV4:OB40,5,FALSE),"")</f>
        <v>4</v>
      </c>
      <c r="OY78" s="321">
        <f t="shared" ref="OY78" ca="1" si="19518">IF(OO78&lt;&gt;"",VLOOKUP(OO78,NV4:OD40,9,FALSE),"")</f>
        <v>53</v>
      </c>
      <c r="OZ78" s="321">
        <f t="shared" ca="1" si="19324"/>
        <v>1</v>
      </c>
      <c r="PA78" s="321">
        <f t="shared" ref="PA78" ca="1" si="19519">IF(OO78&lt;&gt;"",RANK(OZ78,OZ77:OZ80),"")</f>
        <v>1</v>
      </c>
      <c r="PB78" s="321">
        <f t="shared" ref="PB78" ca="1" si="19520">IF(OO78&lt;&gt;"",SUMPRODUCT((OZ77:OZ80=OZ78)*(OU77:OU80&gt;OU78)),"")</f>
        <v>0</v>
      </c>
      <c r="PC78" s="321">
        <f t="shared" ref="PC78" ca="1" si="19521">IF(OO78&lt;&gt;"",SUMPRODUCT((OZ77:OZ80=OZ78)*(OU77:OU80=OU78)*(OS77:OS80&gt;OS78)),"")</f>
        <v>0</v>
      </c>
      <c r="PD78" s="321">
        <f t="shared" ref="PD78" ca="1" si="19522">IF(OO78&lt;&gt;"",SUMPRODUCT((OZ77:OZ80=OZ78)*(OU77:OU80=OU78)*(OS77:OS80=OS78)*(OW77:OW80&gt;OW78)),"")</f>
        <v>0</v>
      </c>
      <c r="PE78" s="321">
        <f t="shared" ref="PE78" ca="1" si="19523">IF(OO78&lt;&gt;"",SUMPRODUCT((OZ77:OZ80=OZ78)*(OU77:OU80=OU78)*(OS77:OS80=OS78)*(OW77:OW80=OW78)*(OX77:OX80&gt;OX78)),"")</f>
        <v>1</v>
      </c>
      <c r="PF78" s="321">
        <f t="shared" ref="PF78" ca="1" si="19524">IF(OO78&lt;&gt;"",SUMPRODUCT((OZ77:OZ80=OZ78)*(OU77:OU80=OU78)*(OS77:OS80=OS78)*(OW77:OW80=OW78)*(OX77:OX80=OX78)*(OY77:OY80&gt;OY78)),"")</f>
        <v>0</v>
      </c>
      <c r="PG78" s="321">
        <f t="shared" ca="1" si="19331"/>
        <v>2</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t="str">
        <f t="shared" ref="TL78" ca="1" si="19545">IF(TM38&lt;&gt;"",SUMPRODUCT((TT37:TT40=TT38)*(TS37:TS40=TS38)*(TQ37:TQ40=TQ38)*(TR37:TR40=TR38)),"")</f>
        <v/>
      </c>
      <c r="TM78" s="321" t="str">
        <f t="shared" ca="1" si="19333"/>
        <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t="str">
        <f t="shared" ca="1" si="19340"/>
        <v/>
      </c>
      <c r="TU78" s="321" t="str">
        <f t="shared" ref="TU78" ca="1" si="19551">IF(TM78&lt;&gt;"",VLOOKUP(TM78,ST4:SZ40,7,FALSE),"")</f>
        <v/>
      </c>
      <c r="TV78" s="321" t="str">
        <f t="shared" ref="TV78" ca="1" si="19552">IF(TM78&lt;&gt;"",VLOOKUP(TM78,ST4:SZ40,5,FALSE),"")</f>
        <v/>
      </c>
      <c r="TW78" s="321" t="str">
        <f t="shared" ref="TW78" ca="1" si="19553">IF(TM78&lt;&gt;"",VLOOKUP(TM78,ST4:TB40,9,FALSE),"")</f>
        <v/>
      </c>
      <c r="TX78" s="321" t="str">
        <f t="shared" ca="1" si="19344"/>
        <v/>
      </c>
      <c r="TY78" s="321" t="str">
        <f t="shared" ref="TY78" ca="1" si="19554">IF(TM78&lt;&gt;"",RANK(TX78,TX77:TX80),"")</f>
        <v/>
      </c>
      <c r="TZ78" s="321" t="str">
        <f t="shared" ref="TZ78" ca="1" si="19555">IF(TM78&lt;&gt;"",SUMPRODUCT((TX77:TX80=TX78)*(TS77:TS80&gt;TS78)),"")</f>
        <v/>
      </c>
      <c r="UA78" s="321" t="str">
        <f t="shared" ref="UA78" ca="1" si="19556">IF(TM78&lt;&gt;"",SUMPRODUCT((TX77:TX80=TX78)*(TS77:TS80=TS78)*(TQ77:TQ80&gt;TQ78)),"")</f>
        <v/>
      </c>
      <c r="UB78" s="321" t="str">
        <f t="shared" ref="UB78" ca="1" si="19557">IF(TM78&lt;&gt;"",SUMPRODUCT((TX77:TX80=TX78)*(TS77:TS80=TS78)*(TQ77:TQ80=TQ78)*(TU77:TU80&gt;TU78)),"")</f>
        <v/>
      </c>
      <c r="UC78" s="321" t="str">
        <f t="shared" ref="UC78" ca="1" si="19558">IF(TM78&lt;&gt;"",SUMPRODUCT((TX77:TX80=TX78)*(TS77:TS80=TS78)*(TQ77:TQ80=TQ78)*(TU77:TU80=TU78)*(TV77:TV80&gt;TV78)),"")</f>
        <v/>
      </c>
      <c r="UD78" s="321" t="str">
        <f t="shared" ref="UD78" ca="1" si="19559">IF(TM78&lt;&gt;"",SUMPRODUCT((TX77:TX80=TX78)*(TS77:TS80=TS78)*(TQ77:TQ80=TQ78)*(TU77:TU80=TU78)*(TV77:TV80=TV78)*(TW77:TW80&gt;TW78)),"")</f>
        <v/>
      </c>
      <c r="UE78" s="321" t="str">
        <f t="shared" ca="1" si="19351"/>
        <v/>
      </c>
      <c r="UF78" s="321" t="str">
        <f t="shared" ref="UF78" ca="1" si="19560">IF(UG38&lt;&gt;"",SUMPRODUCT((UN37:UN40=UN38)*(UM37:UM40=UM38)*(UK37:UK40=UK38)*(UL37:UL40=UL38)),"")</f>
        <v/>
      </c>
      <c r="UG78" s="321" t="str">
        <f t="shared" ref="UG78:UG80" ca="1" si="19561">IF(AND(UF78&lt;&gt;"",UF78&gt;1),UG38,"")</f>
        <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0</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0</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0</v>
      </c>
      <c r="UM78" s="321">
        <f t="shared" ref="UM78:UM80" ca="1" si="19567">UK78-UL78+1000</f>
        <v>1000</v>
      </c>
      <c r="UN78" s="321" t="str">
        <f t="shared" ref="UN78:UN80" ca="1" si="19568">IF(UG78&lt;&gt;"",UH78*3+UI78*1,"")</f>
        <v/>
      </c>
      <c r="UO78" s="321" t="str">
        <f t="shared" ref="UO78" ca="1" si="19569">IF(UG78&lt;&gt;"",VLOOKUP(UG78,ST4:SZ40,7,FALSE),"")</f>
        <v/>
      </c>
      <c r="UP78" s="321" t="str">
        <f t="shared" ref="UP78" ca="1" si="19570">IF(UG78&lt;&gt;"",VLOOKUP(UG78,ST4:SZ40,5,FALSE),"")</f>
        <v/>
      </c>
      <c r="UQ78" s="321" t="str">
        <f t="shared" ref="UQ78" ca="1" si="19571">IF(UG78&lt;&gt;"",VLOOKUP(UG78,ST4:TB40,9,FALSE),"")</f>
        <v/>
      </c>
      <c r="UR78" s="321" t="str">
        <f t="shared" ref="UR78:UR80" ca="1" si="19572">UN78</f>
        <v/>
      </c>
      <c r="US78" s="321" t="str">
        <f t="shared" ref="US78" ca="1" si="19573">IF(UG78&lt;&gt;"",RANK(UR78,UR77:UR80),"")</f>
        <v/>
      </c>
      <c r="UT78" s="321" t="str">
        <f t="shared" ref="UT78" ca="1" si="19574">IF(UG78&lt;&gt;"",SUMPRODUCT((UR77:UR80=UR78)*(UM77:UM80&gt;UM78)),"")</f>
        <v/>
      </c>
      <c r="UU78" s="321" t="str">
        <f t="shared" ref="UU78" ca="1" si="19575">IF(UG78&lt;&gt;"",SUMPRODUCT((UR77:UR80=UR78)*(UM77:UM80=UM78)*(UK77:UK80&gt;UK78)),"")</f>
        <v/>
      </c>
      <c r="UV78" s="321" t="str">
        <f t="shared" ref="UV78" ca="1" si="19576">IF(UG78&lt;&gt;"",SUMPRODUCT((UR77:UR80=UR78)*(UM77:UM80=UM78)*(UK77:UK80=UK78)*(UO77:UO80&gt;UO78)),"")</f>
        <v/>
      </c>
      <c r="UW78" s="321" t="str">
        <f t="shared" ref="UW78" ca="1" si="19577">IF(UG78&lt;&gt;"",SUMPRODUCT((UR77:UR80=UR78)*(UM77:UM80=UM78)*(UK77:UK80=UK78)*(UO77:UO80=UO78)*(UP77:UP80&gt;UP78)),"")</f>
        <v/>
      </c>
      <c r="UX78" s="321" t="str">
        <f t="shared" ref="UX78" ca="1" si="19578">IF(UG78&lt;&gt;"",SUMPRODUCT((UR77:UR80=UR78)*(UM77:UM80=UM78)*(UK77:UK80=UK78)*(UO77:UO80=UO78)*(UP77:UP80=UP78)*(UQ77:UQ80&gt;UQ78)),"")</f>
        <v/>
      </c>
      <c r="UY78" s="321" t="str">
        <f t="shared" ref="UY78" ca="1" si="19579">IF(UG78&lt;&gt;"",SUM(US78:UX78)+1,"")</f>
        <v/>
      </c>
      <c r="XY78" s="321">
        <f ca="1">SUMPRODUCT((XY37:XY40=XY38)*(XX37:XX40=XX38)*(XV37:XV40&gt;XV38))+1</f>
        <v>1</v>
      </c>
      <c r="YJ78" s="321">
        <f t="shared" ref="YJ78" ca="1" si="19580">IF(YK38&lt;&gt;"",SUMPRODUCT((YR37:YR40=YR38)*(YQ37:YQ40=YQ38)*(YO37:YO40=YO38)*(YP37:YP40=YP38)),"")</f>
        <v>2</v>
      </c>
      <c r="YK78" s="321" t="str">
        <f t="shared" ca="1" si="19353"/>
        <v>Portugal</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1</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2</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2</v>
      </c>
      <c r="YQ78" s="321">
        <f t="shared" ca="1" si="19359"/>
        <v>1000</v>
      </c>
      <c r="YR78" s="321">
        <f t="shared" ca="1" si="19360"/>
        <v>1</v>
      </c>
      <c r="YS78" s="321">
        <f t="shared" ref="YS78" ca="1" si="19586">IF(YK78&lt;&gt;"",VLOOKUP(YK78,XR4:XX40,7,FALSE),"")</f>
        <v>1006</v>
      </c>
      <c r="YT78" s="321">
        <f t="shared" ref="YT78" ca="1" si="19587">IF(YK78&lt;&gt;"",VLOOKUP(YK78,XR4:XX40,5,FALSE),"")</f>
        <v>9</v>
      </c>
      <c r="YU78" s="321">
        <f t="shared" ref="YU78" ca="1" si="19588">IF(YK78&lt;&gt;"",VLOOKUP(YK78,XR4:XZ40,9,FALSE),"")</f>
        <v>53</v>
      </c>
      <c r="YV78" s="321">
        <f t="shared" ca="1" si="19364"/>
        <v>1</v>
      </c>
      <c r="YW78" s="321">
        <f t="shared" ref="YW78" ca="1" si="19589">IF(YK78&lt;&gt;"",RANK(YV78,YV77:YV80),"")</f>
        <v>1</v>
      </c>
      <c r="YX78" s="321">
        <f t="shared" ref="YX78" ca="1" si="19590">IF(YK78&lt;&gt;"",SUMPRODUCT((YV77:YV80=YV78)*(YQ77:YQ80&gt;YQ78)),"")</f>
        <v>0</v>
      </c>
      <c r="YY78" s="321">
        <f t="shared" ref="YY78" ca="1" si="19591">IF(YK78&lt;&gt;"",SUMPRODUCT((YV77:YV80=YV78)*(YQ77:YQ80=YQ78)*(YO77:YO80&gt;YO78)),"")</f>
        <v>0</v>
      </c>
      <c r="YZ78" s="321">
        <f t="shared" ref="YZ78" ca="1" si="19592">IF(YK78&lt;&gt;"",SUMPRODUCT((YV77:YV80=YV78)*(YQ77:YQ80=YQ78)*(YO77:YO80=YO78)*(YS77:YS80&gt;YS78)),"")</f>
        <v>0</v>
      </c>
      <c r="ZA78" s="321">
        <f t="shared" ref="ZA78" ca="1" si="19593">IF(YK78&lt;&gt;"",SUMPRODUCT((YV77:YV80=YV78)*(YQ77:YQ80=YQ78)*(YO77:YO80=YO78)*(YS77:YS80=YS78)*(YT77:YT80&gt;YT78)),"")</f>
        <v>0</v>
      </c>
      <c r="ZB78" s="321">
        <f t="shared" ref="ZB78" ca="1" si="19594">IF(YK78&lt;&gt;"",SUMPRODUCT((YV77:YV80=YV78)*(YQ77:YQ80=YQ78)*(YO77:YO80=YO78)*(YS77:YS80=YS78)*(YT77:YT80=YT78)*(YU77:YU80&gt;YU78)),"")</f>
        <v>0</v>
      </c>
      <c r="ZC78" s="321">
        <f t="shared" ca="1" si="19371"/>
        <v>1</v>
      </c>
      <c r="ZD78" s="321" t="str">
        <f t="shared" ref="ZD78" ca="1" si="19595">IF(ZE38&lt;&gt;"",SUMPRODUCT((ZL37:ZL40=ZL38)*(ZK37:ZK40=ZK38)*(ZI37:ZI40=ZI38)*(ZJ37:ZJ40=ZJ38)),"")</f>
        <v/>
      </c>
      <c r="ZE78" s="321" t="str">
        <f t="shared" ref="ZE78:ZE80" ca="1" si="19596">IF(AND(ZD78&lt;&gt;"",ZD78&gt;1),ZE38,"")</f>
        <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0</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0</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0</v>
      </c>
      <c r="ZK78" s="321">
        <f t="shared" ref="ZK78:ZK80" ca="1" si="19602">ZI78-ZJ78+1000</f>
        <v>1000</v>
      </c>
      <c r="ZL78" s="321" t="str">
        <f t="shared" ref="ZL78:ZL80" ca="1" si="19603">IF(ZE78&lt;&gt;"",ZF78*3+ZG78*1,"")</f>
        <v/>
      </c>
      <c r="ZM78" s="321" t="str">
        <f t="shared" ref="ZM78" ca="1" si="19604">IF(ZE78&lt;&gt;"",VLOOKUP(ZE78,XR4:XX40,7,FALSE),"")</f>
        <v/>
      </c>
      <c r="ZN78" s="321" t="str">
        <f t="shared" ref="ZN78" ca="1" si="19605">IF(ZE78&lt;&gt;"",VLOOKUP(ZE78,XR4:XX40,5,FALSE),"")</f>
        <v/>
      </c>
      <c r="ZO78" s="321" t="str">
        <f t="shared" ref="ZO78" ca="1" si="19606">IF(ZE78&lt;&gt;"",VLOOKUP(ZE78,XR4:XZ40,9,FALSE),"")</f>
        <v/>
      </c>
      <c r="ZP78" s="321" t="str">
        <f t="shared" ref="ZP78:ZP80" ca="1" si="19607">ZL78</f>
        <v/>
      </c>
      <c r="ZQ78" s="321" t="str">
        <f t="shared" ref="ZQ78" ca="1" si="19608">IF(ZE78&lt;&gt;"",RANK(ZP78,ZP77:ZP80),"")</f>
        <v/>
      </c>
      <c r="ZR78" s="321" t="str">
        <f t="shared" ref="ZR78" ca="1" si="19609">IF(ZE78&lt;&gt;"",SUMPRODUCT((ZP77:ZP80=ZP78)*(ZK77:ZK80&gt;ZK78)),"")</f>
        <v/>
      </c>
      <c r="ZS78" s="321" t="str">
        <f t="shared" ref="ZS78" ca="1" si="19610">IF(ZE78&lt;&gt;"",SUMPRODUCT((ZP77:ZP80=ZP78)*(ZK77:ZK80=ZK78)*(ZI77:ZI80&gt;ZI78)),"")</f>
        <v/>
      </c>
      <c r="ZT78" s="321" t="str">
        <f t="shared" ref="ZT78" ca="1" si="19611">IF(ZE78&lt;&gt;"",SUMPRODUCT((ZP77:ZP80=ZP78)*(ZK77:ZK80=ZK78)*(ZI77:ZI80=ZI78)*(ZM77:ZM80&gt;ZM78)),"")</f>
        <v/>
      </c>
      <c r="ZU78" s="321" t="str">
        <f t="shared" ref="ZU78" ca="1" si="19612">IF(ZE78&lt;&gt;"",SUMPRODUCT((ZP77:ZP80=ZP78)*(ZK77:ZK80=ZK78)*(ZI77:ZI80=ZI78)*(ZM77:ZM80=ZM78)*(ZN77:ZN80&gt;ZN78)),"")</f>
        <v/>
      </c>
      <c r="ZV78" s="321" t="str">
        <f t="shared" ref="ZV78" ca="1" si="19613">IF(ZE78&lt;&gt;"",SUMPRODUCT((ZP77:ZP80=ZP78)*(ZK77:ZK80=ZK78)*(ZI77:ZI80=ZI78)*(ZM77:ZM80=ZM78)*(ZN77:ZN80=ZN78)*(ZO77:ZO80&gt;ZO78)),"")</f>
        <v/>
      </c>
      <c r="ZW78" s="321" t="str">
        <f t="shared" ref="ZW78" ca="1" si="19614">IF(ZE78&lt;&gt;"",SUM(ZQ78:ZV78)+1,"")</f>
        <v/>
      </c>
      <c r="ACW78" s="321">
        <f ca="1">SUMPRODUCT((ACW37:ACW40=ACW38)*(ACV37:ACV40=ACV38)*(ACT37:ACT40&gt;ACT38))+1</f>
        <v>1</v>
      </c>
      <c r="ADH78" s="321" t="str">
        <f t="shared" ref="ADH78" ca="1" si="19615">IF(ADI38&lt;&gt;"",SUMPRODUCT((ADP37:ADP40=ADP38)*(ADO37:ADO40=ADO38)*(ADM37:ADM40=ADM38)*(ADN37:ADN40=ADN38)),"")</f>
        <v/>
      </c>
      <c r="ADI78" s="321" t="str">
        <f t="shared" ca="1" si="19373"/>
        <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0</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0</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0</v>
      </c>
      <c r="ADO78" s="321">
        <f t="shared" ca="1" si="19379"/>
        <v>1000</v>
      </c>
      <c r="ADP78" s="321" t="str">
        <f t="shared" ca="1" si="19380"/>
        <v/>
      </c>
      <c r="ADQ78" s="321" t="str">
        <f t="shared" ref="ADQ78" ca="1" si="19621">IF(ADI78&lt;&gt;"",VLOOKUP(ADI78,ACP4:ACV40,7,FALSE),"")</f>
        <v/>
      </c>
      <c r="ADR78" s="321" t="str">
        <f t="shared" ref="ADR78" ca="1" si="19622">IF(ADI78&lt;&gt;"",VLOOKUP(ADI78,ACP4:ACV40,5,FALSE),"")</f>
        <v/>
      </c>
      <c r="ADS78" s="321" t="str">
        <f t="shared" ref="ADS78" ca="1" si="19623">IF(ADI78&lt;&gt;"",VLOOKUP(ADI78,ACP4:ACX40,9,FALSE),"")</f>
        <v/>
      </c>
      <c r="ADT78" s="321" t="str">
        <f t="shared" ca="1" si="19384"/>
        <v/>
      </c>
      <c r="ADU78" s="321" t="str">
        <f t="shared" ref="ADU78" ca="1" si="19624">IF(ADI78&lt;&gt;"",RANK(ADT78,ADT77:ADT80),"")</f>
        <v/>
      </c>
      <c r="ADV78" s="321" t="str">
        <f t="shared" ref="ADV78" ca="1" si="19625">IF(ADI78&lt;&gt;"",SUMPRODUCT((ADT77:ADT80=ADT78)*(ADO77:ADO80&gt;ADO78)),"")</f>
        <v/>
      </c>
      <c r="ADW78" s="321" t="str">
        <f t="shared" ref="ADW78" ca="1" si="19626">IF(ADI78&lt;&gt;"",SUMPRODUCT((ADT77:ADT80=ADT78)*(ADO77:ADO80=ADO78)*(ADM77:ADM80&gt;ADM78)),"")</f>
        <v/>
      </c>
      <c r="ADX78" s="321" t="str">
        <f t="shared" ref="ADX78" ca="1" si="19627">IF(ADI78&lt;&gt;"",SUMPRODUCT((ADT77:ADT80=ADT78)*(ADO77:ADO80=ADO78)*(ADM77:ADM80=ADM78)*(ADQ77:ADQ80&gt;ADQ78)),"")</f>
        <v/>
      </c>
      <c r="ADY78" s="321" t="str">
        <f t="shared" ref="ADY78" ca="1" si="19628">IF(ADI78&lt;&gt;"",SUMPRODUCT((ADT77:ADT80=ADT78)*(ADO77:ADO80=ADO78)*(ADM77:ADM80=ADM78)*(ADQ77:ADQ80=ADQ78)*(ADR77:ADR80&gt;ADR78)),"")</f>
        <v/>
      </c>
      <c r="ADZ78" s="321" t="str">
        <f t="shared" ref="ADZ78" ca="1" si="19629">IF(ADI78&lt;&gt;"",SUMPRODUCT((ADT77:ADT80=ADT78)*(ADO77:ADO80=ADO78)*(ADM77:ADM80=ADM78)*(ADQ77:ADQ80=ADQ78)*(ADR77:ADR80=ADR78)*(ADS77:ADS80&gt;ADS78)),"")</f>
        <v/>
      </c>
      <c r="AEA78" s="321" t="str">
        <f t="shared" ca="1" si="19391"/>
        <v/>
      </c>
      <c r="AEB78" s="321">
        <f t="shared" ref="AEB78" ca="1" si="19630">IF(AEC38&lt;&gt;"",SUMPRODUCT((AEJ37:AEJ40=AEJ38)*(AEI37:AEI40=AEI38)*(AEG37:AEG40=AEG38)*(AEH37:AEH40=AEH38)),"")</f>
        <v>2</v>
      </c>
      <c r="AEC78" s="321" t="str">
        <f t="shared" ref="AEC78:AEC80" ca="1" si="19631">IF(AND(AEB78&lt;&gt;"",AEB78&gt;1),AEC38,"")</f>
        <v>Czechia</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1</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1</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1</v>
      </c>
      <c r="AEI78" s="321">
        <f t="shared" ref="AEI78:AEI80" ca="1" si="19637">AEG78-AEH78+1000</f>
        <v>1000</v>
      </c>
      <c r="AEJ78" s="321">
        <f t="shared" ref="AEJ78:AEJ80" ca="1" si="19638">IF(AEC78&lt;&gt;"",AED78*3+AEE78*1,"")</f>
        <v>1</v>
      </c>
      <c r="AEK78" s="321">
        <f t="shared" ref="AEK78" ca="1" si="19639">IF(AEC78&lt;&gt;"",VLOOKUP(AEC78,ACP4:ACV40,7,FALSE),"")</f>
        <v>1001</v>
      </c>
      <c r="AEL78" s="321">
        <f t="shared" ref="AEL78" ca="1" si="19640">IF(AEC78&lt;&gt;"",VLOOKUP(AEC78,ACP4:ACV40,5,FALSE),"")</f>
        <v>6</v>
      </c>
      <c r="AEM78" s="321">
        <f t="shared" ref="AEM78" ca="1" si="19641">IF(AEC78&lt;&gt;"",VLOOKUP(AEC78,ACP4:ACX40,9,FALSE),"")</f>
        <v>37</v>
      </c>
      <c r="AEN78" s="321">
        <f t="shared" ref="AEN78:AEN80" ca="1" si="19642">AEJ78</f>
        <v>1</v>
      </c>
      <c r="AEO78" s="321">
        <f t="shared" ref="AEO78" ca="1" si="19643">IF(AEC78&lt;&gt;"",RANK(AEN78,AEN77:AEN80),"")</f>
        <v>1</v>
      </c>
      <c r="AEP78" s="321">
        <f t="shared" ref="AEP78" ca="1" si="19644">IF(AEC78&lt;&gt;"",SUMPRODUCT((AEN77:AEN80=AEN78)*(AEI77:AEI80&gt;AEI78)),"")</f>
        <v>0</v>
      </c>
      <c r="AEQ78" s="321">
        <f t="shared" ref="AEQ78" ca="1" si="19645">IF(AEC78&lt;&gt;"",SUMPRODUCT((AEN77:AEN80=AEN78)*(AEI77:AEI80=AEI78)*(AEG77:AEG80&gt;AEG78)),"")</f>
        <v>0</v>
      </c>
      <c r="AER78" s="321">
        <f t="shared" ref="AER78" ca="1" si="19646">IF(AEC78&lt;&gt;"",SUMPRODUCT((AEN77:AEN80=AEN78)*(AEI77:AEI80=AEI78)*(AEG77:AEG80=AEG78)*(AEK77:AEK80&gt;AEK78)),"")</f>
        <v>0</v>
      </c>
      <c r="AES78" s="321">
        <f t="shared" ref="AES78" ca="1" si="19647">IF(AEC78&lt;&gt;"",SUMPRODUCT((AEN77:AEN80=AEN78)*(AEI77:AEI80=AEI78)*(AEG77:AEG80=AEG78)*(AEK77:AEK80=AEK78)*(AEL77:AEL80&gt;AEL78)),"")</f>
        <v>0</v>
      </c>
      <c r="AET78" s="321">
        <f t="shared" ref="AET78" ca="1" si="19648">IF(AEC78&lt;&gt;"",SUMPRODUCT((AEN77:AEN80=AEN78)*(AEI77:AEI80=AEI78)*(AEG77:AEG80=AEG78)*(AEK77:AEK80=AEK78)*(AEL77:AEL80=AEL78)*(AEM77:AEM80&gt;AEM78)),"")</f>
        <v>0</v>
      </c>
      <c r="AEU78" s="321">
        <f t="shared" ref="AEU78" ca="1" si="19649">IF(AEC78&lt;&gt;"",SUM(AEO78:AET78)+1,"")</f>
        <v>2</v>
      </c>
      <c r="AHU78" s="321">
        <f ca="1">SUMPRODUCT((AHU37:AHU40=AHU38)*(AHT37:AHT40=AHT38)*(AHR37:AHR40&gt;AHR38))+1</f>
        <v>1</v>
      </c>
      <c r="AIF78" s="321">
        <f t="shared" ref="AIF78" ca="1" si="19650">IF(AIG38&lt;&gt;"",SUMPRODUCT((AIN37:AIN40=AIN38)*(AIM37:AIM40=AIM38)*(AIK37:AIK40=AIK38)*(AIL37:AIL40=AIL38)),"")</f>
        <v>4</v>
      </c>
      <c r="AIG78" s="321" t="str">
        <f t="shared" ca="1" si="19393"/>
        <v>Czechia</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1">
        <f t="shared" ca="1" si="19399"/>
        <v>1000</v>
      </c>
      <c r="AIN78" s="321">
        <f t="shared" ca="1" si="19400"/>
        <v>0</v>
      </c>
      <c r="AIO78" s="321">
        <f t="shared" ref="AIO78" ca="1" si="19656">IF(AIG78&lt;&gt;"",VLOOKUP(AIG78,AHN4:AHT40,7,FALSE),"")</f>
        <v>1000</v>
      </c>
      <c r="AIP78" s="321">
        <f t="shared" ref="AIP78" ca="1" si="19657">IF(AIG78&lt;&gt;"",VLOOKUP(AIG78,AHN4:AHT40,5,FALSE),"")</f>
        <v>0</v>
      </c>
      <c r="AIQ78" s="321">
        <f t="shared" ref="AIQ78" ca="1" si="19658">IF(AIG78&lt;&gt;"",VLOOKUP(AIG78,AHN4:AHV40,9,FALSE),"")</f>
        <v>37</v>
      </c>
      <c r="AIR78" s="321">
        <f t="shared" ca="1" si="19404"/>
        <v>0</v>
      </c>
      <c r="AIS78" s="321">
        <f t="shared" ref="AIS78" ca="1" si="19659">IF(AIG78&lt;&gt;"",RANK(AIR78,AIR77:AIR80),"")</f>
        <v>1</v>
      </c>
      <c r="AIT78" s="321">
        <f t="shared" ref="AIT78" ca="1" si="19660">IF(AIG78&lt;&gt;"",SUMPRODUCT((AIR77:AIR80=AIR78)*(AIM77:AIM80&gt;AIM78)),"")</f>
        <v>0</v>
      </c>
      <c r="AIU78" s="321">
        <f t="shared" ref="AIU78" ca="1" si="19661">IF(AIG78&lt;&gt;"",SUMPRODUCT((AIR77:AIR80=AIR78)*(AIM77:AIM80=AIM78)*(AIK77:AIK80&gt;AIK78)),"")</f>
        <v>0</v>
      </c>
      <c r="AIV78" s="321">
        <f t="shared" ref="AIV78" ca="1" si="19662">IF(AIG78&lt;&gt;"",SUMPRODUCT((AIR77:AIR80=AIR78)*(AIM77:AIM80=AIM78)*(AIK77:AIK80=AIK78)*(AIO77:AIO80&gt;AIO78)),"")</f>
        <v>0</v>
      </c>
      <c r="AIW78" s="321">
        <f t="shared" ref="AIW78" ca="1" si="19663">IF(AIG78&lt;&gt;"",SUMPRODUCT((AIR77:AIR80=AIR78)*(AIM77:AIM80=AIM78)*(AIK77:AIK80=AIK78)*(AIO77:AIO80=AIO78)*(AIP77:AIP80&gt;AIP78)),"")</f>
        <v>0</v>
      </c>
      <c r="AIX78" s="321">
        <f t="shared" ref="AIX78" ca="1" si="19664">IF(AIG78&lt;&gt;"",SUMPRODUCT((AIR77:AIR80=AIR78)*(AIM77:AIM80=AIM78)*(AIK77:AIK80=AIK78)*(AIO77:AIO80=AIO78)*(AIP77:AIP80=AIP78)*(AIQ77:AIQ80&gt;AIQ78)),"")</f>
        <v>2</v>
      </c>
      <c r="AIY78" s="321">
        <f t="shared" ca="1" si="19411"/>
        <v>3</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f t="shared" ref="AND78" ca="1" si="19685">IF(ANE38&lt;&gt;"",SUMPRODUCT((ANL37:ANL40=ANL38)*(ANK37:ANK40=ANK38)*(ANI37:ANI40=ANI38)*(ANJ37:ANJ40=ANJ38)),"")</f>
        <v>4</v>
      </c>
      <c r="ANE78" s="321" t="str">
        <f t="shared" ca="1" si="19413"/>
        <v>Czechia</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f t="shared" ca="1" si="19420"/>
        <v>0</v>
      </c>
      <c r="ANM78" s="321">
        <f t="shared" ref="ANM78" ca="1" si="19691">IF(ANE78&lt;&gt;"",VLOOKUP(ANE78,AML4:AMR40,7,FALSE),"")</f>
        <v>1000</v>
      </c>
      <c r="ANN78" s="321">
        <f t="shared" ref="ANN78" ca="1" si="19692">IF(ANE78&lt;&gt;"",VLOOKUP(ANE78,AML4:AMR40,5,FALSE),"")</f>
        <v>0</v>
      </c>
      <c r="ANO78" s="321">
        <f t="shared" ref="ANO78" ca="1" si="19693">IF(ANE78&lt;&gt;"",VLOOKUP(ANE78,AML4:AMT40,9,FALSE),"")</f>
        <v>37</v>
      </c>
      <c r="ANP78" s="321">
        <f t="shared" ca="1" si="19424"/>
        <v>0</v>
      </c>
      <c r="ANQ78" s="321">
        <f t="shared" ref="ANQ78" ca="1" si="19694">IF(ANE78&lt;&gt;"",RANK(ANP78,ANP77:ANP80),"")</f>
        <v>1</v>
      </c>
      <c r="ANR78" s="321">
        <f t="shared" ref="ANR78" ca="1" si="19695">IF(ANE78&lt;&gt;"",SUMPRODUCT((ANP77:ANP80=ANP78)*(ANK77:ANK80&gt;ANK78)),"")</f>
        <v>0</v>
      </c>
      <c r="ANS78" s="321">
        <f t="shared" ref="ANS78" ca="1" si="19696">IF(ANE78&lt;&gt;"",SUMPRODUCT((ANP77:ANP80=ANP78)*(ANK77:ANK80=ANK78)*(ANI77:ANI80&gt;ANI78)),"")</f>
        <v>0</v>
      </c>
      <c r="ANT78" s="321">
        <f t="shared" ref="ANT78" ca="1" si="19697">IF(ANE78&lt;&gt;"",SUMPRODUCT((ANP77:ANP80=ANP78)*(ANK77:ANK80=ANK78)*(ANI77:ANI80=ANI78)*(ANM77:ANM80&gt;ANM78)),"")</f>
        <v>0</v>
      </c>
      <c r="ANU78" s="321">
        <f t="shared" ref="ANU78" ca="1" si="19698">IF(ANE78&lt;&gt;"",SUMPRODUCT((ANP77:ANP80=ANP78)*(ANK77:ANK80=ANK78)*(ANI77:ANI80=ANI78)*(ANM77:ANM80=ANM78)*(ANN77:ANN80&gt;ANN78)),"")</f>
        <v>0</v>
      </c>
      <c r="ANV78" s="321">
        <f t="shared" ref="ANV78" ca="1" si="19699">IF(ANE78&lt;&gt;"",SUMPRODUCT((ANP77:ANP80=ANP78)*(ANK77:ANK80=ANK78)*(ANI77:ANI80=ANI78)*(ANM77:ANM80=ANM78)*(ANN77:ANN80=ANN78)*(ANO77:ANO80&gt;ANO78)),"")</f>
        <v>2</v>
      </c>
      <c r="ANW78" s="321">
        <f t="shared" ca="1" si="19431"/>
        <v>3</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f t="shared" ref="ASB78" ca="1" si="19720">IF(ASC38&lt;&gt;"",SUMPRODUCT((ASJ37:ASJ40=ASJ38)*(ASI37:ASI40=ASI38)*(ASG37:ASG40=ASG38)*(ASH37:ASH40=ASH38)),"")</f>
        <v>4</v>
      </c>
      <c r="ASC78" s="321" t="str">
        <f t="shared" ca="1" si="19433"/>
        <v>Czechia</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f t="shared" ca="1" si="19440"/>
        <v>0</v>
      </c>
      <c r="ASK78" s="321">
        <f t="shared" ref="ASK78" ca="1" si="19726">IF(ASC78&lt;&gt;"",VLOOKUP(ASC78,ARJ4:ARP40,7,FALSE),"")</f>
        <v>1000</v>
      </c>
      <c r="ASL78" s="321">
        <f t="shared" ref="ASL78" ca="1" si="19727">IF(ASC78&lt;&gt;"",VLOOKUP(ASC78,ARJ4:ARP40,5,FALSE),"")</f>
        <v>0</v>
      </c>
      <c r="ASM78" s="321">
        <f t="shared" ref="ASM78" ca="1" si="19728">IF(ASC78&lt;&gt;"",VLOOKUP(ASC78,ARJ4:ARR40,9,FALSE),"")</f>
        <v>37</v>
      </c>
      <c r="ASN78" s="321">
        <f t="shared" ca="1" si="19444"/>
        <v>0</v>
      </c>
      <c r="ASO78" s="321">
        <f t="shared" ref="ASO78" ca="1" si="19729">IF(ASC78&lt;&gt;"",RANK(ASN78,ASN77:ASN80),"")</f>
        <v>1</v>
      </c>
      <c r="ASP78" s="321">
        <f t="shared" ref="ASP78" ca="1" si="19730">IF(ASC78&lt;&gt;"",SUMPRODUCT((ASN77:ASN80=ASN78)*(ASI77:ASI80&gt;ASI78)),"")</f>
        <v>0</v>
      </c>
      <c r="ASQ78" s="321">
        <f t="shared" ref="ASQ78" ca="1" si="19731">IF(ASC78&lt;&gt;"",SUMPRODUCT((ASN77:ASN80=ASN78)*(ASI77:ASI80=ASI78)*(ASG77:ASG80&gt;ASG78)),"")</f>
        <v>0</v>
      </c>
      <c r="ASR78" s="321">
        <f t="shared" ref="ASR78" ca="1" si="19732">IF(ASC78&lt;&gt;"",SUMPRODUCT((ASN77:ASN80=ASN78)*(ASI77:ASI80=ASI78)*(ASG77:ASG80=ASG78)*(ASK77:ASK80&gt;ASK78)),"")</f>
        <v>0</v>
      </c>
      <c r="ASS78" s="321">
        <f t="shared" ref="ASS78" ca="1" si="19733">IF(ASC78&lt;&gt;"",SUMPRODUCT((ASN77:ASN80=ASN78)*(ASI77:ASI80=ASI78)*(ASG77:ASG80=ASG78)*(ASK77:ASK80=ASK78)*(ASL77:ASL80&gt;ASL78)),"")</f>
        <v>0</v>
      </c>
      <c r="AST78" s="321">
        <f t="shared" ref="AST78" ca="1" si="19734">IF(ASC78&lt;&gt;"",SUMPRODUCT((ASN77:ASN80=ASN78)*(ASI77:ASI80=ASI78)*(ASG77:ASG80=ASG78)*(ASK77:ASK80=ASK78)*(ASL77:ASL80=ASL78)*(ASM77:ASM80&gt;ASM78)),"")</f>
        <v>2</v>
      </c>
      <c r="ASU78" s="321">
        <f t="shared" ca="1" si="19451"/>
        <v>3</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f t="shared" ref="AWZ78" ca="1" si="19755">IF(AXA38&lt;&gt;"",SUMPRODUCT((AXH37:AXH40=AXH38)*(AXG37:AXG40=AXG38)*(AXE37:AXE40=AXE38)*(AXF37:AXF40=AXF38)),"")</f>
        <v>4</v>
      </c>
      <c r="AXA78" s="321" t="str">
        <f t="shared" ca="1" si="19453"/>
        <v>Czechia</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f t="shared" ca="1" si="19460"/>
        <v>0</v>
      </c>
      <c r="AXI78" s="321">
        <f t="shared" ref="AXI78" ca="1" si="19761">IF(AXA78&lt;&gt;"",VLOOKUP(AXA78,AWH4:AWN40,7,FALSE),"")</f>
        <v>1000</v>
      </c>
      <c r="AXJ78" s="321">
        <f t="shared" ref="AXJ78" ca="1" si="19762">IF(AXA78&lt;&gt;"",VLOOKUP(AXA78,AWH4:AWN40,5,FALSE),"")</f>
        <v>0</v>
      </c>
      <c r="AXK78" s="321">
        <f t="shared" ref="AXK78" ca="1" si="19763">IF(AXA78&lt;&gt;"",VLOOKUP(AXA78,AWH4:AWP40,9,FALSE),"")</f>
        <v>37</v>
      </c>
      <c r="AXL78" s="321">
        <f t="shared" ca="1" si="19464"/>
        <v>0</v>
      </c>
      <c r="AXM78" s="321">
        <f t="shared" ref="AXM78" ca="1" si="19764">IF(AXA78&lt;&gt;"",RANK(AXL78,AXL77:AXL80),"")</f>
        <v>1</v>
      </c>
      <c r="AXN78" s="321">
        <f t="shared" ref="AXN78" ca="1" si="19765">IF(AXA78&lt;&gt;"",SUMPRODUCT((AXL77:AXL80=AXL78)*(AXG77:AXG80&gt;AXG78)),"")</f>
        <v>0</v>
      </c>
      <c r="AXO78" s="321">
        <f t="shared" ref="AXO78" ca="1" si="19766">IF(AXA78&lt;&gt;"",SUMPRODUCT((AXL77:AXL80=AXL78)*(AXG77:AXG80=AXG78)*(AXE77:AXE80&gt;AXE78)),"")</f>
        <v>0</v>
      </c>
      <c r="AXP78" s="321">
        <f t="shared" ref="AXP78" ca="1" si="19767">IF(AXA78&lt;&gt;"",SUMPRODUCT((AXL77:AXL80=AXL78)*(AXG77:AXG80=AXG78)*(AXE77:AXE80=AXE78)*(AXI77:AXI80&gt;AXI78)),"")</f>
        <v>0</v>
      </c>
      <c r="AXQ78" s="321">
        <f t="shared" ref="AXQ78" ca="1" si="19768">IF(AXA78&lt;&gt;"",SUMPRODUCT((AXL77:AXL80=AXL78)*(AXG77:AXG80=AXG78)*(AXE77:AXE80=AXE78)*(AXI77:AXI80=AXI78)*(AXJ77:AXJ80&gt;AXJ78)),"")</f>
        <v>0</v>
      </c>
      <c r="AXR78" s="321">
        <f t="shared" ref="AXR78" ca="1" si="19769">IF(AXA78&lt;&gt;"",SUMPRODUCT((AXL77:AXL80=AXL78)*(AXG77:AXG80=AXG78)*(AXE77:AXE80=AXE78)*(AXI77:AXI80=AXI78)*(AXJ77:AXJ80=AXJ78)*(AXK77:AXK80&gt;AXK78)),"")</f>
        <v>2</v>
      </c>
      <c r="AXS78" s="321">
        <f t="shared" ca="1" si="19471"/>
        <v>3</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2">
      <c r="I79" s="321">
        <f>SUMPRODUCT((I37:I40=I39)*(H37:H40=H39)*(F37:F40&gt;F39))+1</f>
        <v>1</v>
      </c>
      <c r="T79" s="321" t="str">
        <f>IF(U39&lt;&gt;"",SUMPRODUCT((AB37:AB40=AB39)*(AA37:AA40=AA39)*(Y37:Y40=Y39)*(Z37:Z40=Z39)),"")</f>
        <v/>
      </c>
      <c r="U79" s="321" t="str">
        <f t="shared" si="19492"/>
        <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t="str">
        <f t="shared" si="19493"/>
        <v/>
      </c>
      <c r="AC79" s="321" t="str">
        <f>IF(U79&lt;&gt;"",VLOOKUP(U79,B4:H40,7,FALSE),"")</f>
        <v/>
      </c>
      <c r="AD79" s="321" t="str">
        <f>IF(U79&lt;&gt;"",VLOOKUP(U79,B4:H40,5,FALSE),"")</f>
        <v/>
      </c>
      <c r="AE79" s="321" t="str">
        <f>IF(U79&lt;&gt;"",VLOOKUP(U79,B4:J40,9,FALSE),"")</f>
        <v/>
      </c>
      <c r="AF79" s="321" t="str">
        <f t="shared" si="19494"/>
        <v/>
      </c>
      <c r="AG79" s="321" t="str">
        <f>IF(U79&lt;&gt;"",RANK(AF79,AF77:AF80),"")</f>
        <v/>
      </c>
      <c r="AH79" s="321" t="str">
        <f>IF(U79&lt;&gt;"",SUMPRODUCT((AF77:AF80=AF79)*(AA77:AA80&gt;AA79)),"")</f>
        <v/>
      </c>
      <c r="AI79" s="321" t="str">
        <f>IF(U79&lt;&gt;"",SUMPRODUCT((AF77:AF80=AF79)*(AA77:AA80=AA79)*(Y77:Y80&gt;Y79)),"")</f>
        <v/>
      </c>
      <c r="AJ79" s="321" t="str">
        <f>IF(U79&lt;&gt;"",SUMPRODUCT((AF77:AF80=AF79)*(AA77:AA80=AA79)*(Y77:Y80=Y79)*(AC77:AC80&gt;AC79)),"")</f>
        <v/>
      </c>
      <c r="AK79" s="321" t="str">
        <f>IF(U79&lt;&gt;"",SUMPRODUCT((AF77:AF80=AF79)*(AA77:AA80=AA79)*(Y77:Y80=Y79)*(AC77:AC80=AC79)*(AD77:AD80&gt;AD79)),"")</f>
        <v/>
      </c>
      <c r="AL79" s="321" t="str">
        <f>IF(U79&lt;&gt;"",SUMPRODUCT((AF77:AF80=AF79)*(AA77:AA80=AA79)*(Y77:Y80=Y79)*(AC77:AC80=AC79)*(AD77:AD80=AD79)*(AE77:AE80&gt;AE79)),"")</f>
        <v/>
      </c>
      <c r="AM79" s="321" t="str">
        <f>IF(U79&lt;&gt;"",SUM(AG79:AL79),"")</f>
        <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f ca="1">IF(FM39&lt;&gt;"",SUMPRODUCT((FT37:FT40=FT39)*(FS37:FS40=FS39)*(FQ37:FQ40=FQ39)*(FR37:FR40=FR39)),"")</f>
        <v>2</v>
      </c>
      <c r="FM79" s="321" t="str">
        <f t="shared" ca="1" si="19501"/>
        <v>Türkiye</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1</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2</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2</v>
      </c>
      <c r="FS79" s="321">
        <f ca="1">FQ79-FR79+1000</f>
        <v>1000</v>
      </c>
      <c r="FT79" s="321">
        <f t="shared" ca="1" si="19502"/>
        <v>1</v>
      </c>
      <c r="FU79" s="321">
        <f ca="1">IF(FM79&lt;&gt;"",VLOOKUP(FM79,DZ4:EF40,7,FALSE),"")</f>
        <v>1003</v>
      </c>
      <c r="FV79" s="321">
        <f ca="1">IF(FM79&lt;&gt;"",VLOOKUP(FM79,DZ4:EF40,5,FALSE),"")</f>
        <v>8</v>
      </c>
      <c r="FW79" s="321">
        <f ca="1">IF(FM79&lt;&gt;"",VLOOKUP(FM79,DZ4:EH40,9,FALSE),"")</f>
        <v>47</v>
      </c>
      <c r="FX79" s="321">
        <f t="shared" ca="1" si="19503"/>
        <v>1</v>
      </c>
      <c r="FY79" s="321">
        <f ca="1">IF(FM79&lt;&gt;"",RANK(FX79,FX77:FX80),"")</f>
        <v>1</v>
      </c>
      <c r="FZ79" s="321">
        <f ca="1">IF(FM79&lt;&gt;"",SUMPRODUCT((FX77:FX80=FX79)*(FS77:FS80&gt;FS79)),"")</f>
        <v>0</v>
      </c>
      <c r="GA79" s="321">
        <f ca="1">IF(FM79&lt;&gt;"",SUMPRODUCT((FX77:FX80=FX79)*(FS77:FS80=FS79)*(FQ77:FQ80&gt;FQ79)),"")</f>
        <v>0</v>
      </c>
      <c r="GB79" s="321">
        <f ca="1">IF(FM79&lt;&gt;"",SUMPRODUCT((FX77:FX80=FX79)*(FS77:FS80=FS79)*(FQ77:FQ80=FQ79)*(FU77:FU80&gt;FU79)),"")</f>
        <v>0</v>
      </c>
      <c r="GC79" s="321">
        <f ca="1">IF(FM79&lt;&gt;"",SUMPRODUCT((FX77:FX80=FX79)*(FS77:FS80=FS79)*(FQ77:FQ80=FQ79)*(FU77:FU80=FU79)*(FV77:FV80&gt;FV79)),"")</f>
        <v>0</v>
      </c>
      <c r="GD79" s="321">
        <f ca="1">IF(FM79&lt;&gt;"",SUMPRODUCT((FX77:FX80=FX79)*(FS77:FS80=FS79)*(FQ77:FQ80=FQ79)*(FU77:FU80=FU79)*(FV77:FV80=FV79)*(FW77:FW80&gt;FW79)),"")</f>
        <v>0</v>
      </c>
      <c r="GE79" s="321">
        <f t="shared" ref="GE79:GE80" ca="1" si="19826">IF(FM79&lt;&gt;"",SUM(FY79:GD79)+1,"")</f>
        <v>2</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t="str">
        <f t="shared" ref="ON79" ca="1" si="19828">IF(OO39&lt;&gt;"",SUMPRODUCT((OV37:OV40=OV39)*(OU37:OU40=OU39)*(OS37:OS40=OS39)*(OT37:OT40=OT39)),"")</f>
        <v/>
      </c>
      <c r="OO79" s="321" t="str">
        <f t="shared" ca="1" si="19313"/>
        <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t="str">
        <f t="shared" ca="1" si="19320"/>
        <v/>
      </c>
      <c r="OW79" s="321" t="str">
        <f t="shared" ref="OW79" ca="1" si="19834">IF(OO79&lt;&gt;"",VLOOKUP(OO79,NV4:OB40,7,FALSE),"")</f>
        <v/>
      </c>
      <c r="OX79" s="321" t="str">
        <f t="shared" ref="OX79" ca="1" si="19835">IF(OO79&lt;&gt;"",VLOOKUP(OO79,NV4:OB40,5,FALSE),"")</f>
        <v/>
      </c>
      <c r="OY79" s="321" t="str">
        <f t="shared" ref="OY79" ca="1" si="19836">IF(OO79&lt;&gt;"",VLOOKUP(OO79,NV4:OD40,9,FALSE),"")</f>
        <v/>
      </c>
      <c r="OZ79" s="321" t="str">
        <f t="shared" ca="1" si="19324"/>
        <v/>
      </c>
      <c r="PA79" s="321" t="str">
        <f t="shared" ref="PA79" ca="1" si="19837">IF(OO79&lt;&gt;"",RANK(OZ79,OZ77:OZ80),"")</f>
        <v/>
      </c>
      <c r="PB79" s="321" t="str">
        <f t="shared" ref="PB79" ca="1" si="19838">IF(OO79&lt;&gt;"",SUMPRODUCT((OZ77:OZ80=OZ79)*(OU77:OU80&gt;OU79)),"")</f>
        <v/>
      </c>
      <c r="PC79" s="321" t="str">
        <f t="shared" ref="PC79" ca="1" si="19839">IF(OO79&lt;&gt;"",SUMPRODUCT((OZ77:OZ80=OZ79)*(OU77:OU80=OU79)*(OS77:OS80&gt;OS79)),"")</f>
        <v/>
      </c>
      <c r="PD79" s="321" t="str">
        <f t="shared" ref="PD79" ca="1" si="19840">IF(OO79&lt;&gt;"",SUMPRODUCT((OZ77:OZ80=OZ79)*(OU77:OU80=OU79)*(OS77:OS80=OS79)*(OW77:OW80&gt;OW79)),"")</f>
        <v/>
      </c>
      <c r="PE79" s="321" t="str">
        <f t="shared" ref="PE79" ca="1" si="19841">IF(OO79&lt;&gt;"",SUMPRODUCT((OZ77:OZ80=OZ79)*(OU77:OU80=OU79)*(OS77:OS80=OS79)*(OW77:OW80=OW79)*(OX77:OX80&gt;OX79)),"")</f>
        <v/>
      </c>
      <c r="PF79" s="321" t="str">
        <f t="shared" ref="PF79" ca="1" si="19842">IF(OO79&lt;&gt;"",SUMPRODUCT((OZ77:OZ80=OZ79)*(OU77:OU80=OU79)*(OS77:OS80=OS79)*(OW77:OW80=OW79)*(OX77:OX80=OX79)*(OY77:OY80&gt;OY79)),"")</f>
        <v/>
      </c>
      <c r="PG79" s="321" t="str">
        <f t="shared" ca="1" si="19331"/>
        <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t="str">
        <f t="shared" ref="TL79" ca="1" si="19859">IF(TM39&lt;&gt;"",SUMPRODUCT((TT37:TT40=TT39)*(TS37:TS40=TS39)*(TQ37:TQ40=TQ39)*(TR37:TR40=TR39)),"")</f>
        <v/>
      </c>
      <c r="TM79" s="321" t="str">
        <f t="shared" ca="1" si="19333"/>
        <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t="str">
        <f t="shared" ca="1" si="19340"/>
        <v/>
      </c>
      <c r="TU79" s="321" t="str">
        <f t="shared" ref="TU79" ca="1" si="19865">IF(TM79&lt;&gt;"",VLOOKUP(TM79,ST4:SZ40,7,FALSE),"")</f>
        <v/>
      </c>
      <c r="TV79" s="321" t="str">
        <f t="shared" ref="TV79" ca="1" si="19866">IF(TM79&lt;&gt;"",VLOOKUP(TM79,ST4:SZ40,5,FALSE),"")</f>
        <v/>
      </c>
      <c r="TW79" s="321" t="str">
        <f t="shared" ref="TW79" ca="1" si="19867">IF(TM79&lt;&gt;"",VLOOKUP(TM79,ST4:TB40,9,FALSE),"")</f>
        <v/>
      </c>
      <c r="TX79" s="321" t="str">
        <f t="shared" ca="1" si="19344"/>
        <v/>
      </c>
      <c r="TY79" s="321" t="str">
        <f t="shared" ref="TY79" ca="1" si="19868">IF(TM79&lt;&gt;"",RANK(TX79,TX77:TX80),"")</f>
        <v/>
      </c>
      <c r="TZ79" s="321" t="str">
        <f t="shared" ref="TZ79" ca="1" si="19869">IF(TM79&lt;&gt;"",SUMPRODUCT((TX77:TX80=TX79)*(TS77:TS80&gt;TS79)),"")</f>
        <v/>
      </c>
      <c r="UA79" s="321" t="str">
        <f t="shared" ref="UA79" ca="1" si="19870">IF(TM79&lt;&gt;"",SUMPRODUCT((TX77:TX80=TX79)*(TS77:TS80=TS79)*(TQ77:TQ80&gt;TQ79)),"")</f>
        <v/>
      </c>
      <c r="UB79" s="321" t="str">
        <f t="shared" ref="UB79" ca="1" si="19871">IF(TM79&lt;&gt;"",SUMPRODUCT((TX77:TX80=TX79)*(TS77:TS80=TS79)*(TQ77:TQ80=TQ79)*(TU77:TU80&gt;TU79)),"")</f>
        <v/>
      </c>
      <c r="UC79" s="321" t="str">
        <f t="shared" ref="UC79" ca="1" si="19872">IF(TM79&lt;&gt;"",SUMPRODUCT((TX77:TX80=TX79)*(TS77:TS80=TS79)*(TQ77:TQ80=TQ79)*(TU77:TU80=TU79)*(TV77:TV80&gt;TV79)),"")</f>
        <v/>
      </c>
      <c r="UD79" s="321" t="str">
        <f t="shared" ref="UD79" ca="1" si="19873">IF(TM79&lt;&gt;"",SUMPRODUCT((TX77:TX80=TX79)*(TS77:TS80=TS79)*(TQ77:TQ80=TQ79)*(TU77:TU80=TU79)*(TV77:TV80=TV79)*(TW77:TW80&gt;TW79)),"")</f>
        <v/>
      </c>
      <c r="UE79" s="321" t="str">
        <f t="shared" ca="1" si="19351"/>
        <v/>
      </c>
      <c r="UF79" s="321" t="str">
        <f t="shared" ref="UF79" ca="1" si="19874">IF(UG39&lt;&gt;"",SUMPRODUCT((UN37:UN40=UN39)*(UM37:UM40=UM39)*(UK37:UK40=UK39)*(UL37:UL40=UL39)),"")</f>
        <v/>
      </c>
      <c r="UG79" s="321" t="str">
        <f t="shared" ca="1" si="19561"/>
        <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0</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0</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0</v>
      </c>
      <c r="UM79" s="321">
        <f t="shared" ca="1" si="19567"/>
        <v>1000</v>
      </c>
      <c r="UN79" s="321" t="str">
        <f t="shared" ca="1" si="19568"/>
        <v/>
      </c>
      <c r="UO79" s="321" t="str">
        <f t="shared" ref="UO79" ca="1" si="19880">IF(UG79&lt;&gt;"",VLOOKUP(UG79,ST4:SZ40,7,FALSE),"")</f>
        <v/>
      </c>
      <c r="UP79" s="321" t="str">
        <f t="shared" ref="UP79" ca="1" si="19881">IF(UG79&lt;&gt;"",VLOOKUP(UG79,ST4:SZ40,5,FALSE),"")</f>
        <v/>
      </c>
      <c r="UQ79" s="321" t="str">
        <f t="shared" ref="UQ79" ca="1" si="19882">IF(UG79&lt;&gt;"",VLOOKUP(UG79,ST4:TB40,9,FALSE),"")</f>
        <v/>
      </c>
      <c r="UR79" s="321" t="str">
        <f t="shared" ca="1" si="19572"/>
        <v/>
      </c>
      <c r="US79" s="321" t="str">
        <f t="shared" ref="US79" ca="1" si="19883">IF(UG79&lt;&gt;"",RANK(UR79,UR77:UR80),"")</f>
        <v/>
      </c>
      <c r="UT79" s="321" t="str">
        <f t="shared" ref="UT79" ca="1" si="19884">IF(UG79&lt;&gt;"",SUMPRODUCT((UR77:UR80=UR79)*(UM77:UM80&gt;UM79)),"")</f>
        <v/>
      </c>
      <c r="UU79" s="321" t="str">
        <f t="shared" ref="UU79" ca="1" si="19885">IF(UG79&lt;&gt;"",SUMPRODUCT((UR77:UR80=UR79)*(UM77:UM80=UM79)*(UK77:UK80&gt;UK79)),"")</f>
        <v/>
      </c>
      <c r="UV79" s="321" t="str">
        <f t="shared" ref="UV79" ca="1" si="19886">IF(UG79&lt;&gt;"",SUMPRODUCT((UR77:UR80=UR79)*(UM77:UM80=UM79)*(UK77:UK80=UK79)*(UO77:UO80&gt;UO79)),"")</f>
        <v/>
      </c>
      <c r="UW79" s="321" t="str">
        <f t="shared" ref="UW79" ca="1" si="19887">IF(UG79&lt;&gt;"",SUMPRODUCT((UR77:UR80=UR79)*(UM77:UM80=UM79)*(UK77:UK80=UK79)*(UO77:UO80=UO79)*(UP77:UP80&gt;UP79)),"")</f>
        <v/>
      </c>
      <c r="UX79" s="321" t="str">
        <f t="shared" ref="UX79" ca="1" si="19888">IF(UG79&lt;&gt;"",SUMPRODUCT((UR77:UR80=UR79)*(UM77:UM80=UM79)*(UK77:UK80=UK79)*(UO77:UO80=UO79)*(UP77:UP80=UP79)*(UQ77:UQ80&gt;UQ79)),"")</f>
        <v/>
      </c>
      <c r="UY79" s="321" t="str">
        <f t="shared" ref="UY79:UY80" ca="1" si="19889">IF(UG79&lt;&gt;"",SUM(US79:UX79)+1,"")</f>
        <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t="str">
        <f t="shared" ref="ZD79" ca="1" si="19905">IF(ZE39&lt;&gt;"",SUMPRODUCT((ZL37:ZL40=ZL39)*(ZK37:ZK40=ZK39)*(ZI37:ZI40=ZI39)*(ZJ37:ZJ40=ZJ39)),"")</f>
        <v/>
      </c>
      <c r="ZE79" s="321" t="str">
        <f t="shared" ca="1" si="19596"/>
        <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0</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0</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0</v>
      </c>
      <c r="ZK79" s="321">
        <f t="shared" ca="1" si="19602"/>
        <v>1000</v>
      </c>
      <c r="ZL79" s="321" t="str">
        <f t="shared" ca="1" si="19603"/>
        <v/>
      </c>
      <c r="ZM79" s="321" t="str">
        <f t="shared" ref="ZM79" ca="1" si="19911">IF(ZE79&lt;&gt;"",VLOOKUP(ZE79,XR4:XX40,7,FALSE),"")</f>
        <v/>
      </c>
      <c r="ZN79" s="321" t="str">
        <f t="shared" ref="ZN79" ca="1" si="19912">IF(ZE79&lt;&gt;"",VLOOKUP(ZE79,XR4:XX40,5,FALSE),"")</f>
        <v/>
      </c>
      <c r="ZO79" s="321" t="str">
        <f t="shared" ref="ZO79" ca="1" si="19913">IF(ZE79&lt;&gt;"",VLOOKUP(ZE79,XR4:XZ40,9,FALSE),"")</f>
        <v/>
      </c>
      <c r="ZP79" s="321" t="str">
        <f t="shared" ca="1" si="19607"/>
        <v/>
      </c>
      <c r="ZQ79" s="321" t="str">
        <f t="shared" ref="ZQ79" ca="1" si="19914">IF(ZE79&lt;&gt;"",RANK(ZP79,ZP77:ZP80),"")</f>
        <v/>
      </c>
      <c r="ZR79" s="321" t="str">
        <f t="shared" ref="ZR79" ca="1" si="19915">IF(ZE79&lt;&gt;"",SUMPRODUCT((ZP77:ZP80=ZP79)*(ZK77:ZK80&gt;ZK79)),"")</f>
        <v/>
      </c>
      <c r="ZS79" s="321" t="str">
        <f t="shared" ref="ZS79" ca="1" si="19916">IF(ZE79&lt;&gt;"",SUMPRODUCT((ZP77:ZP80=ZP79)*(ZK77:ZK80=ZK79)*(ZI77:ZI80&gt;ZI79)),"")</f>
        <v/>
      </c>
      <c r="ZT79" s="321" t="str">
        <f t="shared" ref="ZT79" ca="1" si="19917">IF(ZE79&lt;&gt;"",SUMPRODUCT((ZP77:ZP80=ZP79)*(ZK77:ZK80=ZK79)*(ZI77:ZI80=ZI79)*(ZM77:ZM80&gt;ZM79)),"")</f>
        <v/>
      </c>
      <c r="ZU79" s="321" t="str">
        <f t="shared" ref="ZU79" ca="1" si="19918">IF(ZE79&lt;&gt;"",SUMPRODUCT((ZP77:ZP80=ZP79)*(ZK77:ZK80=ZK79)*(ZI77:ZI80=ZI79)*(ZM77:ZM80=ZM79)*(ZN77:ZN80&gt;ZN79)),"")</f>
        <v/>
      </c>
      <c r="ZV79" s="321" t="str">
        <f t="shared" ref="ZV79" ca="1" si="19919">IF(ZE79&lt;&gt;"",SUMPRODUCT((ZP77:ZP80=ZP79)*(ZK77:ZK80=ZK79)*(ZI77:ZI80=ZI79)*(ZM77:ZM80=ZM79)*(ZN77:ZN80=ZN79)*(ZO77:ZO80&gt;ZO79)),"")</f>
        <v/>
      </c>
      <c r="ZW79" s="321" t="str">
        <f t="shared" ref="ZW79:ZW80" ca="1" si="19920">IF(ZE79&lt;&gt;"",SUM(ZQ79:ZV79)+1,"")</f>
        <v/>
      </c>
      <c r="ACW79" s="321">
        <f ca="1">SUMPRODUCT((ACW37:ACW40=ACW39)*(ACV37:ACV40=ACV39)*(ACT37:ACT40&gt;ACT39))+1</f>
        <v>1</v>
      </c>
      <c r="ADH79" s="321" t="str">
        <f t="shared" ref="ADH79" ca="1" si="19921">IF(ADI39&lt;&gt;"",SUMPRODUCT((ADP37:ADP40=ADP39)*(ADO37:ADO40=ADO39)*(ADM37:ADM40=ADM39)*(ADN37:ADN40=ADN39)),"")</f>
        <v/>
      </c>
      <c r="ADI79" s="321" t="str">
        <f t="shared" ca="1" si="19373"/>
        <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t="str">
        <f t="shared" ca="1" si="19380"/>
        <v/>
      </c>
      <c r="ADQ79" s="321" t="str">
        <f t="shared" ref="ADQ79" ca="1" si="19927">IF(ADI79&lt;&gt;"",VLOOKUP(ADI79,ACP4:ACV40,7,FALSE),"")</f>
        <v/>
      </c>
      <c r="ADR79" s="321" t="str">
        <f t="shared" ref="ADR79" ca="1" si="19928">IF(ADI79&lt;&gt;"",VLOOKUP(ADI79,ACP4:ACV40,5,FALSE),"")</f>
        <v/>
      </c>
      <c r="ADS79" s="321" t="str">
        <f t="shared" ref="ADS79" ca="1" si="19929">IF(ADI79&lt;&gt;"",VLOOKUP(ADI79,ACP4:ACX40,9,FALSE),"")</f>
        <v/>
      </c>
      <c r="ADT79" s="321" t="str">
        <f t="shared" ca="1" si="19384"/>
        <v/>
      </c>
      <c r="ADU79" s="321" t="str">
        <f t="shared" ref="ADU79" ca="1" si="19930">IF(ADI79&lt;&gt;"",RANK(ADT79,ADT77:ADT80),"")</f>
        <v/>
      </c>
      <c r="ADV79" s="321" t="str">
        <f t="shared" ref="ADV79" ca="1" si="19931">IF(ADI79&lt;&gt;"",SUMPRODUCT((ADT77:ADT80=ADT79)*(ADO77:ADO80&gt;ADO79)),"")</f>
        <v/>
      </c>
      <c r="ADW79" s="321" t="str">
        <f t="shared" ref="ADW79" ca="1" si="19932">IF(ADI79&lt;&gt;"",SUMPRODUCT((ADT77:ADT80=ADT79)*(ADO77:ADO80=ADO79)*(ADM77:ADM80&gt;ADM79)),"")</f>
        <v/>
      </c>
      <c r="ADX79" s="321" t="str">
        <f t="shared" ref="ADX79" ca="1" si="19933">IF(ADI79&lt;&gt;"",SUMPRODUCT((ADT77:ADT80=ADT79)*(ADO77:ADO80=ADO79)*(ADM77:ADM80=ADM79)*(ADQ77:ADQ80&gt;ADQ79)),"")</f>
        <v/>
      </c>
      <c r="ADY79" s="321" t="str">
        <f t="shared" ref="ADY79" ca="1" si="19934">IF(ADI79&lt;&gt;"",SUMPRODUCT((ADT77:ADT80=ADT79)*(ADO77:ADO80=ADO79)*(ADM77:ADM80=ADM79)*(ADQ77:ADQ80=ADQ79)*(ADR77:ADR80&gt;ADR79)),"")</f>
        <v/>
      </c>
      <c r="ADZ79" s="321" t="str">
        <f t="shared" ref="ADZ79" ca="1" si="19935">IF(ADI79&lt;&gt;"",SUMPRODUCT((ADT77:ADT80=ADT79)*(ADO77:ADO80=ADO79)*(ADM77:ADM80=ADM79)*(ADQ77:ADQ80=ADQ79)*(ADR77:ADR80=ADR79)*(ADS77:ADS80&gt;ADS79)),"")</f>
        <v/>
      </c>
      <c r="AEA79" s="321" t="str">
        <f t="shared" ca="1" si="19391"/>
        <v/>
      </c>
      <c r="AEB79" s="321">
        <f t="shared" ref="AEB79" ca="1" si="19936">IF(AEC39&lt;&gt;"",SUMPRODUCT((AEJ37:AEJ40=AEJ39)*(AEI37:AEI40=AEI39)*(AEG37:AEG40=AEG39)*(AEH37:AEH40=AEH39)),"")</f>
        <v>2</v>
      </c>
      <c r="AEC79" s="321" t="str">
        <f t="shared" ca="1" si="19631"/>
        <v>Türkiye</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1</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1</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1</v>
      </c>
      <c r="AEI79" s="321">
        <f t="shared" ca="1" si="19637"/>
        <v>1000</v>
      </c>
      <c r="AEJ79" s="321">
        <f t="shared" ca="1" si="19638"/>
        <v>1</v>
      </c>
      <c r="AEK79" s="321">
        <f t="shared" ref="AEK79" ca="1" si="19942">IF(AEC79&lt;&gt;"",VLOOKUP(AEC79,ACP4:ACV40,7,FALSE),"")</f>
        <v>999</v>
      </c>
      <c r="AEL79" s="321">
        <f t="shared" ref="AEL79" ca="1" si="19943">IF(AEC79&lt;&gt;"",VLOOKUP(AEC79,ACP4:ACV40,5,FALSE),"")</f>
        <v>4</v>
      </c>
      <c r="AEM79" s="321">
        <f t="shared" ref="AEM79" ca="1" si="19944">IF(AEC79&lt;&gt;"",VLOOKUP(AEC79,ACP4:ACX40,9,FALSE),"")</f>
        <v>47</v>
      </c>
      <c r="AEN79" s="321">
        <f t="shared" ca="1" si="19642"/>
        <v>1</v>
      </c>
      <c r="AEO79" s="321">
        <f t="shared" ref="AEO79" ca="1" si="19945">IF(AEC79&lt;&gt;"",RANK(AEN79,AEN77:AEN80),"")</f>
        <v>1</v>
      </c>
      <c r="AEP79" s="321">
        <f t="shared" ref="AEP79" ca="1" si="19946">IF(AEC79&lt;&gt;"",SUMPRODUCT((AEN77:AEN80=AEN79)*(AEI77:AEI80&gt;AEI79)),"")</f>
        <v>0</v>
      </c>
      <c r="AEQ79" s="321">
        <f t="shared" ref="AEQ79" ca="1" si="19947">IF(AEC79&lt;&gt;"",SUMPRODUCT((AEN77:AEN80=AEN79)*(AEI77:AEI80=AEI79)*(AEG77:AEG80&gt;AEG79)),"")</f>
        <v>0</v>
      </c>
      <c r="AER79" s="321">
        <f t="shared" ref="AER79" ca="1" si="19948">IF(AEC79&lt;&gt;"",SUMPRODUCT((AEN77:AEN80=AEN79)*(AEI77:AEI80=AEI79)*(AEG77:AEG80=AEG79)*(AEK77:AEK80&gt;AEK79)),"")</f>
        <v>1</v>
      </c>
      <c r="AES79" s="321">
        <f t="shared" ref="AES79" ca="1" si="19949">IF(AEC79&lt;&gt;"",SUMPRODUCT((AEN77:AEN80=AEN79)*(AEI77:AEI80=AEI79)*(AEG77:AEG80=AEG79)*(AEK77:AEK80=AEK79)*(AEL77:AEL80&gt;AEL79)),"")</f>
        <v>0</v>
      </c>
      <c r="AET79" s="321">
        <f t="shared" ref="AET79" ca="1" si="19950">IF(AEC79&lt;&gt;"",SUMPRODUCT((AEN77:AEN80=AEN79)*(AEI77:AEI80=AEI79)*(AEG77:AEG80=AEG79)*(AEK77:AEK80=AEK79)*(AEL77:AEL80=AEL79)*(AEM77:AEM80&gt;AEM79)),"")</f>
        <v>0</v>
      </c>
      <c r="AEU79" s="321">
        <f t="shared" ref="AEU79:AEU80" ca="1" si="19951">IF(AEC79&lt;&gt;"",SUM(AEO79:AET79)+1,"")</f>
        <v>3</v>
      </c>
      <c r="AHU79" s="321">
        <f ca="1">SUMPRODUCT((AHU37:AHU40=AHU39)*(AHT37:AHT40=AHT39)*(AHR37:AHR40&gt;AHR39))+1</f>
        <v>1</v>
      </c>
      <c r="AIF79" s="321">
        <f t="shared" ref="AIF79" ca="1" si="19952">IF(AIG39&lt;&gt;"",SUMPRODUCT((AIN37:AIN40=AIN39)*(AIM37:AIM40=AIM39)*(AIK37:AIK40=AIK39)*(AIL37:AIL40=AIL39)),"")</f>
        <v>4</v>
      </c>
      <c r="AIG79" s="321" t="str">
        <f t="shared" ca="1" si="19393"/>
        <v>Türkiye</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f t="shared" ca="1" si="19400"/>
        <v>0</v>
      </c>
      <c r="AIO79" s="321">
        <f t="shared" ref="AIO79" ca="1" si="19958">IF(AIG79&lt;&gt;"",VLOOKUP(AIG79,AHN4:AHT40,7,FALSE),"")</f>
        <v>1000</v>
      </c>
      <c r="AIP79" s="321">
        <f t="shared" ref="AIP79" ca="1" si="19959">IF(AIG79&lt;&gt;"",VLOOKUP(AIG79,AHN4:AHT40,5,FALSE),"")</f>
        <v>0</v>
      </c>
      <c r="AIQ79" s="321">
        <f t="shared" ref="AIQ79" ca="1" si="19960">IF(AIG79&lt;&gt;"",VLOOKUP(AIG79,AHN4:AHV40,9,FALSE),"")</f>
        <v>47</v>
      </c>
      <c r="AIR79" s="321">
        <f t="shared" ca="1" si="19404"/>
        <v>0</v>
      </c>
      <c r="AIS79" s="321">
        <f t="shared" ref="AIS79" ca="1" si="19961">IF(AIG79&lt;&gt;"",RANK(AIR79,AIR77:AIR80),"")</f>
        <v>1</v>
      </c>
      <c r="AIT79" s="321">
        <f t="shared" ref="AIT79" ca="1" si="19962">IF(AIG79&lt;&gt;"",SUMPRODUCT((AIR77:AIR80=AIR79)*(AIM77:AIM80&gt;AIM79)),"")</f>
        <v>0</v>
      </c>
      <c r="AIU79" s="321">
        <f t="shared" ref="AIU79" ca="1" si="19963">IF(AIG79&lt;&gt;"",SUMPRODUCT((AIR77:AIR80=AIR79)*(AIM77:AIM80=AIM79)*(AIK77:AIK80&gt;AIK79)),"")</f>
        <v>0</v>
      </c>
      <c r="AIV79" s="321">
        <f t="shared" ref="AIV79" ca="1" si="19964">IF(AIG79&lt;&gt;"",SUMPRODUCT((AIR77:AIR80=AIR79)*(AIM77:AIM80=AIM79)*(AIK77:AIK80=AIK79)*(AIO77:AIO80&gt;AIO79)),"")</f>
        <v>0</v>
      </c>
      <c r="AIW79" s="321">
        <f t="shared" ref="AIW79" ca="1" si="19965">IF(AIG79&lt;&gt;"",SUMPRODUCT((AIR77:AIR80=AIR79)*(AIM77:AIM80=AIM79)*(AIK77:AIK80=AIK79)*(AIO77:AIO80=AIO79)*(AIP77:AIP80&gt;AIP79)),"")</f>
        <v>0</v>
      </c>
      <c r="AIX79" s="321">
        <f t="shared" ref="AIX79" ca="1" si="19966">IF(AIG79&lt;&gt;"",SUMPRODUCT((AIR77:AIR80=AIR79)*(AIM77:AIM80=AIM79)*(AIK77:AIK80=AIK79)*(AIO77:AIO80=AIO79)*(AIP77:AIP80=AIP79)*(AIQ77:AIQ80&gt;AIQ79)),"")</f>
        <v>1</v>
      </c>
      <c r="AIY79" s="321">
        <f t="shared" ca="1" si="19411"/>
        <v>2</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f t="shared" ref="AND79" ca="1" si="19983">IF(ANE39&lt;&gt;"",SUMPRODUCT((ANL37:ANL40=ANL39)*(ANK37:ANK40=ANK39)*(ANI37:ANI40=ANI39)*(ANJ37:ANJ40=ANJ39)),"")</f>
        <v>4</v>
      </c>
      <c r="ANE79" s="321" t="str">
        <f t="shared" ca="1" si="19413"/>
        <v>Türkiye</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f t="shared" ca="1" si="19420"/>
        <v>0</v>
      </c>
      <c r="ANM79" s="321">
        <f t="shared" ref="ANM79" ca="1" si="19989">IF(ANE79&lt;&gt;"",VLOOKUP(ANE79,AML4:AMR40,7,FALSE),"")</f>
        <v>1000</v>
      </c>
      <c r="ANN79" s="321">
        <f t="shared" ref="ANN79" ca="1" si="19990">IF(ANE79&lt;&gt;"",VLOOKUP(ANE79,AML4:AMR40,5,FALSE),"")</f>
        <v>0</v>
      </c>
      <c r="ANO79" s="321">
        <f t="shared" ref="ANO79" ca="1" si="19991">IF(ANE79&lt;&gt;"",VLOOKUP(ANE79,AML4:AMT40,9,FALSE),"")</f>
        <v>47</v>
      </c>
      <c r="ANP79" s="321">
        <f t="shared" ca="1" si="19424"/>
        <v>0</v>
      </c>
      <c r="ANQ79" s="321">
        <f t="shared" ref="ANQ79" ca="1" si="19992">IF(ANE79&lt;&gt;"",RANK(ANP79,ANP77:ANP80),"")</f>
        <v>1</v>
      </c>
      <c r="ANR79" s="321">
        <f t="shared" ref="ANR79" ca="1" si="19993">IF(ANE79&lt;&gt;"",SUMPRODUCT((ANP77:ANP80=ANP79)*(ANK77:ANK80&gt;ANK79)),"")</f>
        <v>0</v>
      </c>
      <c r="ANS79" s="321">
        <f t="shared" ref="ANS79" ca="1" si="19994">IF(ANE79&lt;&gt;"",SUMPRODUCT((ANP77:ANP80=ANP79)*(ANK77:ANK80=ANK79)*(ANI77:ANI80&gt;ANI79)),"")</f>
        <v>0</v>
      </c>
      <c r="ANT79" s="321">
        <f t="shared" ref="ANT79" ca="1" si="19995">IF(ANE79&lt;&gt;"",SUMPRODUCT((ANP77:ANP80=ANP79)*(ANK77:ANK80=ANK79)*(ANI77:ANI80=ANI79)*(ANM77:ANM80&gt;ANM79)),"")</f>
        <v>0</v>
      </c>
      <c r="ANU79" s="321">
        <f t="shared" ref="ANU79" ca="1" si="19996">IF(ANE79&lt;&gt;"",SUMPRODUCT((ANP77:ANP80=ANP79)*(ANK77:ANK80=ANK79)*(ANI77:ANI80=ANI79)*(ANM77:ANM80=ANM79)*(ANN77:ANN80&gt;ANN79)),"")</f>
        <v>0</v>
      </c>
      <c r="ANV79" s="321">
        <f t="shared" ref="ANV79" ca="1" si="19997">IF(ANE79&lt;&gt;"",SUMPRODUCT((ANP77:ANP80=ANP79)*(ANK77:ANK80=ANK79)*(ANI77:ANI80=ANI79)*(ANM77:ANM80=ANM79)*(ANN77:ANN80=ANN79)*(ANO77:ANO80&gt;ANO79)),"")</f>
        <v>1</v>
      </c>
      <c r="ANW79" s="321">
        <f t="shared" ca="1" si="19431"/>
        <v>2</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f t="shared" ref="ASB79" ca="1" si="20014">IF(ASC39&lt;&gt;"",SUMPRODUCT((ASJ37:ASJ40=ASJ39)*(ASI37:ASI40=ASI39)*(ASG37:ASG40=ASG39)*(ASH37:ASH40=ASH39)),"")</f>
        <v>4</v>
      </c>
      <c r="ASC79" s="321" t="str">
        <f t="shared" ca="1" si="19433"/>
        <v>Türkiye</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f t="shared" ca="1" si="19440"/>
        <v>0</v>
      </c>
      <c r="ASK79" s="321">
        <f t="shared" ref="ASK79" ca="1" si="20020">IF(ASC79&lt;&gt;"",VLOOKUP(ASC79,ARJ4:ARP40,7,FALSE),"")</f>
        <v>1000</v>
      </c>
      <c r="ASL79" s="321">
        <f t="shared" ref="ASL79" ca="1" si="20021">IF(ASC79&lt;&gt;"",VLOOKUP(ASC79,ARJ4:ARP40,5,FALSE),"")</f>
        <v>0</v>
      </c>
      <c r="ASM79" s="321">
        <f t="shared" ref="ASM79" ca="1" si="20022">IF(ASC79&lt;&gt;"",VLOOKUP(ASC79,ARJ4:ARR40,9,FALSE),"")</f>
        <v>47</v>
      </c>
      <c r="ASN79" s="321">
        <f t="shared" ca="1" si="19444"/>
        <v>0</v>
      </c>
      <c r="ASO79" s="321">
        <f t="shared" ref="ASO79" ca="1" si="20023">IF(ASC79&lt;&gt;"",RANK(ASN79,ASN77:ASN80),"")</f>
        <v>1</v>
      </c>
      <c r="ASP79" s="321">
        <f t="shared" ref="ASP79" ca="1" si="20024">IF(ASC79&lt;&gt;"",SUMPRODUCT((ASN77:ASN80=ASN79)*(ASI77:ASI80&gt;ASI79)),"")</f>
        <v>0</v>
      </c>
      <c r="ASQ79" s="321">
        <f t="shared" ref="ASQ79" ca="1" si="20025">IF(ASC79&lt;&gt;"",SUMPRODUCT((ASN77:ASN80=ASN79)*(ASI77:ASI80=ASI79)*(ASG77:ASG80&gt;ASG79)),"")</f>
        <v>0</v>
      </c>
      <c r="ASR79" s="321">
        <f t="shared" ref="ASR79" ca="1" si="20026">IF(ASC79&lt;&gt;"",SUMPRODUCT((ASN77:ASN80=ASN79)*(ASI77:ASI80=ASI79)*(ASG77:ASG80=ASG79)*(ASK77:ASK80&gt;ASK79)),"")</f>
        <v>0</v>
      </c>
      <c r="ASS79" s="321">
        <f t="shared" ref="ASS79" ca="1" si="20027">IF(ASC79&lt;&gt;"",SUMPRODUCT((ASN77:ASN80=ASN79)*(ASI77:ASI80=ASI79)*(ASG77:ASG80=ASG79)*(ASK77:ASK80=ASK79)*(ASL77:ASL80&gt;ASL79)),"")</f>
        <v>0</v>
      </c>
      <c r="AST79" s="321">
        <f t="shared" ref="AST79" ca="1" si="20028">IF(ASC79&lt;&gt;"",SUMPRODUCT((ASN77:ASN80=ASN79)*(ASI77:ASI80=ASI79)*(ASG77:ASG80=ASG79)*(ASK77:ASK80=ASK79)*(ASL77:ASL80=ASL79)*(ASM77:ASM80&gt;ASM79)),"")</f>
        <v>1</v>
      </c>
      <c r="ASU79" s="321">
        <f t="shared" ca="1" si="19451"/>
        <v>2</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f t="shared" ref="AWZ79" ca="1" si="20045">IF(AXA39&lt;&gt;"",SUMPRODUCT((AXH37:AXH40=AXH39)*(AXG37:AXG40=AXG39)*(AXE37:AXE40=AXE39)*(AXF37:AXF40=AXF39)),"")</f>
        <v>4</v>
      </c>
      <c r="AXA79" s="321" t="str">
        <f t="shared" ca="1" si="19453"/>
        <v>Türkiye</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f t="shared" ca="1" si="19460"/>
        <v>0</v>
      </c>
      <c r="AXI79" s="321">
        <f t="shared" ref="AXI79" ca="1" si="20051">IF(AXA79&lt;&gt;"",VLOOKUP(AXA79,AWH4:AWN40,7,FALSE),"")</f>
        <v>1000</v>
      </c>
      <c r="AXJ79" s="321">
        <f t="shared" ref="AXJ79" ca="1" si="20052">IF(AXA79&lt;&gt;"",VLOOKUP(AXA79,AWH4:AWN40,5,FALSE),"")</f>
        <v>0</v>
      </c>
      <c r="AXK79" s="321">
        <f t="shared" ref="AXK79" ca="1" si="20053">IF(AXA79&lt;&gt;"",VLOOKUP(AXA79,AWH4:AWP40,9,FALSE),"")</f>
        <v>47</v>
      </c>
      <c r="AXL79" s="321">
        <f t="shared" ca="1" si="19464"/>
        <v>0</v>
      </c>
      <c r="AXM79" s="321">
        <f t="shared" ref="AXM79" ca="1" si="20054">IF(AXA79&lt;&gt;"",RANK(AXL79,AXL77:AXL80),"")</f>
        <v>1</v>
      </c>
      <c r="AXN79" s="321">
        <f t="shared" ref="AXN79" ca="1" si="20055">IF(AXA79&lt;&gt;"",SUMPRODUCT((AXL77:AXL80=AXL79)*(AXG77:AXG80&gt;AXG79)),"")</f>
        <v>0</v>
      </c>
      <c r="AXO79" s="321">
        <f t="shared" ref="AXO79" ca="1" si="20056">IF(AXA79&lt;&gt;"",SUMPRODUCT((AXL77:AXL80=AXL79)*(AXG77:AXG80=AXG79)*(AXE77:AXE80&gt;AXE79)),"")</f>
        <v>0</v>
      </c>
      <c r="AXP79" s="321">
        <f t="shared" ref="AXP79" ca="1" si="20057">IF(AXA79&lt;&gt;"",SUMPRODUCT((AXL77:AXL80=AXL79)*(AXG77:AXG80=AXG79)*(AXE77:AXE80=AXE79)*(AXI77:AXI80&gt;AXI79)),"")</f>
        <v>0</v>
      </c>
      <c r="AXQ79" s="321">
        <f t="shared" ref="AXQ79" ca="1" si="20058">IF(AXA79&lt;&gt;"",SUMPRODUCT((AXL77:AXL80=AXL79)*(AXG77:AXG80=AXG79)*(AXE77:AXE80=AXE79)*(AXI77:AXI80=AXI79)*(AXJ77:AXJ80&gt;AXJ79)),"")</f>
        <v>0</v>
      </c>
      <c r="AXR79" s="321">
        <f t="shared" ref="AXR79" ca="1" si="20059">IF(AXA79&lt;&gt;"",SUMPRODUCT((AXL77:AXL80=AXL79)*(AXG77:AXG80=AXG79)*(AXE77:AXE80=AXE79)*(AXI77:AXI80=AXI79)*(AXJ77:AXJ80=AXJ79)*(AXK77:AXK80&gt;AXK79)),"")</f>
        <v>1</v>
      </c>
      <c r="AXS79" s="321">
        <f t="shared" ca="1" si="19471"/>
        <v>2</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2">
      <c r="I80" s="321">
        <f>SUMPRODUCT((I37:I40=I40)*(H37:H40=H40)*(F37:F40&gt;F40))+1</f>
        <v>1</v>
      </c>
      <c r="T80" s="321" t="str">
        <f>IF(U40&lt;&gt;"",SUMPRODUCT((AB37:AB40=AB40)*(AA37:AA40=AA40)*(Y37:Y40=Y40)*(Z37:Z40=Z40)),"")</f>
        <v/>
      </c>
      <c r="U80" s="321" t="str">
        <f t="shared" si="19492"/>
        <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t="str">
        <f t="shared" si="19493"/>
        <v/>
      </c>
      <c r="AC80" s="321" t="str">
        <f>IF(U80&lt;&gt;"",VLOOKUP(U80,B4:H40,7,FALSE),"")</f>
        <v/>
      </c>
      <c r="AD80" s="321" t="str">
        <f>IF(U80&lt;&gt;"",VLOOKUP(U80,B4:H40,5,FALSE),"")</f>
        <v/>
      </c>
      <c r="AE80" s="321" t="str">
        <f>IF(U80&lt;&gt;"",VLOOKUP(U80,B4:J40,9,FALSE),"")</f>
        <v/>
      </c>
      <c r="AF80" s="321" t="str">
        <f t="shared" si="19494"/>
        <v/>
      </c>
      <c r="AG80" s="321" t="str">
        <f>IF(U80&lt;&gt;"",RANK(AF80,AF77:AF80),"")</f>
        <v/>
      </c>
      <c r="AH80" s="321" t="str">
        <f>IF(U80&lt;&gt;"",SUMPRODUCT((AF77:AF80=AF80)*(AA77:AA80&gt;AA80)),"")</f>
        <v/>
      </c>
      <c r="AI80" s="321" t="str">
        <f>IF(U80&lt;&gt;"",SUMPRODUCT((AF77:AF80=AF80)*(AA77:AA80=AA80)*(Y77:Y80&gt;Y80)),"")</f>
        <v/>
      </c>
      <c r="AJ80" s="321" t="str">
        <f>IF(U80&lt;&gt;"",SUMPRODUCT((AF77:AF80=AF80)*(AA77:AA80=AA80)*(Y77:Y80=Y80)*(AC77:AC80&gt;AC80)),"")</f>
        <v/>
      </c>
      <c r="AK80" s="321" t="str">
        <f>IF(U80&lt;&gt;"",SUMPRODUCT((AF77:AF80=AF80)*(AA77:AA80=AA80)*(Y77:Y80=Y80)*(AC77:AC80=AC80)*(AD77:AD80&gt;AD80)),"")</f>
        <v/>
      </c>
      <c r="AL80" s="321" t="str">
        <f>IF(U80&lt;&gt;"",SUMPRODUCT((AF77:AF80=AF80)*(AA77:AA80=AA80)*(Y77:Y80=Y80)*(AC77:AC80=AC80)*(AD77:AD80=AD80)*(AE77:AE80&gt;AE80)),"")</f>
        <v/>
      </c>
      <c r="AM80" s="321" t="str">
        <f>IF(U80&lt;&gt;"",SUM(AG80:AL80),"")</f>
        <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t="str">
        <f t="shared" ref="ON80" ca="1" si="20107">IF(OO40&lt;&gt;"",SUMPRODUCT((OV37:OV40=OV40)*(OU37:OU40=OU40)*(OS37:OS40=OS40)*(OT37:OT40=OT40)),"")</f>
        <v/>
      </c>
      <c r="OO80" s="321" t="str">
        <f t="shared" ca="1" si="19313"/>
        <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t="str">
        <f t="shared" ca="1" si="19320"/>
        <v/>
      </c>
      <c r="OW80" s="321" t="str">
        <f t="shared" ref="OW80" ca="1" si="20113">IF(OO80&lt;&gt;"",VLOOKUP(OO80,NV4:OB40,7,FALSE),"")</f>
        <v/>
      </c>
      <c r="OX80" s="321" t="str">
        <f t="shared" ref="OX80" ca="1" si="20114">IF(OO80&lt;&gt;"",VLOOKUP(OO80,NV4:OB40,5,FALSE),"")</f>
        <v/>
      </c>
      <c r="OY80" s="321" t="str">
        <f t="shared" ref="OY80" ca="1" si="20115">IF(OO80&lt;&gt;"",VLOOKUP(OO80,NV4:OD40,9,FALSE),"")</f>
        <v/>
      </c>
      <c r="OZ80" s="321" t="str">
        <f t="shared" ca="1" si="19324"/>
        <v/>
      </c>
      <c r="PA80" s="321" t="str">
        <f t="shared" ref="PA80" ca="1" si="20116">IF(OO80&lt;&gt;"",RANK(OZ80,OZ77:OZ80),"")</f>
        <v/>
      </c>
      <c r="PB80" s="321" t="str">
        <f t="shared" ref="PB80" ca="1" si="20117">IF(OO80&lt;&gt;"",SUMPRODUCT((OZ77:OZ80=OZ80)*(OU77:OU80&gt;OU80)),"")</f>
        <v/>
      </c>
      <c r="PC80" s="321" t="str">
        <f t="shared" ref="PC80" ca="1" si="20118">IF(OO80&lt;&gt;"",SUMPRODUCT((OZ77:OZ80=OZ80)*(OU77:OU80=OU80)*(OS77:OS80&gt;OS80)),"")</f>
        <v/>
      </c>
      <c r="PD80" s="321" t="str">
        <f t="shared" ref="PD80" ca="1" si="20119">IF(OO80&lt;&gt;"",SUMPRODUCT((OZ77:OZ80=OZ80)*(OU77:OU80=OU80)*(OS77:OS80=OS80)*(OW77:OW80&gt;OW80)),"")</f>
        <v/>
      </c>
      <c r="PE80" s="321" t="str">
        <f t="shared" ref="PE80" ca="1" si="20120">IF(OO80&lt;&gt;"",SUMPRODUCT((OZ77:OZ80=OZ80)*(OU77:OU80=OU80)*(OS77:OS80=OS80)*(OW77:OW80=OW80)*(OX77:OX80&gt;OX80)),"")</f>
        <v/>
      </c>
      <c r="PF80" s="321" t="str">
        <f t="shared" ref="PF80" ca="1" si="20121">IF(OO80&lt;&gt;"",SUMPRODUCT((OZ77:OZ80=OZ80)*(OU77:OU80=OU80)*(OS77:OS80=OS80)*(OW77:OW80=OW80)*(OX77:OX80=OX80)*(OY77:OY80&gt;OY80)),"")</f>
        <v/>
      </c>
      <c r="PG80" s="321" t="str">
        <f t="shared" ca="1" si="19331"/>
        <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t="str">
        <f t="shared" ref="TL80" ca="1" si="20137">IF(TM40&lt;&gt;"",SUMPRODUCT((TT37:TT40=TT40)*(TS37:TS40=TS40)*(TQ37:TQ40=TQ40)*(TR37:TR40=TR40)),"")</f>
        <v/>
      </c>
      <c r="TM80" s="321" t="str">
        <f t="shared" ca="1" si="19333"/>
        <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t="str">
        <f t="shared" ca="1" si="19340"/>
        <v/>
      </c>
      <c r="TU80" s="321" t="str">
        <f t="shared" ref="TU80" ca="1" si="20143">IF(TM80&lt;&gt;"",VLOOKUP(TM80,ST4:SZ40,7,FALSE),"")</f>
        <v/>
      </c>
      <c r="TV80" s="321" t="str">
        <f t="shared" ref="TV80" ca="1" si="20144">IF(TM80&lt;&gt;"",VLOOKUP(TM80,ST4:SZ40,5,FALSE),"")</f>
        <v/>
      </c>
      <c r="TW80" s="321" t="str">
        <f t="shared" ref="TW80" ca="1" si="20145">IF(TM80&lt;&gt;"",VLOOKUP(TM80,ST4:TB40,9,FALSE),"")</f>
        <v/>
      </c>
      <c r="TX80" s="321" t="str">
        <f t="shared" ca="1" si="19344"/>
        <v/>
      </c>
      <c r="TY80" s="321" t="str">
        <f t="shared" ref="TY80" ca="1" si="20146">IF(TM80&lt;&gt;"",RANK(TX80,TX77:TX80),"")</f>
        <v/>
      </c>
      <c r="TZ80" s="321" t="str">
        <f t="shared" ref="TZ80" ca="1" si="20147">IF(TM80&lt;&gt;"",SUMPRODUCT((TX77:TX80=TX80)*(TS77:TS80&gt;TS80)),"")</f>
        <v/>
      </c>
      <c r="UA80" s="321" t="str">
        <f t="shared" ref="UA80" ca="1" si="20148">IF(TM80&lt;&gt;"",SUMPRODUCT((TX77:TX80=TX80)*(TS77:TS80=TS80)*(TQ77:TQ80&gt;TQ80)),"")</f>
        <v/>
      </c>
      <c r="UB80" s="321" t="str">
        <f t="shared" ref="UB80" ca="1" si="20149">IF(TM80&lt;&gt;"",SUMPRODUCT((TX77:TX80=TX80)*(TS77:TS80=TS80)*(TQ77:TQ80=TQ80)*(TU77:TU80&gt;TU80)),"")</f>
        <v/>
      </c>
      <c r="UC80" s="321" t="str">
        <f t="shared" ref="UC80" ca="1" si="20150">IF(TM80&lt;&gt;"",SUMPRODUCT((TX77:TX80=TX80)*(TS77:TS80=TS80)*(TQ77:TQ80=TQ80)*(TU77:TU80=TU80)*(TV77:TV80&gt;TV80)),"")</f>
        <v/>
      </c>
      <c r="UD80" s="321" t="str">
        <f t="shared" ref="UD80" ca="1" si="20151">IF(TM80&lt;&gt;"",SUMPRODUCT((TX77:TX80=TX80)*(TS77:TS80=TS80)*(TQ77:TQ80=TQ80)*(TU77:TU80=TU80)*(TV77:TV80=TV80)*(TW77:TW80&gt;TW80)),"")</f>
        <v/>
      </c>
      <c r="UE80" s="321" t="str">
        <f t="shared" ca="1" si="19351"/>
        <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t="str">
        <f t="shared" ref="ADH80" ca="1" si="20197">IF(ADI40&lt;&gt;"",SUMPRODUCT((ADP37:ADP40=ADP40)*(ADO37:ADO40=ADO40)*(ADM37:ADM40=ADM40)*(ADN37:ADN40=ADN40)),"")</f>
        <v/>
      </c>
      <c r="ADI80" s="321" t="str">
        <f t="shared" ca="1" si="19373"/>
        <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t="str">
        <f t="shared" ca="1" si="19380"/>
        <v/>
      </c>
      <c r="ADQ80" s="321" t="str">
        <f t="shared" ref="ADQ80" ca="1" si="20203">IF(ADI80&lt;&gt;"",VLOOKUP(ADI80,ACP4:ACV40,7,FALSE),"")</f>
        <v/>
      </c>
      <c r="ADR80" s="321" t="str">
        <f t="shared" ref="ADR80" ca="1" si="20204">IF(ADI80&lt;&gt;"",VLOOKUP(ADI80,ACP4:ACV40,5,FALSE),"")</f>
        <v/>
      </c>
      <c r="ADS80" s="321" t="str">
        <f t="shared" ref="ADS80" ca="1" si="20205">IF(ADI80&lt;&gt;"",VLOOKUP(ADI80,ACP4:ACX40,9,FALSE),"")</f>
        <v/>
      </c>
      <c r="ADT80" s="321" t="str">
        <f t="shared" ca="1" si="19384"/>
        <v/>
      </c>
      <c r="ADU80" s="321" t="str">
        <f t="shared" ref="ADU80" ca="1" si="20206">IF(ADI80&lt;&gt;"",RANK(ADT80,ADT77:ADT80),"")</f>
        <v/>
      </c>
      <c r="ADV80" s="321" t="str">
        <f t="shared" ref="ADV80" ca="1" si="20207">IF(ADI80&lt;&gt;"",SUMPRODUCT((ADT77:ADT80=ADT80)*(ADO77:ADO80&gt;ADO80)),"")</f>
        <v/>
      </c>
      <c r="ADW80" s="321" t="str">
        <f t="shared" ref="ADW80" ca="1" si="20208">IF(ADI80&lt;&gt;"",SUMPRODUCT((ADT77:ADT80=ADT80)*(ADO77:ADO80=ADO80)*(ADM77:ADM80&gt;ADM80)),"")</f>
        <v/>
      </c>
      <c r="ADX80" s="321" t="str">
        <f t="shared" ref="ADX80" ca="1" si="20209">IF(ADI80&lt;&gt;"",SUMPRODUCT((ADT77:ADT80=ADT80)*(ADO77:ADO80=ADO80)*(ADM77:ADM80=ADM80)*(ADQ77:ADQ80&gt;ADQ80)),"")</f>
        <v/>
      </c>
      <c r="ADY80" s="321" t="str">
        <f t="shared" ref="ADY80" ca="1" si="20210">IF(ADI80&lt;&gt;"",SUMPRODUCT((ADT77:ADT80=ADT80)*(ADO77:ADO80=ADO80)*(ADM77:ADM80=ADM80)*(ADQ77:ADQ80=ADQ80)*(ADR77:ADR80&gt;ADR80)),"")</f>
        <v/>
      </c>
      <c r="ADZ80" s="321" t="str">
        <f t="shared" ref="ADZ80" ca="1" si="20211">IF(ADI80&lt;&gt;"",SUMPRODUCT((ADT77:ADT80=ADT80)*(ADO77:ADO80=ADO80)*(ADM77:ADM80=ADM80)*(ADQ77:ADQ80=ADQ80)*(ADR77:ADR80=ADR80)*(ADS77:ADS80&gt;ADS80)),"")</f>
        <v/>
      </c>
      <c r="AEA80" s="321" t="str">
        <f t="shared" ca="1" si="19391"/>
        <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f t="shared" ref="AIF80" ca="1" si="20227">IF(AIG40&lt;&gt;"",SUMPRODUCT((AIN37:AIN40=AIN40)*(AIM37:AIM40=AIM40)*(AIK37:AIK40=AIK40)*(AIL37:AIL40=AIL40)),"")</f>
        <v>4</v>
      </c>
      <c r="AIG80" s="321" t="str">
        <f t="shared" ca="1" si="19393"/>
        <v>Portugal</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f t="shared" ca="1" si="19400"/>
        <v>0</v>
      </c>
      <c r="AIO80" s="321">
        <f t="shared" ref="AIO80" ca="1" si="20233">IF(AIG80&lt;&gt;"",VLOOKUP(AIG80,AHN4:AHT40,7,FALSE),"")</f>
        <v>1000</v>
      </c>
      <c r="AIP80" s="321">
        <f t="shared" ref="AIP80" ca="1" si="20234">IF(AIG80&lt;&gt;"",VLOOKUP(AIG80,AHN4:AHT40,5,FALSE),"")</f>
        <v>0</v>
      </c>
      <c r="AIQ80" s="321">
        <f t="shared" ref="AIQ80" ca="1" si="20235">IF(AIG80&lt;&gt;"",VLOOKUP(AIG80,AHN4:AHV40,9,FALSE),"")</f>
        <v>53</v>
      </c>
      <c r="AIR80" s="321">
        <f t="shared" ca="1" si="19404"/>
        <v>0</v>
      </c>
      <c r="AIS80" s="321">
        <f t="shared" ref="AIS80" ca="1" si="20236">IF(AIG80&lt;&gt;"",RANK(AIR80,AIR77:AIR80),"")</f>
        <v>1</v>
      </c>
      <c r="AIT80" s="321">
        <f t="shared" ref="AIT80" ca="1" si="20237">IF(AIG80&lt;&gt;"",SUMPRODUCT((AIR77:AIR80=AIR80)*(AIM77:AIM80&gt;AIM80)),"")</f>
        <v>0</v>
      </c>
      <c r="AIU80" s="321">
        <f t="shared" ref="AIU80" ca="1" si="20238">IF(AIG80&lt;&gt;"",SUMPRODUCT((AIR77:AIR80=AIR80)*(AIM77:AIM80=AIM80)*(AIK77:AIK80&gt;AIK80)),"")</f>
        <v>0</v>
      </c>
      <c r="AIV80" s="321">
        <f t="shared" ref="AIV80" ca="1" si="20239">IF(AIG80&lt;&gt;"",SUMPRODUCT((AIR77:AIR80=AIR80)*(AIM77:AIM80=AIM80)*(AIK77:AIK80=AIK80)*(AIO77:AIO80&gt;AIO80)),"")</f>
        <v>0</v>
      </c>
      <c r="AIW80" s="321">
        <f t="shared" ref="AIW80" ca="1" si="20240">IF(AIG80&lt;&gt;"",SUMPRODUCT((AIR77:AIR80=AIR80)*(AIM77:AIM80=AIM80)*(AIK77:AIK80=AIK80)*(AIO77:AIO80=AIO80)*(AIP77:AIP80&gt;AIP80)),"")</f>
        <v>0</v>
      </c>
      <c r="AIX80" s="321">
        <f t="shared" ref="AIX80" ca="1" si="20241">IF(AIG80&lt;&gt;"",SUMPRODUCT((AIR77:AIR80=AIR80)*(AIM77:AIM80=AIM80)*(AIK77:AIK80=AIK80)*(AIO77:AIO80=AIO80)*(AIP77:AIP80=AIP80)*(AIQ77:AIQ80&gt;AIQ80)),"")</f>
        <v>0</v>
      </c>
      <c r="AIY80" s="321">
        <f t="shared" ca="1" si="19411"/>
        <v>1</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f t="shared" ref="AND80" ca="1" si="20257">IF(ANE40&lt;&gt;"",SUMPRODUCT((ANL37:ANL40=ANL40)*(ANK37:ANK40=ANK40)*(ANI37:ANI40=ANI40)*(ANJ37:ANJ40=ANJ40)),"")</f>
        <v>4</v>
      </c>
      <c r="ANE80" s="321" t="str">
        <f t="shared" ca="1" si="19413"/>
        <v>Portugal</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f t="shared" ca="1" si="19420"/>
        <v>0</v>
      </c>
      <c r="ANM80" s="321">
        <f t="shared" ref="ANM80" ca="1" si="20263">IF(ANE80&lt;&gt;"",VLOOKUP(ANE80,AML4:AMR40,7,FALSE),"")</f>
        <v>1000</v>
      </c>
      <c r="ANN80" s="321">
        <f t="shared" ref="ANN80" ca="1" si="20264">IF(ANE80&lt;&gt;"",VLOOKUP(ANE80,AML4:AMR40,5,FALSE),"")</f>
        <v>0</v>
      </c>
      <c r="ANO80" s="321">
        <f t="shared" ref="ANO80" ca="1" si="20265">IF(ANE80&lt;&gt;"",VLOOKUP(ANE80,AML4:AMT40,9,FALSE),"")</f>
        <v>53</v>
      </c>
      <c r="ANP80" s="321">
        <f t="shared" ca="1" si="19424"/>
        <v>0</v>
      </c>
      <c r="ANQ80" s="321">
        <f t="shared" ref="ANQ80" ca="1" si="20266">IF(ANE80&lt;&gt;"",RANK(ANP80,ANP77:ANP80),"")</f>
        <v>1</v>
      </c>
      <c r="ANR80" s="321">
        <f t="shared" ref="ANR80" ca="1" si="20267">IF(ANE80&lt;&gt;"",SUMPRODUCT((ANP77:ANP80=ANP80)*(ANK77:ANK80&gt;ANK80)),"")</f>
        <v>0</v>
      </c>
      <c r="ANS80" s="321">
        <f t="shared" ref="ANS80" ca="1" si="20268">IF(ANE80&lt;&gt;"",SUMPRODUCT((ANP77:ANP80=ANP80)*(ANK77:ANK80=ANK80)*(ANI77:ANI80&gt;ANI80)),"")</f>
        <v>0</v>
      </c>
      <c r="ANT80" s="321">
        <f t="shared" ref="ANT80" ca="1" si="20269">IF(ANE80&lt;&gt;"",SUMPRODUCT((ANP77:ANP80=ANP80)*(ANK77:ANK80=ANK80)*(ANI77:ANI80=ANI80)*(ANM77:ANM80&gt;ANM80)),"")</f>
        <v>0</v>
      </c>
      <c r="ANU80" s="321">
        <f t="shared" ref="ANU80" ca="1" si="20270">IF(ANE80&lt;&gt;"",SUMPRODUCT((ANP77:ANP80=ANP80)*(ANK77:ANK80=ANK80)*(ANI77:ANI80=ANI80)*(ANM77:ANM80=ANM80)*(ANN77:ANN80&gt;ANN80)),"")</f>
        <v>0</v>
      </c>
      <c r="ANV80" s="321">
        <f t="shared" ref="ANV80" ca="1" si="20271">IF(ANE80&lt;&gt;"",SUMPRODUCT((ANP77:ANP80=ANP80)*(ANK77:ANK80=ANK80)*(ANI77:ANI80=ANI80)*(ANM77:ANM80=ANM80)*(ANN77:ANN80=ANN80)*(ANO77:ANO80&gt;ANO80)),"")</f>
        <v>0</v>
      </c>
      <c r="ANW80" s="321">
        <f t="shared" ca="1" si="19431"/>
        <v>1</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f t="shared" ref="ASB80" ca="1" si="20287">IF(ASC40&lt;&gt;"",SUMPRODUCT((ASJ37:ASJ40=ASJ40)*(ASI37:ASI40=ASI40)*(ASG37:ASG40=ASG40)*(ASH37:ASH40=ASH40)),"")</f>
        <v>4</v>
      </c>
      <c r="ASC80" s="321" t="str">
        <f t="shared" ca="1" si="19433"/>
        <v>Portugal</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f t="shared" ca="1" si="19440"/>
        <v>0</v>
      </c>
      <c r="ASK80" s="321">
        <f t="shared" ref="ASK80" ca="1" si="20293">IF(ASC80&lt;&gt;"",VLOOKUP(ASC80,ARJ4:ARP40,7,FALSE),"")</f>
        <v>1000</v>
      </c>
      <c r="ASL80" s="321">
        <f t="shared" ref="ASL80" ca="1" si="20294">IF(ASC80&lt;&gt;"",VLOOKUP(ASC80,ARJ4:ARP40,5,FALSE),"")</f>
        <v>0</v>
      </c>
      <c r="ASM80" s="321">
        <f t="shared" ref="ASM80" ca="1" si="20295">IF(ASC80&lt;&gt;"",VLOOKUP(ASC80,ARJ4:ARR40,9,FALSE),"")</f>
        <v>53</v>
      </c>
      <c r="ASN80" s="321">
        <f t="shared" ca="1" si="19444"/>
        <v>0</v>
      </c>
      <c r="ASO80" s="321">
        <f t="shared" ref="ASO80" ca="1" si="20296">IF(ASC80&lt;&gt;"",RANK(ASN80,ASN77:ASN80),"")</f>
        <v>1</v>
      </c>
      <c r="ASP80" s="321">
        <f t="shared" ref="ASP80" ca="1" si="20297">IF(ASC80&lt;&gt;"",SUMPRODUCT((ASN77:ASN80=ASN80)*(ASI77:ASI80&gt;ASI80)),"")</f>
        <v>0</v>
      </c>
      <c r="ASQ80" s="321">
        <f t="shared" ref="ASQ80" ca="1" si="20298">IF(ASC80&lt;&gt;"",SUMPRODUCT((ASN77:ASN80=ASN80)*(ASI77:ASI80=ASI80)*(ASG77:ASG80&gt;ASG80)),"")</f>
        <v>0</v>
      </c>
      <c r="ASR80" s="321">
        <f t="shared" ref="ASR80" ca="1" si="20299">IF(ASC80&lt;&gt;"",SUMPRODUCT((ASN77:ASN80=ASN80)*(ASI77:ASI80=ASI80)*(ASG77:ASG80=ASG80)*(ASK77:ASK80&gt;ASK80)),"")</f>
        <v>0</v>
      </c>
      <c r="ASS80" s="321">
        <f t="shared" ref="ASS80" ca="1" si="20300">IF(ASC80&lt;&gt;"",SUMPRODUCT((ASN77:ASN80=ASN80)*(ASI77:ASI80=ASI80)*(ASG77:ASG80=ASG80)*(ASK77:ASK80=ASK80)*(ASL77:ASL80&gt;ASL80)),"")</f>
        <v>0</v>
      </c>
      <c r="AST80" s="321">
        <f t="shared" ref="AST80" ca="1" si="20301">IF(ASC80&lt;&gt;"",SUMPRODUCT((ASN77:ASN80=ASN80)*(ASI77:ASI80=ASI80)*(ASG77:ASG80=ASG80)*(ASK77:ASK80=ASK80)*(ASL77:ASL80=ASL80)*(ASM77:ASM80&gt;ASM80)),"")</f>
        <v>0</v>
      </c>
      <c r="ASU80" s="321">
        <f t="shared" ca="1" si="19451"/>
        <v>1</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f t="shared" ref="AWZ80" ca="1" si="20317">IF(AXA40&lt;&gt;"",SUMPRODUCT((AXH37:AXH40=AXH40)*(AXG37:AXG40=AXG40)*(AXE37:AXE40=AXE40)*(AXF37:AXF40=AXF40)),"")</f>
        <v>4</v>
      </c>
      <c r="AXA80" s="321" t="str">
        <f t="shared" ca="1" si="19453"/>
        <v>Portugal</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f t="shared" ca="1" si="19460"/>
        <v>0</v>
      </c>
      <c r="AXI80" s="321">
        <f t="shared" ref="AXI80" ca="1" si="20323">IF(AXA80&lt;&gt;"",VLOOKUP(AXA80,AWH4:AWN40,7,FALSE),"")</f>
        <v>1000</v>
      </c>
      <c r="AXJ80" s="321">
        <f t="shared" ref="AXJ80" ca="1" si="20324">IF(AXA80&lt;&gt;"",VLOOKUP(AXA80,AWH4:AWN40,5,FALSE),"")</f>
        <v>0</v>
      </c>
      <c r="AXK80" s="321">
        <f t="shared" ref="AXK80" ca="1" si="20325">IF(AXA80&lt;&gt;"",VLOOKUP(AXA80,AWH4:AWP40,9,FALSE),"")</f>
        <v>53</v>
      </c>
      <c r="AXL80" s="321">
        <f t="shared" ca="1" si="19464"/>
        <v>0</v>
      </c>
      <c r="AXM80" s="321">
        <f t="shared" ref="AXM80" ca="1" si="20326">IF(AXA80&lt;&gt;"",RANK(AXL80,AXL77:AXL80),"")</f>
        <v>1</v>
      </c>
      <c r="AXN80" s="321">
        <f t="shared" ref="AXN80" ca="1" si="20327">IF(AXA80&lt;&gt;"",SUMPRODUCT((AXL77:AXL80=AXL80)*(AXG77:AXG80&gt;AXG80)),"")</f>
        <v>0</v>
      </c>
      <c r="AXO80" s="321">
        <f t="shared" ref="AXO80" ca="1" si="20328">IF(AXA80&lt;&gt;"",SUMPRODUCT((AXL77:AXL80=AXL80)*(AXG77:AXG80=AXG80)*(AXE77:AXE80&gt;AXE80)),"")</f>
        <v>0</v>
      </c>
      <c r="AXP80" s="321">
        <f t="shared" ref="AXP80" ca="1" si="20329">IF(AXA80&lt;&gt;"",SUMPRODUCT((AXL77:AXL80=AXL80)*(AXG77:AXG80=AXG80)*(AXE77:AXE80=AXE80)*(AXI77:AXI80&gt;AXI80)),"")</f>
        <v>0</v>
      </c>
      <c r="AXQ80" s="321">
        <f t="shared" ref="AXQ80" ca="1" si="20330">IF(AXA80&lt;&gt;"",SUMPRODUCT((AXL77:AXL80=AXL80)*(AXG77:AXG80=AXG80)*(AXE77:AXE80=AXE80)*(AXI77:AXI80=AXI80)*(AXJ77:AXJ80&gt;AXJ80)),"")</f>
        <v>0</v>
      </c>
      <c r="AXR80" s="321">
        <f t="shared" ref="AXR80" ca="1" si="20331">IF(AXA80&lt;&gt;"",SUMPRODUCT((AXL77:AXL80=AXL80)*(AXG77:AXG80=AXG80)*(AXE77:AXE80=AXE80)*(AXI77:AXI80=AXI80)*(AXJ77:AXJ80=AXJ80)*(AXK77:AXK80&gt;AXK80)),"")</f>
        <v>0</v>
      </c>
      <c r="AXS80" s="321">
        <f t="shared" ca="1" si="19471"/>
        <v>1</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5"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8671875" defaultRowHeight="14.4" x14ac:dyDescent="0.3"/>
  <cols>
    <col min="1" max="1" width="4.88671875" style="140" customWidth="1"/>
    <col min="2" max="5" width="10.88671875" style="140" customWidth="1"/>
    <col min="6" max="6" width="19.44140625" style="140" bestFit="1" customWidth="1"/>
    <col min="7" max="7" width="10.88671875" style="140" customWidth="1"/>
    <col min="8" max="8" width="8.88671875" style="139" customWidth="1"/>
    <col min="9" max="16384" width="8.88671875" style="139"/>
  </cols>
  <sheetData>
    <row r="1" spans="1:7" ht="6.6" customHeight="1" x14ac:dyDescent="0.3"/>
    <row r="2" spans="1:7" x14ac:dyDescent="0.3">
      <c r="A2" s="147" t="s">
        <v>372</v>
      </c>
    </row>
    <row r="3" spans="1:7" ht="4.6500000000000004" customHeight="1" x14ac:dyDescent="0.3"/>
    <row r="4" spans="1:7" ht="3" customHeight="1" x14ac:dyDescent="0.3"/>
    <row r="5" spans="1:7" ht="6.6" customHeight="1" x14ac:dyDescent="0.3">
      <c r="B5" s="141"/>
      <c r="C5" s="141"/>
      <c r="D5" s="141"/>
      <c r="E5" s="141"/>
    </row>
    <row r="6" spans="1:7" ht="43.2" x14ac:dyDescent="0.25">
      <c r="A6" s="142" t="s">
        <v>67</v>
      </c>
      <c r="B6" s="143" t="s">
        <v>373</v>
      </c>
      <c r="C6" s="143" t="s">
        <v>374</v>
      </c>
      <c r="D6" s="143" t="s">
        <v>375</v>
      </c>
      <c r="E6" s="143" t="s">
        <v>376</v>
      </c>
      <c r="F6" s="142" t="s">
        <v>270</v>
      </c>
      <c r="G6" s="142" t="s">
        <v>376</v>
      </c>
    </row>
    <row r="7" spans="1:7" x14ac:dyDescent="0.3">
      <c r="A7" s="144">
        <f>IF('Player Scoreboard'!C10&lt;&gt;"",'Player Scoreboard'!B10,"")</f>
        <v>1</v>
      </c>
      <c r="B7" s="144">
        <f ca="1">IF('Player Scoreboard'!C10&lt;&gt;"",RANK('Player Scoreboard'!D10,'Player Scoreboard'!D10:D19),"")</f>
        <v>1</v>
      </c>
      <c r="C7" s="144">
        <f ca="1">SUMPRODUCT((B7:B16=B7)*('Player Scoreboard'!H10:H19&gt;'Player Scoreboard'!H10))</f>
        <v>0</v>
      </c>
      <c r="D7" s="144">
        <f ca="1">SUMPRODUCT((B7:B16=B7)*(C7:C16=C7)*(A7:A16&lt;A7))</f>
        <v>0</v>
      </c>
      <c r="E7" s="144">
        <f ca="1">B7+C7+D7</f>
        <v>1</v>
      </c>
      <c r="F7" s="145" t="str">
        <f>'Player Scoreboard'!C10</f>
        <v>Magnus (TRAC)</v>
      </c>
      <c r="G7" s="146">
        <f ca="1">E7</f>
        <v>1</v>
      </c>
    </row>
    <row r="8" spans="1:7" x14ac:dyDescent="0.3">
      <c r="A8" s="144">
        <f>IF('Player Scoreboard'!C11&lt;&gt;"",'Player Scoreboard'!B11,"")</f>
        <v>2</v>
      </c>
      <c r="B8" s="144">
        <f ca="1">IF('Player Scoreboard'!C11&lt;&gt;"",RANK('Player Scoreboard'!D11,'Player Scoreboard'!D10:D19),"")</f>
        <v>4</v>
      </c>
      <c r="C8" s="144">
        <f ca="1">SUMPRODUCT((B7:B16=B8)*('Player Scoreboard'!H10:H19&gt;'Player Scoreboard'!H11))</f>
        <v>0</v>
      </c>
      <c r="D8" s="144">
        <f ca="1">SUMPRODUCT((B7:B16=B8)*(C7:C16=C8)*(A7:A16&lt;A8))</f>
        <v>0</v>
      </c>
      <c r="E8" s="144">
        <f t="shared" ref="E8:E16" ca="1" si="0">B8+C8+D8</f>
        <v>4</v>
      </c>
      <c r="F8" s="145" t="str">
        <f>'Player Scoreboard'!C11</f>
        <v>Steve (TRAC)</v>
      </c>
      <c r="G8" s="146">
        <f t="shared" ref="G8:G16" ca="1" si="1">E8</f>
        <v>4</v>
      </c>
    </row>
    <row r="9" spans="1:7" x14ac:dyDescent="0.3">
      <c r="A9" s="144">
        <f>IF('Player Scoreboard'!C12&lt;&gt;"",'Player Scoreboard'!B12,"")</f>
        <v>3</v>
      </c>
      <c r="B9" s="144">
        <f ca="1">IF('Player Scoreboard'!C12&lt;&gt;"",RANK('Player Scoreboard'!D12,'Player Scoreboard'!D10:D19),"")</f>
        <v>2</v>
      </c>
      <c r="C9" s="144">
        <f ca="1">SUMPRODUCT((B7:B16=B9)*('Player Scoreboard'!H10:H19&gt;'Player Scoreboard'!H12))</f>
        <v>0</v>
      </c>
      <c r="D9" s="144">
        <f ca="1">SUMPRODUCT((B7:B16=B9)*(C7:C16=C9)*(A7:A16&lt;A9))</f>
        <v>0</v>
      </c>
      <c r="E9" s="144">
        <f t="shared" ca="1" si="0"/>
        <v>2</v>
      </c>
      <c r="F9" s="145" t="str">
        <f>'Player Scoreboard'!C12</f>
        <v>Mateo (Virksomhet)</v>
      </c>
      <c r="G9" s="146">
        <f t="shared" ca="1" si="1"/>
        <v>2</v>
      </c>
    </row>
    <row r="10" spans="1:7" x14ac:dyDescent="0.3">
      <c r="A10" s="144">
        <f>IF('Player Scoreboard'!C13&lt;&gt;"",'Player Scoreboard'!B13,"")</f>
        <v>4</v>
      </c>
      <c r="B10" s="144">
        <f ca="1">IF('Player Scoreboard'!C13&lt;&gt;"",RANK('Player Scoreboard'!D13,'Player Scoreboard'!D10:D19),"")</f>
        <v>5</v>
      </c>
      <c r="C10" s="144">
        <f ca="1">SUMPRODUCT((B7:B16=B10)*('Player Scoreboard'!H10:H19&gt;'Player Scoreboard'!H13))</f>
        <v>0</v>
      </c>
      <c r="D10" s="144">
        <f ca="1">SUMPRODUCT((B7:B16=B10)*(C7:C16=C10)*(A7:A16&lt;A10))</f>
        <v>0</v>
      </c>
      <c r="E10" s="144">
        <f t="shared" ca="1" si="0"/>
        <v>5</v>
      </c>
      <c r="F10" s="145" t="str">
        <f>'Player Scoreboard'!C13</f>
        <v>Flemming (IFA)</v>
      </c>
      <c r="G10" s="146">
        <f t="shared" ca="1" si="1"/>
        <v>5</v>
      </c>
    </row>
    <row r="11" spans="1:7" x14ac:dyDescent="0.3">
      <c r="A11" s="144">
        <f>IF('Player Scoreboard'!C14&lt;&gt;"",'Player Scoreboard'!B14,"")</f>
        <v>5</v>
      </c>
      <c r="B11" s="144">
        <f ca="1">IF('Player Scoreboard'!C14&lt;&gt;"",RANK('Player Scoreboard'!D14,'Player Scoreboard'!D10:D19),"")</f>
        <v>6</v>
      </c>
      <c r="C11" s="144">
        <f ca="1">SUMPRODUCT((B7:B16=B11)*('Player Scoreboard'!H10:H19&gt;'Player Scoreboard'!H14))</f>
        <v>0</v>
      </c>
      <c r="D11" s="144">
        <f ca="1">SUMPRODUCT((B7:B16=B11)*(C7:C16=C11)*(A7:A16&lt;A11))</f>
        <v>0</v>
      </c>
      <c r="E11" s="144">
        <f t="shared" ca="1" si="0"/>
        <v>6</v>
      </c>
      <c r="F11" s="145" t="str">
        <f>'Player Scoreboard'!C14</f>
        <v>Stian (Virksomhet)</v>
      </c>
      <c r="G11" s="146">
        <f t="shared" ca="1" si="1"/>
        <v>6</v>
      </c>
    </row>
    <row r="12" spans="1:7" x14ac:dyDescent="0.3">
      <c r="A12" s="144">
        <f>IF('Player Scoreboard'!C15&lt;&gt;"",'Player Scoreboard'!B15,"")</f>
        <v>6</v>
      </c>
      <c r="B12" s="144">
        <f ca="1">IF('Player Scoreboard'!C15&lt;&gt;"",RANK('Player Scoreboard'!D15,'Player Scoreboard'!D10:D19),"")</f>
        <v>2</v>
      </c>
      <c r="C12" s="144">
        <f ca="1">SUMPRODUCT((B7:B16=B12)*('Player Scoreboard'!H10:H19&gt;'Player Scoreboard'!H15))</f>
        <v>0</v>
      </c>
      <c r="D12" s="144">
        <f ca="1">SUMPRODUCT((B7:B16=B12)*(C7:C16=C12)*(A7:A16&lt;A12))</f>
        <v>1</v>
      </c>
      <c r="E12" s="144">
        <f t="shared" ca="1" si="0"/>
        <v>3</v>
      </c>
      <c r="F12" s="145" t="str">
        <f>'Player Scoreboard'!C15</f>
        <v>Hanne Maren (TRAC)</v>
      </c>
      <c r="G12" s="146">
        <f t="shared" ca="1" si="1"/>
        <v>3</v>
      </c>
    </row>
    <row r="13" spans="1:7" x14ac:dyDescent="0.3">
      <c r="A13" s="144" t="str">
        <f>IF('Player Scoreboard'!C16&lt;&gt;"",'Player Scoreboard'!B16,"")</f>
        <v/>
      </c>
      <c r="B13" s="144" t="str">
        <f>IF('Player Scoreboard'!C16&lt;&gt;"",RANK('Player Scoreboard'!D16,'Player Scoreboard'!D10:D19),"")</f>
        <v/>
      </c>
      <c r="C13" s="144">
        <f ca="1">SUMPRODUCT((B7:B16=B13)*('Player Scoreboard'!H10:H19&gt;'Player Scoreboard'!H16))</f>
        <v>0</v>
      </c>
      <c r="D13" s="144">
        <f ca="1">SUMPRODUCT((B7:B16=B13)*(C7:C16=C13)*(A7:A16&lt;A13))</f>
        <v>0</v>
      </c>
      <c r="E13" s="144" t="e">
        <f t="shared" ca="1" si="0"/>
        <v>#VALUE!</v>
      </c>
      <c r="F13" s="145" t="str">
        <f>'Player Scoreboard'!C16</f>
        <v/>
      </c>
      <c r="G13" s="146" t="e">
        <f t="shared" ca="1" si="1"/>
        <v>#VALUE!</v>
      </c>
    </row>
    <row r="14" spans="1:7" x14ac:dyDescent="0.3">
      <c r="A14" s="144" t="str">
        <f>IF('Player Scoreboard'!C17&lt;&gt;"",'Player Scoreboard'!B17,"")</f>
        <v/>
      </c>
      <c r="B14" s="144" t="str">
        <f>IF('Player Scoreboard'!C17&lt;&gt;"",RANK('Player Scoreboard'!D17,'Player Scoreboard'!D10:D19),"")</f>
        <v/>
      </c>
      <c r="C14" s="144">
        <f ca="1">SUMPRODUCT((B7:B16=B14)*('Player Scoreboard'!H10:H19&gt;'Player Scoreboard'!H17))</f>
        <v>0</v>
      </c>
      <c r="D14" s="144">
        <f ca="1">SUMPRODUCT((B7:B16=B14)*(C7:C16=C14)*(A7:A16&lt;A14))</f>
        <v>0</v>
      </c>
      <c r="E14" s="144" t="e">
        <f t="shared" ca="1" si="0"/>
        <v>#VALUE!</v>
      </c>
      <c r="F14" s="145" t="str">
        <f>'Player Scoreboard'!C17</f>
        <v/>
      </c>
      <c r="G14" s="146" t="e">
        <f t="shared" ca="1" si="1"/>
        <v>#VALUE!</v>
      </c>
    </row>
    <row r="15" spans="1:7" x14ac:dyDescent="0.3">
      <c r="A15" s="144" t="str">
        <f>IF('Player Scoreboard'!C18&lt;&gt;"",'Player Scoreboard'!B18,"")</f>
        <v/>
      </c>
      <c r="B15" s="144" t="str">
        <f>IF('Player Scoreboard'!C18&lt;&gt;"",RANK('Player Scoreboard'!D18,'Player Scoreboard'!D10:D19),"")</f>
        <v/>
      </c>
      <c r="C15" s="144">
        <f ca="1">SUMPRODUCT((B7:B16=B15)*('Player Scoreboard'!H10:H19&gt;'Player Scoreboard'!H18))</f>
        <v>0</v>
      </c>
      <c r="D15" s="144">
        <f ca="1">SUMPRODUCT((B7:B16=B15)*(C7:C16=C15)*(A7:A16&lt;A15))</f>
        <v>0</v>
      </c>
      <c r="E15" s="144" t="e">
        <f t="shared" ca="1" si="0"/>
        <v>#VALUE!</v>
      </c>
      <c r="F15" s="145" t="str">
        <f>'Player Scoreboard'!C18</f>
        <v/>
      </c>
      <c r="G15" s="146" t="e">
        <f t="shared" ca="1" si="1"/>
        <v>#VALUE!</v>
      </c>
    </row>
    <row r="16" spans="1:7" x14ac:dyDescent="0.3">
      <c r="A16" s="144" t="str">
        <f>IF('Player Scoreboard'!C19&lt;&gt;"",'Player Scoreboard'!B19,"")</f>
        <v/>
      </c>
      <c r="B16" s="144" t="str">
        <f>IF('Player Scoreboard'!C19&lt;&gt;"",RANK('Player Scoreboard'!D19,'Player Scoreboard'!D10:D19),"")</f>
        <v/>
      </c>
      <c r="C16" s="144">
        <f ca="1">SUMPRODUCT((B7:B16=B16)*('Player Scoreboard'!H10:H19&gt;'Player Scoreboard'!H19))</f>
        <v>0</v>
      </c>
      <c r="D16" s="144">
        <f ca="1">SUMPRODUCT((B7:B16=B16)*(C7:C16=C16)*(A7:A16&lt;A16))</f>
        <v>0</v>
      </c>
      <c r="E16" s="144" t="e">
        <f t="shared" ca="1" si="0"/>
        <v>#VALUE!</v>
      </c>
      <c r="F16" s="145" t="str">
        <f>'Player Scoreboard'!C19</f>
        <v/>
      </c>
      <c r="G16" s="146" t="e">
        <f t="shared" ca="1" si="1"/>
        <v>#VALUE!</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C11" sqref="C11"/>
    </sheetView>
  </sheetViews>
  <sheetFormatPr defaultColWidth="9.109375" defaultRowHeight="14.4" x14ac:dyDescent="0.3"/>
  <cols>
    <col min="1" max="1" width="1.44140625" style="255" customWidth="1"/>
    <col min="2" max="2" width="4.44140625" style="255" customWidth="1"/>
    <col min="3" max="3" width="28.88671875" style="255" customWidth="1"/>
    <col min="4" max="4" width="12.44140625" style="255" customWidth="1"/>
    <col min="5" max="5" width="12.44140625" style="265" customWidth="1"/>
    <col min="6" max="7" width="20.44140625" style="256" customWidth="1"/>
    <col min="8" max="8" width="1.44140625" style="255" customWidth="1"/>
    <col min="9" max="9" width="0.88671875" style="264" customWidth="1"/>
    <col min="10" max="10" width="1.44140625" style="2" customWidth="1"/>
    <col min="11" max="12" width="2.44140625" style="2" customWidth="1"/>
    <col min="13" max="13" width="82.33203125" style="2" customWidth="1"/>
    <col min="14" max="16384" width="9.109375" style="255"/>
  </cols>
  <sheetData>
    <row r="1" spans="2:14" s="253" customFormat="1" ht="5.0999999999999996" customHeight="1" x14ac:dyDescent="0.25">
      <c r="E1" s="260"/>
      <c r="F1" s="261"/>
      <c r="G1" s="261"/>
      <c r="J1" s="36"/>
      <c r="K1" s="36"/>
      <c r="L1" s="36"/>
      <c r="M1" s="36"/>
    </row>
    <row r="2" spans="2:14" s="254" customFormat="1" ht="5.0999999999999996" customHeight="1" x14ac:dyDescent="0.3">
      <c r="E2" s="262"/>
      <c r="F2" s="263"/>
      <c r="G2" s="263"/>
      <c r="I2" s="253"/>
      <c r="J2" s="1"/>
      <c r="K2" s="1"/>
      <c r="L2" s="1"/>
      <c r="M2" s="1"/>
      <c r="N2" s="255"/>
    </row>
    <row r="3" spans="2:14" s="1" customFormat="1" ht="30" customHeight="1" x14ac:dyDescent="0.3">
      <c r="B3" s="240" t="s">
        <v>66</v>
      </c>
      <c r="C3" s="241"/>
      <c r="D3" s="241"/>
      <c r="E3" s="242"/>
      <c r="F3" s="243"/>
      <c r="G3" s="243"/>
      <c r="I3" s="36"/>
      <c r="N3" s="255"/>
    </row>
    <row r="4" spans="2:14" s="1" customFormat="1" ht="5.0999999999999996" customHeight="1" x14ac:dyDescent="0.3">
      <c r="E4" s="244"/>
      <c r="F4" s="245"/>
      <c r="G4" s="245"/>
      <c r="I4" s="36"/>
      <c r="N4" s="255"/>
    </row>
    <row r="5" spans="2:14" ht="15" customHeight="1" x14ac:dyDescent="0.3">
      <c r="B5" s="246" t="s">
        <v>67</v>
      </c>
      <c r="C5" s="247" t="s">
        <v>68</v>
      </c>
      <c r="D5" s="252" t="s">
        <v>69</v>
      </c>
      <c r="E5" s="248" t="s">
        <v>70</v>
      </c>
      <c r="F5" s="247" t="s">
        <v>71</v>
      </c>
      <c r="G5" s="247" t="s">
        <v>72</v>
      </c>
    </row>
    <row r="6" spans="2:14" ht="15" customHeight="1" x14ac:dyDescent="0.3">
      <c r="B6" s="270">
        <v>1</v>
      </c>
      <c r="C6" s="330" t="s">
        <v>73</v>
      </c>
      <c r="D6" s="266">
        <v>0</v>
      </c>
      <c r="E6" s="267">
        <v>0</v>
      </c>
      <c r="F6" s="268"/>
      <c r="G6" s="268"/>
      <c r="K6" s="257" t="s">
        <v>74</v>
      </c>
      <c r="L6" s="1" t="s">
        <v>75</v>
      </c>
    </row>
    <row r="7" spans="2:14" ht="15" customHeight="1" x14ac:dyDescent="0.3">
      <c r="B7" s="271">
        <v>2</v>
      </c>
      <c r="C7" s="329" t="s">
        <v>76</v>
      </c>
      <c r="D7" s="266">
        <v>0</v>
      </c>
      <c r="E7" s="267">
        <v>0</v>
      </c>
      <c r="F7" s="269"/>
      <c r="G7" s="269"/>
      <c r="L7" s="2" t="s">
        <v>77</v>
      </c>
    </row>
    <row r="8" spans="2:14" ht="15" customHeight="1" x14ac:dyDescent="0.3">
      <c r="B8" s="271">
        <v>3</v>
      </c>
      <c r="C8" s="329" t="s">
        <v>78</v>
      </c>
      <c r="D8" s="266">
        <v>0</v>
      </c>
      <c r="E8" s="267">
        <v>0</v>
      </c>
      <c r="F8" s="269"/>
      <c r="G8" s="269"/>
      <c r="K8" s="257" t="s">
        <v>74</v>
      </c>
      <c r="L8" s="2" t="s">
        <v>79</v>
      </c>
    </row>
    <row r="9" spans="2:14" ht="15" customHeight="1" x14ac:dyDescent="0.3">
      <c r="B9" s="271">
        <v>4</v>
      </c>
      <c r="C9" s="329" t="s">
        <v>80</v>
      </c>
      <c r="D9" s="266">
        <v>0</v>
      </c>
      <c r="E9" s="267">
        <v>0</v>
      </c>
      <c r="F9" s="269"/>
      <c r="G9" s="269"/>
      <c r="K9" s="257" t="s">
        <v>74</v>
      </c>
      <c r="L9" s="2" t="s">
        <v>81</v>
      </c>
    </row>
    <row r="10" spans="2:14" ht="15" customHeight="1" x14ac:dyDescent="0.3">
      <c r="B10" s="271">
        <v>5</v>
      </c>
      <c r="C10" s="329" t="s">
        <v>82</v>
      </c>
      <c r="D10" s="266">
        <v>0</v>
      </c>
      <c r="E10" s="267">
        <v>0</v>
      </c>
      <c r="F10" s="269"/>
      <c r="G10" s="269"/>
      <c r="L10" s="2" t="s">
        <v>83</v>
      </c>
    </row>
    <row r="11" spans="2:14" ht="15" customHeight="1" x14ac:dyDescent="0.3">
      <c r="B11" s="271">
        <v>6</v>
      </c>
      <c r="C11" s="329" t="s">
        <v>84</v>
      </c>
      <c r="D11" s="266">
        <v>0</v>
      </c>
      <c r="E11" s="267">
        <v>0</v>
      </c>
      <c r="F11" s="269"/>
      <c r="G11" s="269"/>
      <c r="K11" s="257"/>
      <c r="L11" s="2" t="s">
        <v>85</v>
      </c>
    </row>
    <row r="12" spans="2:14" ht="15" customHeight="1" x14ac:dyDescent="0.3">
      <c r="B12" s="271">
        <v>7</v>
      </c>
      <c r="C12" s="329"/>
      <c r="D12" s="266">
        <v>0</v>
      </c>
      <c r="E12" s="267">
        <v>0</v>
      </c>
      <c r="F12" s="269"/>
      <c r="G12" s="269"/>
      <c r="L12" s="2" t="s">
        <v>86</v>
      </c>
    </row>
    <row r="13" spans="2:14" ht="15" customHeight="1" x14ac:dyDescent="0.3">
      <c r="B13" s="271">
        <v>8</v>
      </c>
      <c r="C13" s="329"/>
      <c r="D13" s="266">
        <v>0</v>
      </c>
      <c r="E13" s="267">
        <v>0</v>
      </c>
      <c r="F13" s="269"/>
      <c r="G13" s="269"/>
      <c r="L13" s="258" t="s">
        <v>87</v>
      </c>
      <c r="M13" s="2" t="s">
        <v>88</v>
      </c>
    </row>
    <row r="14" spans="2:14" ht="15" customHeight="1" x14ac:dyDescent="0.3">
      <c r="B14" s="271">
        <v>9</v>
      </c>
      <c r="C14" s="329"/>
      <c r="D14" s="266">
        <v>0</v>
      </c>
      <c r="E14" s="267">
        <v>0</v>
      </c>
      <c r="F14" s="269"/>
      <c r="G14" s="269"/>
      <c r="L14" s="258" t="s">
        <v>87</v>
      </c>
      <c r="M14" s="2" t="s">
        <v>89</v>
      </c>
    </row>
    <row r="15" spans="2:14" ht="15" customHeight="1" x14ac:dyDescent="0.3">
      <c r="B15" s="271">
        <v>10</v>
      </c>
      <c r="C15" s="329"/>
      <c r="D15" s="266">
        <v>0</v>
      </c>
      <c r="E15" s="267">
        <v>0</v>
      </c>
      <c r="F15" s="269"/>
      <c r="G15" s="269"/>
      <c r="L15" s="258" t="s">
        <v>87</v>
      </c>
      <c r="M15" s="2" t="s">
        <v>90</v>
      </c>
    </row>
    <row r="16" spans="2:14" ht="15" customHeight="1" x14ac:dyDescent="0.3">
      <c r="E16" s="255"/>
      <c r="F16" s="255"/>
      <c r="G16" s="255"/>
      <c r="K16" s="257" t="s">
        <v>74</v>
      </c>
      <c r="L16" s="259" t="s">
        <v>91</v>
      </c>
    </row>
    <row r="17" spans="5:13" ht="15" customHeight="1" x14ac:dyDescent="0.3">
      <c r="E17" s="255"/>
      <c r="F17" s="255"/>
      <c r="G17" s="255"/>
    </row>
    <row r="18" spans="5:13" ht="15" customHeight="1" x14ac:dyDescent="0.3">
      <c r="E18" s="255"/>
      <c r="F18" s="255"/>
      <c r="G18" s="255"/>
      <c r="K18" s="249" t="s">
        <v>74</v>
      </c>
      <c r="L18" s="250" t="s">
        <v>92</v>
      </c>
      <c r="M18" s="251"/>
    </row>
    <row r="19" spans="5:13" ht="15" customHeight="1" x14ac:dyDescent="0.3">
      <c r="E19" s="255"/>
      <c r="F19" s="255"/>
      <c r="G19" s="255"/>
    </row>
    <row r="20" spans="5:13" ht="15" customHeight="1" x14ac:dyDescent="0.3">
      <c r="E20" s="255"/>
      <c r="F20" s="255"/>
      <c r="G20" s="255"/>
    </row>
    <row r="21" spans="5:13" ht="15" customHeight="1" x14ac:dyDescent="0.3">
      <c r="E21" s="255"/>
      <c r="F21" s="255"/>
      <c r="G21" s="255"/>
    </row>
    <row r="22" spans="5:13" ht="15" customHeight="1" x14ac:dyDescent="0.3">
      <c r="E22" s="255"/>
      <c r="F22" s="255"/>
      <c r="G22" s="255"/>
    </row>
    <row r="23" spans="5:13" ht="15" customHeight="1" x14ac:dyDescent="0.3">
      <c r="E23" s="255"/>
      <c r="F23" s="255"/>
      <c r="G23" s="255"/>
    </row>
    <row r="24" spans="5:13" ht="15" customHeight="1" x14ac:dyDescent="0.3">
      <c r="E24" s="255"/>
      <c r="F24" s="255"/>
      <c r="G24" s="255"/>
    </row>
    <row r="25" spans="5:13" ht="15" customHeight="1" x14ac:dyDescent="0.3">
      <c r="E25" s="255"/>
      <c r="F25" s="255"/>
      <c r="G25" s="255"/>
    </row>
    <row r="26" spans="5:13" ht="15" customHeight="1" x14ac:dyDescent="0.3">
      <c r="E26" s="255"/>
      <c r="F26" s="255"/>
      <c r="G26" s="255"/>
    </row>
    <row r="27" spans="5:13" ht="15" customHeight="1" x14ac:dyDescent="0.3">
      <c r="E27" s="255"/>
      <c r="F27" s="255"/>
      <c r="G27" s="255"/>
    </row>
    <row r="28" spans="5:13" ht="15" customHeight="1" x14ac:dyDescent="0.3">
      <c r="E28" s="255"/>
      <c r="F28" s="255"/>
      <c r="G28" s="255"/>
    </row>
    <row r="29" spans="5:13" ht="15" customHeight="1" x14ac:dyDescent="0.3">
      <c r="E29" s="255"/>
      <c r="F29" s="255"/>
      <c r="G29" s="255"/>
    </row>
    <row r="30" spans="5:13" ht="15" customHeight="1" x14ac:dyDescent="0.3">
      <c r="E30" s="255"/>
      <c r="F30" s="255"/>
      <c r="G30" s="255"/>
    </row>
    <row r="31" spans="5:13" x14ac:dyDescent="0.3">
      <c r="E31" s="255"/>
      <c r="F31" s="255"/>
      <c r="G31" s="255"/>
    </row>
    <row r="32" spans="5:13" x14ac:dyDescent="0.3">
      <c r="E32" s="255"/>
      <c r="F32" s="255"/>
      <c r="G32" s="255"/>
    </row>
    <row r="33" spans="5:7" x14ac:dyDescent="0.3">
      <c r="E33" s="255"/>
      <c r="F33" s="255"/>
      <c r="G33" s="255"/>
    </row>
    <row r="34" spans="5:7" x14ac:dyDescent="0.3">
      <c r="E34" s="255"/>
      <c r="F34" s="255"/>
      <c r="G34" s="255"/>
    </row>
    <row r="35" spans="5:7" x14ac:dyDescent="0.3">
      <c r="E35" s="255"/>
      <c r="F35" s="255"/>
      <c r="G35" s="255"/>
    </row>
    <row r="36" spans="5:7" x14ac:dyDescent="0.3">
      <c r="E36" s="255"/>
      <c r="F36" s="255"/>
      <c r="G36" s="255"/>
    </row>
    <row r="37" spans="5:7" x14ac:dyDescent="0.3">
      <c r="E37" s="255"/>
      <c r="F37" s="255"/>
      <c r="G37" s="255"/>
    </row>
    <row r="38" spans="5:7" x14ac:dyDescent="0.3">
      <c r="E38" s="255"/>
      <c r="F38" s="255"/>
      <c r="G38" s="255"/>
    </row>
    <row r="39" spans="5:7" x14ac:dyDescent="0.3">
      <c r="E39" s="255"/>
      <c r="F39" s="255"/>
      <c r="G39" s="255"/>
    </row>
    <row r="40" spans="5:7" x14ac:dyDescent="0.3">
      <c r="E40" s="255"/>
      <c r="F40" s="255"/>
      <c r="G40" s="255"/>
    </row>
    <row r="41" spans="5:7" x14ac:dyDescent="0.3">
      <c r="E41" s="255"/>
      <c r="F41" s="255"/>
      <c r="G41" s="255"/>
    </row>
    <row r="42" spans="5:7" x14ac:dyDescent="0.3">
      <c r="E42" s="255"/>
      <c r="F42" s="255"/>
      <c r="G42" s="255"/>
    </row>
    <row r="43" spans="5:7" x14ac:dyDescent="0.3">
      <c r="E43" s="255"/>
      <c r="F43" s="255"/>
      <c r="G43" s="255"/>
    </row>
    <row r="44" spans="5:7" x14ac:dyDescent="0.3">
      <c r="E44" s="255"/>
      <c r="F44" s="255"/>
      <c r="G44" s="255"/>
    </row>
    <row r="45" spans="5:7" x14ac:dyDescent="0.3">
      <c r="E45" s="255"/>
      <c r="F45" s="255"/>
      <c r="G45" s="255"/>
    </row>
    <row r="46" spans="5:7" x14ac:dyDescent="0.3">
      <c r="E46" s="255"/>
      <c r="F46" s="255"/>
      <c r="G46" s="255"/>
    </row>
    <row r="47" spans="5:7" x14ac:dyDescent="0.3">
      <c r="E47" s="255"/>
      <c r="F47" s="255"/>
      <c r="G47" s="255"/>
    </row>
    <row r="48" spans="5:7" x14ac:dyDescent="0.3">
      <c r="E48" s="255"/>
      <c r="F48" s="255"/>
      <c r="G48" s="255"/>
    </row>
    <row r="49" spans="5:7" x14ac:dyDescent="0.3">
      <c r="E49" s="255"/>
      <c r="F49" s="255"/>
      <c r="G49" s="255"/>
    </row>
    <row r="50" spans="5:7" x14ac:dyDescent="0.3">
      <c r="E50" s="255"/>
      <c r="F50" s="255"/>
      <c r="G50" s="255"/>
    </row>
    <row r="51" spans="5:7" x14ac:dyDescent="0.3">
      <c r="E51" s="255"/>
      <c r="F51" s="255"/>
      <c r="G51" s="255"/>
    </row>
    <row r="52" spans="5:7" x14ac:dyDescent="0.3">
      <c r="E52" s="255"/>
      <c r="F52" s="255"/>
      <c r="G52" s="255"/>
    </row>
    <row r="53" spans="5:7" x14ac:dyDescent="0.3">
      <c r="E53" s="255"/>
      <c r="F53" s="255"/>
      <c r="G53" s="255"/>
    </row>
    <row r="54" spans="5:7" x14ac:dyDescent="0.3">
      <c r="E54" s="255"/>
      <c r="F54" s="255"/>
      <c r="G54" s="255"/>
    </row>
    <row r="55" spans="5:7" x14ac:dyDescent="0.3">
      <c r="E55" s="255"/>
      <c r="F55" s="255"/>
      <c r="G55" s="255"/>
    </row>
    <row r="56" spans="5:7" x14ac:dyDescent="0.3">
      <c r="E56" s="255"/>
      <c r="F56" s="255"/>
      <c r="G56" s="255"/>
    </row>
    <row r="57" spans="5:7" x14ac:dyDescent="0.3">
      <c r="E57" s="255"/>
      <c r="F57" s="255"/>
      <c r="G57" s="255"/>
    </row>
    <row r="58" spans="5:7" x14ac:dyDescent="0.3">
      <c r="E58" s="255"/>
      <c r="F58" s="255"/>
      <c r="G58" s="255"/>
    </row>
    <row r="59" spans="5:7" x14ac:dyDescent="0.3">
      <c r="E59" s="255"/>
      <c r="F59" s="255"/>
      <c r="G59" s="255"/>
    </row>
    <row r="60" spans="5:7" x14ac:dyDescent="0.3">
      <c r="E60" s="255"/>
      <c r="F60" s="255"/>
      <c r="G60" s="255"/>
    </row>
    <row r="61" spans="5:7" x14ac:dyDescent="0.3">
      <c r="E61" s="255"/>
      <c r="F61" s="255"/>
      <c r="G61" s="255"/>
    </row>
    <row r="62" spans="5:7" x14ac:dyDescent="0.3">
      <c r="E62" s="255"/>
      <c r="F62" s="255"/>
      <c r="G62" s="255"/>
    </row>
    <row r="63" spans="5:7" x14ac:dyDescent="0.3">
      <c r="E63" s="255"/>
      <c r="F63" s="255"/>
      <c r="G63" s="255"/>
    </row>
    <row r="64" spans="5:7" x14ac:dyDescent="0.3">
      <c r="E64" s="255"/>
      <c r="F64" s="255"/>
      <c r="G64" s="255"/>
    </row>
    <row r="65" spans="5:7" x14ac:dyDescent="0.3">
      <c r="E65" s="255"/>
      <c r="F65" s="255"/>
      <c r="G65" s="255"/>
    </row>
    <row r="66" spans="5:7" x14ac:dyDescent="0.3">
      <c r="E66" s="255"/>
      <c r="F66" s="255"/>
      <c r="G66" s="255"/>
    </row>
    <row r="67" spans="5:7" x14ac:dyDescent="0.3">
      <c r="E67" s="255"/>
      <c r="F67" s="255"/>
      <c r="G67" s="255"/>
    </row>
    <row r="68" spans="5:7" x14ac:dyDescent="0.3">
      <c r="E68" s="255"/>
      <c r="F68" s="255"/>
      <c r="G68" s="255"/>
    </row>
    <row r="69" spans="5:7" x14ac:dyDescent="0.3">
      <c r="E69" s="255"/>
      <c r="F69" s="255"/>
      <c r="G69" s="255"/>
    </row>
    <row r="70" spans="5:7" x14ac:dyDescent="0.3">
      <c r="E70" s="255"/>
      <c r="F70" s="255"/>
      <c r="G70" s="255"/>
    </row>
  </sheetData>
  <sheetProtection algorithmName="SHA-512" hashValue="igfRK21Bgxo1NOD2bwxVIvtkSUqXHybDJRaKj9hx90BlyFj7lihh1rGRCsx1FytxbsiYtqO8QypZzPip71U1Wg==" saltValue="eTT9zd9PVwJVipLhCjvs6A==" spinCount="100000" sheet="1" objects="1" scenarios="1"/>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N13" activePane="bottomRight" state="frozen"/>
      <selection pane="topRight" activeCell="N1" sqref="N1"/>
      <selection pane="bottomLeft" activeCell="A9" sqref="A9"/>
      <selection pane="bottomRight" activeCell="H22" sqref="H22"/>
    </sheetView>
  </sheetViews>
  <sheetFormatPr defaultColWidth="9.109375" defaultRowHeight="0" customHeight="1" zeroHeight="1" x14ac:dyDescent="0.3"/>
  <cols>
    <col min="1" max="1" width="1.44140625" style="111" customWidth="1"/>
    <col min="2" max="2" width="3.44140625" style="112" customWidth="1"/>
    <col min="3" max="3" width="4.109375" style="112" customWidth="1"/>
    <col min="4" max="4" width="6.44140625" style="112" customWidth="1"/>
    <col min="5" max="5" width="8.109375" style="112" customWidth="1"/>
    <col min="6" max="6" width="6.88671875" style="112" customWidth="1"/>
    <col min="7" max="7" width="18.44140625" style="112" customWidth="1"/>
    <col min="8" max="9" width="3.44140625" style="112" customWidth="1"/>
    <col min="10" max="10" width="18.44140625" style="112" customWidth="1"/>
    <col min="11" max="12" width="3.44140625" style="112" customWidth="1"/>
    <col min="13" max="13" width="1.44140625" style="112" customWidth="1"/>
    <col min="14" max="14" width="3.88671875" style="112" customWidth="1"/>
    <col min="15" max="15" width="18.44140625" style="112" customWidth="1"/>
    <col min="16" max="17" width="3.88671875" style="112" customWidth="1"/>
    <col min="18" max="18" width="18.44140625" style="112" customWidth="1"/>
    <col min="19" max="20" width="3.88671875" style="112" customWidth="1"/>
    <col min="21" max="21" width="11.44140625" style="112" customWidth="1"/>
    <col min="22" max="23" width="9.109375" style="112" customWidth="1"/>
    <col min="24" max="24" width="3.88671875" style="112" customWidth="1"/>
    <col min="25" max="25" width="18.44140625" style="112" customWidth="1"/>
    <col min="26" max="27" width="3.88671875" style="112" customWidth="1"/>
    <col min="28" max="28" width="18.44140625" style="112" customWidth="1"/>
    <col min="29" max="30" width="3.88671875" style="112" customWidth="1"/>
    <col min="31" max="31" width="11.44140625" style="112" customWidth="1"/>
    <col min="32" max="33" width="9.109375" style="112" customWidth="1"/>
    <col min="34" max="34" width="3.88671875" style="112" customWidth="1"/>
    <col min="35" max="35" width="18.44140625" style="112" customWidth="1"/>
    <col min="36" max="37" width="3.88671875" style="112" customWidth="1"/>
    <col min="38" max="38" width="18.44140625" style="112" customWidth="1"/>
    <col min="39" max="40" width="3.88671875" style="112" customWidth="1"/>
    <col min="41" max="41" width="11.44140625" style="112" customWidth="1"/>
    <col min="42" max="43" width="9.109375" style="112" customWidth="1"/>
    <col min="44" max="44" width="3.88671875" style="112" customWidth="1"/>
    <col min="45" max="45" width="18.44140625" style="112" customWidth="1"/>
    <col min="46" max="47" width="3.88671875" style="112" customWidth="1"/>
    <col min="48" max="48" width="18.44140625" style="112" customWidth="1"/>
    <col min="49" max="50" width="3.88671875" style="112" customWidth="1"/>
    <col min="51" max="51" width="11.44140625" style="112" customWidth="1"/>
    <col min="52" max="53" width="9.109375" style="112" customWidth="1"/>
    <col min="54" max="54" width="3.88671875" style="112" customWidth="1"/>
    <col min="55" max="55" width="18.44140625" style="112" customWidth="1"/>
    <col min="56" max="57" width="3.88671875" style="112" customWidth="1"/>
    <col min="58" max="58" width="18.44140625" style="112" customWidth="1"/>
    <col min="59" max="60" width="3.88671875" style="112" customWidth="1"/>
    <col min="61" max="61" width="11.44140625" style="112" customWidth="1"/>
    <col min="62" max="63" width="9.109375" style="112" customWidth="1"/>
    <col min="64" max="64" width="3.88671875" style="112" customWidth="1"/>
    <col min="65" max="65" width="18.44140625" style="112" customWidth="1"/>
    <col min="66" max="67" width="3.88671875" style="112" customWidth="1"/>
    <col min="68" max="68" width="18.44140625" style="112" customWidth="1"/>
    <col min="69" max="70" width="3.88671875" style="112" customWidth="1"/>
    <col min="71" max="71" width="11.44140625" style="112" customWidth="1"/>
    <col min="72" max="73" width="9.109375" style="112" customWidth="1"/>
    <col min="74" max="74" width="3.88671875" style="112" customWidth="1"/>
    <col min="75" max="75" width="18.44140625" style="112" customWidth="1"/>
    <col min="76" max="77" width="3.88671875" style="112" customWidth="1"/>
    <col min="78" max="78" width="18.44140625" style="112" customWidth="1"/>
    <col min="79" max="80" width="3.88671875" style="112" customWidth="1"/>
    <col min="81" max="81" width="11.44140625" style="112" customWidth="1"/>
    <col min="82" max="83" width="9.109375" style="112" customWidth="1"/>
    <col min="84" max="84" width="3.88671875" style="112" customWidth="1"/>
    <col min="85" max="85" width="18.44140625" style="112" customWidth="1"/>
    <col min="86" max="87" width="3.88671875" style="112" customWidth="1"/>
    <col min="88" max="88" width="18.44140625" style="112" customWidth="1"/>
    <col min="89" max="90" width="3.88671875" style="112" customWidth="1"/>
    <col min="91" max="91" width="11.44140625" style="112" customWidth="1"/>
    <col min="92" max="93" width="9.109375" style="112" customWidth="1"/>
    <col min="94" max="94" width="3.88671875" style="112" customWidth="1"/>
    <col min="95" max="95" width="18.44140625" style="112" customWidth="1"/>
    <col min="96" max="97" width="3.88671875" style="112" customWidth="1"/>
    <col min="98" max="98" width="18.44140625" style="112" customWidth="1"/>
    <col min="99" max="100" width="3.88671875" style="112" customWidth="1"/>
    <col min="101" max="101" width="11.44140625" style="112" customWidth="1"/>
    <col min="102" max="103" width="9.109375" style="112" customWidth="1"/>
    <col min="104" max="104" width="3.88671875" style="112" customWidth="1"/>
    <col min="105" max="105" width="18.44140625" style="112" customWidth="1"/>
    <col min="106" max="107" width="3.88671875" style="112" customWidth="1"/>
    <col min="108" max="108" width="18.44140625" style="112" customWidth="1"/>
    <col min="109" max="110" width="3.88671875" style="112" customWidth="1"/>
    <col min="111" max="111" width="11.44140625" style="112" customWidth="1"/>
    <col min="112" max="113" width="9.109375" style="112" customWidth="1"/>
    <col min="114" max="16384" width="9.109375" style="112"/>
  </cols>
  <sheetData>
    <row r="1" spans="1:113" s="40" customFormat="1" ht="5.0999999999999996" customHeight="1" x14ac:dyDescent="0.25">
      <c r="N1" s="40" t="s">
        <v>93</v>
      </c>
    </row>
    <row r="2" spans="1:113" s="43" customFormat="1" ht="5.0999999999999996" customHeight="1" x14ac:dyDescent="0.25">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5">
      <c r="A3" s="41"/>
      <c r="B3" s="385" t="s">
        <v>94</v>
      </c>
      <c r="C3" s="385"/>
      <c r="D3" s="385"/>
      <c r="E3" s="385"/>
      <c r="F3" s="385"/>
      <c r="G3" s="385"/>
      <c r="H3" s="385"/>
      <c r="I3" s="385"/>
      <c r="J3" s="125"/>
      <c r="K3" s="125"/>
      <c r="L3" s="125"/>
      <c r="M3" s="125"/>
      <c r="N3" s="358" t="s">
        <v>95</v>
      </c>
      <c r="O3" s="359"/>
      <c r="P3" s="359"/>
      <c r="Q3" s="359"/>
      <c r="R3" s="359"/>
      <c r="S3" s="359"/>
      <c r="T3" s="359"/>
      <c r="U3" s="359"/>
      <c r="V3" s="359"/>
      <c r="W3" s="359"/>
      <c r="X3" s="359"/>
      <c r="Y3" s="359"/>
      <c r="Z3" s="359"/>
      <c r="AA3" s="359"/>
      <c r="AB3" s="359"/>
      <c r="AC3" s="359"/>
      <c r="AD3" s="359"/>
      <c r="AE3" s="44"/>
      <c r="AF3" s="44"/>
      <c r="AG3" s="44"/>
      <c r="AH3" s="394"/>
      <c r="AI3" s="395"/>
      <c r="AJ3" s="395"/>
      <c r="AK3" s="395"/>
      <c r="AL3" s="395"/>
      <c r="AM3" s="44"/>
      <c r="AN3" s="44"/>
      <c r="AO3" s="44"/>
      <c r="AP3" s="44"/>
      <c r="AQ3" s="44"/>
      <c r="AR3" s="394"/>
      <c r="AS3" s="395"/>
      <c r="AT3" s="395"/>
      <c r="AU3" s="395"/>
      <c r="AV3" s="395"/>
      <c r="AW3" s="44"/>
      <c r="AX3" s="44"/>
      <c r="AY3" s="44"/>
      <c r="AZ3" s="44"/>
      <c r="BA3" s="44"/>
      <c r="BB3" s="394"/>
      <c r="BC3" s="395"/>
      <c r="BD3" s="395"/>
      <c r="BE3" s="395"/>
      <c r="BF3" s="395"/>
      <c r="BG3" s="44"/>
      <c r="BH3" s="44"/>
      <c r="BI3" s="44"/>
      <c r="BJ3" s="44"/>
      <c r="BK3" s="44"/>
      <c r="BL3" s="394"/>
      <c r="BM3" s="395"/>
      <c r="BN3" s="395"/>
      <c r="BO3" s="395"/>
      <c r="BP3" s="395"/>
      <c r="BQ3" s="44"/>
      <c r="BR3" s="44"/>
      <c r="BS3" s="44"/>
      <c r="BT3" s="44"/>
      <c r="BU3" s="44"/>
      <c r="BV3" s="394"/>
      <c r="BW3" s="395"/>
      <c r="BX3" s="395"/>
      <c r="BY3" s="395"/>
      <c r="BZ3" s="395"/>
      <c r="CA3" s="44"/>
      <c r="CB3" s="44"/>
      <c r="CC3" s="44"/>
      <c r="CD3" s="44"/>
      <c r="CE3" s="44"/>
      <c r="CF3" s="394"/>
      <c r="CG3" s="395"/>
      <c r="CH3" s="395"/>
      <c r="CI3" s="395"/>
      <c r="CJ3" s="395"/>
      <c r="CK3" s="44"/>
      <c r="CL3" s="44"/>
      <c r="CM3" s="44"/>
      <c r="CN3" s="44"/>
      <c r="CO3" s="44"/>
      <c r="CP3" s="394"/>
      <c r="CQ3" s="395"/>
      <c r="CR3" s="395"/>
      <c r="CS3" s="395"/>
      <c r="CT3" s="395"/>
      <c r="CU3" s="44"/>
      <c r="CV3" s="44"/>
      <c r="CW3" s="44"/>
      <c r="CX3" s="44"/>
      <c r="CY3" s="44"/>
      <c r="CZ3" s="394"/>
      <c r="DA3" s="395"/>
      <c r="DB3" s="395"/>
      <c r="DC3" s="395"/>
      <c r="DD3" s="395"/>
      <c r="DE3" s="44"/>
      <c r="DF3" s="44"/>
      <c r="DG3" s="44"/>
      <c r="DH3" s="44"/>
      <c r="DI3" s="44"/>
    </row>
    <row r="4" spans="1:113" s="43" customFormat="1" ht="15" customHeight="1" x14ac:dyDescent="0.25">
      <c r="A4" s="41"/>
      <c r="B4" s="385"/>
      <c r="C4" s="385"/>
      <c r="D4" s="385"/>
      <c r="E4" s="385"/>
      <c r="F4" s="385"/>
      <c r="G4" s="385"/>
      <c r="H4" s="385"/>
      <c r="I4" s="385"/>
      <c r="J4" s="125"/>
      <c r="K4" s="125"/>
      <c r="L4" s="125"/>
      <c r="M4" s="125"/>
      <c r="N4" s="358"/>
      <c r="O4" s="359"/>
      <c r="P4" s="359"/>
      <c r="Q4" s="359"/>
      <c r="R4" s="359"/>
      <c r="S4" s="359"/>
      <c r="T4" s="359"/>
      <c r="U4" s="359"/>
      <c r="V4" s="359"/>
      <c r="W4" s="359"/>
      <c r="X4" s="359"/>
      <c r="Y4" s="359"/>
      <c r="Z4" s="359"/>
      <c r="AA4" s="359"/>
      <c r="AB4" s="359"/>
      <c r="AC4" s="359"/>
      <c r="AD4" s="359"/>
      <c r="AE4" s="46"/>
      <c r="AF4" s="45"/>
      <c r="AG4" s="45"/>
      <c r="AH4" s="394"/>
      <c r="AI4" s="395"/>
      <c r="AJ4" s="395"/>
      <c r="AK4" s="395"/>
      <c r="AL4" s="395"/>
      <c r="AM4" s="46"/>
      <c r="AN4" s="46"/>
      <c r="AO4" s="46"/>
      <c r="AP4" s="45"/>
      <c r="AQ4" s="45"/>
      <c r="AR4" s="394"/>
      <c r="AS4" s="395"/>
      <c r="AT4" s="395"/>
      <c r="AU4" s="395"/>
      <c r="AV4" s="395"/>
      <c r="AW4" s="46"/>
      <c r="AX4" s="46"/>
      <c r="AY4" s="46"/>
      <c r="AZ4" s="45"/>
      <c r="BA4" s="45"/>
      <c r="BB4" s="394"/>
      <c r="BC4" s="395"/>
      <c r="BD4" s="395"/>
      <c r="BE4" s="395"/>
      <c r="BF4" s="395"/>
      <c r="BG4" s="46"/>
      <c r="BH4" s="46"/>
      <c r="BI4" s="46"/>
      <c r="BJ4" s="45"/>
      <c r="BK4" s="45"/>
      <c r="BL4" s="394"/>
      <c r="BM4" s="395"/>
      <c r="BN4" s="395"/>
      <c r="BO4" s="395"/>
      <c r="BP4" s="395"/>
      <c r="BQ4" s="46"/>
      <c r="BR4" s="46"/>
      <c r="BS4" s="46"/>
      <c r="BT4" s="45"/>
      <c r="BU4" s="45"/>
      <c r="BV4" s="394"/>
      <c r="BW4" s="395"/>
      <c r="BX4" s="395"/>
      <c r="BY4" s="395"/>
      <c r="BZ4" s="395"/>
      <c r="CA4" s="46"/>
      <c r="CB4" s="46"/>
      <c r="CC4" s="46"/>
      <c r="CD4" s="45"/>
      <c r="CE4" s="45"/>
      <c r="CF4" s="394"/>
      <c r="CG4" s="395"/>
      <c r="CH4" s="395"/>
      <c r="CI4" s="395"/>
      <c r="CJ4" s="395"/>
      <c r="CK4" s="46"/>
      <c r="CL4" s="46"/>
      <c r="CM4" s="46"/>
      <c r="CN4" s="45"/>
      <c r="CO4" s="45"/>
      <c r="CP4" s="394"/>
      <c r="CQ4" s="395"/>
      <c r="CR4" s="395"/>
      <c r="CS4" s="395"/>
      <c r="CT4" s="395"/>
      <c r="CU4" s="46"/>
      <c r="CV4" s="46"/>
      <c r="CW4" s="46"/>
      <c r="CX4" s="45"/>
      <c r="CY4" s="45"/>
      <c r="CZ4" s="394"/>
      <c r="DA4" s="395"/>
      <c r="DB4" s="395"/>
      <c r="DC4" s="395"/>
      <c r="DD4" s="395"/>
      <c r="DE4" s="46"/>
      <c r="DF4" s="46"/>
      <c r="DG4" s="46"/>
      <c r="DH4" s="45"/>
      <c r="DI4" s="45"/>
    </row>
    <row r="5" spans="1:113" s="41" customFormat="1" ht="15" hidden="1" customHeight="1" x14ac:dyDescent="0.25">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t="str">
        <f t="shared" ref="BV5" si="32">IF(BX6="","",1)</f>
        <v/>
      </c>
      <c r="BW5" s="49" t="str">
        <f t="shared" ref="BW5" si="33">IF(BX6="","",1)</f>
        <v/>
      </c>
      <c r="BX5" s="49" t="str">
        <f t="shared" ref="BX5" si="34">IF(BX6="","",1)</f>
        <v/>
      </c>
      <c r="BY5" s="49" t="str">
        <f t="shared" ref="BY5" si="35">IF(BX6="","",1)</f>
        <v/>
      </c>
      <c r="BZ5" s="49" t="str">
        <f t="shared" ref="BZ5" si="36">IF(BX6="","",1)</f>
        <v/>
      </c>
      <c r="CA5" s="49"/>
      <c r="CB5" s="49"/>
      <c r="CC5" s="49" t="str">
        <f t="shared" ref="CC5" si="37">IF(BX6="","",1)</f>
        <v/>
      </c>
      <c r="CD5" s="49" t="str">
        <f t="shared" ref="CD5" si="38">IF(BX6="","",1)</f>
        <v/>
      </c>
      <c r="CE5" s="49" t="str">
        <f t="shared" ref="CE5" si="39">IF(BX6="","",1)</f>
        <v/>
      </c>
      <c r="CF5" s="48" t="str">
        <f t="shared" ref="CF5" si="40">IF(CH6="","",1)</f>
        <v/>
      </c>
      <c r="CG5" s="49" t="str">
        <f t="shared" ref="CG5" si="41">IF(CH6="","",1)</f>
        <v/>
      </c>
      <c r="CH5" s="49" t="str">
        <f t="shared" ref="CH5" si="42">IF(CH6="","",1)</f>
        <v/>
      </c>
      <c r="CI5" s="49" t="str">
        <f t="shared" ref="CI5" si="43">IF(CH6="","",1)</f>
        <v/>
      </c>
      <c r="CJ5" s="49" t="str">
        <f t="shared" ref="CJ5" si="44">IF(CH6="","",1)</f>
        <v/>
      </c>
      <c r="CK5" s="49"/>
      <c r="CL5" s="49"/>
      <c r="CM5" s="49" t="str">
        <f t="shared" ref="CM5" si="45">IF(CH6="","",1)</f>
        <v/>
      </c>
      <c r="CN5" s="49" t="str">
        <f t="shared" ref="CN5" si="46">IF(CH6="","",1)</f>
        <v/>
      </c>
      <c r="CO5" s="49" t="str">
        <f t="shared" ref="CO5" si="47">IF(CH6="","",1)</f>
        <v/>
      </c>
      <c r="CP5" s="48" t="str">
        <f t="shared" ref="CP5" si="48">IF(CR6="","",1)</f>
        <v/>
      </c>
      <c r="CQ5" s="49" t="str">
        <f t="shared" ref="CQ5" si="49">IF(CR6="","",1)</f>
        <v/>
      </c>
      <c r="CR5" s="49" t="str">
        <f t="shared" ref="CR5" si="50">IF(CR6="","",1)</f>
        <v/>
      </c>
      <c r="CS5" s="49" t="str">
        <f t="shared" ref="CS5" si="51">IF(CR6="","",1)</f>
        <v/>
      </c>
      <c r="CT5" s="49" t="str">
        <f t="shared" ref="CT5" si="52">IF(CR6="","",1)</f>
        <v/>
      </c>
      <c r="CU5" s="49"/>
      <c r="CV5" s="49"/>
      <c r="CW5" s="49" t="str">
        <f t="shared" ref="CW5" si="53">IF(CR6="","",1)</f>
        <v/>
      </c>
      <c r="CX5" s="49" t="str">
        <f t="shared" ref="CX5" si="54">IF(CR6="","",1)</f>
        <v/>
      </c>
      <c r="CY5" s="49" t="str">
        <f t="shared" ref="CY5" si="55">IF(CR6="","",1)</f>
        <v/>
      </c>
      <c r="CZ5" s="48" t="str">
        <f t="shared" ref="CZ5" si="56">IF(DB6="","",1)</f>
        <v/>
      </c>
      <c r="DA5" s="49" t="str">
        <f t="shared" ref="DA5" si="57">IF(DB6="","",1)</f>
        <v/>
      </c>
      <c r="DB5" s="49" t="str">
        <f t="shared" ref="DB5" si="58">IF(DB6="","",1)</f>
        <v/>
      </c>
      <c r="DC5" s="49" t="str">
        <f t="shared" ref="DC5" si="59">IF(DB6="","",1)</f>
        <v/>
      </c>
      <c r="DD5" s="49" t="str">
        <f t="shared" ref="DD5" si="60">IF(DB6="","",1)</f>
        <v/>
      </c>
      <c r="DE5" s="49"/>
      <c r="DF5" s="49"/>
      <c r="DG5" s="49" t="str">
        <f t="shared" ref="DG5" si="61">IF(DB6="","",1)</f>
        <v/>
      </c>
      <c r="DH5" s="49" t="str">
        <f t="shared" ref="DH5" si="62">IF(DB6="","",1)</f>
        <v/>
      </c>
      <c r="DI5" s="49" t="str">
        <f t="shared" ref="DI5" si="63">IF(DB6="","",1)</f>
        <v/>
      </c>
    </row>
    <row r="6" spans="1:113" s="43" customFormat="1" ht="15" customHeight="1" x14ac:dyDescent="0.25">
      <c r="A6" s="41"/>
      <c r="B6" s="50"/>
      <c r="C6" s="50"/>
      <c r="D6" s="50"/>
      <c r="E6" s="50"/>
      <c r="F6" s="50"/>
      <c r="G6" s="50"/>
      <c r="H6" s="50"/>
      <c r="I6" s="50"/>
      <c r="J6" s="50"/>
      <c r="K6" s="50"/>
      <c r="L6" s="50"/>
      <c r="M6" s="50"/>
      <c r="N6" s="51">
        <v>1</v>
      </c>
      <c r="O6" s="52" t="s">
        <v>96</v>
      </c>
      <c r="P6" s="53" t="str">
        <f>VLOOKUP(N6,'Player Scoreboard'!B10:C19,2,FALSE)</f>
        <v>Magnus (TRAC)</v>
      </c>
      <c r="Q6" s="52"/>
      <c r="R6" s="52"/>
      <c r="S6" s="52"/>
      <c r="T6" s="52"/>
      <c r="U6" s="54" t="s">
        <v>97</v>
      </c>
      <c r="V6" s="54" t="s">
        <v>3</v>
      </c>
      <c r="W6" s="54" t="s">
        <v>98</v>
      </c>
      <c r="X6" s="51">
        <f>N6+1</f>
        <v>2</v>
      </c>
      <c r="Y6" s="52" t="s">
        <v>96</v>
      </c>
      <c r="Z6" s="53" t="str">
        <f>VLOOKUP(X6,'Player Scoreboard'!B10:C19,2,FALSE)</f>
        <v>Steve (TRAC)</v>
      </c>
      <c r="AA6" s="52"/>
      <c r="AB6" s="52"/>
      <c r="AC6" s="52"/>
      <c r="AD6" s="52"/>
      <c r="AE6" s="54" t="s">
        <v>97</v>
      </c>
      <c r="AF6" s="54" t="s">
        <v>3</v>
      </c>
      <c r="AG6" s="54" t="s">
        <v>98</v>
      </c>
      <c r="AH6" s="51">
        <f t="shared" ref="AH6" si="64">X6+1</f>
        <v>3</v>
      </c>
      <c r="AI6" s="52" t="s">
        <v>96</v>
      </c>
      <c r="AJ6" s="53" t="str">
        <f>VLOOKUP(AH6,'Player Scoreboard'!B10:C19,2,FALSE)</f>
        <v>Mateo (Virksomhet)</v>
      </c>
      <c r="AK6" s="52"/>
      <c r="AL6" s="52"/>
      <c r="AM6" s="52"/>
      <c r="AN6" s="52"/>
      <c r="AO6" s="54" t="s">
        <v>97</v>
      </c>
      <c r="AP6" s="54" t="s">
        <v>3</v>
      </c>
      <c r="AQ6" s="54" t="s">
        <v>98</v>
      </c>
      <c r="AR6" s="51">
        <f t="shared" ref="AR6" si="65">AH6+1</f>
        <v>4</v>
      </c>
      <c r="AS6" s="52" t="s">
        <v>96</v>
      </c>
      <c r="AT6" s="53" t="str">
        <f>VLOOKUP(AR6,'Player Scoreboard'!B10:C19,2,FALSE)</f>
        <v>Flemming (IFA)</v>
      </c>
      <c r="AU6" s="52"/>
      <c r="AV6" s="52"/>
      <c r="AW6" s="52"/>
      <c r="AX6" s="52"/>
      <c r="AY6" s="54" t="s">
        <v>97</v>
      </c>
      <c r="AZ6" s="54" t="s">
        <v>3</v>
      </c>
      <c r="BA6" s="54" t="s">
        <v>98</v>
      </c>
      <c r="BB6" s="51">
        <f t="shared" ref="BB6" si="66">AR6+1</f>
        <v>5</v>
      </c>
      <c r="BC6" s="52" t="s">
        <v>96</v>
      </c>
      <c r="BD6" s="53" t="str">
        <f>VLOOKUP(BB6,'Player Scoreboard'!B10:C19,2,FALSE)</f>
        <v>Stian (Virksomhet)</v>
      </c>
      <c r="BE6" s="52"/>
      <c r="BF6" s="52"/>
      <c r="BG6" s="52"/>
      <c r="BH6" s="52"/>
      <c r="BI6" s="54" t="s">
        <v>97</v>
      </c>
      <c r="BJ6" s="54" t="s">
        <v>3</v>
      </c>
      <c r="BK6" s="54" t="s">
        <v>98</v>
      </c>
      <c r="BL6" s="51">
        <f t="shared" ref="BL6" si="67">BB6+1</f>
        <v>6</v>
      </c>
      <c r="BM6" s="52" t="s">
        <v>96</v>
      </c>
      <c r="BN6" s="53" t="str">
        <f>VLOOKUP(BL6,'Player Scoreboard'!B10:C19,2,FALSE)</f>
        <v>Hanne Maren (TRAC)</v>
      </c>
      <c r="BO6" s="52"/>
      <c r="BP6" s="52"/>
      <c r="BQ6" s="52"/>
      <c r="BR6" s="52"/>
      <c r="BS6" s="54" t="s">
        <v>97</v>
      </c>
      <c r="BT6" s="54" t="s">
        <v>3</v>
      </c>
      <c r="BU6" s="54" t="s">
        <v>98</v>
      </c>
      <c r="BV6" s="51">
        <f t="shared" ref="BV6" si="68">BL6+1</f>
        <v>7</v>
      </c>
      <c r="BW6" s="52" t="s">
        <v>96</v>
      </c>
      <c r="BX6" s="53" t="str">
        <f>VLOOKUP(BV6,'Player Scoreboard'!B10:C19,2,FALSE)</f>
        <v/>
      </c>
      <c r="BY6" s="52"/>
      <c r="BZ6" s="52"/>
      <c r="CA6" s="52"/>
      <c r="CB6" s="52"/>
      <c r="CC6" s="54" t="s">
        <v>97</v>
      </c>
      <c r="CD6" s="54" t="s">
        <v>3</v>
      </c>
      <c r="CE6" s="54" t="s">
        <v>98</v>
      </c>
      <c r="CF6" s="51">
        <f t="shared" ref="CF6" si="69">BV6+1</f>
        <v>8</v>
      </c>
      <c r="CG6" s="52" t="s">
        <v>96</v>
      </c>
      <c r="CH6" s="53" t="str">
        <f>VLOOKUP(CF6,'Player Scoreboard'!B10:C19,2,FALSE)</f>
        <v/>
      </c>
      <c r="CI6" s="52"/>
      <c r="CJ6" s="52"/>
      <c r="CK6" s="52"/>
      <c r="CL6" s="52"/>
      <c r="CM6" s="54" t="s">
        <v>97</v>
      </c>
      <c r="CN6" s="54" t="s">
        <v>3</v>
      </c>
      <c r="CO6" s="54" t="s">
        <v>98</v>
      </c>
      <c r="CP6" s="51">
        <f t="shared" ref="CP6" si="70">CF6+1</f>
        <v>9</v>
      </c>
      <c r="CQ6" s="52" t="s">
        <v>96</v>
      </c>
      <c r="CR6" s="53" t="str">
        <f>VLOOKUP(CP6,'Player Scoreboard'!B10:C19,2,FALSE)</f>
        <v/>
      </c>
      <c r="CS6" s="52"/>
      <c r="CT6" s="52"/>
      <c r="CU6" s="52"/>
      <c r="CV6" s="52"/>
      <c r="CW6" s="54" t="s">
        <v>97</v>
      </c>
      <c r="CX6" s="54" t="s">
        <v>3</v>
      </c>
      <c r="CY6" s="54" t="s">
        <v>98</v>
      </c>
      <c r="CZ6" s="51">
        <f t="shared" ref="CZ6" si="71">CP6+1</f>
        <v>10</v>
      </c>
      <c r="DA6" s="52" t="s">
        <v>96</v>
      </c>
      <c r="DB6" s="53" t="str">
        <f>VLOOKUP(CZ6,'Player Scoreboard'!B10:C19,2,FALSE)</f>
        <v/>
      </c>
      <c r="DC6" s="52"/>
      <c r="DD6" s="52"/>
      <c r="DE6" s="52"/>
      <c r="DF6" s="52"/>
      <c r="DG6" s="54" t="s">
        <v>97</v>
      </c>
      <c r="DH6" s="54" t="s">
        <v>3</v>
      </c>
      <c r="DI6" s="54" t="s">
        <v>98</v>
      </c>
    </row>
    <row r="7" spans="1:113" s="43" customFormat="1" ht="15" customHeight="1" x14ac:dyDescent="0.25">
      <c r="A7" s="41"/>
      <c r="B7" s="55"/>
      <c r="C7" s="56" t="str">
        <f>'Language Table'!C50</f>
        <v>M#</v>
      </c>
      <c r="D7" s="56" t="str">
        <f>'Language Table'!C35</f>
        <v>Group</v>
      </c>
      <c r="E7" s="56" t="str">
        <f>'Language Table'!C36</f>
        <v>Date</v>
      </c>
      <c r="F7" s="56" t="str">
        <f>'Language Table'!C39</f>
        <v>Time</v>
      </c>
      <c r="G7" s="124" t="str">
        <f>'Language Table'!C37</f>
        <v>Country</v>
      </c>
      <c r="H7" s="391" t="str">
        <f>'Language Table'!C38</f>
        <v>Score</v>
      </c>
      <c r="I7" s="391"/>
      <c r="J7" s="123" t="str">
        <f>G7</f>
        <v>Country</v>
      </c>
      <c r="K7" s="56"/>
      <c r="L7" s="56"/>
      <c r="M7" s="55"/>
      <c r="N7" s="51"/>
      <c r="O7" s="52" t="s">
        <v>99</v>
      </c>
      <c r="P7" s="57">
        <f ca="1">VLOOKUP(P6,'Dummy Rank'!F7:G16,2,FALSE)</f>
        <v>1</v>
      </c>
      <c r="Q7" s="52"/>
      <c r="R7" s="52"/>
      <c r="S7" s="52"/>
      <c r="T7" s="52"/>
      <c r="U7" s="58">
        <f ca="1">V7+W7</f>
        <v>28</v>
      </c>
      <c r="V7" s="58">
        <f ca="1">SUM(V10:V75)</f>
        <v>28</v>
      </c>
      <c r="W7" s="59">
        <f ca="1">SUM(W10:W88)</f>
        <v>0</v>
      </c>
      <c r="X7" s="51"/>
      <c r="Y7" s="52" t="s">
        <v>99</v>
      </c>
      <c r="Z7" s="148">
        <f ca="1">VLOOKUP(Z6,'Dummy Rank'!F7:G16,2,FALSE)</f>
        <v>4</v>
      </c>
      <c r="AA7" s="52"/>
      <c r="AB7" s="52"/>
      <c r="AC7" s="52"/>
      <c r="AD7" s="52"/>
      <c r="AE7" s="58">
        <f ca="1">AF7+AG7</f>
        <v>20</v>
      </c>
      <c r="AF7" s="58">
        <f ca="1">SUM(AF10:AF75)</f>
        <v>20</v>
      </c>
      <c r="AG7" s="59">
        <f ca="1">SUM(AG10:AG88)</f>
        <v>0</v>
      </c>
      <c r="AH7" s="51"/>
      <c r="AI7" s="52" t="s">
        <v>99</v>
      </c>
      <c r="AJ7" s="148">
        <f ca="1">VLOOKUP(AJ6,'Dummy Rank'!F7:G16,2,FALSE)</f>
        <v>2</v>
      </c>
      <c r="AK7" s="52"/>
      <c r="AL7" s="52"/>
      <c r="AM7" s="52"/>
      <c r="AN7" s="52"/>
      <c r="AO7" s="58">
        <f t="shared" ref="AO7" ca="1" si="72">AP7+AQ7</f>
        <v>24</v>
      </c>
      <c r="AP7" s="58">
        <f t="shared" ref="AP7" ca="1" si="73">SUM(AP10:AP75)</f>
        <v>24</v>
      </c>
      <c r="AQ7" s="59">
        <f t="shared" ref="AQ7" ca="1" si="74">SUM(AQ10:AQ88)</f>
        <v>0</v>
      </c>
      <c r="AR7" s="51"/>
      <c r="AS7" s="52" t="s">
        <v>99</v>
      </c>
      <c r="AT7" s="148">
        <f ca="1">VLOOKUP(AT6,'Dummy Rank'!F7:G16,2,FALSE)</f>
        <v>5</v>
      </c>
      <c r="AU7" s="52"/>
      <c r="AV7" s="52"/>
      <c r="AW7" s="52"/>
      <c r="AX7" s="52"/>
      <c r="AY7" s="58">
        <f t="shared" ref="AY7" ca="1" si="75">AZ7+BA7</f>
        <v>18</v>
      </c>
      <c r="AZ7" s="58">
        <f t="shared" ref="AZ7" ca="1" si="76">SUM(AZ10:AZ75)</f>
        <v>18</v>
      </c>
      <c r="BA7" s="59">
        <f t="shared" ref="BA7" ca="1" si="77">SUM(BA10:BA88)</f>
        <v>0</v>
      </c>
      <c r="BB7" s="51"/>
      <c r="BC7" s="52" t="s">
        <v>99</v>
      </c>
      <c r="BD7" s="148">
        <f ca="1">VLOOKUP(BD6,'Dummy Rank'!F7:G16,2,FALSE)</f>
        <v>6</v>
      </c>
      <c r="BE7" s="52"/>
      <c r="BF7" s="52"/>
      <c r="BG7" s="52"/>
      <c r="BH7" s="52"/>
      <c r="BI7" s="58">
        <f t="shared" ref="BI7" ca="1" si="78">BJ7+BK7</f>
        <v>14</v>
      </c>
      <c r="BJ7" s="58">
        <f t="shared" ref="BJ7" ca="1" si="79">SUM(BJ10:BJ75)</f>
        <v>14</v>
      </c>
      <c r="BK7" s="59">
        <f t="shared" ref="BK7" ca="1" si="80">SUM(BK10:BK88)</f>
        <v>0</v>
      </c>
      <c r="BL7" s="51"/>
      <c r="BM7" s="52" t="s">
        <v>99</v>
      </c>
      <c r="BN7" s="148">
        <f ca="1">VLOOKUP(BN6,'Dummy Rank'!F7:G16,2,FALSE)</f>
        <v>3</v>
      </c>
      <c r="BO7" s="52"/>
      <c r="BP7" s="52"/>
      <c r="BQ7" s="52"/>
      <c r="BR7" s="52"/>
      <c r="BS7" s="58">
        <f t="shared" ref="BS7" ca="1" si="81">BT7+BU7</f>
        <v>24</v>
      </c>
      <c r="BT7" s="58">
        <f t="shared" ref="BT7" ca="1" si="82">SUM(BT10:BT75)</f>
        <v>24</v>
      </c>
      <c r="BU7" s="59">
        <f t="shared" ref="BU7" ca="1" si="83">SUM(BU10:BU88)</f>
        <v>0</v>
      </c>
      <c r="BV7" s="51"/>
      <c r="BW7" s="52" t="s">
        <v>99</v>
      </c>
      <c r="BX7" s="148" t="e">
        <f ca="1">VLOOKUP(BX6,'Dummy Rank'!F7:G16,2,FALSE)</f>
        <v>#VALUE!</v>
      </c>
      <c r="BY7" s="52"/>
      <c r="BZ7" s="52"/>
      <c r="CA7" s="52"/>
      <c r="CB7" s="52"/>
      <c r="CC7" s="58">
        <f t="shared" ref="CC7" ca="1" si="84">CD7+CE7</f>
        <v>0</v>
      </c>
      <c r="CD7" s="58">
        <f t="shared" ref="CD7" ca="1" si="85">SUM(CD10:CD75)</f>
        <v>0</v>
      </c>
      <c r="CE7" s="59">
        <f t="shared" ref="CE7" ca="1" si="86">SUM(CE10:CE88)</f>
        <v>0</v>
      </c>
      <c r="CF7" s="51"/>
      <c r="CG7" s="52" t="s">
        <v>99</v>
      </c>
      <c r="CH7" s="148" t="e">
        <f ca="1">VLOOKUP(CH6,'Dummy Rank'!F7:G16,2,FALSE)</f>
        <v>#VALUE!</v>
      </c>
      <c r="CI7" s="52"/>
      <c r="CJ7" s="52"/>
      <c r="CK7" s="52"/>
      <c r="CL7" s="52"/>
      <c r="CM7" s="58">
        <f t="shared" ref="CM7" ca="1" si="87">CN7+CO7</f>
        <v>0</v>
      </c>
      <c r="CN7" s="58">
        <f t="shared" ref="CN7" ca="1" si="88">SUM(CN10:CN75)</f>
        <v>0</v>
      </c>
      <c r="CO7" s="59">
        <f t="shared" ref="CO7" ca="1" si="89">SUM(CO10:CO88)</f>
        <v>0</v>
      </c>
      <c r="CP7" s="51"/>
      <c r="CQ7" s="52" t="s">
        <v>99</v>
      </c>
      <c r="CR7" s="148" t="e">
        <f ca="1">VLOOKUP(CR6,'Dummy Rank'!F7:G16,2,FALSE)</f>
        <v>#VALUE!</v>
      </c>
      <c r="CS7" s="52"/>
      <c r="CT7" s="52"/>
      <c r="CU7" s="52"/>
      <c r="CV7" s="52"/>
      <c r="CW7" s="58">
        <f t="shared" ref="CW7" ca="1" si="90">CX7+CY7</f>
        <v>0</v>
      </c>
      <c r="CX7" s="58">
        <f t="shared" ref="CX7" ca="1" si="91">SUM(CX10:CX75)</f>
        <v>0</v>
      </c>
      <c r="CY7" s="59">
        <f t="shared" ref="CY7" ca="1" si="92">SUM(CY10:CY88)</f>
        <v>0</v>
      </c>
      <c r="CZ7" s="51"/>
      <c r="DA7" s="52" t="s">
        <v>99</v>
      </c>
      <c r="DB7" s="148" t="e">
        <f ca="1">VLOOKUP(DB6,'Dummy Rank'!F7:G16,2,FALSE)</f>
        <v>#VALUE!</v>
      </c>
      <c r="DC7" s="52"/>
      <c r="DD7" s="52"/>
      <c r="DE7" s="52"/>
      <c r="DF7" s="52"/>
      <c r="DG7" s="58">
        <f t="shared" ref="DG7" ca="1" si="93">DH7+DI7</f>
        <v>0</v>
      </c>
      <c r="DH7" s="58">
        <f t="shared" ref="DH7" ca="1" si="94">SUM(DH10:DH75)</f>
        <v>0</v>
      </c>
      <c r="DI7" s="59">
        <f t="shared" ref="DI7" ca="1" si="95">SUM(DI10:DI88)</f>
        <v>0</v>
      </c>
    </row>
    <row r="8" spans="1:113" s="43" customFormat="1" ht="15" customHeight="1" x14ac:dyDescent="0.25">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5">
      <c r="A9" s="41"/>
      <c r="B9" s="65"/>
      <c r="C9" s="66"/>
      <c r="D9" s="66"/>
      <c r="E9" s="66"/>
      <c r="F9" s="66"/>
      <c r="G9" s="66"/>
      <c r="H9" s="66"/>
      <c r="I9" s="66"/>
      <c r="J9" s="66"/>
      <c r="K9" s="66"/>
      <c r="L9" s="66"/>
      <c r="M9" s="67"/>
      <c r="N9" s="126">
        <f>SUM(U10:U45)</f>
        <v>2</v>
      </c>
      <c r="V9" s="68"/>
      <c r="W9" s="69"/>
      <c r="X9" s="126">
        <f>SUM(AE10:AE45)</f>
        <v>2</v>
      </c>
      <c r="Z9" s="43" t="s">
        <v>100</v>
      </c>
      <c r="AF9" s="68"/>
      <c r="AG9" s="69"/>
      <c r="AH9" s="126">
        <f t="shared" ref="AH9" si="96">SUM(AO10:AO45)</f>
        <v>1</v>
      </c>
      <c r="AJ9" s="43" t="s">
        <v>100</v>
      </c>
      <c r="AP9" s="68"/>
      <c r="AQ9" s="69"/>
      <c r="AR9" s="126">
        <f t="shared" ref="AR9" si="97">SUM(AY10:AY45)</f>
        <v>0</v>
      </c>
      <c r="AT9" s="43" t="s">
        <v>100</v>
      </c>
      <c r="AZ9" s="68"/>
      <c r="BA9" s="69"/>
      <c r="BB9" s="126">
        <f t="shared" ref="BB9" si="98">SUM(BI10:BI45)</f>
        <v>0</v>
      </c>
      <c r="BD9" s="43" t="s">
        <v>100</v>
      </c>
      <c r="BJ9" s="68"/>
      <c r="BK9" s="69"/>
      <c r="BL9" s="126">
        <f t="shared" ref="BL9" si="99">SUM(BS10:BS45)</f>
        <v>1</v>
      </c>
      <c r="BN9" s="43" t="s">
        <v>100</v>
      </c>
      <c r="BT9" s="68"/>
      <c r="BU9" s="69"/>
      <c r="BV9" s="126">
        <f t="shared" ref="BV9" si="100">SUM(CC10:CC45)</f>
        <v>0</v>
      </c>
      <c r="BX9" s="43" t="s">
        <v>100</v>
      </c>
      <c r="CD9" s="68"/>
      <c r="CE9" s="69"/>
      <c r="CF9" s="126">
        <f t="shared" ref="CF9" si="101">SUM(CM10:CM45)</f>
        <v>0</v>
      </c>
      <c r="CH9" s="43" t="s">
        <v>100</v>
      </c>
      <c r="CN9" s="68"/>
      <c r="CO9" s="69"/>
      <c r="CP9" s="126">
        <f t="shared" ref="CP9" si="102">SUM(CW10:CW45)</f>
        <v>0</v>
      </c>
      <c r="CR9" s="43" t="s">
        <v>100</v>
      </c>
      <c r="CX9" s="68"/>
      <c r="CY9" s="69"/>
      <c r="CZ9" s="126">
        <f t="shared" ref="CZ9" si="103">SUM(DG10:DG45)</f>
        <v>0</v>
      </c>
      <c r="DB9" s="43" t="s">
        <v>100</v>
      </c>
      <c r="DH9" s="68"/>
      <c r="DI9" s="69"/>
    </row>
    <row r="10" spans="1:113" s="43" customFormat="1" ht="15" customHeight="1" x14ac:dyDescent="0.25">
      <c r="A10" s="41">
        <v>15</v>
      </c>
      <c r="B10" s="65"/>
      <c r="C10" s="55">
        <v>1</v>
      </c>
      <c r="D10" s="20" t="s">
        <v>101</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331">
        <v>3</v>
      </c>
      <c r="Q10" s="331">
        <v>1</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331">
        <v>3</v>
      </c>
      <c r="AA10" s="332">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3</v>
      </c>
      <c r="AK10" s="75">
        <v>0</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2</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331">
        <v>2</v>
      </c>
      <c r="BE10" s="332">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343">
        <v>3</v>
      </c>
      <c r="BO10" s="344">
        <v>1</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c r="BY10" s="75"/>
      <c r="BZ10" s="76" t="str">
        <f t="shared" ref="BZ10:BZ45" si="129">J10</f>
        <v>Scotland</v>
      </c>
      <c r="CC10" s="77">
        <f t="shared" ref="CC10:CC45" si="130">IF(CD10=Pool1,1,0)</f>
        <v>0</v>
      </c>
      <c r="CD10" s="78" t="str">
        <f t="shared" ref="CD10:CD45" si="131">IF(AND(H10&lt;&gt;"",I10&lt;&gt;"",BX10&lt;&gt;"",BY10&lt;&gt;""),IF(AND(H10=BX10,I10=BY10),Pool1,IF((H10-I10)=(BX10-BY10),Pool2,IF(AND((H10&gt;I10),(BX10&gt;BY10)),Pool4,IF(AND((I10&gt;H10),(BY10&gt;BX10)),Pool4,0)))),"")</f>
        <v/>
      </c>
      <c r="CE10" s="69"/>
      <c r="CF10" s="127"/>
      <c r="CG10" s="74" t="str">
        <f t="shared" ref="CG10:CG45" si="132">G10</f>
        <v>Germany</v>
      </c>
      <c r="CH10" s="75"/>
      <c r="CI10" s="75"/>
      <c r="CJ10" s="76" t="str">
        <f t="shared" ref="CJ10:CJ45" si="133">J10</f>
        <v>Scotland</v>
      </c>
      <c r="CM10" s="77">
        <f t="shared" ref="CM10:CM45" si="134">IF(CN10=Pool1,1,0)</f>
        <v>0</v>
      </c>
      <c r="CN10" s="78" t="str">
        <f t="shared" ref="CN10:CN45" si="135">IF(AND(H10&lt;&gt;"",I10&lt;&gt;"",CH10&lt;&gt;"",CI10&lt;&gt;""),IF(AND(H10=CH10,I10=CI10),Pool1,IF((H10-I10)=(CH10-CI10),Pool2,IF(AND((H10&gt;I10),(CH10&gt;CI10)),Pool4,IF(AND((I10&gt;H10),(CI10&gt;CH10)),Pool4,0)))),"")</f>
        <v/>
      </c>
      <c r="CO10" s="69"/>
      <c r="CP10" s="127"/>
      <c r="CQ10" s="74" t="str">
        <f t="shared" ref="CQ10:CQ45" si="136">G10</f>
        <v>Germany</v>
      </c>
      <c r="CR10" s="75"/>
      <c r="CS10" s="75"/>
      <c r="CT10" s="76" t="str">
        <f t="shared" ref="CT10:CT45" si="137">J10</f>
        <v>Scotland</v>
      </c>
      <c r="CW10" s="77">
        <f t="shared" ref="CW10:CW45" si="138">IF(CX10=Pool1,1,0)</f>
        <v>0</v>
      </c>
      <c r="CX10" s="78" t="str">
        <f t="shared" ref="CX10:CX45" si="139">IF(AND(H10&lt;&gt;"",I10&lt;&gt;"",CR10&lt;&gt;"",CS10&lt;&gt;""),IF(AND(H10=CR10,I10=CS10),Pool1,IF((H10-I10)=(CR10-CS10),Pool2,IF(AND((H10&gt;I10),(CR10&gt;CS10)),Pool4,IF(AND((I10&gt;H10),(CS10&gt;CR10)),Pool4,0)))),"")</f>
        <v/>
      </c>
      <c r="CY10" s="69"/>
      <c r="CZ10" s="127"/>
      <c r="DA10" s="74" t="str">
        <f t="shared" ref="DA10:DA45" si="140">G10</f>
        <v>Germany</v>
      </c>
      <c r="DB10" s="75"/>
      <c r="DC10" s="75"/>
      <c r="DD10" s="76" t="str">
        <f t="shared" ref="DD10:DD45" si="141">J10</f>
        <v>Scotland</v>
      </c>
      <c r="DG10" s="77">
        <f t="shared" ref="DG10:DG45" si="142">IF(DH10=Pool1,1,0)</f>
        <v>0</v>
      </c>
      <c r="DH10" s="78" t="str">
        <f t="shared" ref="DH10:DH45" si="143">IF(AND(H10&lt;&gt;"",I10&lt;&gt;"",DB10&lt;&gt;"",DC10&lt;&gt;""),IF(AND(H10=DB10,I10=DC10),Pool1,IF((H10-I10)=(DB10-DC10),Pool2,IF(AND((H10&gt;I10),(DB10&gt;DC10)),Pool4,IF(AND((I10&gt;H10),(DC10&gt;DB10)),Pool4,0)))),"")</f>
        <v/>
      </c>
      <c r="DI10" s="69"/>
    </row>
    <row r="11" spans="1:113" s="43" customFormat="1" ht="15" customHeight="1" x14ac:dyDescent="0.25">
      <c r="A11" s="41">
        <v>16</v>
      </c>
      <c r="B11" s="65"/>
      <c r="C11" s="55">
        <v>2</v>
      </c>
      <c r="D11" s="20" t="s">
        <v>101</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331">
        <v>0</v>
      </c>
      <c r="Q11" s="331">
        <v>4</v>
      </c>
      <c r="R11" s="76" t="str">
        <f t="shared" si="105"/>
        <v>Switzerland</v>
      </c>
      <c r="U11" s="77">
        <f t="shared" si="106"/>
        <v>0</v>
      </c>
      <c r="V11" s="78">
        <f t="shared" si="107"/>
        <v>2</v>
      </c>
      <c r="W11" s="69"/>
      <c r="X11" s="127"/>
      <c r="Y11" s="74" t="str">
        <f t="shared" si="108"/>
        <v>Hungary</v>
      </c>
      <c r="Z11" s="333">
        <v>1</v>
      </c>
      <c r="AA11" s="334">
        <v>1</v>
      </c>
      <c r="AB11" s="76" t="str">
        <f t="shared" si="109"/>
        <v>Switzerland</v>
      </c>
      <c r="AE11" s="77">
        <f t="shared" si="110"/>
        <v>0</v>
      </c>
      <c r="AF11" s="78">
        <f t="shared" si="111"/>
        <v>0</v>
      </c>
      <c r="AG11" s="69"/>
      <c r="AH11" s="127"/>
      <c r="AI11" s="74" t="str">
        <f t="shared" si="112"/>
        <v>Hungary</v>
      </c>
      <c r="AJ11" s="75">
        <v>2</v>
      </c>
      <c r="AK11" s="75">
        <v>0</v>
      </c>
      <c r="AL11" s="76" t="str">
        <f t="shared" si="113"/>
        <v>Switzerland</v>
      </c>
      <c r="AO11" s="77">
        <f t="shared" si="114"/>
        <v>0</v>
      </c>
      <c r="AP11" s="78">
        <f t="shared" si="115"/>
        <v>0</v>
      </c>
      <c r="AQ11" s="69"/>
      <c r="AR11" s="127"/>
      <c r="AS11" s="74" t="str">
        <f t="shared" si="116"/>
        <v>Hungary</v>
      </c>
      <c r="AT11" s="75">
        <v>1</v>
      </c>
      <c r="AU11" s="75">
        <v>1</v>
      </c>
      <c r="AV11" s="76" t="str">
        <f t="shared" si="117"/>
        <v>Switzerland</v>
      </c>
      <c r="AY11" s="77">
        <f t="shared" si="118"/>
        <v>0</v>
      </c>
      <c r="AZ11" s="78">
        <f t="shared" si="119"/>
        <v>0</v>
      </c>
      <c r="BA11" s="69"/>
      <c r="BB11" s="127"/>
      <c r="BC11" s="74" t="str">
        <f t="shared" si="120"/>
        <v>Hungary</v>
      </c>
      <c r="BD11" s="333">
        <v>0</v>
      </c>
      <c r="BE11" s="334">
        <v>1</v>
      </c>
      <c r="BF11" s="76" t="str">
        <f t="shared" si="121"/>
        <v>Switzerland</v>
      </c>
      <c r="BI11" s="77">
        <f t="shared" si="122"/>
        <v>0</v>
      </c>
      <c r="BJ11" s="78">
        <f t="shared" si="123"/>
        <v>2</v>
      </c>
      <c r="BK11" s="69"/>
      <c r="BL11" s="127"/>
      <c r="BM11" s="74" t="str">
        <f t="shared" si="124"/>
        <v>Hungary</v>
      </c>
      <c r="BN11" s="345">
        <v>1</v>
      </c>
      <c r="BO11" s="346">
        <v>2</v>
      </c>
      <c r="BP11" s="76" t="str">
        <f t="shared" si="125"/>
        <v>Switzerland</v>
      </c>
      <c r="BS11" s="77">
        <f t="shared" si="126"/>
        <v>0</v>
      </c>
      <c r="BT11" s="78">
        <f t="shared" si="127"/>
        <v>2</v>
      </c>
      <c r="BU11" s="69"/>
      <c r="BV11" s="127"/>
      <c r="BW11" s="74" t="str">
        <f t="shared" si="128"/>
        <v>Hungary</v>
      </c>
      <c r="BX11" s="75"/>
      <c r="BY11" s="75"/>
      <c r="BZ11" s="76" t="str">
        <f t="shared" si="129"/>
        <v>Switzerland</v>
      </c>
      <c r="CC11" s="77">
        <f t="shared" si="130"/>
        <v>0</v>
      </c>
      <c r="CD11" s="78" t="str">
        <f t="shared" si="131"/>
        <v/>
      </c>
      <c r="CE11" s="69"/>
      <c r="CF11" s="127"/>
      <c r="CG11" s="74" t="str">
        <f t="shared" si="132"/>
        <v>Hungary</v>
      </c>
      <c r="CH11" s="75"/>
      <c r="CI11" s="75"/>
      <c r="CJ11" s="76" t="str">
        <f t="shared" si="133"/>
        <v>Switzerland</v>
      </c>
      <c r="CM11" s="77">
        <f t="shared" si="134"/>
        <v>0</v>
      </c>
      <c r="CN11" s="78" t="str">
        <f t="shared" si="135"/>
        <v/>
      </c>
      <c r="CO11" s="69"/>
      <c r="CP11" s="127"/>
      <c r="CQ11" s="74" t="str">
        <f t="shared" si="136"/>
        <v>Hungary</v>
      </c>
      <c r="CR11" s="75"/>
      <c r="CS11" s="75"/>
      <c r="CT11" s="76" t="str">
        <f t="shared" si="137"/>
        <v>Switzerland</v>
      </c>
      <c r="CW11" s="77">
        <f t="shared" si="138"/>
        <v>0</v>
      </c>
      <c r="CX11" s="78" t="str">
        <f t="shared" si="139"/>
        <v/>
      </c>
      <c r="CY11" s="69"/>
      <c r="CZ11" s="127"/>
      <c r="DA11" s="74" t="str">
        <f t="shared" si="140"/>
        <v>Hungary</v>
      </c>
      <c r="DB11" s="75"/>
      <c r="DC11" s="75"/>
      <c r="DD11" s="76" t="str">
        <f t="shared" si="141"/>
        <v>Switzerland</v>
      </c>
      <c r="DG11" s="77">
        <f t="shared" si="142"/>
        <v>0</v>
      </c>
      <c r="DH11" s="78" t="str">
        <f t="shared" si="143"/>
        <v/>
      </c>
      <c r="DI11" s="69"/>
    </row>
    <row r="12" spans="1:113" s="43" customFormat="1" ht="15" customHeight="1" x14ac:dyDescent="0.25">
      <c r="A12" s="41">
        <v>17</v>
      </c>
      <c r="B12" s="65"/>
      <c r="C12" s="55">
        <v>3</v>
      </c>
      <c r="D12" s="20" t="s">
        <v>102</v>
      </c>
      <c r="E12" s="157">
        <f t="shared" si="144"/>
        <v>45458.75</v>
      </c>
      <c r="F12" s="158">
        <v>45458.75</v>
      </c>
      <c r="G12" s="72" t="str">
        <f>Matches!G10</f>
        <v>Spain</v>
      </c>
      <c r="H12" s="75">
        <v>3</v>
      </c>
      <c r="I12" s="75">
        <v>0</v>
      </c>
      <c r="J12" s="73" t="str">
        <f>Matches!J10</f>
        <v>Croatia</v>
      </c>
      <c r="K12" s="55"/>
      <c r="L12" s="55"/>
      <c r="M12" s="67"/>
      <c r="N12" s="127"/>
      <c r="O12" s="74" t="str">
        <f t="shared" si="104"/>
        <v>Spain</v>
      </c>
      <c r="P12" s="331">
        <v>3</v>
      </c>
      <c r="Q12" s="331">
        <v>0</v>
      </c>
      <c r="R12" s="76" t="str">
        <f t="shared" si="105"/>
        <v>Croatia</v>
      </c>
      <c r="U12" s="77">
        <f t="shared" si="106"/>
        <v>1</v>
      </c>
      <c r="V12" s="78">
        <f t="shared" si="107"/>
        <v>6</v>
      </c>
      <c r="W12" s="69"/>
      <c r="X12" s="127"/>
      <c r="Y12" s="74" t="str">
        <f t="shared" si="108"/>
        <v>Spain</v>
      </c>
      <c r="Z12" s="333">
        <v>1</v>
      </c>
      <c r="AA12" s="334">
        <v>0</v>
      </c>
      <c r="AB12" s="76" t="str">
        <f t="shared" si="109"/>
        <v>Croatia</v>
      </c>
      <c r="AE12" s="77">
        <f t="shared" si="110"/>
        <v>0</v>
      </c>
      <c r="AF12" s="78">
        <f t="shared" si="111"/>
        <v>2</v>
      </c>
      <c r="AG12" s="69"/>
      <c r="AH12" s="127"/>
      <c r="AI12" s="74" t="str">
        <f t="shared" si="112"/>
        <v>Spain</v>
      </c>
      <c r="AJ12" s="75">
        <v>2</v>
      </c>
      <c r="AK12" s="75">
        <v>1</v>
      </c>
      <c r="AL12" s="76" t="str">
        <f t="shared" si="113"/>
        <v>Croatia</v>
      </c>
      <c r="AO12" s="77">
        <f t="shared" si="114"/>
        <v>0</v>
      </c>
      <c r="AP12" s="78">
        <f t="shared" si="115"/>
        <v>2</v>
      </c>
      <c r="AQ12" s="69"/>
      <c r="AR12" s="127"/>
      <c r="AS12" s="74" t="str">
        <f t="shared" si="116"/>
        <v>Spain</v>
      </c>
      <c r="AT12" s="75">
        <v>2</v>
      </c>
      <c r="AU12" s="75">
        <v>1</v>
      </c>
      <c r="AV12" s="76" t="str">
        <f t="shared" si="117"/>
        <v>Croatia</v>
      </c>
      <c r="AY12" s="77">
        <f t="shared" si="118"/>
        <v>0</v>
      </c>
      <c r="AZ12" s="78">
        <f t="shared" si="119"/>
        <v>2</v>
      </c>
      <c r="BA12" s="69"/>
      <c r="BB12" s="127"/>
      <c r="BC12" s="74" t="str">
        <f t="shared" si="120"/>
        <v>Spain</v>
      </c>
      <c r="BD12" s="333">
        <v>1</v>
      </c>
      <c r="BE12" s="334">
        <v>1</v>
      </c>
      <c r="BF12" s="76" t="str">
        <f t="shared" si="121"/>
        <v>Croatia</v>
      </c>
      <c r="BI12" s="77">
        <f t="shared" si="122"/>
        <v>0</v>
      </c>
      <c r="BJ12" s="78">
        <f t="shared" si="123"/>
        <v>0</v>
      </c>
      <c r="BK12" s="69"/>
      <c r="BL12" s="127"/>
      <c r="BM12" s="74" t="str">
        <f t="shared" si="124"/>
        <v>Spain</v>
      </c>
      <c r="BN12" s="345">
        <v>2</v>
      </c>
      <c r="BO12" s="346">
        <v>1</v>
      </c>
      <c r="BP12" s="76" t="str">
        <f t="shared" si="125"/>
        <v>Croatia</v>
      </c>
      <c r="BS12" s="77">
        <f t="shared" si="126"/>
        <v>0</v>
      </c>
      <c r="BT12" s="78">
        <f t="shared" si="127"/>
        <v>2</v>
      </c>
      <c r="BU12" s="69"/>
      <c r="BV12" s="127"/>
      <c r="BW12" s="74" t="str">
        <f t="shared" si="128"/>
        <v>Spain</v>
      </c>
      <c r="BX12" s="75"/>
      <c r="BY12" s="75"/>
      <c r="BZ12" s="76" t="str">
        <f t="shared" si="129"/>
        <v>Croatia</v>
      </c>
      <c r="CC12" s="77">
        <f t="shared" si="130"/>
        <v>0</v>
      </c>
      <c r="CD12" s="78" t="str">
        <f t="shared" si="131"/>
        <v/>
      </c>
      <c r="CE12" s="69"/>
      <c r="CF12" s="127"/>
      <c r="CG12" s="74" t="str">
        <f t="shared" si="132"/>
        <v>Spain</v>
      </c>
      <c r="CH12" s="75"/>
      <c r="CI12" s="75"/>
      <c r="CJ12" s="76" t="str">
        <f t="shared" si="133"/>
        <v>Croatia</v>
      </c>
      <c r="CM12" s="77">
        <f t="shared" si="134"/>
        <v>0</v>
      </c>
      <c r="CN12" s="78" t="str">
        <f t="shared" si="135"/>
        <v/>
      </c>
      <c r="CO12" s="69"/>
      <c r="CP12" s="127"/>
      <c r="CQ12" s="74" t="str">
        <f t="shared" si="136"/>
        <v>Spain</v>
      </c>
      <c r="CR12" s="75"/>
      <c r="CS12" s="75"/>
      <c r="CT12" s="76" t="str">
        <f t="shared" si="137"/>
        <v>Croatia</v>
      </c>
      <c r="CW12" s="77">
        <f t="shared" si="138"/>
        <v>0</v>
      </c>
      <c r="CX12" s="78" t="str">
        <f t="shared" si="139"/>
        <v/>
      </c>
      <c r="CY12" s="69"/>
      <c r="CZ12" s="127"/>
      <c r="DA12" s="74" t="str">
        <f t="shared" si="140"/>
        <v>Spain</v>
      </c>
      <c r="DB12" s="75"/>
      <c r="DC12" s="75"/>
      <c r="DD12" s="76" t="str">
        <f t="shared" si="141"/>
        <v>Croatia</v>
      </c>
      <c r="DG12" s="77">
        <f t="shared" si="142"/>
        <v>0</v>
      </c>
      <c r="DH12" s="78" t="str">
        <f t="shared" si="143"/>
        <v/>
      </c>
      <c r="DI12" s="69"/>
    </row>
    <row r="13" spans="1:113" s="43" customFormat="1" ht="15" customHeight="1" x14ac:dyDescent="0.25">
      <c r="A13" s="41">
        <v>18</v>
      </c>
      <c r="B13" s="65"/>
      <c r="C13" s="55">
        <v>4</v>
      </c>
      <c r="D13" s="20" t="s">
        <v>102</v>
      </c>
      <c r="E13" s="157">
        <f t="shared" si="144"/>
        <v>45458.875</v>
      </c>
      <c r="F13" s="158">
        <v>45458.875</v>
      </c>
      <c r="G13" s="72" t="str">
        <f>Matches!G11</f>
        <v>Italy</v>
      </c>
      <c r="H13" s="75">
        <v>2</v>
      </c>
      <c r="I13" s="75">
        <v>1</v>
      </c>
      <c r="J13" s="73" t="str">
        <f>Matches!J11</f>
        <v>Albania</v>
      </c>
      <c r="K13" s="55"/>
      <c r="L13" s="55"/>
      <c r="M13" s="67"/>
      <c r="N13" s="127"/>
      <c r="O13" s="74" t="str">
        <f t="shared" si="104"/>
        <v>Italy</v>
      </c>
      <c r="P13" s="331">
        <v>3</v>
      </c>
      <c r="Q13" s="331">
        <v>0</v>
      </c>
      <c r="R13" s="76" t="str">
        <f t="shared" si="105"/>
        <v>Albania</v>
      </c>
      <c r="U13" s="77">
        <f t="shared" si="106"/>
        <v>0</v>
      </c>
      <c r="V13" s="78">
        <f t="shared" si="107"/>
        <v>2</v>
      </c>
      <c r="W13" s="69"/>
      <c r="X13" s="127"/>
      <c r="Y13" s="74" t="str">
        <f t="shared" si="108"/>
        <v>Italy</v>
      </c>
      <c r="Z13" s="333">
        <v>2</v>
      </c>
      <c r="AA13" s="334">
        <v>0</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4</v>
      </c>
      <c r="AU13" s="75">
        <v>0</v>
      </c>
      <c r="AV13" s="76" t="str">
        <f t="shared" si="117"/>
        <v>Albania</v>
      </c>
      <c r="AY13" s="77">
        <f t="shared" si="118"/>
        <v>0</v>
      </c>
      <c r="AZ13" s="78">
        <f t="shared" si="119"/>
        <v>2</v>
      </c>
      <c r="BA13" s="69"/>
      <c r="BB13" s="127"/>
      <c r="BC13" s="74" t="str">
        <f t="shared" si="120"/>
        <v>Italy</v>
      </c>
      <c r="BD13" s="333">
        <v>3</v>
      </c>
      <c r="BE13" s="334">
        <v>0</v>
      </c>
      <c r="BF13" s="76" t="str">
        <f t="shared" si="121"/>
        <v>Albania</v>
      </c>
      <c r="BI13" s="77">
        <f t="shared" si="122"/>
        <v>0</v>
      </c>
      <c r="BJ13" s="78">
        <f t="shared" si="123"/>
        <v>2</v>
      </c>
      <c r="BK13" s="69"/>
      <c r="BL13" s="127"/>
      <c r="BM13" s="74" t="str">
        <f t="shared" si="124"/>
        <v>Italy</v>
      </c>
      <c r="BN13" s="345">
        <v>3</v>
      </c>
      <c r="BO13" s="346">
        <v>0</v>
      </c>
      <c r="BP13" s="76" t="str">
        <f t="shared" si="125"/>
        <v>Albania</v>
      </c>
      <c r="BS13" s="77">
        <f t="shared" si="126"/>
        <v>0</v>
      </c>
      <c r="BT13" s="78">
        <f t="shared" si="127"/>
        <v>2</v>
      </c>
      <c r="BU13" s="69"/>
      <c r="BV13" s="127"/>
      <c r="BW13" s="74" t="str">
        <f t="shared" si="128"/>
        <v>Italy</v>
      </c>
      <c r="BX13" s="75"/>
      <c r="BY13" s="75"/>
      <c r="BZ13" s="76" t="str">
        <f t="shared" si="129"/>
        <v>Albania</v>
      </c>
      <c r="CC13" s="77">
        <f t="shared" si="130"/>
        <v>0</v>
      </c>
      <c r="CD13" s="78" t="str">
        <f t="shared" si="131"/>
        <v/>
      </c>
      <c r="CE13" s="69"/>
      <c r="CF13" s="127"/>
      <c r="CG13" s="74" t="str">
        <f t="shared" si="132"/>
        <v>Italy</v>
      </c>
      <c r="CH13" s="75"/>
      <c r="CI13" s="75"/>
      <c r="CJ13" s="76" t="str">
        <f t="shared" si="133"/>
        <v>Albania</v>
      </c>
      <c r="CM13" s="77">
        <f t="shared" si="134"/>
        <v>0</v>
      </c>
      <c r="CN13" s="78" t="str">
        <f t="shared" si="135"/>
        <v/>
      </c>
      <c r="CO13" s="69"/>
      <c r="CP13" s="127"/>
      <c r="CQ13" s="74" t="str">
        <f t="shared" si="136"/>
        <v>Italy</v>
      </c>
      <c r="CR13" s="75"/>
      <c r="CS13" s="75"/>
      <c r="CT13" s="76" t="str">
        <f t="shared" si="137"/>
        <v>Albania</v>
      </c>
      <c r="CW13" s="77">
        <f t="shared" si="138"/>
        <v>0</v>
      </c>
      <c r="CX13" s="78" t="str">
        <f t="shared" si="139"/>
        <v/>
      </c>
      <c r="CY13" s="69"/>
      <c r="CZ13" s="127"/>
      <c r="DA13" s="74" t="str">
        <f t="shared" si="140"/>
        <v>Italy</v>
      </c>
      <c r="DB13" s="75"/>
      <c r="DC13" s="75"/>
      <c r="DD13" s="76" t="str">
        <f t="shared" si="141"/>
        <v>Albania</v>
      </c>
      <c r="DG13" s="77">
        <f t="shared" si="142"/>
        <v>0</v>
      </c>
      <c r="DH13" s="78" t="str">
        <f t="shared" si="143"/>
        <v/>
      </c>
      <c r="DI13" s="69"/>
    </row>
    <row r="14" spans="1:113" s="43" customFormat="1" ht="15" customHeight="1" x14ac:dyDescent="0.25">
      <c r="A14" s="41">
        <v>19</v>
      </c>
      <c r="B14" s="65"/>
      <c r="C14" s="55">
        <v>5</v>
      </c>
      <c r="D14" s="20" t="s">
        <v>103</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331">
        <v>1</v>
      </c>
      <c r="Q14" s="331">
        <v>2</v>
      </c>
      <c r="R14" s="76" t="str">
        <f t="shared" si="105"/>
        <v>England</v>
      </c>
      <c r="U14" s="77">
        <f t="shared" si="106"/>
        <v>0</v>
      </c>
      <c r="V14" s="78">
        <f t="shared" si="107"/>
        <v>4</v>
      </c>
      <c r="W14" s="69"/>
      <c r="X14" s="127"/>
      <c r="Y14" s="74" t="str">
        <f t="shared" si="108"/>
        <v>Serbia</v>
      </c>
      <c r="Z14" s="333">
        <v>0</v>
      </c>
      <c r="AA14" s="334">
        <v>1</v>
      </c>
      <c r="AB14" s="76" t="str">
        <f t="shared" si="109"/>
        <v>England</v>
      </c>
      <c r="AE14" s="77">
        <f t="shared" si="110"/>
        <v>1</v>
      </c>
      <c r="AF14" s="78">
        <f t="shared" si="111"/>
        <v>6</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333">
        <v>2</v>
      </c>
      <c r="BE14" s="334">
        <v>2</v>
      </c>
      <c r="BF14" s="76" t="str">
        <f t="shared" si="121"/>
        <v>England</v>
      </c>
      <c r="BI14" s="77">
        <f t="shared" si="122"/>
        <v>0</v>
      </c>
      <c r="BJ14" s="78">
        <f t="shared" si="123"/>
        <v>0</v>
      </c>
      <c r="BK14" s="69"/>
      <c r="BL14" s="127"/>
      <c r="BM14" s="74" t="str">
        <f t="shared" si="124"/>
        <v>Serbia</v>
      </c>
      <c r="BN14" s="345">
        <v>1</v>
      </c>
      <c r="BO14" s="346">
        <v>3</v>
      </c>
      <c r="BP14" s="76" t="str">
        <f t="shared" si="125"/>
        <v>England</v>
      </c>
      <c r="BS14" s="77">
        <f t="shared" si="126"/>
        <v>0</v>
      </c>
      <c r="BT14" s="78">
        <f t="shared" si="127"/>
        <v>2</v>
      </c>
      <c r="BU14" s="69"/>
      <c r="BV14" s="127"/>
      <c r="BW14" s="74" t="str">
        <f t="shared" si="128"/>
        <v>Serbia</v>
      </c>
      <c r="BX14" s="75"/>
      <c r="BY14" s="75"/>
      <c r="BZ14" s="76" t="str">
        <f t="shared" si="129"/>
        <v>England</v>
      </c>
      <c r="CC14" s="77">
        <f t="shared" si="130"/>
        <v>0</v>
      </c>
      <c r="CD14" s="78" t="str">
        <f t="shared" si="131"/>
        <v/>
      </c>
      <c r="CE14" s="69"/>
      <c r="CF14" s="127"/>
      <c r="CG14" s="74" t="str">
        <f t="shared" si="132"/>
        <v>Serbia</v>
      </c>
      <c r="CH14" s="75"/>
      <c r="CI14" s="75"/>
      <c r="CJ14" s="76" t="str">
        <f t="shared" si="133"/>
        <v>England</v>
      </c>
      <c r="CM14" s="77">
        <f t="shared" si="134"/>
        <v>0</v>
      </c>
      <c r="CN14" s="78" t="str">
        <f t="shared" si="135"/>
        <v/>
      </c>
      <c r="CO14" s="69"/>
      <c r="CP14" s="127"/>
      <c r="CQ14" s="74" t="str">
        <f t="shared" si="136"/>
        <v>Serbia</v>
      </c>
      <c r="CR14" s="75"/>
      <c r="CS14" s="75"/>
      <c r="CT14" s="76" t="str">
        <f t="shared" si="137"/>
        <v>England</v>
      </c>
      <c r="CW14" s="77">
        <f t="shared" si="138"/>
        <v>0</v>
      </c>
      <c r="CX14" s="78" t="str">
        <f t="shared" si="139"/>
        <v/>
      </c>
      <c r="CY14" s="69"/>
      <c r="CZ14" s="127"/>
      <c r="DA14" s="74" t="str">
        <f t="shared" si="140"/>
        <v>Serbia</v>
      </c>
      <c r="DB14" s="75"/>
      <c r="DC14" s="75"/>
      <c r="DD14" s="76" t="str">
        <f t="shared" si="141"/>
        <v>England</v>
      </c>
      <c r="DG14" s="77">
        <f t="shared" si="142"/>
        <v>0</v>
      </c>
      <c r="DH14" s="78" t="str">
        <f t="shared" si="143"/>
        <v/>
      </c>
      <c r="DI14" s="69"/>
    </row>
    <row r="15" spans="1:113" s="43" customFormat="1" ht="15" customHeight="1" x14ac:dyDescent="0.25">
      <c r="A15" s="41">
        <v>20</v>
      </c>
      <c r="B15" s="65"/>
      <c r="C15" s="55">
        <v>6</v>
      </c>
      <c r="D15" s="20" t="s">
        <v>103</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331">
        <v>1</v>
      </c>
      <c r="Q15" s="331">
        <v>1</v>
      </c>
      <c r="R15" s="76" t="str">
        <f t="shared" si="105"/>
        <v>Denmark</v>
      </c>
      <c r="U15" s="77">
        <f t="shared" si="106"/>
        <v>1</v>
      </c>
      <c r="V15" s="78">
        <f t="shared" si="107"/>
        <v>6</v>
      </c>
      <c r="W15" s="69"/>
      <c r="X15" s="127"/>
      <c r="Y15" s="74" t="str">
        <f t="shared" si="108"/>
        <v>Slovenia</v>
      </c>
      <c r="Z15" s="333">
        <v>1</v>
      </c>
      <c r="AA15" s="334">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1</v>
      </c>
      <c r="AU15" s="75">
        <v>2</v>
      </c>
      <c r="AV15" s="76" t="str">
        <f t="shared" si="117"/>
        <v>Denmark</v>
      </c>
      <c r="AY15" s="77">
        <f t="shared" si="118"/>
        <v>0</v>
      </c>
      <c r="AZ15" s="78">
        <f t="shared" si="119"/>
        <v>0</v>
      </c>
      <c r="BA15" s="69"/>
      <c r="BB15" s="127"/>
      <c r="BC15" s="74" t="str">
        <f t="shared" si="120"/>
        <v>Slovenia</v>
      </c>
      <c r="BD15" s="333">
        <v>1</v>
      </c>
      <c r="BE15" s="334">
        <v>2</v>
      </c>
      <c r="BF15" s="76" t="str">
        <f t="shared" si="121"/>
        <v>Denmark</v>
      </c>
      <c r="BI15" s="77">
        <f t="shared" si="122"/>
        <v>0</v>
      </c>
      <c r="BJ15" s="78">
        <f t="shared" si="123"/>
        <v>0</v>
      </c>
      <c r="BK15" s="69"/>
      <c r="BL15" s="127"/>
      <c r="BM15" s="74" t="str">
        <f t="shared" si="124"/>
        <v>Slovenia</v>
      </c>
      <c r="BN15" s="345">
        <v>0</v>
      </c>
      <c r="BO15" s="346">
        <v>2</v>
      </c>
      <c r="BP15" s="76" t="str">
        <f t="shared" si="125"/>
        <v>Denmark</v>
      </c>
      <c r="BS15" s="77">
        <f t="shared" si="126"/>
        <v>0</v>
      </c>
      <c r="BT15" s="78">
        <f t="shared" si="127"/>
        <v>0</v>
      </c>
      <c r="BU15" s="69"/>
      <c r="BV15" s="127"/>
      <c r="BW15" s="74" t="str">
        <f t="shared" si="128"/>
        <v>Slovenia</v>
      </c>
      <c r="BX15" s="75"/>
      <c r="BY15" s="75"/>
      <c r="BZ15" s="76" t="str">
        <f t="shared" si="129"/>
        <v>Denmark</v>
      </c>
      <c r="CC15" s="77">
        <f t="shared" si="130"/>
        <v>0</v>
      </c>
      <c r="CD15" s="78" t="str">
        <f t="shared" si="131"/>
        <v/>
      </c>
      <c r="CE15" s="69"/>
      <c r="CF15" s="127"/>
      <c r="CG15" s="74" t="str">
        <f t="shared" si="132"/>
        <v>Slovenia</v>
      </c>
      <c r="CH15" s="75"/>
      <c r="CI15" s="75"/>
      <c r="CJ15" s="76" t="str">
        <f t="shared" si="133"/>
        <v>Denmark</v>
      </c>
      <c r="CM15" s="77">
        <f t="shared" si="134"/>
        <v>0</v>
      </c>
      <c r="CN15" s="78" t="str">
        <f t="shared" si="135"/>
        <v/>
      </c>
      <c r="CO15" s="69"/>
      <c r="CP15" s="127"/>
      <c r="CQ15" s="74" t="str">
        <f t="shared" si="136"/>
        <v>Slovenia</v>
      </c>
      <c r="CR15" s="75"/>
      <c r="CS15" s="75"/>
      <c r="CT15" s="76" t="str">
        <f t="shared" si="137"/>
        <v>Denmark</v>
      </c>
      <c r="CW15" s="77">
        <f t="shared" si="138"/>
        <v>0</v>
      </c>
      <c r="CX15" s="78" t="str">
        <f t="shared" si="139"/>
        <v/>
      </c>
      <c r="CY15" s="69"/>
      <c r="CZ15" s="127"/>
      <c r="DA15" s="74" t="str">
        <f t="shared" si="140"/>
        <v>Slovenia</v>
      </c>
      <c r="DB15" s="75"/>
      <c r="DC15" s="75"/>
      <c r="DD15" s="76" t="str">
        <f t="shared" si="141"/>
        <v>Denmark</v>
      </c>
      <c r="DG15" s="77">
        <f t="shared" si="142"/>
        <v>0</v>
      </c>
      <c r="DH15" s="78" t="str">
        <f t="shared" si="143"/>
        <v/>
      </c>
      <c r="DI15" s="69"/>
    </row>
    <row r="16" spans="1:113" s="43" customFormat="1" ht="15" customHeight="1" x14ac:dyDescent="0.25">
      <c r="A16" s="41">
        <v>21</v>
      </c>
      <c r="B16" s="65"/>
      <c r="C16" s="55">
        <v>7</v>
      </c>
      <c r="D16" s="20" t="s">
        <v>104</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331">
        <v>0</v>
      </c>
      <c r="Q16" s="331">
        <v>2</v>
      </c>
      <c r="R16" s="76" t="str">
        <f t="shared" si="105"/>
        <v>Netherlands</v>
      </c>
      <c r="U16" s="77">
        <f t="shared" si="106"/>
        <v>0</v>
      </c>
      <c r="V16" s="78">
        <f t="shared" si="107"/>
        <v>2</v>
      </c>
      <c r="W16" s="69"/>
      <c r="X16" s="127"/>
      <c r="Y16" s="74" t="str">
        <f t="shared" si="108"/>
        <v>Poland</v>
      </c>
      <c r="Z16" s="333">
        <v>2</v>
      </c>
      <c r="AA16" s="334">
        <v>2</v>
      </c>
      <c r="AB16" s="76" t="str">
        <f t="shared" si="109"/>
        <v>Netherlands</v>
      </c>
      <c r="AE16" s="77">
        <f t="shared" si="110"/>
        <v>0</v>
      </c>
      <c r="AF16" s="78">
        <f t="shared" si="111"/>
        <v>0</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0</v>
      </c>
      <c r="AV16" s="76" t="str">
        <f t="shared" si="117"/>
        <v>Netherlands</v>
      </c>
      <c r="AY16" s="77">
        <f t="shared" si="118"/>
        <v>0</v>
      </c>
      <c r="AZ16" s="78">
        <f t="shared" si="119"/>
        <v>0</v>
      </c>
      <c r="BA16" s="69"/>
      <c r="BB16" s="127"/>
      <c r="BC16" s="74" t="str">
        <f t="shared" si="120"/>
        <v>Poland</v>
      </c>
      <c r="BD16" s="333">
        <v>1</v>
      </c>
      <c r="BE16" s="334">
        <v>1</v>
      </c>
      <c r="BF16" s="76" t="str">
        <f t="shared" si="121"/>
        <v>Netherlands</v>
      </c>
      <c r="BI16" s="77">
        <f t="shared" si="122"/>
        <v>0</v>
      </c>
      <c r="BJ16" s="78">
        <f t="shared" si="123"/>
        <v>0</v>
      </c>
      <c r="BK16" s="69"/>
      <c r="BL16" s="127"/>
      <c r="BM16" s="74" t="str">
        <f t="shared" si="124"/>
        <v>Poland</v>
      </c>
      <c r="BN16" s="345">
        <v>1</v>
      </c>
      <c r="BO16" s="346">
        <v>2</v>
      </c>
      <c r="BP16" s="76" t="str">
        <f t="shared" si="125"/>
        <v>Netherlands</v>
      </c>
      <c r="BS16" s="77">
        <f t="shared" si="126"/>
        <v>1</v>
      </c>
      <c r="BT16" s="78">
        <f t="shared" si="127"/>
        <v>6</v>
      </c>
      <c r="BU16" s="69"/>
      <c r="BV16" s="127"/>
      <c r="BW16" s="74" t="str">
        <f t="shared" si="128"/>
        <v>Poland</v>
      </c>
      <c r="BX16" s="75"/>
      <c r="BY16" s="75"/>
      <c r="BZ16" s="76" t="str">
        <f t="shared" si="129"/>
        <v>Netherlands</v>
      </c>
      <c r="CC16" s="77">
        <f t="shared" si="130"/>
        <v>0</v>
      </c>
      <c r="CD16" s="78" t="str">
        <f t="shared" si="131"/>
        <v/>
      </c>
      <c r="CE16" s="69"/>
      <c r="CF16" s="127"/>
      <c r="CG16" s="74" t="str">
        <f t="shared" si="132"/>
        <v>Poland</v>
      </c>
      <c r="CH16" s="75"/>
      <c r="CI16" s="75"/>
      <c r="CJ16" s="76" t="str">
        <f t="shared" si="133"/>
        <v>Netherlands</v>
      </c>
      <c r="CM16" s="77">
        <f t="shared" si="134"/>
        <v>0</v>
      </c>
      <c r="CN16" s="78" t="str">
        <f t="shared" si="135"/>
        <v/>
      </c>
      <c r="CO16" s="69"/>
      <c r="CP16" s="127"/>
      <c r="CQ16" s="74" t="str">
        <f t="shared" si="136"/>
        <v>Poland</v>
      </c>
      <c r="CR16" s="75"/>
      <c r="CS16" s="75"/>
      <c r="CT16" s="76" t="str">
        <f t="shared" si="137"/>
        <v>Netherlands</v>
      </c>
      <c r="CW16" s="77">
        <f t="shared" si="138"/>
        <v>0</v>
      </c>
      <c r="CX16" s="78" t="str">
        <f t="shared" si="139"/>
        <v/>
      </c>
      <c r="CY16" s="69"/>
      <c r="CZ16" s="127"/>
      <c r="DA16" s="74" t="str">
        <f t="shared" si="140"/>
        <v>Poland</v>
      </c>
      <c r="DB16" s="75"/>
      <c r="DC16" s="75"/>
      <c r="DD16" s="76" t="str">
        <f t="shared" si="141"/>
        <v>Netherlands</v>
      </c>
      <c r="DG16" s="77">
        <f t="shared" si="142"/>
        <v>0</v>
      </c>
      <c r="DH16" s="78" t="str">
        <f t="shared" si="143"/>
        <v/>
      </c>
      <c r="DI16" s="69"/>
    </row>
    <row r="17" spans="1:113" s="43" customFormat="1" ht="15" customHeight="1" x14ac:dyDescent="0.25">
      <c r="A17" s="41">
        <v>22</v>
      </c>
      <c r="B17" s="65"/>
      <c r="C17" s="55">
        <v>8</v>
      </c>
      <c r="D17" s="20" t="s">
        <v>104</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331">
        <v>2</v>
      </c>
      <c r="Q17" s="331">
        <v>2</v>
      </c>
      <c r="R17" s="76" t="str">
        <f t="shared" si="105"/>
        <v>France</v>
      </c>
      <c r="U17" s="77">
        <f t="shared" si="106"/>
        <v>0</v>
      </c>
      <c r="V17" s="78">
        <f t="shared" si="107"/>
        <v>0</v>
      </c>
      <c r="W17" s="69"/>
      <c r="X17" s="127"/>
      <c r="Y17" s="74" t="str">
        <f t="shared" si="108"/>
        <v>Austria</v>
      </c>
      <c r="Z17" s="333">
        <v>0</v>
      </c>
      <c r="AA17" s="334">
        <v>2</v>
      </c>
      <c r="AB17" s="76" t="str">
        <f t="shared" si="109"/>
        <v>France</v>
      </c>
      <c r="AE17" s="77">
        <f t="shared" si="110"/>
        <v>0</v>
      </c>
      <c r="AF17" s="78">
        <f t="shared" si="111"/>
        <v>2</v>
      </c>
      <c r="AG17" s="69"/>
      <c r="AH17" s="127"/>
      <c r="AI17" s="74" t="str">
        <f t="shared" si="112"/>
        <v>Austria</v>
      </c>
      <c r="AJ17" s="75">
        <v>0</v>
      </c>
      <c r="AK17" s="75">
        <v>2</v>
      </c>
      <c r="AL17" s="76" t="str">
        <f t="shared" si="113"/>
        <v>France</v>
      </c>
      <c r="AO17" s="77">
        <f t="shared" si="114"/>
        <v>0</v>
      </c>
      <c r="AP17" s="78">
        <f t="shared" si="115"/>
        <v>2</v>
      </c>
      <c r="AQ17" s="69"/>
      <c r="AR17" s="127"/>
      <c r="AS17" s="74" t="str">
        <f t="shared" si="116"/>
        <v>Austria</v>
      </c>
      <c r="AT17" s="75">
        <v>0</v>
      </c>
      <c r="AU17" s="75">
        <v>2</v>
      </c>
      <c r="AV17" s="76" t="str">
        <f t="shared" si="117"/>
        <v>France</v>
      </c>
      <c r="AY17" s="77">
        <f t="shared" si="118"/>
        <v>0</v>
      </c>
      <c r="AZ17" s="78">
        <f t="shared" si="119"/>
        <v>2</v>
      </c>
      <c r="BA17" s="69"/>
      <c r="BB17" s="127"/>
      <c r="BC17" s="74" t="str">
        <f t="shared" si="120"/>
        <v>Austria</v>
      </c>
      <c r="BD17" s="333">
        <v>0</v>
      </c>
      <c r="BE17" s="334">
        <v>2</v>
      </c>
      <c r="BF17" s="76" t="str">
        <f t="shared" si="121"/>
        <v>France</v>
      </c>
      <c r="BI17" s="77">
        <f t="shared" si="122"/>
        <v>0</v>
      </c>
      <c r="BJ17" s="78">
        <f t="shared" si="123"/>
        <v>2</v>
      </c>
      <c r="BK17" s="69"/>
      <c r="BL17" s="127"/>
      <c r="BM17" s="74" t="str">
        <f t="shared" si="124"/>
        <v>Austria</v>
      </c>
      <c r="BN17" s="345">
        <v>0</v>
      </c>
      <c r="BO17" s="346">
        <v>3</v>
      </c>
      <c r="BP17" s="76" t="str">
        <f t="shared" si="125"/>
        <v>France</v>
      </c>
      <c r="BS17" s="77">
        <f t="shared" si="126"/>
        <v>0</v>
      </c>
      <c r="BT17" s="78">
        <f t="shared" si="127"/>
        <v>2</v>
      </c>
      <c r="BU17" s="69"/>
      <c r="BV17" s="127"/>
      <c r="BW17" s="74" t="str">
        <f t="shared" si="128"/>
        <v>Austria</v>
      </c>
      <c r="BX17" s="75"/>
      <c r="BY17" s="75"/>
      <c r="BZ17" s="76" t="str">
        <f t="shared" si="129"/>
        <v>France</v>
      </c>
      <c r="CC17" s="77">
        <f t="shared" si="130"/>
        <v>0</v>
      </c>
      <c r="CD17" s="78" t="str">
        <f t="shared" si="131"/>
        <v/>
      </c>
      <c r="CE17" s="69"/>
      <c r="CF17" s="127"/>
      <c r="CG17" s="74" t="str">
        <f t="shared" si="132"/>
        <v>Austria</v>
      </c>
      <c r="CH17" s="75"/>
      <c r="CI17" s="75"/>
      <c r="CJ17" s="76" t="str">
        <f t="shared" si="133"/>
        <v>France</v>
      </c>
      <c r="CM17" s="77">
        <f t="shared" si="134"/>
        <v>0</v>
      </c>
      <c r="CN17" s="78" t="str">
        <f t="shared" si="135"/>
        <v/>
      </c>
      <c r="CO17" s="69"/>
      <c r="CP17" s="127"/>
      <c r="CQ17" s="74" t="str">
        <f t="shared" si="136"/>
        <v>Austria</v>
      </c>
      <c r="CR17" s="75"/>
      <c r="CS17" s="75"/>
      <c r="CT17" s="76" t="str">
        <f t="shared" si="137"/>
        <v>France</v>
      </c>
      <c r="CW17" s="77">
        <f t="shared" si="138"/>
        <v>0</v>
      </c>
      <c r="CX17" s="78" t="str">
        <f t="shared" si="139"/>
        <v/>
      </c>
      <c r="CY17" s="69"/>
      <c r="CZ17" s="127"/>
      <c r="DA17" s="74" t="str">
        <f t="shared" si="140"/>
        <v>Austria</v>
      </c>
      <c r="DB17" s="75"/>
      <c r="DC17" s="75"/>
      <c r="DD17" s="76" t="str">
        <f t="shared" si="141"/>
        <v>France</v>
      </c>
      <c r="DG17" s="77">
        <f t="shared" si="142"/>
        <v>0</v>
      </c>
      <c r="DH17" s="78" t="str">
        <f t="shared" si="143"/>
        <v/>
      </c>
      <c r="DI17" s="69"/>
    </row>
    <row r="18" spans="1:113" s="43" customFormat="1" ht="15" customHeight="1" x14ac:dyDescent="0.25">
      <c r="A18" s="41">
        <v>23</v>
      </c>
      <c r="B18" s="65"/>
      <c r="C18" s="55">
        <v>9</v>
      </c>
      <c r="D18" s="20" t="s">
        <v>105</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331">
        <v>2</v>
      </c>
      <c r="Q18" s="331">
        <v>1</v>
      </c>
      <c r="R18" s="76" t="str">
        <f t="shared" si="105"/>
        <v>Slovakia</v>
      </c>
      <c r="U18" s="77">
        <f t="shared" si="106"/>
        <v>0</v>
      </c>
      <c r="V18" s="78">
        <f t="shared" si="107"/>
        <v>0</v>
      </c>
      <c r="W18" s="69"/>
      <c r="X18" s="127"/>
      <c r="Y18" s="74" t="str">
        <f t="shared" si="108"/>
        <v>Belgium</v>
      </c>
      <c r="Z18" s="333">
        <v>2</v>
      </c>
      <c r="AA18" s="334">
        <v>1</v>
      </c>
      <c r="AB18" s="76" t="str">
        <f t="shared" si="109"/>
        <v>Slovakia</v>
      </c>
      <c r="AE18" s="77">
        <f t="shared" si="110"/>
        <v>0</v>
      </c>
      <c r="AF18" s="78">
        <f t="shared" si="111"/>
        <v>0</v>
      </c>
      <c r="AG18" s="69"/>
      <c r="AH18" s="127"/>
      <c r="AI18" s="74" t="str">
        <f t="shared" si="112"/>
        <v>Belgium</v>
      </c>
      <c r="AJ18" s="75">
        <v>0</v>
      </c>
      <c r="AK18" s="75">
        <v>0</v>
      </c>
      <c r="AL18" s="76" t="str">
        <f t="shared" si="113"/>
        <v>Slovakia</v>
      </c>
      <c r="AO18" s="77">
        <f t="shared" si="114"/>
        <v>0</v>
      </c>
      <c r="AP18" s="78">
        <f t="shared" si="115"/>
        <v>0</v>
      </c>
      <c r="AQ18" s="69"/>
      <c r="AR18" s="127"/>
      <c r="AS18" s="74" t="str">
        <f t="shared" si="116"/>
        <v>Belgium</v>
      </c>
      <c r="AT18" s="75">
        <v>3</v>
      </c>
      <c r="AU18" s="75">
        <v>1</v>
      </c>
      <c r="AV18" s="76" t="str">
        <f t="shared" si="117"/>
        <v>Slovakia</v>
      </c>
      <c r="AY18" s="77">
        <f t="shared" si="118"/>
        <v>0</v>
      </c>
      <c r="AZ18" s="78">
        <f t="shared" si="119"/>
        <v>0</v>
      </c>
      <c r="BA18" s="69"/>
      <c r="BB18" s="127"/>
      <c r="BC18" s="74" t="str">
        <f t="shared" si="120"/>
        <v>Belgium</v>
      </c>
      <c r="BD18" s="333">
        <v>1</v>
      </c>
      <c r="BE18" s="334">
        <v>0</v>
      </c>
      <c r="BF18" s="76" t="str">
        <f t="shared" si="121"/>
        <v>Slovakia</v>
      </c>
      <c r="BI18" s="77">
        <f t="shared" si="122"/>
        <v>0</v>
      </c>
      <c r="BJ18" s="78">
        <f t="shared" si="123"/>
        <v>0</v>
      </c>
      <c r="BK18" s="69"/>
      <c r="BL18" s="127"/>
      <c r="BM18" s="74" t="str">
        <f t="shared" si="124"/>
        <v>Belgium</v>
      </c>
      <c r="BN18" s="345">
        <v>3</v>
      </c>
      <c r="BO18" s="346">
        <v>1</v>
      </c>
      <c r="BP18" s="76" t="str">
        <f t="shared" si="125"/>
        <v>Slovakia</v>
      </c>
      <c r="BS18" s="77">
        <f t="shared" si="126"/>
        <v>0</v>
      </c>
      <c r="BT18" s="78">
        <f t="shared" si="127"/>
        <v>0</v>
      </c>
      <c r="BU18" s="69"/>
      <c r="BV18" s="127"/>
      <c r="BW18" s="74" t="str">
        <f t="shared" si="128"/>
        <v>Belgium</v>
      </c>
      <c r="BX18" s="75"/>
      <c r="BY18" s="75"/>
      <c r="BZ18" s="76" t="str">
        <f t="shared" si="129"/>
        <v>Slovakia</v>
      </c>
      <c r="CC18" s="77">
        <f t="shared" si="130"/>
        <v>0</v>
      </c>
      <c r="CD18" s="78" t="str">
        <f t="shared" si="131"/>
        <v/>
      </c>
      <c r="CE18" s="69"/>
      <c r="CF18" s="127"/>
      <c r="CG18" s="74" t="str">
        <f t="shared" si="132"/>
        <v>Belgium</v>
      </c>
      <c r="CH18" s="75"/>
      <c r="CI18" s="75"/>
      <c r="CJ18" s="76" t="str">
        <f t="shared" si="133"/>
        <v>Slovakia</v>
      </c>
      <c r="CM18" s="77">
        <f t="shared" si="134"/>
        <v>0</v>
      </c>
      <c r="CN18" s="78" t="str">
        <f t="shared" si="135"/>
        <v/>
      </c>
      <c r="CO18" s="69"/>
      <c r="CP18" s="127"/>
      <c r="CQ18" s="74" t="str">
        <f t="shared" si="136"/>
        <v>Belgium</v>
      </c>
      <c r="CR18" s="75"/>
      <c r="CS18" s="75"/>
      <c r="CT18" s="76" t="str">
        <f t="shared" si="137"/>
        <v>Slovakia</v>
      </c>
      <c r="CW18" s="77">
        <f t="shared" si="138"/>
        <v>0</v>
      </c>
      <c r="CX18" s="78" t="str">
        <f t="shared" si="139"/>
        <v/>
      </c>
      <c r="CY18" s="69"/>
      <c r="CZ18" s="127"/>
      <c r="DA18" s="74" t="str">
        <f t="shared" si="140"/>
        <v>Belgium</v>
      </c>
      <c r="DB18" s="75"/>
      <c r="DC18" s="75"/>
      <c r="DD18" s="76" t="str">
        <f t="shared" si="141"/>
        <v>Slovakia</v>
      </c>
      <c r="DG18" s="77">
        <f t="shared" si="142"/>
        <v>0</v>
      </c>
      <c r="DH18" s="78" t="str">
        <f t="shared" si="143"/>
        <v/>
      </c>
      <c r="DI18" s="69"/>
    </row>
    <row r="19" spans="1:113" s="43" customFormat="1" ht="15" customHeight="1" x14ac:dyDescent="0.25">
      <c r="A19" s="41">
        <v>24</v>
      </c>
      <c r="B19" s="65"/>
      <c r="C19" s="55">
        <v>10</v>
      </c>
      <c r="D19" s="20" t="s">
        <v>105</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331">
        <v>1</v>
      </c>
      <c r="Q19" s="331">
        <v>1</v>
      </c>
      <c r="R19" s="76" t="str">
        <f t="shared" si="105"/>
        <v>Ukraine</v>
      </c>
      <c r="U19" s="77">
        <f t="shared" si="106"/>
        <v>0</v>
      </c>
      <c r="V19" s="78">
        <f t="shared" si="107"/>
        <v>0</v>
      </c>
      <c r="W19" s="69"/>
      <c r="X19" s="127"/>
      <c r="Y19" s="74" t="str">
        <f t="shared" si="108"/>
        <v>Romania</v>
      </c>
      <c r="Z19" s="333">
        <v>2</v>
      </c>
      <c r="AA19" s="334">
        <v>2</v>
      </c>
      <c r="AB19" s="76" t="str">
        <f t="shared" si="109"/>
        <v>Ukraine</v>
      </c>
      <c r="AE19" s="77">
        <f t="shared" si="110"/>
        <v>0</v>
      </c>
      <c r="AF19" s="78">
        <f t="shared" si="111"/>
        <v>0</v>
      </c>
      <c r="AG19" s="69"/>
      <c r="AH19" s="127"/>
      <c r="AI19" s="74" t="str">
        <f t="shared" si="112"/>
        <v>Romania</v>
      </c>
      <c r="AJ19" s="75">
        <v>1</v>
      </c>
      <c r="AK19" s="75">
        <v>1</v>
      </c>
      <c r="AL19" s="76" t="str">
        <f t="shared" si="113"/>
        <v>Ukraine</v>
      </c>
      <c r="AO19" s="77">
        <f t="shared" si="114"/>
        <v>0</v>
      </c>
      <c r="AP19" s="78">
        <f t="shared" si="115"/>
        <v>0</v>
      </c>
      <c r="AQ19" s="69"/>
      <c r="AR19" s="127"/>
      <c r="AS19" s="74" t="str">
        <f t="shared" si="116"/>
        <v>Romania</v>
      </c>
      <c r="AT19" s="75">
        <v>0</v>
      </c>
      <c r="AU19" s="75">
        <v>0</v>
      </c>
      <c r="AV19" s="76" t="str">
        <f t="shared" si="117"/>
        <v>Ukraine</v>
      </c>
      <c r="AY19" s="77">
        <f t="shared" si="118"/>
        <v>0</v>
      </c>
      <c r="AZ19" s="78">
        <f t="shared" si="119"/>
        <v>0</v>
      </c>
      <c r="BA19" s="69"/>
      <c r="BB19" s="127"/>
      <c r="BC19" s="74" t="str">
        <f t="shared" si="120"/>
        <v>Romania</v>
      </c>
      <c r="BD19" s="333">
        <v>1</v>
      </c>
      <c r="BE19" s="334">
        <v>1</v>
      </c>
      <c r="BF19" s="76" t="str">
        <f t="shared" si="121"/>
        <v>Ukraine</v>
      </c>
      <c r="BI19" s="77">
        <f t="shared" si="122"/>
        <v>0</v>
      </c>
      <c r="BJ19" s="78">
        <f t="shared" si="123"/>
        <v>0</v>
      </c>
      <c r="BK19" s="69"/>
      <c r="BL19" s="127"/>
      <c r="BM19" s="74" t="str">
        <f t="shared" si="124"/>
        <v>Romania</v>
      </c>
      <c r="BN19" s="345">
        <v>1</v>
      </c>
      <c r="BO19" s="346">
        <v>2</v>
      </c>
      <c r="BP19" s="76" t="str">
        <f t="shared" si="125"/>
        <v>Ukraine</v>
      </c>
      <c r="BS19" s="77">
        <f t="shared" si="126"/>
        <v>0</v>
      </c>
      <c r="BT19" s="78">
        <f t="shared" si="127"/>
        <v>0</v>
      </c>
      <c r="BU19" s="69"/>
      <c r="BV19" s="127"/>
      <c r="BW19" s="74" t="str">
        <f t="shared" si="128"/>
        <v>Romania</v>
      </c>
      <c r="BX19" s="75"/>
      <c r="BY19" s="75"/>
      <c r="BZ19" s="76" t="str">
        <f t="shared" si="129"/>
        <v>Ukraine</v>
      </c>
      <c r="CC19" s="77">
        <f t="shared" si="130"/>
        <v>0</v>
      </c>
      <c r="CD19" s="78" t="str">
        <f t="shared" si="131"/>
        <v/>
      </c>
      <c r="CE19" s="69"/>
      <c r="CF19" s="127"/>
      <c r="CG19" s="74" t="str">
        <f t="shared" si="132"/>
        <v>Romania</v>
      </c>
      <c r="CH19" s="75"/>
      <c r="CI19" s="75"/>
      <c r="CJ19" s="76" t="str">
        <f t="shared" si="133"/>
        <v>Ukraine</v>
      </c>
      <c r="CM19" s="77">
        <f t="shared" si="134"/>
        <v>0</v>
      </c>
      <c r="CN19" s="78" t="str">
        <f t="shared" si="135"/>
        <v/>
      </c>
      <c r="CO19" s="69"/>
      <c r="CP19" s="127"/>
      <c r="CQ19" s="74" t="str">
        <f t="shared" si="136"/>
        <v>Romania</v>
      </c>
      <c r="CR19" s="75"/>
      <c r="CS19" s="75"/>
      <c r="CT19" s="76" t="str">
        <f t="shared" si="137"/>
        <v>Ukraine</v>
      </c>
      <c r="CW19" s="77">
        <f t="shared" si="138"/>
        <v>0</v>
      </c>
      <c r="CX19" s="78" t="str">
        <f t="shared" si="139"/>
        <v/>
      </c>
      <c r="CY19" s="69"/>
      <c r="CZ19" s="127"/>
      <c r="DA19" s="74" t="str">
        <f t="shared" si="140"/>
        <v>Romania</v>
      </c>
      <c r="DB19" s="75"/>
      <c r="DC19" s="75"/>
      <c r="DD19" s="76" t="str">
        <f t="shared" si="141"/>
        <v>Ukraine</v>
      </c>
      <c r="DG19" s="77">
        <f t="shared" si="142"/>
        <v>0</v>
      </c>
      <c r="DH19" s="78" t="str">
        <f t="shared" si="143"/>
        <v/>
      </c>
      <c r="DI19" s="69"/>
    </row>
    <row r="20" spans="1:113" s="43" customFormat="1" ht="15" customHeight="1" x14ac:dyDescent="0.25">
      <c r="A20" s="41">
        <v>25</v>
      </c>
      <c r="B20" s="65"/>
      <c r="C20" s="55">
        <v>11</v>
      </c>
      <c r="D20" s="20" t="s">
        <v>106</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331">
        <v>5</v>
      </c>
      <c r="Q20" s="331">
        <v>0</v>
      </c>
      <c r="R20" s="76" t="str">
        <f t="shared" si="105"/>
        <v>Georgia</v>
      </c>
      <c r="U20" s="77">
        <f t="shared" si="106"/>
        <v>0</v>
      </c>
      <c r="V20" s="78">
        <f t="shared" si="107"/>
        <v>2</v>
      </c>
      <c r="W20" s="69"/>
      <c r="X20" s="127"/>
      <c r="Y20" s="74" t="str">
        <f t="shared" si="108"/>
        <v>Türkiye</v>
      </c>
      <c r="Z20" s="333">
        <v>2</v>
      </c>
      <c r="AA20" s="334">
        <v>2</v>
      </c>
      <c r="AB20" s="76" t="str">
        <f t="shared" si="109"/>
        <v>Georgia</v>
      </c>
      <c r="AE20" s="77">
        <f t="shared" si="110"/>
        <v>0</v>
      </c>
      <c r="AF20" s="78">
        <f t="shared" si="111"/>
        <v>0</v>
      </c>
      <c r="AG20" s="69"/>
      <c r="AH20" s="127"/>
      <c r="AI20" s="74" t="str">
        <f t="shared" si="112"/>
        <v>Türkiye</v>
      </c>
      <c r="AJ20" s="75">
        <v>2</v>
      </c>
      <c r="AK20" s="75">
        <v>0</v>
      </c>
      <c r="AL20" s="76" t="str">
        <f t="shared" si="113"/>
        <v>Georgia</v>
      </c>
      <c r="AO20" s="77">
        <f t="shared" si="114"/>
        <v>0</v>
      </c>
      <c r="AP20" s="78">
        <f t="shared" si="115"/>
        <v>4</v>
      </c>
      <c r="AQ20" s="69"/>
      <c r="AR20" s="127"/>
      <c r="AS20" s="74" t="str">
        <f t="shared" si="116"/>
        <v>Türkiye</v>
      </c>
      <c r="AT20" s="75">
        <v>2</v>
      </c>
      <c r="AU20" s="75">
        <v>0</v>
      </c>
      <c r="AV20" s="76" t="str">
        <f t="shared" si="117"/>
        <v>Georgia</v>
      </c>
      <c r="AY20" s="77">
        <f t="shared" si="118"/>
        <v>0</v>
      </c>
      <c r="AZ20" s="78">
        <f t="shared" si="119"/>
        <v>4</v>
      </c>
      <c r="BA20" s="69"/>
      <c r="BB20" s="127"/>
      <c r="BC20" s="74" t="str">
        <f t="shared" si="120"/>
        <v>Türkiye</v>
      </c>
      <c r="BD20" s="333">
        <v>2</v>
      </c>
      <c r="BE20" s="334">
        <v>0</v>
      </c>
      <c r="BF20" s="76" t="str">
        <f t="shared" si="121"/>
        <v>Georgia</v>
      </c>
      <c r="BI20" s="77">
        <f t="shared" si="122"/>
        <v>0</v>
      </c>
      <c r="BJ20" s="78">
        <f t="shared" si="123"/>
        <v>4</v>
      </c>
      <c r="BK20" s="69"/>
      <c r="BL20" s="127"/>
      <c r="BM20" s="74" t="str">
        <f t="shared" si="124"/>
        <v>Türkiye</v>
      </c>
      <c r="BN20" s="345">
        <v>2</v>
      </c>
      <c r="BO20" s="346">
        <v>1</v>
      </c>
      <c r="BP20" s="76" t="str">
        <f t="shared" si="125"/>
        <v>Georgia</v>
      </c>
      <c r="BS20" s="77">
        <f t="shared" si="126"/>
        <v>0</v>
      </c>
      <c r="BT20" s="78">
        <f t="shared" si="127"/>
        <v>2</v>
      </c>
      <c r="BU20" s="69"/>
      <c r="BV20" s="127"/>
      <c r="BW20" s="74" t="str">
        <f t="shared" si="128"/>
        <v>Türkiye</v>
      </c>
      <c r="BX20" s="75"/>
      <c r="BY20" s="75"/>
      <c r="BZ20" s="76" t="str">
        <f t="shared" si="129"/>
        <v>Georgia</v>
      </c>
      <c r="CC20" s="77">
        <f t="shared" si="130"/>
        <v>0</v>
      </c>
      <c r="CD20" s="78" t="str">
        <f t="shared" si="131"/>
        <v/>
      </c>
      <c r="CE20" s="69"/>
      <c r="CF20" s="127"/>
      <c r="CG20" s="74" t="str">
        <f t="shared" si="132"/>
        <v>Türkiye</v>
      </c>
      <c r="CH20" s="75"/>
      <c r="CI20" s="75"/>
      <c r="CJ20" s="76" t="str">
        <f t="shared" si="133"/>
        <v>Georgia</v>
      </c>
      <c r="CM20" s="77">
        <f t="shared" si="134"/>
        <v>0</v>
      </c>
      <c r="CN20" s="78" t="str">
        <f t="shared" si="135"/>
        <v/>
      </c>
      <c r="CO20" s="69"/>
      <c r="CP20" s="127"/>
      <c r="CQ20" s="74" t="str">
        <f t="shared" si="136"/>
        <v>Türkiye</v>
      </c>
      <c r="CR20" s="75"/>
      <c r="CS20" s="75"/>
      <c r="CT20" s="76" t="str">
        <f t="shared" si="137"/>
        <v>Georgia</v>
      </c>
      <c r="CW20" s="77">
        <f t="shared" si="138"/>
        <v>0</v>
      </c>
      <c r="CX20" s="78" t="str">
        <f t="shared" si="139"/>
        <v/>
      </c>
      <c r="CY20" s="69"/>
      <c r="CZ20" s="127"/>
      <c r="DA20" s="74" t="str">
        <f t="shared" si="140"/>
        <v>Türkiye</v>
      </c>
      <c r="DB20" s="75"/>
      <c r="DC20" s="75"/>
      <c r="DD20" s="76" t="str">
        <f t="shared" si="141"/>
        <v>Georgia</v>
      </c>
      <c r="DG20" s="77">
        <f t="shared" si="142"/>
        <v>0</v>
      </c>
      <c r="DH20" s="78" t="str">
        <f t="shared" si="143"/>
        <v/>
      </c>
      <c r="DI20" s="69"/>
    </row>
    <row r="21" spans="1:113" s="43" customFormat="1" ht="15" customHeight="1" x14ac:dyDescent="0.25">
      <c r="A21" s="41">
        <v>26</v>
      </c>
      <c r="B21" s="65"/>
      <c r="C21" s="55">
        <v>12</v>
      </c>
      <c r="D21" s="20" t="s">
        <v>106</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331">
        <v>3</v>
      </c>
      <c r="Q21" s="331">
        <v>1</v>
      </c>
      <c r="R21" s="76" t="str">
        <f t="shared" si="105"/>
        <v>Czechia</v>
      </c>
      <c r="U21" s="77">
        <f t="shared" si="106"/>
        <v>0</v>
      </c>
      <c r="V21" s="78">
        <f t="shared" si="107"/>
        <v>2</v>
      </c>
      <c r="W21" s="69"/>
      <c r="X21" s="127"/>
      <c r="Y21" s="74" t="str">
        <f t="shared" si="108"/>
        <v>Portugal</v>
      </c>
      <c r="Z21" s="333">
        <v>1</v>
      </c>
      <c r="AA21" s="334">
        <v>3</v>
      </c>
      <c r="AB21" s="76" t="str">
        <f t="shared" si="109"/>
        <v>Czechia</v>
      </c>
      <c r="AE21" s="77">
        <f t="shared" si="110"/>
        <v>0</v>
      </c>
      <c r="AF21" s="78">
        <f t="shared" si="111"/>
        <v>0</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1</v>
      </c>
      <c r="AU21" s="75">
        <v>0</v>
      </c>
      <c r="AV21" s="76" t="str">
        <f t="shared" si="117"/>
        <v>Czechia</v>
      </c>
      <c r="AY21" s="77">
        <f t="shared" si="118"/>
        <v>0</v>
      </c>
      <c r="AZ21" s="78">
        <f t="shared" si="119"/>
        <v>4</v>
      </c>
      <c r="BA21" s="69"/>
      <c r="BB21" s="127"/>
      <c r="BC21" s="74" t="str">
        <f t="shared" si="120"/>
        <v>Portugal</v>
      </c>
      <c r="BD21" s="333">
        <v>3</v>
      </c>
      <c r="BE21" s="334">
        <v>1</v>
      </c>
      <c r="BF21" s="76" t="str">
        <f t="shared" si="121"/>
        <v>Czechia</v>
      </c>
      <c r="BI21" s="77">
        <f t="shared" si="122"/>
        <v>0</v>
      </c>
      <c r="BJ21" s="78">
        <f t="shared" si="123"/>
        <v>2</v>
      </c>
      <c r="BK21" s="69"/>
      <c r="BL21" s="127"/>
      <c r="BM21" s="74" t="str">
        <f t="shared" si="124"/>
        <v>Portugal</v>
      </c>
      <c r="BN21" s="345">
        <v>3</v>
      </c>
      <c r="BO21" s="346">
        <v>2</v>
      </c>
      <c r="BP21" s="76" t="str">
        <f t="shared" si="125"/>
        <v>Czechia</v>
      </c>
      <c r="BS21" s="77">
        <f t="shared" si="126"/>
        <v>0</v>
      </c>
      <c r="BT21" s="78">
        <f t="shared" si="127"/>
        <v>4</v>
      </c>
      <c r="BU21" s="69"/>
      <c r="BV21" s="127"/>
      <c r="BW21" s="74" t="str">
        <f t="shared" si="128"/>
        <v>Portugal</v>
      </c>
      <c r="BX21" s="75"/>
      <c r="BY21" s="75"/>
      <c r="BZ21" s="76" t="str">
        <f t="shared" si="129"/>
        <v>Czechia</v>
      </c>
      <c r="CC21" s="77">
        <f t="shared" si="130"/>
        <v>0</v>
      </c>
      <c r="CD21" s="78" t="str">
        <f t="shared" si="131"/>
        <v/>
      </c>
      <c r="CE21" s="69"/>
      <c r="CF21" s="127"/>
      <c r="CG21" s="74" t="str">
        <f t="shared" si="132"/>
        <v>Portugal</v>
      </c>
      <c r="CH21" s="75"/>
      <c r="CI21" s="75"/>
      <c r="CJ21" s="76" t="str">
        <f t="shared" si="133"/>
        <v>Czechia</v>
      </c>
      <c r="CM21" s="77">
        <f t="shared" si="134"/>
        <v>0</v>
      </c>
      <c r="CN21" s="78" t="str">
        <f t="shared" si="135"/>
        <v/>
      </c>
      <c r="CO21" s="69"/>
      <c r="CP21" s="127"/>
      <c r="CQ21" s="74" t="str">
        <f t="shared" si="136"/>
        <v>Portugal</v>
      </c>
      <c r="CR21" s="75"/>
      <c r="CS21" s="75"/>
      <c r="CT21" s="76" t="str">
        <f t="shared" si="137"/>
        <v>Czechia</v>
      </c>
      <c r="CW21" s="77">
        <f t="shared" si="138"/>
        <v>0</v>
      </c>
      <c r="CX21" s="78" t="str">
        <f t="shared" si="139"/>
        <v/>
      </c>
      <c r="CY21" s="69"/>
      <c r="CZ21" s="127"/>
      <c r="DA21" s="74" t="str">
        <f t="shared" si="140"/>
        <v>Portugal</v>
      </c>
      <c r="DB21" s="75"/>
      <c r="DC21" s="75"/>
      <c r="DD21" s="76" t="str">
        <f t="shared" si="141"/>
        <v>Czechia</v>
      </c>
      <c r="DG21" s="77">
        <f t="shared" si="142"/>
        <v>0</v>
      </c>
      <c r="DH21" s="78" t="str">
        <f t="shared" si="143"/>
        <v/>
      </c>
      <c r="DI21" s="69"/>
    </row>
    <row r="22" spans="1:113" s="43" customFormat="1" ht="15" customHeight="1" x14ac:dyDescent="0.25">
      <c r="A22" s="41">
        <v>27</v>
      </c>
      <c r="B22" s="65"/>
      <c r="C22" s="55">
        <v>13</v>
      </c>
      <c r="D22" s="20" t="s">
        <v>101</v>
      </c>
      <c r="E22" s="157">
        <f t="shared" si="144"/>
        <v>45462.875</v>
      </c>
      <c r="F22" s="158">
        <v>45462.875</v>
      </c>
      <c r="G22" s="72" t="str">
        <f>Matches!G20</f>
        <v>Scotland</v>
      </c>
      <c r="H22" s="75"/>
      <c r="I22" s="75"/>
      <c r="J22" s="73" t="str">
        <f>Matches!J20</f>
        <v>Switzerland</v>
      </c>
      <c r="K22" s="55"/>
      <c r="L22" s="55"/>
      <c r="M22" s="67"/>
      <c r="N22" s="127"/>
      <c r="O22" s="74" t="str">
        <f t="shared" si="104"/>
        <v>Scotland</v>
      </c>
      <c r="P22" s="331">
        <v>2</v>
      </c>
      <c r="Q22" s="331">
        <v>2</v>
      </c>
      <c r="R22" s="76" t="str">
        <f t="shared" si="105"/>
        <v>Switzerland</v>
      </c>
      <c r="U22" s="77">
        <f t="shared" si="106"/>
        <v>0</v>
      </c>
      <c r="V22" s="78" t="str">
        <f t="shared" si="107"/>
        <v/>
      </c>
      <c r="W22" s="69"/>
      <c r="X22" s="127"/>
      <c r="Y22" s="74" t="str">
        <f t="shared" si="108"/>
        <v>Scotland</v>
      </c>
      <c r="Z22" s="333">
        <v>1</v>
      </c>
      <c r="AA22" s="334">
        <v>0</v>
      </c>
      <c r="AB22" s="76" t="str">
        <f t="shared" si="109"/>
        <v>Switzerland</v>
      </c>
      <c r="AE22" s="77">
        <f t="shared" si="110"/>
        <v>0</v>
      </c>
      <c r="AF22" s="78" t="str">
        <f t="shared" si="111"/>
        <v/>
      </c>
      <c r="AG22" s="69"/>
      <c r="AH22" s="127"/>
      <c r="AI22" s="74" t="str">
        <f t="shared" si="112"/>
        <v>Scotland</v>
      </c>
      <c r="AJ22" s="75">
        <v>0</v>
      </c>
      <c r="AK22" s="75">
        <v>0</v>
      </c>
      <c r="AL22" s="76" t="str">
        <f t="shared" si="113"/>
        <v>Switzerland</v>
      </c>
      <c r="AO22" s="77">
        <f t="shared" si="114"/>
        <v>0</v>
      </c>
      <c r="AP22" s="78" t="str">
        <f t="shared" si="115"/>
        <v/>
      </c>
      <c r="AQ22" s="69"/>
      <c r="AR22" s="127"/>
      <c r="AS22" s="74" t="str">
        <f t="shared" si="116"/>
        <v>Scotland</v>
      </c>
      <c r="AT22" s="75">
        <v>1</v>
      </c>
      <c r="AU22" s="75">
        <v>2</v>
      </c>
      <c r="AV22" s="76" t="str">
        <f t="shared" si="117"/>
        <v>Switzerland</v>
      </c>
      <c r="AY22" s="77">
        <f t="shared" si="118"/>
        <v>0</v>
      </c>
      <c r="AZ22" s="78" t="str">
        <f t="shared" si="119"/>
        <v/>
      </c>
      <c r="BA22" s="69"/>
      <c r="BB22" s="127"/>
      <c r="BC22" s="74" t="str">
        <f t="shared" si="120"/>
        <v>Scotland</v>
      </c>
      <c r="BD22" s="333">
        <v>3</v>
      </c>
      <c r="BE22" s="334">
        <v>2</v>
      </c>
      <c r="BF22" s="76" t="str">
        <f t="shared" si="121"/>
        <v>Switzerland</v>
      </c>
      <c r="BI22" s="77">
        <f t="shared" si="122"/>
        <v>0</v>
      </c>
      <c r="BJ22" s="78" t="str">
        <f t="shared" si="123"/>
        <v/>
      </c>
      <c r="BK22" s="69"/>
      <c r="BL22" s="127"/>
      <c r="BM22" s="74" t="str">
        <f t="shared" si="124"/>
        <v>Scotland</v>
      </c>
      <c r="BN22" s="345">
        <v>1</v>
      </c>
      <c r="BO22" s="346">
        <v>1</v>
      </c>
      <c r="BP22" s="76" t="str">
        <f t="shared" si="125"/>
        <v>Switzerland</v>
      </c>
      <c r="BS22" s="77">
        <f t="shared" si="126"/>
        <v>0</v>
      </c>
      <c r="BT22" s="78" t="str">
        <f t="shared" si="127"/>
        <v/>
      </c>
      <c r="BU22" s="69"/>
      <c r="BV22" s="127"/>
      <c r="BW22" s="74" t="str">
        <f t="shared" si="128"/>
        <v>Scotland</v>
      </c>
      <c r="BX22" s="75"/>
      <c r="BY22" s="75"/>
      <c r="BZ22" s="76" t="str">
        <f t="shared" si="129"/>
        <v>Switzerland</v>
      </c>
      <c r="CC22" s="77">
        <f t="shared" si="130"/>
        <v>0</v>
      </c>
      <c r="CD22" s="78" t="str">
        <f t="shared" si="131"/>
        <v/>
      </c>
      <c r="CE22" s="69"/>
      <c r="CF22" s="127"/>
      <c r="CG22" s="74" t="str">
        <f t="shared" si="132"/>
        <v>Scotland</v>
      </c>
      <c r="CH22" s="75"/>
      <c r="CI22" s="75"/>
      <c r="CJ22" s="76" t="str">
        <f t="shared" si="133"/>
        <v>Switzerland</v>
      </c>
      <c r="CM22" s="77">
        <f t="shared" si="134"/>
        <v>0</v>
      </c>
      <c r="CN22" s="78" t="str">
        <f t="shared" si="135"/>
        <v/>
      </c>
      <c r="CO22" s="69"/>
      <c r="CP22" s="127"/>
      <c r="CQ22" s="74" t="str">
        <f t="shared" si="136"/>
        <v>Scotland</v>
      </c>
      <c r="CR22" s="75"/>
      <c r="CS22" s="75"/>
      <c r="CT22" s="76" t="str">
        <f t="shared" si="137"/>
        <v>Switzerland</v>
      </c>
      <c r="CW22" s="77">
        <f t="shared" si="138"/>
        <v>0</v>
      </c>
      <c r="CX22" s="78" t="str">
        <f t="shared" si="139"/>
        <v/>
      </c>
      <c r="CY22" s="69"/>
      <c r="CZ22" s="127"/>
      <c r="DA22" s="74" t="str">
        <f t="shared" si="140"/>
        <v>Scotland</v>
      </c>
      <c r="DB22" s="75"/>
      <c r="DC22" s="75"/>
      <c r="DD22" s="76" t="str">
        <f t="shared" si="141"/>
        <v>Switzerland</v>
      </c>
      <c r="DG22" s="77">
        <f t="shared" si="142"/>
        <v>0</v>
      </c>
      <c r="DH22" s="78" t="str">
        <f t="shared" si="143"/>
        <v/>
      </c>
      <c r="DI22" s="69"/>
    </row>
    <row r="23" spans="1:113" s="43" customFormat="1" ht="15" customHeight="1" x14ac:dyDescent="0.25">
      <c r="A23" s="41">
        <v>28</v>
      </c>
      <c r="B23" s="65"/>
      <c r="C23" s="55">
        <v>14</v>
      </c>
      <c r="D23" s="20" t="s">
        <v>101</v>
      </c>
      <c r="E23" s="157">
        <f t="shared" si="144"/>
        <v>45462.75</v>
      </c>
      <c r="F23" s="158">
        <v>45462.75</v>
      </c>
      <c r="G23" s="72" t="str">
        <f>Matches!G21</f>
        <v>Germany</v>
      </c>
      <c r="H23" s="75"/>
      <c r="I23" s="75"/>
      <c r="J23" s="73" t="str">
        <f>Matches!J21</f>
        <v>Hungary</v>
      </c>
      <c r="K23" s="55"/>
      <c r="L23" s="55"/>
      <c r="M23" s="67"/>
      <c r="N23" s="127"/>
      <c r="O23" s="74" t="str">
        <f t="shared" si="104"/>
        <v>Germany</v>
      </c>
      <c r="P23" s="331">
        <v>3</v>
      </c>
      <c r="Q23" s="331">
        <v>0</v>
      </c>
      <c r="R23" s="76" t="str">
        <f t="shared" si="105"/>
        <v>Hungary</v>
      </c>
      <c r="U23" s="77">
        <f t="shared" si="106"/>
        <v>0</v>
      </c>
      <c r="V23" s="78" t="str">
        <f t="shared" si="107"/>
        <v/>
      </c>
      <c r="W23" s="69"/>
      <c r="X23" s="127"/>
      <c r="Y23" s="74" t="str">
        <f t="shared" si="108"/>
        <v>Germany</v>
      </c>
      <c r="Z23" s="333">
        <v>1</v>
      </c>
      <c r="AA23" s="334">
        <v>1</v>
      </c>
      <c r="AB23" s="76" t="str">
        <f t="shared" si="109"/>
        <v>Hungary</v>
      </c>
      <c r="AE23" s="77">
        <f t="shared" si="110"/>
        <v>0</v>
      </c>
      <c r="AF23" s="78" t="str">
        <f t="shared" si="111"/>
        <v/>
      </c>
      <c r="AG23" s="69"/>
      <c r="AH23" s="127"/>
      <c r="AI23" s="74" t="str">
        <f t="shared" si="112"/>
        <v>Germany</v>
      </c>
      <c r="AJ23" s="75">
        <v>2</v>
      </c>
      <c r="AK23" s="75">
        <v>1</v>
      </c>
      <c r="AL23" s="76" t="str">
        <f t="shared" si="113"/>
        <v>Hungary</v>
      </c>
      <c r="AO23" s="77">
        <f t="shared" si="114"/>
        <v>0</v>
      </c>
      <c r="AP23" s="78" t="str">
        <f t="shared" si="115"/>
        <v/>
      </c>
      <c r="AQ23" s="69"/>
      <c r="AR23" s="127"/>
      <c r="AS23" s="74" t="str">
        <f t="shared" si="116"/>
        <v>Germany</v>
      </c>
      <c r="AT23" s="75">
        <v>3</v>
      </c>
      <c r="AU23" s="75">
        <v>0</v>
      </c>
      <c r="AV23" s="76" t="str">
        <f t="shared" si="117"/>
        <v>Hungary</v>
      </c>
      <c r="AY23" s="77">
        <f t="shared" si="118"/>
        <v>0</v>
      </c>
      <c r="AZ23" s="78" t="str">
        <f t="shared" si="119"/>
        <v/>
      </c>
      <c r="BA23" s="69"/>
      <c r="BB23" s="127"/>
      <c r="BC23" s="74" t="str">
        <f t="shared" si="120"/>
        <v>Germany</v>
      </c>
      <c r="BD23" s="333">
        <v>4</v>
      </c>
      <c r="BE23" s="334">
        <v>0</v>
      </c>
      <c r="BF23" s="76" t="str">
        <f t="shared" si="121"/>
        <v>Hungary</v>
      </c>
      <c r="BI23" s="77">
        <f t="shared" si="122"/>
        <v>0</v>
      </c>
      <c r="BJ23" s="78" t="str">
        <f t="shared" si="123"/>
        <v/>
      </c>
      <c r="BK23" s="69"/>
      <c r="BL23" s="127"/>
      <c r="BM23" s="74" t="str">
        <f t="shared" si="124"/>
        <v>Germany</v>
      </c>
      <c r="BN23" s="345">
        <v>2</v>
      </c>
      <c r="BO23" s="346">
        <v>0</v>
      </c>
      <c r="BP23" s="76" t="str">
        <f t="shared" si="125"/>
        <v>Hungary</v>
      </c>
      <c r="BS23" s="77">
        <f t="shared" si="126"/>
        <v>0</v>
      </c>
      <c r="BT23" s="78" t="str">
        <f t="shared" si="127"/>
        <v/>
      </c>
      <c r="BU23" s="69"/>
      <c r="BV23" s="127"/>
      <c r="BW23" s="74" t="str">
        <f t="shared" si="128"/>
        <v>Germany</v>
      </c>
      <c r="BX23" s="75"/>
      <c r="BY23" s="75"/>
      <c r="BZ23" s="76" t="str">
        <f t="shared" si="129"/>
        <v>Hungary</v>
      </c>
      <c r="CC23" s="77">
        <f t="shared" si="130"/>
        <v>0</v>
      </c>
      <c r="CD23" s="78" t="str">
        <f t="shared" si="131"/>
        <v/>
      </c>
      <c r="CE23" s="69"/>
      <c r="CF23" s="127"/>
      <c r="CG23" s="74" t="str">
        <f t="shared" si="132"/>
        <v>Germany</v>
      </c>
      <c r="CH23" s="75"/>
      <c r="CI23" s="75"/>
      <c r="CJ23" s="76" t="str">
        <f t="shared" si="133"/>
        <v>Hungary</v>
      </c>
      <c r="CM23" s="77">
        <f t="shared" si="134"/>
        <v>0</v>
      </c>
      <c r="CN23" s="78" t="str">
        <f t="shared" si="135"/>
        <v/>
      </c>
      <c r="CO23" s="69"/>
      <c r="CP23" s="127"/>
      <c r="CQ23" s="74" t="str">
        <f t="shared" si="136"/>
        <v>Germany</v>
      </c>
      <c r="CR23" s="75"/>
      <c r="CS23" s="75"/>
      <c r="CT23" s="76" t="str">
        <f t="shared" si="137"/>
        <v>Hungary</v>
      </c>
      <c r="CW23" s="77">
        <f t="shared" si="138"/>
        <v>0</v>
      </c>
      <c r="CX23" s="78" t="str">
        <f t="shared" si="139"/>
        <v/>
      </c>
      <c r="CY23" s="69"/>
      <c r="CZ23" s="127"/>
      <c r="DA23" s="74" t="str">
        <f t="shared" si="140"/>
        <v>Germany</v>
      </c>
      <c r="DB23" s="75"/>
      <c r="DC23" s="75"/>
      <c r="DD23" s="76" t="str">
        <f t="shared" si="141"/>
        <v>Hungary</v>
      </c>
      <c r="DG23" s="77">
        <f t="shared" si="142"/>
        <v>0</v>
      </c>
      <c r="DH23" s="78" t="str">
        <f t="shared" si="143"/>
        <v/>
      </c>
      <c r="DI23" s="69"/>
    </row>
    <row r="24" spans="1:113" s="43" customFormat="1" ht="15" customHeight="1" x14ac:dyDescent="0.25">
      <c r="A24" s="41">
        <v>29</v>
      </c>
      <c r="B24" s="65"/>
      <c r="C24" s="55">
        <v>15</v>
      </c>
      <c r="D24" s="20" t="s">
        <v>102</v>
      </c>
      <c r="E24" s="157">
        <f t="shared" si="144"/>
        <v>45462.625</v>
      </c>
      <c r="F24" s="158">
        <v>45462.625</v>
      </c>
      <c r="G24" s="72" t="str">
        <f>Matches!G22</f>
        <v>Croatia</v>
      </c>
      <c r="H24" s="75"/>
      <c r="I24" s="75"/>
      <c r="J24" s="73" t="str">
        <f>Matches!J22</f>
        <v>Albania</v>
      </c>
      <c r="K24" s="55"/>
      <c r="L24" s="55"/>
      <c r="M24" s="67"/>
      <c r="N24" s="127"/>
      <c r="O24" s="74" t="str">
        <f t="shared" si="104"/>
        <v>Croatia</v>
      </c>
      <c r="P24" s="331">
        <v>2</v>
      </c>
      <c r="Q24" s="331">
        <v>0</v>
      </c>
      <c r="R24" s="76" t="str">
        <f t="shared" si="105"/>
        <v>Albania</v>
      </c>
      <c r="U24" s="77">
        <f t="shared" si="106"/>
        <v>0</v>
      </c>
      <c r="V24" s="78" t="str">
        <f t="shared" si="107"/>
        <v/>
      </c>
      <c r="W24" s="69"/>
      <c r="X24" s="127"/>
      <c r="Y24" s="74" t="str">
        <f t="shared" si="108"/>
        <v>Croatia</v>
      </c>
      <c r="Z24" s="333">
        <v>3</v>
      </c>
      <c r="AA24" s="334">
        <v>0</v>
      </c>
      <c r="AB24" s="76" t="str">
        <f t="shared" si="109"/>
        <v>Albania</v>
      </c>
      <c r="AE24" s="77">
        <f t="shared" si="110"/>
        <v>0</v>
      </c>
      <c r="AF24" s="78" t="str">
        <f t="shared" si="111"/>
        <v/>
      </c>
      <c r="AG24" s="69"/>
      <c r="AH24" s="127"/>
      <c r="AI24" s="74" t="str">
        <f t="shared" si="112"/>
        <v>Croatia</v>
      </c>
      <c r="AJ24" s="75">
        <v>2</v>
      </c>
      <c r="AK24" s="75">
        <v>0</v>
      </c>
      <c r="AL24" s="76" t="str">
        <f t="shared" si="113"/>
        <v>Albania</v>
      </c>
      <c r="AO24" s="77">
        <f t="shared" si="114"/>
        <v>0</v>
      </c>
      <c r="AP24" s="78" t="str">
        <f t="shared" si="115"/>
        <v/>
      </c>
      <c r="AQ24" s="69"/>
      <c r="AR24" s="127"/>
      <c r="AS24" s="74" t="str">
        <f t="shared" si="116"/>
        <v>Croatia</v>
      </c>
      <c r="AT24" s="75">
        <v>2</v>
      </c>
      <c r="AU24" s="75">
        <v>0</v>
      </c>
      <c r="AV24" s="76" t="str">
        <f t="shared" si="117"/>
        <v>Albania</v>
      </c>
      <c r="AY24" s="77">
        <f t="shared" si="118"/>
        <v>0</v>
      </c>
      <c r="AZ24" s="78" t="str">
        <f t="shared" si="119"/>
        <v/>
      </c>
      <c r="BA24" s="69"/>
      <c r="BB24" s="127"/>
      <c r="BC24" s="74" t="str">
        <f t="shared" si="120"/>
        <v>Croatia</v>
      </c>
      <c r="BD24" s="333">
        <v>2</v>
      </c>
      <c r="BE24" s="334">
        <v>0</v>
      </c>
      <c r="BF24" s="76" t="str">
        <f t="shared" si="121"/>
        <v>Albania</v>
      </c>
      <c r="BI24" s="77">
        <f t="shared" si="122"/>
        <v>0</v>
      </c>
      <c r="BJ24" s="78" t="str">
        <f t="shared" si="123"/>
        <v/>
      </c>
      <c r="BK24" s="69"/>
      <c r="BL24" s="127"/>
      <c r="BM24" s="74" t="str">
        <f t="shared" si="124"/>
        <v>Croatia</v>
      </c>
      <c r="BN24" s="345">
        <v>2</v>
      </c>
      <c r="BO24" s="346">
        <v>0</v>
      </c>
      <c r="BP24" s="76" t="str">
        <f t="shared" si="125"/>
        <v>Albania</v>
      </c>
      <c r="BS24" s="77">
        <f t="shared" si="126"/>
        <v>0</v>
      </c>
      <c r="BT24" s="78" t="str">
        <f t="shared" si="127"/>
        <v/>
      </c>
      <c r="BU24" s="69"/>
      <c r="BV24" s="127"/>
      <c r="BW24" s="74" t="str">
        <f t="shared" si="128"/>
        <v>Croatia</v>
      </c>
      <c r="BX24" s="75"/>
      <c r="BY24" s="75"/>
      <c r="BZ24" s="76" t="str">
        <f t="shared" si="129"/>
        <v>Albania</v>
      </c>
      <c r="CC24" s="77">
        <f t="shared" si="130"/>
        <v>0</v>
      </c>
      <c r="CD24" s="78" t="str">
        <f t="shared" si="131"/>
        <v/>
      </c>
      <c r="CE24" s="69"/>
      <c r="CF24" s="127"/>
      <c r="CG24" s="74" t="str">
        <f t="shared" si="132"/>
        <v>Croatia</v>
      </c>
      <c r="CH24" s="75"/>
      <c r="CI24" s="75"/>
      <c r="CJ24" s="76" t="str">
        <f t="shared" si="133"/>
        <v>Albania</v>
      </c>
      <c r="CM24" s="77">
        <f t="shared" si="134"/>
        <v>0</v>
      </c>
      <c r="CN24" s="78" t="str">
        <f t="shared" si="135"/>
        <v/>
      </c>
      <c r="CO24" s="69"/>
      <c r="CP24" s="127"/>
      <c r="CQ24" s="74" t="str">
        <f t="shared" si="136"/>
        <v>Croatia</v>
      </c>
      <c r="CR24" s="75"/>
      <c r="CS24" s="75"/>
      <c r="CT24" s="76" t="str">
        <f t="shared" si="137"/>
        <v>Albania</v>
      </c>
      <c r="CW24" s="77">
        <f t="shared" si="138"/>
        <v>0</v>
      </c>
      <c r="CX24" s="78" t="str">
        <f t="shared" si="139"/>
        <v/>
      </c>
      <c r="CY24" s="69"/>
      <c r="CZ24" s="127"/>
      <c r="DA24" s="74" t="str">
        <f t="shared" si="140"/>
        <v>Croatia</v>
      </c>
      <c r="DB24" s="75"/>
      <c r="DC24" s="75"/>
      <c r="DD24" s="76" t="str">
        <f t="shared" si="141"/>
        <v>Albania</v>
      </c>
      <c r="DG24" s="77">
        <f t="shared" si="142"/>
        <v>0</v>
      </c>
      <c r="DH24" s="78" t="str">
        <f t="shared" si="143"/>
        <v/>
      </c>
      <c r="DI24" s="69"/>
    </row>
    <row r="25" spans="1:113" s="43" customFormat="1" ht="15" customHeight="1" x14ac:dyDescent="0.25">
      <c r="A25" s="41">
        <v>30</v>
      </c>
      <c r="B25" s="65"/>
      <c r="C25" s="55">
        <v>16</v>
      </c>
      <c r="D25" s="20" t="s">
        <v>102</v>
      </c>
      <c r="E25" s="157">
        <f t="shared" si="144"/>
        <v>45463.875</v>
      </c>
      <c r="F25" s="158">
        <v>45463.875</v>
      </c>
      <c r="G25" s="72" t="str">
        <f>Matches!G23</f>
        <v>Spain</v>
      </c>
      <c r="H25" s="75"/>
      <c r="I25" s="75"/>
      <c r="J25" s="73" t="str">
        <f>Matches!J23</f>
        <v>Italy</v>
      </c>
      <c r="K25" s="55"/>
      <c r="L25" s="55"/>
      <c r="M25" s="67"/>
      <c r="N25" s="127"/>
      <c r="O25" s="74" t="str">
        <f t="shared" si="104"/>
        <v>Spain</v>
      </c>
      <c r="P25" s="331">
        <v>2</v>
      </c>
      <c r="Q25" s="331">
        <v>2</v>
      </c>
      <c r="R25" s="76" t="str">
        <f t="shared" si="105"/>
        <v>Italy</v>
      </c>
      <c r="U25" s="77">
        <f t="shared" si="106"/>
        <v>0</v>
      </c>
      <c r="V25" s="78" t="str">
        <f t="shared" si="107"/>
        <v/>
      </c>
      <c r="W25" s="69"/>
      <c r="X25" s="127"/>
      <c r="Y25" s="74" t="str">
        <f t="shared" si="108"/>
        <v>Spain</v>
      </c>
      <c r="Z25" s="333">
        <v>0</v>
      </c>
      <c r="AA25" s="334">
        <v>0</v>
      </c>
      <c r="AB25" s="76" t="str">
        <f t="shared" si="109"/>
        <v>Italy</v>
      </c>
      <c r="AE25" s="77">
        <f t="shared" si="110"/>
        <v>0</v>
      </c>
      <c r="AF25" s="78" t="str">
        <f t="shared" si="111"/>
        <v/>
      </c>
      <c r="AG25" s="69"/>
      <c r="AH25" s="127"/>
      <c r="AI25" s="74" t="str">
        <f t="shared" si="112"/>
        <v>Spain</v>
      </c>
      <c r="AJ25" s="75">
        <v>1</v>
      </c>
      <c r="AK25" s="75">
        <v>1</v>
      </c>
      <c r="AL25" s="76" t="str">
        <f t="shared" si="113"/>
        <v>Italy</v>
      </c>
      <c r="AO25" s="77">
        <f t="shared" si="114"/>
        <v>0</v>
      </c>
      <c r="AP25" s="78" t="str">
        <f t="shared" si="115"/>
        <v/>
      </c>
      <c r="AQ25" s="69"/>
      <c r="AR25" s="127"/>
      <c r="AS25" s="74" t="str">
        <f t="shared" si="116"/>
        <v>Spain</v>
      </c>
      <c r="AT25" s="75">
        <v>1</v>
      </c>
      <c r="AU25" s="75">
        <v>1</v>
      </c>
      <c r="AV25" s="76" t="str">
        <f t="shared" si="117"/>
        <v>Italy</v>
      </c>
      <c r="AY25" s="77">
        <f t="shared" si="118"/>
        <v>0</v>
      </c>
      <c r="AZ25" s="78" t="str">
        <f t="shared" si="119"/>
        <v/>
      </c>
      <c r="BA25" s="69"/>
      <c r="BB25" s="127"/>
      <c r="BC25" s="74" t="str">
        <f t="shared" si="120"/>
        <v>Spain</v>
      </c>
      <c r="BD25" s="333">
        <v>1</v>
      </c>
      <c r="BE25" s="334">
        <v>2</v>
      </c>
      <c r="BF25" s="76" t="str">
        <f t="shared" si="121"/>
        <v>Italy</v>
      </c>
      <c r="BI25" s="77">
        <f t="shared" si="122"/>
        <v>0</v>
      </c>
      <c r="BJ25" s="78" t="str">
        <f t="shared" si="123"/>
        <v/>
      </c>
      <c r="BK25" s="69"/>
      <c r="BL25" s="127"/>
      <c r="BM25" s="74" t="str">
        <f t="shared" si="124"/>
        <v>Spain</v>
      </c>
      <c r="BN25" s="345">
        <v>1</v>
      </c>
      <c r="BO25" s="346">
        <v>1</v>
      </c>
      <c r="BP25" s="76" t="str">
        <f t="shared" si="125"/>
        <v>Italy</v>
      </c>
      <c r="BS25" s="77">
        <f t="shared" si="126"/>
        <v>0</v>
      </c>
      <c r="BT25" s="78" t="str">
        <f t="shared" si="127"/>
        <v/>
      </c>
      <c r="BU25" s="69"/>
      <c r="BV25" s="127"/>
      <c r="BW25" s="74" t="str">
        <f t="shared" si="128"/>
        <v>Spain</v>
      </c>
      <c r="BX25" s="75"/>
      <c r="BY25" s="75"/>
      <c r="BZ25" s="76" t="str">
        <f t="shared" si="129"/>
        <v>Italy</v>
      </c>
      <c r="CC25" s="77">
        <f t="shared" si="130"/>
        <v>0</v>
      </c>
      <c r="CD25" s="78" t="str">
        <f t="shared" si="131"/>
        <v/>
      </c>
      <c r="CE25" s="69"/>
      <c r="CF25" s="127"/>
      <c r="CG25" s="74" t="str">
        <f t="shared" si="132"/>
        <v>Spain</v>
      </c>
      <c r="CH25" s="75"/>
      <c r="CI25" s="75"/>
      <c r="CJ25" s="76" t="str">
        <f t="shared" si="133"/>
        <v>Italy</v>
      </c>
      <c r="CM25" s="77">
        <f t="shared" si="134"/>
        <v>0</v>
      </c>
      <c r="CN25" s="78" t="str">
        <f t="shared" si="135"/>
        <v/>
      </c>
      <c r="CO25" s="69"/>
      <c r="CP25" s="127"/>
      <c r="CQ25" s="74" t="str">
        <f t="shared" si="136"/>
        <v>Spain</v>
      </c>
      <c r="CR25" s="75"/>
      <c r="CS25" s="75"/>
      <c r="CT25" s="76" t="str">
        <f t="shared" si="137"/>
        <v>Italy</v>
      </c>
      <c r="CW25" s="77">
        <f t="shared" si="138"/>
        <v>0</v>
      </c>
      <c r="CX25" s="78" t="str">
        <f t="shared" si="139"/>
        <v/>
      </c>
      <c r="CY25" s="69"/>
      <c r="CZ25" s="127"/>
      <c r="DA25" s="74" t="str">
        <f t="shared" si="140"/>
        <v>Spain</v>
      </c>
      <c r="DB25" s="75"/>
      <c r="DC25" s="75"/>
      <c r="DD25" s="76" t="str">
        <f t="shared" si="141"/>
        <v>Italy</v>
      </c>
      <c r="DG25" s="77">
        <f t="shared" si="142"/>
        <v>0</v>
      </c>
      <c r="DH25" s="78" t="str">
        <f t="shared" si="143"/>
        <v/>
      </c>
      <c r="DI25" s="69"/>
    </row>
    <row r="26" spans="1:113" s="43" customFormat="1" ht="15" customHeight="1" x14ac:dyDescent="0.25">
      <c r="A26" s="41">
        <v>31</v>
      </c>
      <c r="B26" s="65"/>
      <c r="C26" s="55">
        <v>17</v>
      </c>
      <c r="D26" s="20" t="s">
        <v>103</v>
      </c>
      <c r="E26" s="157">
        <f t="shared" si="144"/>
        <v>45463.75</v>
      </c>
      <c r="F26" s="158">
        <v>45463.75</v>
      </c>
      <c r="G26" s="72" t="str">
        <f>Matches!G24</f>
        <v>Denmark</v>
      </c>
      <c r="H26" s="75"/>
      <c r="I26" s="75"/>
      <c r="J26" s="73" t="str">
        <f>Matches!J24</f>
        <v>England</v>
      </c>
      <c r="K26" s="55"/>
      <c r="L26" s="55"/>
      <c r="M26" s="67"/>
      <c r="N26" s="127"/>
      <c r="O26" s="74" t="str">
        <f t="shared" si="104"/>
        <v>Denmark</v>
      </c>
      <c r="P26" s="331">
        <v>3</v>
      </c>
      <c r="Q26" s="331">
        <v>2</v>
      </c>
      <c r="R26" s="76" t="str">
        <f t="shared" si="105"/>
        <v>England</v>
      </c>
      <c r="U26" s="77">
        <f t="shared" si="106"/>
        <v>0</v>
      </c>
      <c r="V26" s="78" t="str">
        <f t="shared" si="107"/>
        <v/>
      </c>
      <c r="W26" s="69"/>
      <c r="X26" s="127"/>
      <c r="Y26" s="74" t="str">
        <f t="shared" si="108"/>
        <v>Denmark</v>
      </c>
      <c r="Z26" s="333">
        <v>1</v>
      </c>
      <c r="AA26" s="334">
        <v>2</v>
      </c>
      <c r="AB26" s="76" t="str">
        <f t="shared" si="109"/>
        <v>England</v>
      </c>
      <c r="AE26" s="77">
        <f t="shared" si="110"/>
        <v>0</v>
      </c>
      <c r="AF26" s="78" t="str">
        <f t="shared" si="111"/>
        <v/>
      </c>
      <c r="AG26" s="69"/>
      <c r="AH26" s="127"/>
      <c r="AI26" s="74" t="str">
        <f t="shared" si="112"/>
        <v>Denmark</v>
      </c>
      <c r="AJ26" s="75">
        <v>1</v>
      </c>
      <c r="AK26" s="75">
        <v>2</v>
      </c>
      <c r="AL26" s="76" t="str">
        <f t="shared" si="113"/>
        <v>England</v>
      </c>
      <c r="AO26" s="77">
        <f t="shared" si="114"/>
        <v>0</v>
      </c>
      <c r="AP26" s="78" t="str">
        <f t="shared" si="115"/>
        <v/>
      </c>
      <c r="AQ26" s="69"/>
      <c r="AR26" s="127"/>
      <c r="AS26" s="74" t="str">
        <f t="shared" si="116"/>
        <v>Denmark</v>
      </c>
      <c r="AT26" s="75">
        <v>1</v>
      </c>
      <c r="AU26" s="75">
        <v>2</v>
      </c>
      <c r="AV26" s="76" t="str">
        <f t="shared" si="117"/>
        <v>England</v>
      </c>
      <c r="AY26" s="77">
        <f t="shared" si="118"/>
        <v>0</v>
      </c>
      <c r="AZ26" s="78" t="str">
        <f t="shared" si="119"/>
        <v/>
      </c>
      <c r="BA26" s="69"/>
      <c r="BB26" s="127"/>
      <c r="BC26" s="74" t="str">
        <f t="shared" si="120"/>
        <v>Denmark</v>
      </c>
      <c r="BD26" s="333">
        <v>1</v>
      </c>
      <c r="BE26" s="334">
        <v>1</v>
      </c>
      <c r="BF26" s="76" t="str">
        <f t="shared" si="121"/>
        <v>England</v>
      </c>
      <c r="BI26" s="77">
        <f t="shared" si="122"/>
        <v>0</v>
      </c>
      <c r="BJ26" s="78" t="str">
        <f t="shared" si="123"/>
        <v/>
      </c>
      <c r="BK26" s="69"/>
      <c r="BL26" s="127"/>
      <c r="BM26" s="74" t="str">
        <f t="shared" si="124"/>
        <v>Denmark</v>
      </c>
      <c r="BN26" s="345">
        <v>1</v>
      </c>
      <c r="BO26" s="346">
        <v>2</v>
      </c>
      <c r="BP26" s="76" t="str">
        <f t="shared" si="125"/>
        <v>England</v>
      </c>
      <c r="BS26" s="77">
        <f t="shared" si="126"/>
        <v>0</v>
      </c>
      <c r="BT26" s="78" t="str">
        <f t="shared" si="127"/>
        <v/>
      </c>
      <c r="BU26" s="69"/>
      <c r="BV26" s="127"/>
      <c r="BW26" s="74" t="str">
        <f t="shared" si="128"/>
        <v>Denmark</v>
      </c>
      <c r="BX26" s="75"/>
      <c r="BY26" s="75"/>
      <c r="BZ26" s="76" t="str">
        <f t="shared" si="129"/>
        <v>England</v>
      </c>
      <c r="CC26" s="77">
        <f t="shared" si="130"/>
        <v>0</v>
      </c>
      <c r="CD26" s="78" t="str">
        <f t="shared" si="131"/>
        <v/>
      </c>
      <c r="CE26" s="69"/>
      <c r="CF26" s="127"/>
      <c r="CG26" s="74" t="str">
        <f t="shared" si="132"/>
        <v>Denmark</v>
      </c>
      <c r="CH26" s="75"/>
      <c r="CI26" s="75"/>
      <c r="CJ26" s="76" t="str">
        <f t="shared" si="133"/>
        <v>England</v>
      </c>
      <c r="CM26" s="77">
        <f t="shared" si="134"/>
        <v>0</v>
      </c>
      <c r="CN26" s="78" t="str">
        <f t="shared" si="135"/>
        <v/>
      </c>
      <c r="CO26" s="69"/>
      <c r="CP26" s="127"/>
      <c r="CQ26" s="74" t="str">
        <f t="shared" si="136"/>
        <v>Denmark</v>
      </c>
      <c r="CR26" s="75"/>
      <c r="CS26" s="75"/>
      <c r="CT26" s="76" t="str">
        <f t="shared" si="137"/>
        <v>England</v>
      </c>
      <c r="CW26" s="77">
        <f t="shared" si="138"/>
        <v>0</v>
      </c>
      <c r="CX26" s="78" t="str">
        <f t="shared" si="139"/>
        <v/>
      </c>
      <c r="CY26" s="69"/>
      <c r="CZ26" s="127"/>
      <c r="DA26" s="74" t="str">
        <f t="shared" si="140"/>
        <v>Denmark</v>
      </c>
      <c r="DB26" s="75"/>
      <c r="DC26" s="75"/>
      <c r="DD26" s="76" t="str">
        <f t="shared" si="141"/>
        <v>England</v>
      </c>
      <c r="DG26" s="77">
        <f t="shared" si="142"/>
        <v>0</v>
      </c>
      <c r="DH26" s="78" t="str">
        <f t="shared" si="143"/>
        <v/>
      </c>
      <c r="DI26" s="69"/>
    </row>
    <row r="27" spans="1:113" s="43" customFormat="1" ht="15" customHeight="1" x14ac:dyDescent="0.25">
      <c r="A27" s="41">
        <v>32</v>
      </c>
      <c r="B27" s="65"/>
      <c r="C27" s="55">
        <v>18</v>
      </c>
      <c r="D27" s="20" t="s">
        <v>103</v>
      </c>
      <c r="E27" s="157">
        <f t="shared" si="144"/>
        <v>45463.625</v>
      </c>
      <c r="F27" s="158">
        <v>45463.625</v>
      </c>
      <c r="G27" s="72" t="str">
        <f>Matches!G25</f>
        <v>Slovenia</v>
      </c>
      <c r="H27" s="75"/>
      <c r="I27" s="75"/>
      <c r="J27" s="73" t="str">
        <f>Matches!J25</f>
        <v>Serbia</v>
      </c>
      <c r="K27" s="55"/>
      <c r="L27" s="55"/>
      <c r="M27" s="67"/>
      <c r="N27" s="127"/>
      <c r="O27" s="74" t="str">
        <f t="shared" si="104"/>
        <v>Slovenia</v>
      </c>
      <c r="P27" s="331">
        <v>1</v>
      </c>
      <c r="Q27" s="331">
        <v>1</v>
      </c>
      <c r="R27" s="76" t="str">
        <f t="shared" si="105"/>
        <v>Serbia</v>
      </c>
      <c r="U27" s="77">
        <f t="shared" si="106"/>
        <v>0</v>
      </c>
      <c r="V27" s="78" t="str">
        <f t="shared" si="107"/>
        <v/>
      </c>
      <c r="W27" s="69"/>
      <c r="X27" s="127"/>
      <c r="Y27" s="74" t="str">
        <f t="shared" si="108"/>
        <v>Slovenia</v>
      </c>
      <c r="Z27" s="333">
        <v>1</v>
      </c>
      <c r="AA27" s="334">
        <v>1</v>
      </c>
      <c r="AB27" s="76" t="str">
        <f t="shared" si="109"/>
        <v>Serbia</v>
      </c>
      <c r="AE27" s="77">
        <f t="shared" si="110"/>
        <v>0</v>
      </c>
      <c r="AF27" s="78" t="str">
        <f t="shared" si="111"/>
        <v/>
      </c>
      <c r="AG27" s="69"/>
      <c r="AH27" s="127"/>
      <c r="AI27" s="74" t="str">
        <f t="shared" si="112"/>
        <v>Slovenia</v>
      </c>
      <c r="AJ27" s="75">
        <v>0</v>
      </c>
      <c r="AK27" s="75">
        <v>2</v>
      </c>
      <c r="AL27" s="76" t="str">
        <f t="shared" si="113"/>
        <v>Serbia</v>
      </c>
      <c r="AO27" s="77">
        <f t="shared" si="114"/>
        <v>0</v>
      </c>
      <c r="AP27" s="78" t="str">
        <f t="shared" si="115"/>
        <v/>
      </c>
      <c r="AQ27" s="69"/>
      <c r="AR27" s="127"/>
      <c r="AS27" s="74" t="str">
        <f t="shared" si="116"/>
        <v>Slovenia</v>
      </c>
      <c r="AT27" s="75">
        <v>0</v>
      </c>
      <c r="AU27" s="75">
        <v>0</v>
      </c>
      <c r="AV27" s="76" t="str">
        <f t="shared" si="117"/>
        <v>Serbia</v>
      </c>
      <c r="AY27" s="77">
        <f t="shared" si="118"/>
        <v>0</v>
      </c>
      <c r="AZ27" s="78" t="str">
        <f t="shared" si="119"/>
        <v/>
      </c>
      <c r="BA27" s="69"/>
      <c r="BB27" s="127"/>
      <c r="BC27" s="74" t="str">
        <f t="shared" si="120"/>
        <v>Slovenia</v>
      </c>
      <c r="BD27" s="333">
        <v>0</v>
      </c>
      <c r="BE27" s="334">
        <v>2</v>
      </c>
      <c r="BF27" s="76" t="str">
        <f t="shared" si="121"/>
        <v>Serbia</v>
      </c>
      <c r="BI27" s="77">
        <f t="shared" si="122"/>
        <v>0</v>
      </c>
      <c r="BJ27" s="78" t="str">
        <f t="shared" si="123"/>
        <v/>
      </c>
      <c r="BK27" s="69"/>
      <c r="BL27" s="127"/>
      <c r="BM27" s="74" t="str">
        <f t="shared" si="124"/>
        <v>Slovenia</v>
      </c>
      <c r="BN27" s="345">
        <v>1</v>
      </c>
      <c r="BO27" s="346">
        <v>2</v>
      </c>
      <c r="BP27" s="76" t="str">
        <f t="shared" si="125"/>
        <v>Serbia</v>
      </c>
      <c r="BS27" s="77">
        <f t="shared" si="126"/>
        <v>0</v>
      </c>
      <c r="BT27" s="78" t="str">
        <f t="shared" si="127"/>
        <v/>
      </c>
      <c r="BU27" s="69"/>
      <c r="BV27" s="127"/>
      <c r="BW27" s="74" t="str">
        <f t="shared" si="128"/>
        <v>Slovenia</v>
      </c>
      <c r="BX27" s="75"/>
      <c r="BY27" s="75"/>
      <c r="BZ27" s="76" t="str">
        <f t="shared" si="129"/>
        <v>Serbia</v>
      </c>
      <c r="CC27" s="77">
        <f t="shared" si="130"/>
        <v>0</v>
      </c>
      <c r="CD27" s="78" t="str">
        <f t="shared" si="131"/>
        <v/>
      </c>
      <c r="CE27" s="69"/>
      <c r="CF27" s="127"/>
      <c r="CG27" s="74" t="str">
        <f t="shared" si="132"/>
        <v>Slovenia</v>
      </c>
      <c r="CH27" s="75"/>
      <c r="CI27" s="75"/>
      <c r="CJ27" s="76" t="str">
        <f t="shared" si="133"/>
        <v>Serbia</v>
      </c>
      <c r="CM27" s="77">
        <f t="shared" si="134"/>
        <v>0</v>
      </c>
      <c r="CN27" s="78" t="str">
        <f t="shared" si="135"/>
        <v/>
      </c>
      <c r="CO27" s="69"/>
      <c r="CP27" s="127"/>
      <c r="CQ27" s="74" t="str">
        <f t="shared" si="136"/>
        <v>Slovenia</v>
      </c>
      <c r="CR27" s="75"/>
      <c r="CS27" s="75"/>
      <c r="CT27" s="76" t="str">
        <f t="shared" si="137"/>
        <v>Serbia</v>
      </c>
      <c r="CW27" s="77">
        <f t="shared" si="138"/>
        <v>0</v>
      </c>
      <c r="CX27" s="78" t="str">
        <f t="shared" si="139"/>
        <v/>
      </c>
      <c r="CY27" s="69"/>
      <c r="CZ27" s="127"/>
      <c r="DA27" s="74" t="str">
        <f t="shared" si="140"/>
        <v>Slovenia</v>
      </c>
      <c r="DB27" s="75"/>
      <c r="DC27" s="75"/>
      <c r="DD27" s="76" t="str">
        <f t="shared" si="141"/>
        <v>Serbia</v>
      </c>
      <c r="DG27" s="77">
        <f t="shared" si="142"/>
        <v>0</v>
      </c>
      <c r="DH27" s="78" t="str">
        <f t="shared" si="143"/>
        <v/>
      </c>
      <c r="DI27" s="69"/>
    </row>
    <row r="28" spans="1:113" s="43" customFormat="1" ht="15" customHeight="1" x14ac:dyDescent="0.25">
      <c r="A28" s="41">
        <v>33</v>
      </c>
      <c r="B28" s="65"/>
      <c r="C28" s="55">
        <v>19</v>
      </c>
      <c r="D28" s="20" t="s">
        <v>104</v>
      </c>
      <c r="E28" s="157">
        <f t="shared" si="144"/>
        <v>45464.75</v>
      </c>
      <c r="F28" s="158">
        <v>45464.75</v>
      </c>
      <c r="G28" s="72" t="str">
        <f>Matches!G26</f>
        <v>Poland</v>
      </c>
      <c r="H28" s="75"/>
      <c r="I28" s="75"/>
      <c r="J28" s="73" t="str">
        <f>Matches!J26</f>
        <v>Austria</v>
      </c>
      <c r="K28" s="55"/>
      <c r="L28" s="55"/>
      <c r="M28" s="67"/>
      <c r="N28" s="127"/>
      <c r="O28" s="74" t="str">
        <f t="shared" si="104"/>
        <v>Poland</v>
      </c>
      <c r="P28" s="331">
        <v>1</v>
      </c>
      <c r="Q28" s="331">
        <v>2</v>
      </c>
      <c r="R28" s="76" t="str">
        <f t="shared" si="105"/>
        <v>Austria</v>
      </c>
      <c r="U28" s="77">
        <f t="shared" si="106"/>
        <v>0</v>
      </c>
      <c r="V28" s="78" t="str">
        <f t="shared" si="107"/>
        <v/>
      </c>
      <c r="W28" s="69"/>
      <c r="X28" s="127"/>
      <c r="Y28" s="74" t="str">
        <f t="shared" si="108"/>
        <v>Poland</v>
      </c>
      <c r="Z28" s="333">
        <v>1</v>
      </c>
      <c r="AA28" s="334">
        <v>0</v>
      </c>
      <c r="AB28" s="76" t="str">
        <f t="shared" si="109"/>
        <v>Austria</v>
      </c>
      <c r="AE28" s="77">
        <f t="shared" si="110"/>
        <v>0</v>
      </c>
      <c r="AF28" s="78" t="str">
        <f t="shared" si="111"/>
        <v/>
      </c>
      <c r="AG28" s="69"/>
      <c r="AH28" s="127"/>
      <c r="AI28" s="74" t="str">
        <f t="shared" si="112"/>
        <v>Poland</v>
      </c>
      <c r="AJ28" s="75">
        <v>1</v>
      </c>
      <c r="AK28" s="75">
        <v>1</v>
      </c>
      <c r="AL28" s="76" t="str">
        <f t="shared" si="113"/>
        <v>Austria</v>
      </c>
      <c r="AO28" s="77">
        <f t="shared" si="114"/>
        <v>0</v>
      </c>
      <c r="AP28" s="78" t="str">
        <f t="shared" si="115"/>
        <v/>
      </c>
      <c r="AQ28" s="69"/>
      <c r="AR28" s="127"/>
      <c r="AS28" s="74" t="str">
        <f t="shared" si="116"/>
        <v>Poland</v>
      </c>
      <c r="AT28" s="75">
        <v>2</v>
      </c>
      <c r="AU28" s="75">
        <v>2</v>
      </c>
      <c r="AV28" s="76" t="str">
        <f t="shared" si="117"/>
        <v>Austria</v>
      </c>
      <c r="AY28" s="77">
        <f t="shared" si="118"/>
        <v>0</v>
      </c>
      <c r="AZ28" s="78" t="str">
        <f t="shared" si="119"/>
        <v/>
      </c>
      <c r="BA28" s="69"/>
      <c r="BB28" s="127"/>
      <c r="BC28" s="74" t="str">
        <f t="shared" si="120"/>
        <v>Poland</v>
      </c>
      <c r="BD28" s="333">
        <v>0</v>
      </c>
      <c r="BE28" s="334">
        <v>3</v>
      </c>
      <c r="BF28" s="76" t="str">
        <f t="shared" si="121"/>
        <v>Austria</v>
      </c>
      <c r="BI28" s="77">
        <f t="shared" si="122"/>
        <v>0</v>
      </c>
      <c r="BJ28" s="78" t="str">
        <f t="shared" si="123"/>
        <v/>
      </c>
      <c r="BK28" s="69"/>
      <c r="BL28" s="127"/>
      <c r="BM28" s="74" t="str">
        <f t="shared" si="124"/>
        <v>Poland</v>
      </c>
      <c r="BN28" s="345">
        <v>1</v>
      </c>
      <c r="BO28" s="346">
        <v>1</v>
      </c>
      <c r="BP28" s="76" t="str">
        <f t="shared" si="125"/>
        <v>Austria</v>
      </c>
      <c r="BS28" s="77">
        <f t="shared" si="126"/>
        <v>0</v>
      </c>
      <c r="BT28" s="78" t="str">
        <f t="shared" si="127"/>
        <v/>
      </c>
      <c r="BU28" s="69"/>
      <c r="BV28" s="127"/>
      <c r="BW28" s="74" t="str">
        <f t="shared" si="128"/>
        <v>Poland</v>
      </c>
      <c r="BX28" s="75"/>
      <c r="BY28" s="75"/>
      <c r="BZ28" s="76" t="str">
        <f t="shared" si="129"/>
        <v>Austria</v>
      </c>
      <c r="CC28" s="77">
        <f t="shared" si="130"/>
        <v>0</v>
      </c>
      <c r="CD28" s="78" t="str">
        <f t="shared" si="131"/>
        <v/>
      </c>
      <c r="CE28" s="69"/>
      <c r="CF28" s="127"/>
      <c r="CG28" s="74" t="str">
        <f t="shared" si="132"/>
        <v>Poland</v>
      </c>
      <c r="CH28" s="75"/>
      <c r="CI28" s="75"/>
      <c r="CJ28" s="76" t="str">
        <f t="shared" si="133"/>
        <v>Austria</v>
      </c>
      <c r="CM28" s="77">
        <f t="shared" si="134"/>
        <v>0</v>
      </c>
      <c r="CN28" s="78" t="str">
        <f t="shared" si="135"/>
        <v/>
      </c>
      <c r="CO28" s="69"/>
      <c r="CP28" s="127"/>
      <c r="CQ28" s="74" t="str">
        <f t="shared" si="136"/>
        <v>Poland</v>
      </c>
      <c r="CR28" s="75"/>
      <c r="CS28" s="75"/>
      <c r="CT28" s="76" t="str">
        <f t="shared" si="137"/>
        <v>Austria</v>
      </c>
      <c r="CW28" s="77">
        <f t="shared" si="138"/>
        <v>0</v>
      </c>
      <c r="CX28" s="78" t="str">
        <f t="shared" si="139"/>
        <v/>
      </c>
      <c r="CY28" s="69"/>
      <c r="CZ28" s="127"/>
      <c r="DA28" s="74" t="str">
        <f t="shared" si="140"/>
        <v>Poland</v>
      </c>
      <c r="DB28" s="75"/>
      <c r="DC28" s="75"/>
      <c r="DD28" s="76" t="str">
        <f t="shared" si="141"/>
        <v>Austria</v>
      </c>
      <c r="DG28" s="77">
        <f t="shared" si="142"/>
        <v>0</v>
      </c>
      <c r="DH28" s="78" t="str">
        <f t="shared" si="143"/>
        <v/>
      </c>
      <c r="DI28" s="69"/>
    </row>
    <row r="29" spans="1:113" s="43" customFormat="1" ht="15" customHeight="1" x14ac:dyDescent="0.25">
      <c r="A29" s="41">
        <v>34</v>
      </c>
      <c r="B29" s="65"/>
      <c r="C29" s="55">
        <v>20</v>
      </c>
      <c r="D29" s="20" t="s">
        <v>104</v>
      </c>
      <c r="E29" s="157">
        <f t="shared" si="144"/>
        <v>45464.875</v>
      </c>
      <c r="F29" s="158">
        <v>45464.875</v>
      </c>
      <c r="G29" s="72" t="str">
        <f>Matches!G27</f>
        <v>Netherlands</v>
      </c>
      <c r="H29" s="75"/>
      <c r="I29" s="75"/>
      <c r="J29" s="73" t="str">
        <f>Matches!J27</f>
        <v>France</v>
      </c>
      <c r="K29" s="55"/>
      <c r="L29" s="55"/>
      <c r="M29" s="67"/>
      <c r="N29" s="127"/>
      <c r="O29" s="74" t="str">
        <f t="shared" si="104"/>
        <v>Netherlands</v>
      </c>
      <c r="P29" s="331">
        <v>1</v>
      </c>
      <c r="Q29" s="331">
        <v>2</v>
      </c>
      <c r="R29" s="76" t="str">
        <f t="shared" si="105"/>
        <v>France</v>
      </c>
      <c r="U29" s="77">
        <f t="shared" si="106"/>
        <v>0</v>
      </c>
      <c r="V29" s="78" t="str">
        <f t="shared" si="107"/>
        <v/>
      </c>
      <c r="W29" s="69"/>
      <c r="X29" s="127"/>
      <c r="Y29" s="74" t="str">
        <f t="shared" si="108"/>
        <v>Netherlands</v>
      </c>
      <c r="Z29" s="333">
        <v>0</v>
      </c>
      <c r="AA29" s="334">
        <v>1</v>
      </c>
      <c r="AB29" s="76" t="str">
        <f t="shared" si="109"/>
        <v>France</v>
      </c>
      <c r="AE29" s="77">
        <f t="shared" si="110"/>
        <v>0</v>
      </c>
      <c r="AF29" s="78" t="str">
        <f t="shared" si="111"/>
        <v/>
      </c>
      <c r="AG29" s="69"/>
      <c r="AH29" s="127"/>
      <c r="AI29" s="74" t="str">
        <f t="shared" si="112"/>
        <v>Netherlands</v>
      </c>
      <c r="AJ29" s="75">
        <v>1</v>
      </c>
      <c r="AK29" s="75">
        <v>2</v>
      </c>
      <c r="AL29" s="76" t="str">
        <f t="shared" si="113"/>
        <v>France</v>
      </c>
      <c r="AO29" s="77">
        <f t="shared" si="114"/>
        <v>0</v>
      </c>
      <c r="AP29" s="78" t="str">
        <f t="shared" si="115"/>
        <v/>
      </c>
      <c r="AQ29" s="69"/>
      <c r="AR29" s="127"/>
      <c r="AS29" s="74" t="str">
        <f t="shared" si="116"/>
        <v>Netherlands</v>
      </c>
      <c r="AT29" s="75">
        <v>1</v>
      </c>
      <c r="AU29" s="75">
        <v>2</v>
      </c>
      <c r="AV29" s="76" t="str">
        <f t="shared" si="117"/>
        <v>France</v>
      </c>
      <c r="AY29" s="77">
        <f t="shared" si="118"/>
        <v>0</v>
      </c>
      <c r="AZ29" s="78" t="str">
        <f t="shared" si="119"/>
        <v/>
      </c>
      <c r="BA29" s="69"/>
      <c r="BB29" s="127"/>
      <c r="BC29" s="74" t="str">
        <f t="shared" si="120"/>
        <v>Netherlands</v>
      </c>
      <c r="BD29" s="333">
        <v>2</v>
      </c>
      <c r="BE29" s="334">
        <v>3</v>
      </c>
      <c r="BF29" s="76" t="str">
        <f t="shared" si="121"/>
        <v>France</v>
      </c>
      <c r="BI29" s="77">
        <f t="shared" si="122"/>
        <v>0</v>
      </c>
      <c r="BJ29" s="78" t="str">
        <f t="shared" si="123"/>
        <v/>
      </c>
      <c r="BK29" s="69"/>
      <c r="BL29" s="127"/>
      <c r="BM29" s="74" t="str">
        <f t="shared" si="124"/>
        <v>Netherlands</v>
      </c>
      <c r="BN29" s="345">
        <v>2</v>
      </c>
      <c r="BO29" s="346">
        <v>1</v>
      </c>
      <c r="BP29" s="76" t="str">
        <f t="shared" si="125"/>
        <v>France</v>
      </c>
      <c r="BS29" s="77">
        <f t="shared" si="126"/>
        <v>0</v>
      </c>
      <c r="BT29" s="78" t="str">
        <f t="shared" si="127"/>
        <v/>
      </c>
      <c r="BU29" s="69"/>
      <c r="BV29" s="127"/>
      <c r="BW29" s="74" t="str">
        <f t="shared" si="128"/>
        <v>Netherlands</v>
      </c>
      <c r="BX29" s="75"/>
      <c r="BY29" s="75"/>
      <c r="BZ29" s="76" t="str">
        <f t="shared" si="129"/>
        <v>France</v>
      </c>
      <c r="CC29" s="77">
        <f t="shared" si="130"/>
        <v>0</v>
      </c>
      <c r="CD29" s="78" t="str">
        <f t="shared" si="131"/>
        <v/>
      </c>
      <c r="CE29" s="69"/>
      <c r="CF29" s="127"/>
      <c r="CG29" s="74" t="str">
        <f t="shared" si="132"/>
        <v>Netherlands</v>
      </c>
      <c r="CH29" s="75"/>
      <c r="CI29" s="75"/>
      <c r="CJ29" s="76" t="str">
        <f t="shared" si="133"/>
        <v>France</v>
      </c>
      <c r="CM29" s="77">
        <f t="shared" si="134"/>
        <v>0</v>
      </c>
      <c r="CN29" s="78" t="str">
        <f t="shared" si="135"/>
        <v/>
      </c>
      <c r="CO29" s="69"/>
      <c r="CP29" s="127"/>
      <c r="CQ29" s="74" t="str">
        <f t="shared" si="136"/>
        <v>Netherlands</v>
      </c>
      <c r="CR29" s="75"/>
      <c r="CS29" s="75"/>
      <c r="CT29" s="76" t="str">
        <f t="shared" si="137"/>
        <v>France</v>
      </c>
      <c r="CW29" s="77">
        <f t="shared" si="138"/>
        <v>0</v>
      </c>
      <c r="CX29" s="78" t="str">
        <f t="shared" si="139"/>
        <v/>
      </c>
      <c r="CY29" s="69"/>
      <c r="CZ29" s="127"/>
      <c r="DA29" s="74" t="str">
        <f t="shared" si="140"/>
        <v>Netherlands</v>
      </c>
      <c r="DB29" s="75"/>
      <c r="DC29" s="75"/>
      <c r="DD29" s="76" t="str">
        <f t="shared" si="141"/>
        <v>France</v>
      </c>
      <c r="DG29" s="77">
        <f t="shared" si="142"/>
        <v>0</v>
      </c>
      <c r="DH29" s="78" t="str">
        <f t="shared" si="143"/>
        <v/>
      </c>
      <c r="DI29" s="69"/>
    </row>
    <row r="30" spans="1:113" s="43" customFormat="1" ht="15" customHeight="1" x14ac:dyDescent="0.25">
      <c r="A30" s="41">
        <v>35</v>
      </c>
      <c r="B30" s="65"/>
      <c r="C30" s="55">
        <v>21</v>
      </c>
      <c r="D30" s="20" t="s">
        <v>105</v>
      </c>
      <c r="E30" s="157">
        <f t="shared" si="144"/>
        <v>45464.625</v>
      </c>
      <c r="F30" s="158">
        <v>45464.625</v>
      </c>
      <c r="G30" s="72" t="str">
        <f>Matches!G28</f>
        <v>Slovakia</v>
      </c>
      <c r="H30" s="75"/>
      <c r="I30" s="75"/>
      <c r="J30" s="73" t="str">
        <f>Matches!J28</f>
        <v>Ukraine</v>
      </c>
      <c r="K30" s="55"/>
      <c r="L30" s="55"/>
      <c r="M30" s="67"/>
      <c r="N30" s="127"/>
      <c r="O30" s="74" t="str">
        <f t="shared" si="104"/>
        <v>Slovakia</v>
      </c>
      <c r="P30" s="331">
        <v>1</v>
      </c>
      <c r="Q30" s="331">
        <v>1</v>
      </c>
      <c r="R30" s="76" t="str">
        <f t="shared" si="105"/>
        <v>Ukraine</v>
      </c>
      <c r="U30" s="77">
        <f t="shared" si="106"/>
        <v>0</v>
      </c>
      <c r="V30" s="78" t="str">
        <f t="shared" si="107"/>
        <v/>
      </c>
      <c r="W30" s="69"/>
      <c r="X30" s="127"/>
      <c r="Y30" s="74" t="str">
        <f t="shared" si="108"/>
        <v>Slovakia</v>
      </c>
      <c r="Z30" s="333">
        <v>0</v>
      </c>
      <c r="AA30" s="334">
        <v>0</v>
      </c>
      <c r="AB30" s="76" t="str">
        <f t="shared" si="109"/>
        <v>Ukraine</v>
      </c>
      <c r="AE30" s="77">
        <f t="shared" si="110"/>
        <v>0</v>
      </c>
      <c r="AF30" s="78" t="str">
        <f t="shared" si="111"/>
        <v/>
      </c>
      <c r="AG30" s="69"/>
      <c r="AH30" s="127"/>
      <c r="AI30" s="74" t="str">
        <f t="shared" si="112"/>
        <v>Slovakia</v>
      </c>
      <c r="AJ30" s="75">
        <v>0</v>
      </c>
      <c r="AK30" s="75">
        <v>1</v>
      </c>
      <c r="AL30" s="76" t="str">
        <f t="shared" si="113"/>
        <v>Ukraine</v>
      </c>
      <c r="AO30" s="77">
        <f t="shared" si="114"/>
        <v>0</v>
      </c>
      <c r="AP30" s="78" t="str">
        <f t="shared" si="115"/>
        <v/>
      </c>
      <c r="AQ30" s="69"/>
      <c r="AR30" s="127"/>
      <c r="AS30" s="74" t="str">
        <f t="shared" si="116"/>
        <v>Slovakia</v>
      </c>
      <c r="AT30" s="75">
        <v>0</v>
      </c>
      <c r="AU30" s="75">
        <v>1</v>
      </c>
      <c r="AV30" s="76" t="str">
        <f t="shared" si="117"/>
        <v>Ukraine</v>
      </c>
      <c r="AY30" s="77">
        <f t="shared" si="118"/>
        <v>0</v>
      </c>
      <c r="AZ30" s="78" t="str">
        <f t="shared" si="119"/>
        <v/>
      </c>
      <c r="BA30" s="69"/>
      <c r="BB30" s="127"/>
      <c r="BC30" s="74" t="str">
        <f t="shared" si="120"/>
        <v>Slovakia</v>
      </c>
      <c r="BD30" s="333">
        <v>1</v>
      </c>
      <c r="BE30" s="334">
        <v>2</v>
      </c>
      <c r="BF30" s="76" t="str">
        <f t="shared" si="121"/>
        <v>Ukraine</v>
      </c>
      <c r="BI30" s="77">
        <f t="shared" si="122"/>
        <v>0</v>
      </c>
      <c r="BJ30" s="78" t="str">
        <f t="shared" si="123"/>
        <v/>
      </c>
      <c r="BK30" s="69"/>
      <c r="BL30" s="127"/>
      <c r="BM30" s="74" t="str">
        <f t="shared" si="124"/>
        <v>Slovakia</v>
      </c>
      <c r="BN30" s="345">
        <v>0</v>
      </c>
      <c r="BO30" s="346">
        <v>2</v>
      </c>
      <c r="BP30" s="76" t="str">
        <f t="shared" si="125"/>
        <v>Ukraine</v>
      </c>
      <c r="BS30" s="77">
        <f t="shared" si="126"/>
        <v>0</v>
      </c>
      <c r="BT30" s="78" t="str">
        <f t="shared" si="127"/>
        <v/>
      </c>
      <c r="BU30" s="69"/>
      <c r="BV30" s="127"/>
      <c r="BW30" s="74" t="str">
        <f t="shared" si="128"/>
        <v>Slovakia</v>
      </c>
      <c r="BX30" s="75"/>
      <c r="BY30" s="75"/>
      <c r="BZ30" s="76" t="str">
        <f t="shared" si="129"/>
        <v>Ukraine</v>
      </c>
      <c r="CC30" s="77">
        <f t="shared" si="130"/>
        <v>0</v>
      </c>
      <c r="CD30" s="78" t="str">
        <f t="shared" si="131"/>
        <v/>
      </c>
      <c r="CE30" s="69"/>
      <c r="CF30" s="127"/>
      <c r="CG30" s="74" t="str">
        <f t="shared" si="132"/>
        <v>Slovakia</v>
      </c>
      <c r="CH30" s="75"/>
      <c r="CI30" s="75"/>
      <c r="CJ30" s="76" t="str">
        <f t="shared" si="133"/>
        <v>Ukraine</v>
      </c>
      <c r="CM30" s="77">
        <f t="shared" si="134"/>
        <v>0</v>
      </c>
      <c r="CN30" s="78" t="str">
        <f t="shared" si="135"/>
        <v/>
      </c>
      <c r="CO30" s="69"/>
      <c r="CP30" s="127"/>
      <c r="CQ30" s="74" t="str">
        <f t="shared" si="136"/>
        <v>Slovakia</v>
      </c>
      <c r="CR30" s="75"/>
      <c r="CS30" s="75"/>
      <c r="CT30" s="76" t="str">
        <f t="shared" si="137"/>
        <v>Ukraine</v>
      </c>
      <c r="CW30" s="77">
        <f t="shared" si="138"/>
        <v>0</v>
      </c>
      <c r="CX30" s="78" t="str">
        <f t="shared" si="139"/>
        <v/>
      </c>
      <c r="CY30" s="69"/>
      <c r="CZ30" s="127"/>
      <c r="DA30" s="74" t="str">
        <f t="shared" si="140"/>
        <v>Slovakia</v>
      </c>
      <c r="DB30" s="75"/>
      <c r="DC30" s="75"/>
      <c r="DD30" s="76" t="str">
        <f t="shared" si="141"/>
        <v>Ukraine</v>
      </c>
      <c r="DG30" s="77">
        <f t="shared" si="142"/>
        <v>0</v>
      </c>
      <c r="DH30" s="78" t="str">
        <f t="shared" si="143"/>
        <v/>
      </c>
      <c r="DI30" s="69"/>
    </row>
    <row r="31" spans="1:113" s="43" customFormat="1" ht="15" customHeight="1" x14ac:dyDescent="0.25">
      <c r="A31" s="41">
        <v>36</v>
      </c>
      <c r="B31" s="65"/>
      <c r="C31" s="55">
        <v>22</v>
      </c>
      <c r="D31" s="20" t="s">
        <v>105</v>
      </c>
      <c r="E31" s="157">
        <f t="shared" si="144"/>
        <v>45465.875</v>
      </c>
      <c r="F31" s="158">
        <v>45465.875</v>
      </c>
      <c r="G31" s="72" t="str">
        <f>Matches!G29</f>
        <v>Belgium</v>
      </c>
      <c r="H31" s="75"/>
      <c r="I31" s="75"/>
      <c r="J31" s="73" t="str">
        <f>Matches!J29</f>
        <v>Romania</v>
      </c>
      <c r="K31" s="55"/>
      <c r="L31" s="55"/>
      <c r="M31" s="67"/>
      <c r="N31" s="127"/>
      <c r="O31" s="74" t="str">
        <f t="shared" si="104"/>
        <v>Belgium</v>
      </c>
      <c r="P31" s="331">
        <v>5</v>
      </c>
      <c r="Q31" s="331">
        <v>1</v>
      </c>
      <c r="R31" s="76" t="str">
        <f t="shared" si="105"/>
        <v>Romania</v>
      </c>
      <c r="U31" s="77">
        <f t="shared" si="106"/>
        <v>0</v>
      </c>
      <c r="V31" s="78" t="str">
        <f t="shared" si="107"/>
        <v/>
      </c>
      <c r="W31" s="69"/>
      <c r="X31" s="127"/>
      <c r="Y31" s="74" t="str">
        <f t="shared" si="108"/>
        <v>Belgium</v>
      </c>
      <c r="Z31" s="333">
        <v>2</v>
      </c>
      <c r="AA31" s="334">
        <v>1</v>
      </c>
      <c r="AB31" s="76" t="str">
        <f t="shared" si="109"/>
        <v>Romania</v>
      </c>
      <c r="AE31" s="77">
        <f t="shared" si="110"/>
        <v>0</v>
      </c>
      <c r="AF31" s="78" t="str">
        <f t="shared" si="111"/>
        <v/>
      </c>
      <c r="AG31" s="69"/>
      <c r="AH31" s="127"/>
      <c r="AI31" s="74" t="str">
        <f t="shared" si="112"/>
        <v>Belgium</v>
      </c>
      <c r="AJ31" s="75">
        <v>0</v>
      </c>
      <c r="AK31" s="75">
        <v>1</v>
      </c>
      <c r="AL31" s="76" t="str">
        <f t="shared" si="113"/>
        <v>Romania</v>
      </c>
      <c r="AO31" s="77">
        <f t="shared" si="114"/>
        <v>0</v>
      </c>
      <c r="AP31" s="78" t="str">
        <f t="shared" si="115"/>
        <v/>
      </c>
      <c r="AQ31" s="69"/>
      <c r="AR31" s="127"/>
      <c r="AS31" s="74" t="str">
        <f t="shared" si="116"/>
        <v>Belgium</v>
      </c>
      <c r="AT31" s="75">
        <v>3</v>
      </c>
      <c r="AU31" s="75">
        <v>1</v>
      </c>
      <c r="AV31" s="76" t="str">
        <f t="shared" si="117"/>
        <v>Romania</v>
      </c>
      <c r="AY31" s="77">
        <f t="shared" si="118"/>
        <v>0</v>
      </c>
      <c r="AZ31" s="78" t="str">
        <f t="shared" si="119"/>
        <v/>
      </c>
      <c r="BA31" s="69"/>
      <c r="BB31" s="127"/>
      <c r="BC31" s="74" t="str">
        <f t="shared" si="120"/>
        <v>Belgium</v>
      </c>
      <c r="BD31" s="333">
        <v>4</v>
      </c>
      <c r="BE31" s="334">
        <v>1</v>
      </c>
      <c r="BF31" s="76" t="str">
        <f t="shared" si="121"/>
        <v>Romania</v>
      </c>
      <c r="BI31" s="77">
        <f t="shared" si="122"/>
        <v>0</v>
      </c>
      <c r="BJ31" s="78" t="str">
        <f t="shared" si="123"/>
        <v/>
      </c>
      <c r="BK31" s="69"/>
      <c r="BL31" s="127"/>
      <c r="BM31" s="74" t="str">
        <f t="shared" si="124"/>
        <v>Belgium</v>
      </c>
      <c r="BN31" s="345">
        <v>2</v>
      </c>
      <c r="BO31" s="346">
        <v>0</v>
      </c>
      <c r="BP31" s="76" t="str">
        <f t="shared" si="125"/>
        <v>Romania</v>
      </c>
      <c r="BS31" s="77">
        <f t="shared" si="126"/>
        <v>0</v>
      </c>
      <c r="BT31" s="78" t="str">
        <f t="shared" si="127"/>
        <v/>
      </c>
      <c r="BU31" s="69"/>
      <c r="BV31" s="127"/>
      <c r="BW31" s="74" t="str">
        <f t="shared" si="128"/>
        <v>Belgium</v>
      </c>
      <c r="BX31" s="75"/>
      <c r="BY31" s="75"/>
      <c r="BZ31" s="76" t="str">
        <f t="shared" si="129"/>
        <v>Romania</v>
      </c>
      <c r="CC31" s="77">
        <f t="shared" si="130"/>
        <v>0</v>
      </c>
      <c r="CD31" s="78" t="str">
        <f t="shared" si="131"/>
        <v/>
      </c>
      <c r="CE31" s="69"/>
      <c r="CF31" s="127"/>
      <c r="CG31" s="74" t="str">
        <f t="shared" si="132"/>
        <v>Belgium</v>
      </c>
      <c r="CH31" s="75"/>
      <c r="CI31" s="75"/>
      <c r="CJ31" s="76" t="str">
        <f t="shared" si="133"/>
        <v>Romania</v>
      </c>
      <c r="CM31" s="77">
        <f t="shared" si="134"/>
        <v>0</v>
      </c>
      <c r="CN31" s="78" t="str">
        <f t="shared" si="135"/>
        <v/>
      </c>
      <c r="CO31" s="69"/>
      <c r="CP31" s="127"/>
      <c r="CQ31" s="74" t="str">
        <f t="shared" si="136"/>
        <v>Belgium</v>
      </c>
      <c r="CR31" s="75"/>
      <c r="CS31" s="75"/>
      <c r="CT31" s="76" t="str">
        <f t="shared" si="137"/>
        <v>Romania</v>
      </c>
      <c r="CW31" s="77">
        <f t="shared" si="138"/>
        <v>0</v>
      </c>
      <c r="CX31" s="78" t="str">
        <f t="shared" si="139"/>
        <v/>
      </c>
      <c r="CY31" s="69"/>
      <c r="CZ31" s="127"/>
      <c r="DA31" s="74" t="str">
        <f t="shared" si="140"/>
        <v>Belgium</v>
      </c>
      <c r="DB31" s="75"/>
      <c r="DC31" s="75"/>
      <c r="DD31" s="76" t="str">
        <f t="shared" si="141"/>
        <v>Romania</v>
      </c>
      <c r="DG31" s="77">
        <f t="shared" si="142"/>
        <v>0</v>
      </c>
      <c r="DH31" s="78" t="str">
        <f t="shared" si="143"/>
        <v/>
      </c>
      <c r="DI31" s="69"/>
    </row>
    <row r="32" spans="1:113" s="43" customFormat="1" ht="15" customHeight="1" x14ac:dyDescent="0.25">
      <c r="A32" s="41">
        <v>37</v>
      </c>
      <c r="B32" s="65"/>
      <c r="C32" s="55">
        <v>23</v>
      </c>
      <c r="D32" s="20" t="s">
        <v>106</v>
      </c>
      <c r="E32" s="157">
        <f t="shared" si="144"/>
        <v>45465.75</v>
      </c>
      <c r="F32" s="158">
        <v>45465.75</v>
      </c>
      <c r="G32" s="72" t="str">
        <f>Matches!G30</f>
        <v>Türkiye</v>
      </c>
      <c r="H32" s="75"/>
      <c r="I32" s="75"/>
      <c r="J32" s="73" t="str">
        <f>Matches!J30</f>
        <v>Portugal</v>
      </c>
      <c r="K32" s="55"/>
      <c r="L32" s="55"/>
      <c r="M32" s="67"/>
      <c r="N32" s="127"/>
      <c r="O32" s="74" t="str">
        <f t="shared" si="104"/>
        <v>Türkiye</v>
      </c>
      <c r="P32" s="331">
        <v>1</v>
      </c>
      <c r="Q32" s="331">
        <v>3</v>
      </c>
      <c r="R32" s="76" t="str">
        <f t="shared" si="105"/>
        <v>Portugal</v>
      </c>
      <c r="U32" s="77">
        <f t="shared" si="106"/>
        <v>0</v>
      </c>
      <c r="V32" s="78" t="str">
        <f t="shared" si="107"/>
        <v/>
      </c>
      <c r="W32" s="69"/>
      <c r="X32" s="127"/>
      <c r="Y32" s="74" t="str">
        <f t="shared" si="108"/>
        <v>Türkiye</v>
      </c>
      <c r="Z32" s="333">
        <v>0</v>
      </c>
      <c r="AA32" s="334">
        <v>1</v>
      </c>
      <c r="AB32" s="76" t="str">
        <f t="shared" si="109"/>
        <v>Portugal</v>
      </c>
      <c r="AE32" s="77">
        <f t="shared" si="110"/>
        <v>0</v>
      </c>
      <c r="AF32" s="78" t="str">
        <f t="shared" si="111"/>
        <v/>
      </c>
      <c r="AG32" s="69"/>
      <c r="AH32" s="127"/>
      <c r="AI32" s="74" t="str">
        <f t="shared" si="112"/>
        <v>Türkiye</v>
      </c>
      <c r="AJ32" s="75">
        <v>1</v>
      </c>
      <c r="AK32" s="75">
        <v>1</v>
      </c>
      <c r="AL32" s="76" t="str">
        <f t="shared" si="113"/>
        <v>Portugal</v>
      </c>
      <c r="AO32" s="77">
        <f t="shared" si="114"/>
        <v>0</v>
      </c>
      <c r="AP32" s="78" t="str">
        <f t="shared" si="115"/>
        <v/>
      </c>
      <c r="AQ32" s="69"/>
      <c r="AR32" s="127"/>
      <c r="AS32" s="74" t="str">
        <f t="shared" si="116"/>
        <v>Türkiye</v>
      </c>
      <c r="AT32" s="75">
        <v>1</v>
      </c>
      <c r="AU32" s="75">
        <v>1</v>
      </c>
      <c r="AV32" s="76" t="str">
        <f t="shared" si="117"/>
        <v>Portugal</v>
      </c>
      <c r="AY32" s="77">
        <f t="shared" si="118"/>
        <v>0</v>
      </c>
      <c r="AZ32" s="78" t="str">
        <f t="shared" si="119"/>
        <v/>
      </c>
      <c r="BA32" s="69"/>
      <c r="BB32" s="127"/>
      <c r="BC32" s="74" t="str">
        <f t="shared" si="120"/>
        <v>Türkiye</v>
      </c>
      <c r="BD32" s="333">
        <v>2</v>
      </c>
      <c r="BE32" s="334">
        <v>2</v>
      </c>
      <c r="BF32" s="76" t="str">
        <f t="shared" si="121"/>
        <v>Portugal</v>
      </c>
      <c r="BI32" s="77">
        <f t="shared" si="122"/>
        <v>0</v>
      </c>
      <c r="BJ32" s="78" t="str">
        <f t="shared" si="123"/>
        <v/>
      </c>
      <c r="BK32" s="69"/>
      <c r="BL32" s="127"/>
      <c r="BM32" s="74" t="str">
        <f t="shared" si="124"/>
        <v>Türkiye</v>
      </c>
      <c r="BN32" s="345">
        <v>1</v>
      </c>
      <c r="BO32" s="346">
        <v>3</v>
      </c>
      <c r="BP32" s="76" t="str">
        <f t="shared" si="125"/>
        <v>Portugal</v>
      </c>
      <c r="BS32" s="77">
        <f t="shared" si="126"/>
        <v>0</v>
      </c>
      <c r="BT32" s="78" t="str">
        <f t="shared" si="127"/>
        <v/>
      </c>
      <c r="BU32" s="69"/>
      <c r="BV32" s="127"/>
      <c r="BW32" s="74" t="str">
        <f t="shared" si="128"/>
        <v>Türkiye</v>
      </c>
      <c r="BX32" s="75"/>
      <c r="BY32" s="75"/>
      <c r="BZ32" s="76" t="str">
        <f t="shared" si="129"/>
        <v>Portugal</v>
      </c>
      <c r="CC32" s="77">
        <f t="shared" si="130"/>
        <v>0</v>
      </c>
      <c r="CD32" s="78" t="str">
        <f t="shared" si="131"/>
        <v/>
      </c>
      <c r="CE32" s="69"/>
      <c r="CF32" s="127"/>
      <c r="CG32" s="74" t="str">
        <f t="shared" si="132"/>
        <v>Türkiye</v>
      </c>
      <c r="CH32" s="75"/>
      <c r="CI32" s="75"/>
      <c r="CJ32" s="76" t="str">
        <f t="shared" si="133"/>
        <v>Portugal</v>
      </c>
      <c r="CM32" s="77">
        <f t="shared" si="134"/>
        <v>0</v>
      </c>
      <c r="CN32" s="78" t="str">
        <f t="shared" si="135"/>
        <v/>
      </c>
      <c r="CO32" s="69"/>
      <c r="CP32" s="127"/>
      <c r="CQ32" s="74" t="str">
        <f t="shared" si="136"/>
        <v>Türkiye</v>
      </c>
      <c r="CR32" s="75"/>
      <c r="CS32" s="75"/>
      <c r="CT32" s="76" t="str">
        <f t="shared" si="137"/>
        <v>Portugal</v>
      </c>
      <c r="CW32" s="77">
        <f t="shared" si="138"/>
        <v>0</v>
      </c>
      <c r="CX32" s="78" t="str">
        <f t="shared" si="139"/>
        <v/>
      </c>
      <c r="CY32" s="69"/>
      <c r="CZ32" s="127"/>
      <c r="DA32" s="74" t="str">
        <f t="shared" si="140"/>
        <v>Türkiye</v>
      </c>
      <c r="DB32" s="75"/>
      <c r="DC32" s="75"/>
      <c r="DD32" s="76" t="str">
        <f t="shared" si="141"/>
        <v>Portugal</v>
      </c>
      <c r="DG32" s="77">
        <f t="shared" si="142"/>
        <v>0</v>
      </c>
      <c r="DH32" s="78" t="str">
        <f t="shared" si="143"/>
        <v/>
      </c>
      <c r="DI32" s="69"/>
    </row>
    <row r="33" spans="1:113" s="43" customFormat="1" ht="15" customHeight="1" x14ac:dyDescent="0.25">
      <c r="A33" s="41">
        <v>38</v>
      </c>
      <c r="B33" s="65"/>
      <c r="C33" s="55">
        <v>24</v>
      </c>
      <c r="D33" s="20" t="s">
        <v>106</v>
      </c>
      <c r="E33" s="157">
        <f t="shared" si="144"/>
        <v>45465.625</v>
      </c>
      <c r="F33" s="158">
        <v>45465.625</v>
      </c>
      <c r="G33" s="72" t="str">
        <f>Matches!G31</f>
        <v>Georgia</v>
      </c>
      <c r="H33" s="75"/>
      <c r="I33" s="75"/>
      <c r="J33" s="73" t="str">
        <f>Matches!J31</f>
        <v>Czechia</v>
      </c>
      <c r="K33" s="55"/>
      <c r="L33" s="55"/>
      <c r="M33" s="67"/>
      <c r="N33" s="127"/>
      <c r="O33" s="74" t="str">
        <f t="shared" si="104"/>
        <v>Georgia</v>
      </c>
      <c r="P33" s="331">
        <v>1</v>
      </c>
      <c r="Q33" s="331">
        <v>2</v>
      </c>
      <c r="R33" s="76" t="str">
        <f t="shared" si="105"/>
        <v>Czechia</v>
      </c>
      <c r="U33" s="77">
        <f t="shared" si="106"/>
        <v>0</v>
      </c>
      <c r="V33" s="78" t="str">
        <f t="shared" si="107"/>
        <v/>
      </c>
      <c r="W33" s="69"/>
      <c r="X33" s="127"/>
      <c r="Y33" s="74" t="str">
        <f t="shared" si="108"/>
        <v>Georgia</v>
      </c>
      <c r="Z33" s="333">
        <v>0</v>
      </c>
      <c r="AA33" s="334">
        <v>2</v>
      </c>
      <c r="AB33" s="76" t="str">
        <f t="shared" si="109"/>
        <v>Czechia</v>
      </c>
      <c r="AE33" s="77">
        <f t="shared" si="110"/>
        <v>0</v>
      </c>
      <c r="AF33" s="78" t="str">
        <f t="shared" si="111"/>
        <v/>
      </c>
      <c r="AG33" s="69"/>
      <c r="AH33" s="127"/>
      <c r="AI33" s="74" t="str">
        <f t="shared" si="112"/>
        <v>Georgia</v>
      </c>
      <c r="AJ33" s="75">
        <v>0</v>
      </c>
      <c r="AK33" s="75">
        <v>1</v>
      </c>
      <c r="AL33" s="76" t="str">
        <f t="shared" si="113"/>
        <v>Czechia</v>
      </c>
      <c r="AO33" s="77">
        <f t="shared" si="114"/>
        <v>0</v>
      </c>
      <c r="AP33" s="78" t="str">
        <f t="shared" si="115"/>
        <v/>
      </c>
      <c r="AQ33" s="69"/>
      <c r="AR33" s="127"/>
      <c r="AS33" s="74" t="str">
        <f t="shared" si="116"/>
        <v>Georgia</v>
      </c>
      <c r="AT33" s="75">
        <v>0</v>
      </c>
      <c r="AU33" s="75">
        <v>1</v>
      </c>
      <c r="AV33" s="76" t="str">
        <f t="shared" si="117"/>
        <v>Czechia</v>
      </c>
      <c r="AY33" s="77">
        <f t="shared" si="118"/>
        <v>0</v>
      </c>
      <c r="AZ33" s="78" t="str">
        <f t="shared" si="119"/>
        <v/>
      </c>
      <c r="BA33" s="69"/>
      <c r="BB33" s="127"/>
      <c r="BC33" s="74" t="str">
        <f t="shared" si="120"/>
        <v>Georgia</v>
      </c>
      <c r="BD33" s="333">
        <v>1</v>
      </c>
      <c r="BE33" s="334">
        <v>1</v>
      </c>
      <c r="BF33" s="76" t="str">
        <f t="shared" si="121"/>
        <v>Czechia</v>
      </c>
      <c r="BI33" s="77">
        <f t="shared" si="122"/>
        <v>0</v>
      </c>
      <c r="BJ33" s="78" t="str">
        <f t="shared" si="123"/>
        <v/>
      </c>
      <c r="BK33" s="69"/>
      <c r="BL33" s="127"/>
      <c r="BM33" s="74" t="str">
        <f t="shared" si="124"/>
        <v>Georgia</v>
      </c>
      <c r="BN33" s="345">
        <v>1</v>
      </c>
      <c r="BO33" s="346">
        <v>3</v>
      </c>
      <c r="BP33" s="76" t="str">
        <f t="shared" si="125"/>
        <v>Czechia</v>
      </c>
      <c r="BS33" s="77">
        <f t="shared" si="126"/>
        <v>0</v>
      </c>
      <c r="BT33" s="78" t="str">
        <f t="shared" si="127"/>
        <v/>
      </c>
      <c r="BU33" s="69"/>
      <c r="BV33" s="127"/>
      <c r="BW33" s="74" t="str">
        <f t="shared" si="128"/>
        <v>Georgia</v>
      </c>
      <c r="BX33" s="75"/>
      <c r="BY33" s="75"/>
      <c r="BZ33" s="76" t="str">
        <f t="shared" si="129"/>
        <v>Czechia</v>
      </c>
      <c r="CC33" s="77">
        <f t="shared" si="130"/>
        <v>0</v>
      </c>
      <c r="CD33" s="78" t="str">
        <f t="shared" si="131"/>
        <v/>
      </c>
      <c r="CE33" s="69"/>
      <c r="CF33" s="127"/>
      <c r="CG33" s="74" t="str">
        <f t="shared" si="132"/>
        <v>Georgia</v>
      </c>
      <c r="CH33" s="75"/>
      <c r="CI33" s="75"/>
      <c r="CJ33" s="76" t="str">
        <f t="shared" si="133"/>
        <v>Czechia</v>
      </c>
      <c r="CM33" s="77">
        <f t="shared" si="134"/>
        <v>0</v>
      </c>
      <c r="CN33" s="78" t="str">
        <f t="shared" si="135"/>
        <v/>
      </c>
      <c r="CO33" s="69"/>
      <c r="CP33" s="127"/>
      <c r="CQ33" s="74" t="str">
        <f t="shared" si="136"/>
        <v>Georgia</v>
      </c>
      <c r="CR33" s="75"/>
      <c r="CS33" s="75"/>
      <c r="CT33" s="76" t="str">
        <f t="shared" si="137"/>
        <v>Czechia</v>
      </c>
      <c r="CW33" s="77">
        <f t="shared" si="138"/>
        <v>0</v>
      </c>
      <c r="CX33" s="78" t="str">
        <f t="shared" si="139"/>
        <v/>
      </c>
      <c r="CY33" s="69"/>
      <c r="CZ33" s="127"/>
      <c r="DA33" s="74" t="str">
        <f t="shared" si="140"/>
        <v>Georgia</v>
      </c>
      <c r="DB33" s="75"/>
      <c r="DC33" s="75"/>
      <c r="DD33" s="76" t="str">
        <f t="shared" si="141"/>
        <v>Czechia</v>
      </c>
      <c r="DG33" s="77">
        <f t="shared" si="142"/>
        <v>0</v>
      </c>
      <c r="DH33" s="78" t="str">
        <f t="shared" si="143"/>
        <v/>
      </c>
      <c r="DI33" s="69"/>
    </row>
    <row r="34" spans="1:113" s="43" customFormat="1" ht="15" customHeight="1" x14ac:dyDescent="0.25">
      <c r="A34" s="41">
        <v>39</v>
      </c>
      <c r="B34" s="65"/>
      <c r="C34" s="55">
        <v>25</v>
      </c>
      <c r="D34" s="20" t="s">
        <v>101</v>
      </c>
      <c r="E34" s="157">
        <f t="shared" si="144"/>
        <v>45466.875</v>
      </c>
      <c r="F34" s="158">
        <v>45466.875</v>
      </c>
      <c r="G34" s="72" t="str">
        <f>Matches!G32</f>
        <v>Switzerland</v>
      </c>
      <c r="H34" s="75"/>
      <c r="I34" s="75"/>
      <c r="J34" s="73" t="str">
        <f>Matches!J32</f>
        <v>Germany</v>
      </c>
      <c r="K34" s="55"/>
      <c r="L34" s="55"/>
      <c r="M34" s="67"/>
      <c r="N34" s="127"/>
      <c r="O34" s="74" t="str">
        <f t="shared" si="104"/>
        <v>Switzerland</v>
      </c>
      <c r="P34" s="331">
        <v>2</v>
      </c>
      <c r="Q34" s="331">
        <v>2</v>
      </c>
      <c r="R34" s="76" t="str">
        <f t="shared" si="105"/>
        <v>Germany</v>
      </c>
      <c r="U34" s="77">
        <f t="shared" si="106"/>
        <v>0</v>
      </c>
      <c r="V34" s="78" t="str">
        <f t="shared" si="107"/>
        <v/>
      </c>
      <c r="W34" s="69"/>
      <c r="X34" s="127"/>
      <c r="Y34" s="74" t="str">
        <f t="shared" si="108"/>
        <v>Switzerland</v>
      </c>
      <c r="Z34" s="333">
        <v>0</v>
      </c>
      <c r="AA34" s="334">
        <v>5</v>
      </c>
      <c r="AB34" s="76" t="str">
        <f t="shared" si="109"/>
        <v>Germany</v>
      </c>
      <c r="AE34" s="77">
        <f t="shared" si="110"/>
        <v>0</v>
      </c>
      <c r="AF34" s="78" t="str">
        <f t="shared" si="111"/>
        <v/>
      </c>
      <c r="AG34" s="69"/>
      <c r="AH34" s="127"/>
      <c r="AI34" s="74" t="str">
        <f t="shared" si="112"/>
        <v>Switzerland</v>
      </c>
      <c r="AJ34" s="75">
        <v>0</v>
      </c>
      <c r="AK34" s="75">
        <v>2</v>
      </c>
      <c r="AL34" s="76" t="str">
        <f t="shared" si="113"/>
        <v>Germany</v>
      </c>
      <c r="AO34" s="77">
        <f t="shared" si="114"/>
        <v>0</v>
      </c>
      <c r="AP34" s="78" t="str">
        <f t="shared" si="115"/>
        <v/>
      </c>
      <c r="AQ34" s="69"/>
      <c r="AR34" s="127"/>
      <c r="AS34" s="74" t="str">
        <f t="shared" si="116"/>
        <v>Switzerland</v>
      </c>
      <c r="AT34" s="75">
        <v>2</v>
      </c>
      <c r="AU34" s="75">
        <v>2</v>
      </c>
      <c r="AV34" s="76" t="str">
        <f t="shared" si="117"/>
        <v>Germany</v>
      </c>
      <c r="AY34" s="77">
        <f t="shared" si="118"/>
        <v>0</v>
      </c>
      <c r="AZ34" s="78" t="str">
        <f t="shared" si="119"/>
        <v/>
      </c>
      <c r="BA34" s="69"/>
      <c r="BB34" s="127"/>
      <c r="BC34" s="74" t="str">
        <f t="shared" si="120"/>
        <v>Switzerland</v>
      </c>
      <c r="BD34" s="333">
        <v>1</v>
      </c>
      <c r="BE34" s="334">
        <v>3</v>
      </c>
      <c r="BF34" s="76" t="str">
        <f t="shared" si="121"/>
        <v>Germany</v>
      </c>
      <c r="BI34" s="77">
        <f t="shared" si="122"/>
        <v>0</v>
      </c>
      <c r="BJ34" s="78" t="str">
        <f t="shared" si="123"/>
        <v/>
      </c>
      <c r="BK34" s="69"/>
      <c r="BL34" s="127"/>
      <c r="BM34" s="74" t="str">
        <f t="shared" si="124"/>
        <v>Switzerland</v>
      </c>
      <c r="BN34" s="345">
        <v>1</v>
      </c>
      <c r="BO34" s="346">
        <v>2</v>
      </c>
      <c r="BP34" s="76" t="str">
        <f t="shared" si="125"/>
        <v>Germany</v>
      </c>
      <c r="BS34" s="77">
        <f t="shared" si="126"/>
        <v>0</v>
      </c>
      <c r="BT34" s="78" t="str">
        <f t="shared" si="127"/>
        <v/>
      </c>
      <c r="BU34" s="69"/>
      <c r="BV34" s="127"/>
      <c r="BW34" s="74" t="str">
        <f t="shared" si="128"/>
        <v>Switzerland</v>
      </c>
      <c r="BX34" s="75"/>
      <c r="BY34" s="75"/>
      <c r="BZ34" s="76" t="str">
        <f t="shared" si="129"/>
        <v>Germany</v>
      </c>
      <c r="CC34" s="77">
        <f t="shared" si="130"/>
        <v>0</v>
      </c>
      <c r="CD34" s="78" t="str">
        <f t="shared" si="131"/>
        <v/>
      </c>
      <c r="CE34" s="69"/>
      <c r="CF34" s="127"/>
      <c r="CG34" s="74" t="str">
        <f t="shared" si="132"/>
        <v>Switzerland</v>
      </c>
      <c r="CH34" s="75"/>
      <c r="CI34" s="75"/>
      <c r="CJ34" s="76" t="str">
        <f t="shared" si="133"/>
        <v>Germany</v>
      </c>
      <c r="CM34" s="77">
        <f t="shared" si="134"/>
        <v>0</v>
      </c>
      <c r="CN34" s="78" t="str">
        <f t="shared" si="135"/>
        <v/>
      </c>
      <c r="CO34" s="69"/>
      <c r="CP34" s="127"/>
      <c r="CQ34" s="74" t="str">
        <f t="shared" si="136"/>
        <v>Switzerland</v>
      </c>
      <c r="CR34" s="75"/>
      <c r="CS34" s="75"/>
      <c r="CT34" s="76" t="str">
        <f t="shared" si="137"/>
        <v>Germany</v>
      </c>
      <c r="CW34" s="77">
        <f t="shared" si="138"/>
        <v>0</v>
      </c>
      <c r="CX34" s="78" t="str">
        <f t="shared" si="139"/>
        <v/>
      </c>
      <c r="CY34" s="69"/>
      <c r="CZ34" s="127"/>
      <c r="DA34" s="74" t="str">
        <f t="shared" si="140"/>
        <v>Switzerland</v>
      </c>
      <c r="DB34" s="75"/>
      <c r="DC34" s="75"/>
      <c r="DD34" s="76" t="str">
        <f t="shared" si="141"/>
        <v>Germany</v>
      </c>
      <c r="DG34" s="77">
        <f t="shared" si="142"/>
        <v>0</v>
      </c>
      <c r="DH34" s="78" t="str">
        <f t="shared" si="143"/>
        <v/>
      </c>
      <c r="DI34" s="69"/>
    </row>
    <row r="35" spans="1:113" s="43" customFormat="1" ht="15" customHeight="1" x14ac:dyDescent="0.25">
      <c r="A35" s="41">
        <v>40</v>
      </c>
      <c r="B35" s="65"/>
      <c r="C35" s="55">
        <v>26</v>
      </c>
      <c r="D35" s="20" t="s">
        <v>101</v>
      </c>
      <c r="E35" s="157">
        <f t="shared" si="144"/>
        <v>45466.875</v>
      </c>
      <c r="F35" s="158">
        <v>45466.875</v>
      </c>
      <c r="G35" s="72" t="str">
        <f>Matches!G33</f>
        <v>Scotland</v>
      </c>
      <c r="H35" s="75"/>
      <c r="I35" s="75"/>
      <c r="J35" s="73" t="str">
        <f>Matches!J33</f>
        <v>Hungary</v>
      </c>
      <c r="K35" s="55"/>
      <c r="L35" s="55"/>
      <c r="M35" s="67"/>
      <c r="N35" s="127"/>
      <c r="O35" s="74" t="str">
        <f t="shared" si="104"/>
        <v>Scotland</v>
      </c>
      <c r="P35" s="331">
        <v>3</v>
      </c>
      <c r="Q35" s="331">
        <v>1</v>
      </c>
      <c r="R35" s="76" t="str">
        <f t="shared" si="105"/>
        <v>Hungary</v>
      </c>
      <c r="U35" s="77">
        <f t="shared" si="106"/>
        <v>0</v>
      </c>
      <c r="V35" s="78" t="str">
        <f t="shared" si="107"/>
        <v/>
      </c>
      <c r="W35" s="69"/>
      <c r="X35" s="127"/>
      <c r="Y35" s="74" t="str">
        <f t="shared" si="108"/>
        <v>Scotland</v>
      </c>
      <c r="Z35" s="333">
        <v>1</v>
      </c>
      <c r="AA35" s="334">
        <v>1</v>
      </c>
      <c r="AB35" s="76" t="str">
        <f t="shared" si="109"/>
        <v>Hungary</v>
      </c>
      <c r="AE35" s="77">
        <f t="shared" si="110"/>
        <v>0</v>
      </c>
      <c r="AF35" s="78" t="str">
        <f t="shared" si="111"/>
        <v/>
      </c>
      <c r="AG35" s="69"/>
      <c r="AH35" s="127"/>
      <c r="AI35" s="74" t="str">
        <f t="shared" si="112"/>
        <v>Scotland</v>
      </c>
      <c r="AJ35" s="75">
        <v>0</v>
      </c>
      <c r="AK35" s="75">
        <v>1</v>
      </c>
      <c r="AL35" s="76" t="str">
        <f t="shared" si="113"/>
        <v>Hungary</v>
      </c>
      <c r="AO35" s="77">
        <f t="shared" si="114"/>
        <v>0</v>
      </c>
      <c r="AP35" s="78" t="str">
        <f t="shared" si="115"/>
        <v/>
      </c>
      <c r="AQ35" s="69"/>
      <c r="AR35" s="127"/>
      <c r="AS35" s="74" t="str">
        <f t="shared" si="116"/>
        <v>Scotland</v>
      </c>
      <c r="AT35" s="75">
        <v>1</v>
      </c>
      <c r="AU35" s="75">
        <v>0</v>
      </c>
      <c r="AV35" s="76" t="str">
        <f t="shared" si="117"/>
        <v>Hungary</v>
      </c>
      <c r="AY35" s="77">
        <f t="shared" si="118"/>
        <v>0</v>
      </c>
      <c r="AZ35" s="78" t="str">
        <f t="shared" si="119"/>
        <v/>
      </c>
      <c r="BA35" s="69"/>
      <c r="BB35" s="127"/>
      <c r="BC35" s="74" t="str">
        <f t="shared" si="120"/>
        <v>Scotland</v>
      </c>
      <c r="BD35" s="333">
        <v>2</v>
      </c>
      <c r="BE35" s="334">
        <v>1</v>
      </c>
      <c r="BF35" s="76" t="str">
        <f t="shared" si="121"/>
        <v>Hungary</v>
      </c>
      <c r="BI35" s="77">
        <f t="shared" si="122"/>
        <v>0</v>
      </c>
      <c r="BJ35" s="78" t="str">
        <f t="shared" si="123"/>
        <v/>
      </c>
      <c r="BK35" s="69"/>
      <c r="BL35" s="127"/>
      <c r="BM35" s="74" t="str">
        <f t="shared" si="124"/>
        <v>Scotland</v>
      </c>
      <c r="BN35" s="345">
        <v>2</v>
      </c>
      <c r="BO35" s="346">
        <v>1</v>
      </c>
      <c r="BP35" s="76" t="str">
        <f t="shared" si="125"/>
        <v>Hungary</v>
      </c>
      <c r="BS35" s="77">
        <f t="shared" si="126"/>
        <v>0</v>
      </c>
      <c r="BT35" s="78" t="str">
        <f t="shared" si="127"/>
        <v/>
      </c>
      <c r="BU35" s="69"/>
      <c r="BV35" s="127"/>
      <c r="BW35" s="74" t="str">
        <f t="shared" si="128"/>
        <v>Scotland</v>
      </c>
      <c r="BX35" s="75"/>
      <c r="BY35" s="75"/>
      <c r="BZ35" s="76" t="str">
        <f t="shared" si="129"/>
        <v>Hungary</v>
      </c>
      <c r="CC35" s="77">
        <f t="shared" si="130"/>
        <v>0</v>
      </c>
      <c r="CD35" s="78" t="str">
        <f t="shared" si="131"/>
        <v/>
      </c>
      <c r="CE35" s="69"/>
      <c r="CF35" s="127"/>
      <c r="CG35" s="74" t="str">
        <f t="shared" si="132"/>
        <v>Scotland</v>
      </c>
      <c r="CH35" s="75"/>
      <c r="CI35" s="75"/>
      <c r="CJ35" s="76" t="str">
        <f t="shared" si="133"/>
        <v>Hungary</v>
      </c>
      <c r="CM35" s="77">
        <f t="shared" si="134"/>
        <v>0</v>
      </c>
      <c r="CN35" s="78" t="str">
        <f t="shared" si="135"/>
        <v/>
      </c>
      <c r="CO35" s="69"/>
      <c r="CP35" s="127"/>
      <c r="CQ35" s="74" t="str">
        <f t="shared" si="136"/>
        <v>Scotland</v>
      </c>
      <c r="CR35" s="75"/>
      <c r="CS35" s="75"/>
      <c r="CT35" s="76" t="str">
        <f t="shared" si="137"/>
        <v>Hungary</v>
      </c>
      <c r="CW35" s="77">
        <f t="shared" si="138"/>
        <v>0</v>
      </c>
      <c r="CX35" s="78" t="str">
        <f t="shared" si="139"/>
        <v/>
      </c>
      <c r="CY35" s="69"/>
      <c r="CZ35" s="127"/>
      <c r="DA35" s="74" t="str">
        <f t="shared" si="140"/>
        <v>Scotland</v>
      </c>
      <c r="DB35" s="75"/>
      <c r="DC35" s="75"/>
      <c r="DD35" s="76" t="str">
        <f t="shared" si="141"/>
        <v>Hungary</v>
      </c>
      <c r="DG35" s="77">
        <f t="shared" si="142"/>
        <v>0</v>
      </c>
      <c r="DH35" s="78" t="str">
        <f t="shared" si="143"/>
        <v/>
      </c>
      <c r="DI35" s="69"/>
    </row>
    <row r="36" spans="1:113" s="43" customFormat="1" ht="15" customHeight="1" x14ac:dyDescent="0.25">
      <c r="A36" s="41">
        <v>41</v>
      </c>
      <c r="B36" s="65"/>
      <c r="C36" s="55">
        <v>27</v>
      </c>
      <c r="D36" s="20" t="s">
        <v>102</v>
      </c>
      <c r="E36" s="157">
        <f t="shared" si="144"/>
        <v>45467.875</v>
      </c>
      <c r="F36" s="158">
        <v>45467.875</v>
      </c>
      <c r="G36" s="72" t="str">
        <f>Matches!G34</f>
        <v>Albania</v>
      </c>
      <c r="H36" s="75"/>
      <c r="I36" s="75"/>
      <c r="J36" s="73" t="str">
        <f>Matches!J34</f>
        <v>Spain</v>
      </c>
      <c r="K36" s="55"/>
      <c r="L36" s="55"/>
      <c r="M36" s="67"/>
      <c r="N36" s="127"/>
      <c r="O36" s="74" t="str">
        <f t="shared" si="104"/>
        <v>Albania</v>
      </c>
      <c r="P36" s="331">
        <v>0</v>
      </c>
      <c r="Q36" s="331">
        <v>4</v>
      </c>
      <c r="R36" s="76" t="str">
        <f t="shared" si="105"/>
        <v>Spain</v>
      </c>
      <c r="U36" s="77">
        <f t="shared" si="106"/>
        <v>0</v>
      </c>
      <c r="V36" s="78" t="str">
        <f t="shared" si="107"/>
        <v/>
      </c>
      <c r="W36" s="69"/>
      <c r="X36" s="127"/>
      <c r="Y36" s="74" t="str">
        <f t="shared" si="108"/>
        <v>Albania</v>
      </c>
      <c r="Z36" s="333">
        <v>0</v>
      </c>
      <c r="AA36" s="334">
        <v>2</v>
      </c>
      <c r="AB36" s="76" t="str">
        <f t="shared" si="109"/>
        <v>Spain</v>
      </c>
      <c r="AE36" s="77">
        <f t="shared" si="110"/>
        <v>0</v>
      </c>
      <c r="AF36" s="78" t="str">
        <f t="shared" si="111"/>
        <v/>
      </c>
      <c r="AG36" s="69"/>
      <c r="AH36" s="127"/>
      <c r="AI36" s="74" t="str">
        <f t="shared" si="112"/>
        <v>Albania</v>
      </c>
      <c r="AJ36" s="75">
        <v>0</v>
      </c>
      <c r="AK36" s="75">
        <v>2</v>
      </c>
      <c r="AL36" s="76" t="str">
        <f t="shared" si="113"/>
        <v>Spain</v>
      </c>
      <c r="AO36" s="77">
        <f t="shared" si="114"/>
        <v>0</v>
      </c>
      <c r="AP36" s="78" t="str">
        <f t="shared" si="115"/>
        <v/>
      </c>
      <c r="AQ36" s="69"/>
      <c r="AR36" s="127"/>
      <c r="AS36" s="74" t="str">
        <f t="shared" si="116"/>
        <v>Albania</v>
      </c>
      <c r="AT36" s="75">
        <v>0</v>
      </c>
      <c r="AU36" s="75">
        <v>5</v>
      </c>
      <c r="AV36" s="76" t="str">
        <f t="shared" si="117"/>
        <v>Spain</v>
      </c>
      <c r="AY36" s="77">
        <f t="shared" si="118"/>
        <v>0</v>
      </c>
      <c r="AZ36" s="78" t="str">
        <f t="shared" si="119"/>
        <v/>
      </c>
      <c r="BA36" s="69"/>
      <c r="BB36" s="127"/>
      <c r="BC36" s="74" t="str">
        <f t="shared" si="120"/>
        <v>Albania</v>
      </c>
      <c r="BD36" s="333">
        <v>0</v>
      </c>
      <c r="BE36" s="334">
        <v>2</v>
      </c>
      <c r="BF36" s="76" t="str">
        <f t="shared" si="121"/>
        <v>Spain</v>
      </c>
      <c r="BI36" s="77">
        <f t="shared" si="122"/>
        <v>0</v>
      </c>
      <c r="BJ36" s="78" t="str">
        <f t="shared" si="123"/>
        <v/>
      </c>
      <c r="BK36" s="69"/>
      <c r="BL36" s="127"/>
      <c r="BM36" s="74" t="str">
        <f t="shared" si="124"/>
        <v>Albania</v>
      </c>
      <c r="BN36" s="345">
        <v>0</v>
      </c>
      <c r="BO36" s="346">
        <v>3</v>
      </c>
      <c r="BP36" s="76" t="str">
        <f t="shared" si="125"/>
        <v>Spain</v>
      </c>
      <c r="BS36" s="77">
        <f t="shared" si="126"/>
        <v>0</v>
      </c>
      <c r="BT36" s="78" t="str">
        <f t="shared" si="127"/>
        <v/>
      </c>
      <c r="BU36" s="69"/>
      <c r="BV36" s="127"/>
      <c r="BW36" s="74" t="str">
        <f t="shared" si="128"/>
        <v>Albania</v>
      </c>
      <c r="BX36" s="75"/>
      <c r="BY36" s="75"/>
      <c r="BZ36" s="76" t="str">
        <f t="shared" si="129"/>
        <v>Spain</v>
      </c>
      <c r="CC36" s="77">
        <f t="shared" si="130"/>
        <v>0</v>
      </c>
      <c r="CD36" s="78" t="str">
        <f t="shared" si="131"/>
        <v/>
      </c>
      <c r="CE36" s="69"/>
      <c r="CF36" s="127"/>
      <c r="CG36" s="74" t="str">
        <f t="shared" si="132"/>
        <v>Albania</v>
      </c>
      <c r="CH36" s="75"/>
      <c r="CI36" s="75"/>
      <c r="CJ36" s="76" t="str">
        <f t="shared" si="133"/>
        <v>Spain</v>
      </c>
      <c r="CM36" s="77">
        <f t="shared" si="134"/>
        <v>0</v>
      </c>
      <c r="CN36" s="78" t="str">
        <f t="shared" si="135"/>
        <v/>
      </c>
      <c r="CO36" s="69"/>
      <c r="CP36" s="127"/>
      <c r="CQ36" s="74" t="str">
        <f t="shared" si="136"/>
        <v>Albania</v>
      </c>
      <c r="CR36" s="75"/>
      <c r="CS36" s="75"/>
      <c r="CT36" s="76" t="str">
        <f t="shared" si="137"/>
        <v>Spain</v>
      </c>
      <c r="CW36" s="77">
        <f t="shared" si="138"/>
        <v>0</v>
      </c>
      <c r="CX36" s="78" t="str">
        <f t="shared" si="139"/>
        <v/>
      </c>
      <c r="CY36" s="69"/>
      <c r="CZ36" s="127"/>
      <c r="DA36" s="74" t="str">
        <f t="shared" si="140"/>
        <v>Albania</v>
      </c>
      <c r="DB36" s="75"/>
      <c r="DC36" s="75"/>
      <c r="DD36" s="76" t="str">
        <f t="shared" si="141"/>
        <v>Spain</v>
      </c>
      <c r="DG36" s="77">
        <f t="shared" si="142"/>
        <v>0</v>
      </c>
      <c r="DH36" s="78" t="str">
        <f t="shared" si="143"/>
        <v/>
      </c>
      <c r="DI36" s="69"/>
    </row>
    <row r="37" spans="1:113" s="43" customFormat="1" ht="15" customHeight="1" x14ac:dyDescent="0.25">
      <c r="A37" s="41">
        <v>42</v>
      </c>
      <c r="B37" s="65"/>
      <c r="C37" s="55">
        <v>28</v>
      </c>
      <c r="D37" s="20" t="s">
        <v>102</v>
      </c>
      <c r="E37" s="157">
        <f t="shared" si="144"/>
        <v>45467.875</v>
      </c>
      <c r="F37" s="158">
        <v>45467.875</v>
      </c>
      <c r="G37" s="72" t="str">
        <f>Matches!G35</f>
        <v>Croatia</v>
      </c>
      <c r="H37" s="75"/>
      <c r="I37" s="75"/>
      <c r="J37" s="73" t="str">
        <f>Matches!J35</f>
        <v>Italy</v>
      </c>
      <c r="K37" s="55"/>
      <c r="L37" s="55"/>
      <c r="M37" s="67"/>
      <c r="N37" s="127"/>
      <c r="O37" s="74" t="str">
        <f t="shared" si="104"/>
        <v>Croatia</v>
      </c>
      <c r="P37" s="331">
        <v>2</v>
      </c>
      <c r="Q37" s="331">
        <v>3</v>
      </c>
      <c r="R37" s="76" t="str">
        <f t="shared" si="105"/>
        <v>Italy</v>
      </c>
      <c r="U37" s="77">
        <f t="shared" si="106"/>
        <v>0</v>
      </c>
      <c r="V37" s="78" t="str">
        <f t="shared" si="107"/>
        <v/>
      </c>
      <c r="W37" s="69"/>
      <c r="X37" s="127"/>
      <c r="Y37" s="74" t="str">
        <f t="shared" si="108"/>
        <v>Croatia</v>
      </c>
      <c r="Z37" s="333">
        <v>2</v>
      </c>
      <c r="AA37" s="334">
        <v>2</v>
      </c>
      <c r="AB37" s="76" t="str">
        <f t="shared" si="109"/>
        <v>Italy</v>
      </c>
      <c r="AE37" s="77">
        <f t="shared" si="110"/>
        <v>0</v>
      </c>
      <c r="AF37" s="78" t="str">
        <f t="shared" si="111"/>
        <v/>
      </c>
      <c r="AG37" s="69"/>
      <c r="AH37" s="127"/>
      <c r="AI37" s="74" t="str">
        <f t="shared" si="112"/>
        <v>Croatia</v>
      </c>
      <c r="AJ37" s="75">
        <v>1</v>
      </c>
      <c r="AK37" s="75">
        <v>2</v>
      </c>
      <c r="AL37" s="76" t="str">
        <f t="shared" si="113"/>
        <v>Italy</v>
      </c>
      <c r="AO37" s="77">
        <f t="shared" si="114"/>
        <v>0</v>
      </c>
      <c r="AP37" s="78" t="str">
        <f t="shared" si="115"/>
        <v/>
      </c>
      <c r="AQ37" s="69"/>
      <c r="AR37" s="127"/>
      <c r="AS37" s="74" t="str">
        <f t="shared" si="116"/>
        <v>Croatia</v>
      </c>
      <c r="AT37" s="75">
        <v>1</v>
      </c>
      <c r="AU37" s="75">
        <v>2</v>
      </c>
      <c r="AV37" s="76" t="str">
        <f t="shared" si="117"/>
        <v>Italy</v>
      </c>
      <c r="AY37" s="77">
        <f t="shared" si="118"/>
        <v>0</v>
      </c>
      <c r="AZ37" s="78" t="str">
        <f t="shared" si="119"/>
        <v/>
      </c>
      <c r="BA37" s="69"/>
      <c r="BB37" s="127"/>
      <c r="BC37" s="74" t="str">
        <f t="shared" si="120"/>
        <v>Croatia</v>
      </c>
      <c r="BD37" s="333">
        <v>1</v>
      </c>
      <c r="BE37" s="334">
        <v>1</v>
      </c>
      <c r="BF37" s="76" t="str">
        <f t="shared" si="121"/>
        <v>Italy</v>
      </c>
      <c r="BI37" s="77">
        <f t="shared" si="122"/>
        <v>0</v>
      </c>
      <c r="BJ37" s="78" t="str">
        <f t="shared" si="123"/>
        <v/>
      </c>
      <c r="BK37" s="69"/>
      <c r="BL37" s="127"/>
      <c r="BM37" s="74" t="str">
        <f t="shared" si="124"/>
        <v>Croatia</v>
      </c>
      <c r="BN37" s="345">
        <v>1</v>
      </c>
      <c r="BO37" s="346">
        <v>2</v>
      </c>
      <c r="BP37" s="76" t="str">
        <f t="shared" si="125"/>
        <v>Italy</v>
      </c>
      <c r="BS37" s="77">
        <f t="shared" si="126"/>
        <v>0</v>
      </c>
      <c r="BT37" s="78" t="str">
        <f t="shared" si="127"/>
        <v/>
      </c>
      <c r="BU37" s="69"/>
      <c r="BV37" s="127"/>
      <c r="BW37" s="74" t="str">
        <f t="shared" si="128"/>
        <v>Croatia</v>
      </c>
      <c r="BX37" s="75"/>
      <c r="BY37" s="75"/>
      <c r="BZ37" s="76" t="str">
        <f t="shared" si="129"/>
        <v>Italy</v>
      </c>
      <c r="CC37" s="77">
        <f t="shared" si="130"/>
        <v>0</v>
      </c>
      <c r="CD37" s="78" t="str">
        <f t="shared" si="131"/>
        <v/>
      </c>
      <c r="CE37" s="69"/>
      <c r="CF37" s="127"/>
      <c r="CG37" s="74" t="str">
        <f t="shared" si="132"/>
        <v>Croatia</v>
      </c>
      <c r="CH37" s="75"/>
      <c r="CI37" s="75"/>
      <c r="CJ37" s="76" t="str">
        <f t="shared" si="133"/>
        <v>Italy</v>
      </c>
      <c r="CM37" s="77">
        <f t="shared" si="134"/>
        <v>0</v>
      </c>
      <c r="CN37" s="78" t="str">
        <f t="shared" si="135"/>
        <v/>
      </c>
      <c r="CO37" s="69"/>
      <c r="CP37" s="127"/>
      <c r="CQ37" s="74" t="str">
        <f t="shared" si="136"/>
        <v>Croatia</v>
      </c>
      <c r="CR37" s="75"/>
      <c r="CS37" s="75"/>
      <c r="CT37" s="76" t="str">
        <f t="shared" si="137"/>
        <v>Italy</v>
      </c>
      <c r="CW37" s="77">
        <f t="shared" si="138"/>
        <v>0</v>
      </c>
      <c r="CX37" s="78" t="str">
        <f t="shared" si="139"/>
        <v/>
      </c>
      <c r="CY37" s="69"/>
      <c r="CZ37" s="127"/>
      <c r="DA37" s="74" t="str">
        <f t="shared" si="140"/>
        <v>Croatia</v>
      </c>
      <c r="DB37" s="75"/>
      <c r="DC37" s="75"/>
      <c r="DD37" s="76" t="str">
        <f t="shared" si="141"/>
        <v>Italy</v>
      </c>
      <c r="DG37" s="77">
        <f t="shared" si="142"/>
        <v>0</v>
      </c>
      <c r="DH37" s="78" t="str">
        <f t="shared" si="143"/>
        <v/>
      </c>
      <c r="DI37" s="69"/>
    </row>
    <row r="38" spans="1:113" s="43" customFormat="1" ht="15" customHeight="1" x14ac:dyDescent="0.25">
      <c r="A38" s="41">
        <v>43</v>
      </c>
      <c r="B38" s="65"/>
      <c r="C38" s="55">
        <v>29</v>
      </c>
      <c r="D38" s="20" t="s">
        <v>103</v>
      </c>
      <c r="E38" s="157">
        <f t="shared" si="144"/>
        <v>45468.875</v>
      </c>
      <c r="F38" s="158">
        <v>45468.875</v>
      </c>
      <c r="G38" s="72" t="str">
        <f>Matches!G36</f>
        <v>England</v>
      </c>
      <c r="H38" s="75"/>
      <c r="I38" s="75"/>
      <c r="J38" s="73" t="str">
        <f>Matches!J36</f>
        <v>Slovenia</v>
      </c>
      <c r="K38" s="55"/>
      <c r="L38" s="55"/>
      <c r="M38" s="67"/>
      <c r="N38" s="127"/>
      <c r="O38" s="74" t="str">
        <f t="shared" si="104"/>
        <v>England</v>
      </c>
      <c r="P38" s="331">
        <v>3</v>
      </c>
      <c r="Q38" s="331">
        <v>0</v>
      </c>
      <c r="R38" s="76" t="str">
        <f t="shared" si="105"/>
        <v>Slovenia</v>
      </c>
      <c r="U38" s="77">
        <f t="shared" si="106"/>
        <v>0</v>
      </c>
      <c r="V38" s="78" t="str">
        <f t="shared" si="107"/>
        <v/>
      </c>
      <c r="W38" s="69"/>
      <c r="X38" s="127"/>
      <c r="Y38" s="74" t="str">
        <f t="shared" si="108"/>
        <v>England</v>
      </c>
      <c r="Z38" s="333">
        <v>1</v>
      </c>
      <c r="AA38" s="334">
        <v>0</v>
      </c>
      <c r="AB38" s="76" t="str">
        <f t="shared" si="109"/>
        <v>Slovenia</v>
      </c>
      <c r="AE38" s="77">
        <f t="shared" si="110"/>
        <v>0</v>
      </c>
      <c r="AF38" s="78" t="str">
        <f t="shared" si="111"/>
        <v/>
      </c>
      <c r="AG38" s="69"/>
      <c r="AH38" s="127"/>
      <c r="AI38" s="74" t="str">
        <f t="shared" si="112"/>
        <v>England</v>
      </c>
      <c r="AJ38" s="75">
        <v>2</v>
      </c>
      <c r="AK38" s="75">
        <v>1</v>
      </c>
      <c r="AL38" s="76" t="str">
        <f t="shared" si="113"/>
        <v>Slovenia</v>
      </c>
      <c r="AO38" s="77">
        <f t="shared" si="114"/>
        <v>0</v>
      </c>
      <c r="AP38" s="78" t="str">
        <f t="shared" si="115"/>
        <v/>
      </c>
      <c r="AQ38" s="69"/>
      <c r="AR38" s="127"/>
      <c r="AS38" s="74" t="str">
        <f t="shared" si="116"/>
        <v>England</v>
      </c>
      <c r="AT38" s="75">
        <v>3</v>
      </c>
      <c r="AU38" s="75">
        <v>1</v>
      </c>
      <c r="AV38" s="76" t="str">
        <f t="shared" si="117"/>
        <v>Slovenia</v>
      </c>
      <c r="AY38" s="77">
        <f t="shared" si="118"/>
        <v>0</v>
      </c>
      <c r="AZ38" s="78" t="str">
        <f t="shared" si="119"/>
        <v/>
      </c>
      <c r="BA38" s="69"/>
      <c r="BB38" s="127"/>
      <c r="BC38" s="74" t="str">
        <f t="shared" si="120"/>
        <v>England</v>
      </c>
      <c r="BD38" s="333">
        <v>2</v>
      </c>
      <c r="BE38" s="334">
        <v>0</v>
      </c>
      <c r="BF38" s="76" t="str">
        <f t="shared" si="121"/>
        <v>Slovenia</v>
      </c>
      <c r="BI38" s="77">
        <f t="shared" si="122"/>
        <v>0</v>
      </c>
      <c r="BJ38" s="78" t="str">
        <f t="shared" si="123"/>
        <v/>
      </c>
      <c r="BK38" s="69"/>
      <c r="BL38" s="127"/>
      <c r="BM38" s="74" t="str">
        <f t="shared" si="124"/>
        <v>England</v>
      </c>
      <c r="BN38" s="345">
        <v>3</v>
      </c>
      <c r="BO38" s="346">
        <v>0</v>
      </c>
      <c r="BP38" s="76" t="str">
        <f t="shared" si="125"/>
        <v>Slovenia</v>
      </c>
      <c r="BS38" s="77">
        <f t="shared" si="126"/>
        <v>0</v>
      </c>
      <c r="BT38" s="78" t="str">
        <f t="shared" si="127"/>
        <v/>
      </c>
      <c r="BU38" s="69"/>
      <c r="BV38" s="127"/>
      <c r="BW38" s="74" t="str">
        <f t="shared" si="128"/>
        <v>England</v>
      </c>
      <c r="BX38" s="75"/>
      <c r="BY38" s="75"/>
      <c r="BZ38" s="76" t="str">
        <f t="shared" si="129"/>
        <v>Slovenia</v>
      </c>
      <c r="CC38" s="77">
        <f t="shared" si="130"/>
        <v>0</v>
      </c>
      <c r="CD38" s="78" t="str">
        <f t="shared" si="131"/>
        <v/>
      </c>
      <c r="CE38" s="69"/>
      <c r="CF38" s="127"/>
      <c r="CG38" s="74" t="str">
        <f t="shared" si="132"/>
        <v>England</v>
      </c>
      <c r="CH38" s="75"/>
      <c r="CI38" s="75"/>
      <c r="CJ38" s="76" t="str">
        <f t="shared" si="133"/>
        <v>Slovenia</v>
      </c>
      <c r="CM38" s="77">
        <f t="shared" si="134"/>
        <v>0</v>
      </c>
      <c r="CN38" s="78" t="str">
        <f t="shared" si="135"/>
        <v/>
      </c>
      <c r="CO38" s="69"/>
      <c r="CP38" s="127"/>
      <c r="CQ38" s="74" t="str">
        <f t="shared" si="136"/>
        <v>England</v>
      </c>
      <c r="CR38" s="75"/>
      <c r="CS38" s="75"/>
      <c r="CT38" s="76" t="str">
        <f t="shared" si="137"/>
        <v>Slovenia</v>
      </c>
      <c r="CW38" s="77">
        <f t="shared" si="138"/>
        <v>0</v>
      </c>
      <c r="CX38" s="78" t="str">
        <f t="shared" si="139"/>
        <v/>
      </c>
      <c r="CY38" s="69"/>
      <c r="CZ38" s="127"/>
      <c r="DA38" s="74" t="str">
        <f t="shared" si="140"/>
        <v>England</v>
      </c>
      <c r="DB38" s="75"/>
      <c r="DC38" s="75"/>
      <c r="DD38" s="76" t="str">
        <f t="shared" si="141"/>
        <v>Slovenia</v>
      </c>
      <c r="DG38" s="77">
        <f t="shared" si="142"/>
        <v>0</v>
      </c>
      <c r="DH38" s="78" t="str">
        <f t="shared" si="143"/>
        <v/>
      </c>
      <c r="DI38" s="69"/>
    </row>
    <row r="39" spans="1:113" s="43" customFormat="1" ht="15" customHeight="1" x14ac:dyDescent="0.25">
      <c r="A39" s="41">
        <v>44</v>
      </c>
      <c r="B39" s="65"/>
      <c r="C39" s="55">
        <v>30</v>
      </c>
      <c r="D39" s="20" t="s">
        <v>103</v>
      </c>
      <c r="E39" s="157">
        <f t="shared" si="144"/>
        <v>45468.875</v>
      </c>
      <c r="F39" s="158">
        <v>45468.875</v>
      </c>
      <c r="G39" s="72" t="str">
        <f>Matches!G37</f>
        <v>Denmark</v>
      </c>
      <c r="H39" s="75"/>
      <c r="I39" s="75"/>
      <c r="J39" s="73" t="str">
        <f>Matches!J37</f>
        <v>Serbia</v>
      </c>
      <c r="K39" s="55"/>
      <c r="L39" s="55"/>
      <c r="M39" s="67"/>
      <c r="N39" s="127"/>
      <c r="O39" s="74" t="str">
        <f t="shared" si="104"/>
        <v>Denmark</v>
      </c>
      <c r="P39" s="331">
        <v>3</v>
      </c>
      <c r="Q39" s="331">
        <v>0</v>
      </c>
      <c r="R39" s="76" t="str">
        <f t="shared" si="105"/>
        <v>Serbia</v>
      </c>
      <c r="U39" s="77">
        <f t="shared" si="106"/>
        <v>0</v>
      </c>
      <c r="V39" s="78" t="str">
        <f t="shared" si="107"/>
        <v/>
      </c>
      <c r="W39" s="69"/>
      <c r="X39" s="127"/>
      <c r="Y39" s="74" t="str">
        <f t="shared" si="108"/>
        <v>Denmark</v>
      </c>
      <c r="Z39" s="333">
        <v>1</v>
      </c>
      <c r="AA39" s="334">
        <v>1</v>
      </c>
      <c r="AB39" s="76" t="str">
        <f t="shared" si="109"/>
        <v>Serbia</v>
      </c>
      <c r="AE39" s="77">
        <f t="shared" si="110"/>
        <v>0</v>
      </c>
      <c r="AF39" s="78" t="str">
        <f t="shared" si="111"/>
        <v/>
      </c>
      <c r="AG39" s="69"/>
      <c r="AH39" s="127"/>
      <c r="AI39" s="74" t="str">
        <f t="shared" si="112"/>
        <v>Denmark</v>
      </c>
      <c r="AJ39" s="75">
        <v>0</v>
      </c>
      <c r="AK39" s="75">
        <v>0</v>
      </c>
      <c r="AL39" s="76" t="str">
        <f t="shared" si="113"/>
        <v>Serbia</v>
      </c>
      <c r="AO39" s="77">
        <f t="shared" si="114"/>
        <v>0</v>
      </c>
      <c r="AP39" s="78" t="str">
        <f t="shared" si="115"/>
        <v/>
      </c>
      <c r="AQ39" s="69"/>
      <c r="AR39" s="127"/>
      <c r="AS39" s="74" t="str">
        <f t="shared" si="116"/>
        <v>Denmark</v>
      </c>
      <c r="AT39" s="75">
        <v>1</v>
      </c>
      <c r="AU39" s="75">
        <v>0</v>
      </c>
      <c r="AV39" s="76" t="str">
        <f t="shared" si="117"/>
        <v>Serbia</v>
      </c>
      <c r="AY39" s="77">
        <f t="shared" si="118"/>
        <v>0</v>
      </c>
      <c r="AZ39" s="78" t="str">
        <f t="shared" si="119"/>
        <v/>
      </c>
      <c r="BA39" s="69"/>
      <c r="BB39" s="127"/>
      <c r="BC39" s="74" t="str">
        <f t="shared" si="120"/>
        <v>Denmark</v>
      </c>
      <c r="BD39" s="333">
        <v>2</v>
      </c>
      <c r="BE39" s="334">
        <v>1</v>
      </c>
      <c r="BF39" s="76" t="str">
        <f t="shared" si="121"/>
        <v>Serbia</v>
      </c>
      <c r="BI39" s="77">
        <f t="shared" si="122"/>
        <v>0</v>
      </c>
      <c r="BJ39" s="78" t="str">
        <f t="shared" si="123"/>
        <v/>
      </c>
      <c r="BK39" s="69"/>
      <c r="BL39" s="127"/>
      <c r="BM39" s="74" t="str">
        <f t="shared" si="124"/>
        <v>Denmark</v>
      </c>
      <c r="BN39" s="345">
        <v>2</v>
      </c>
      <c r="BO39" s="346">
        <v>1</v>
      </c>
      <c r="BP39" s="76" t="str">
        <f t="shared" si="125"/>
        <v>Serbia</v>
      </c>
      <c r="BS39" s="77">
        <f t="shared" si="126"/>
        <v>0</v>
      </c>
      <c r="BT39" s="78" t="str">
        <f t="shared" si="127"/>
        <v/>
      </c>
      <c r="BU39" s="69"/>
      <c r="BV39" s="127"/>
      <c r="BW39" s="74" t="str">
        <f t="shared" si="128"/>
        <v>Denmark</v>
      </c>
      <c r="BX39" s="75"/>
      <c r="BY39" s="75"/>
      <c r="BZ39" s="76" t="str">
        <f t="shared" si="129"/>
        <v>Serbia</v>
      </c>
      <c r="CC39" s="77">
        <f t="shared" si="130"/>
        <v>0</v>
      </c>
      <c r="CD39" s="78" t="str">
        <f t="shared" si="131"/>
        <v/>
      </c>
      <c r="CE39" s="69"/>
      <c r="CF39" s="127"/>
      <c r="CG39" s="74" t="str">
        <f t="shared" si="132"/>
        <v>Denmark</v>
      </c>
      <c r="CH39" s="75"/>
      <c r="CI39" s="75"/>
      <c r="CJ39" s="76" t="str">
        <f t="shared" si="133"/>
        <v>Serbia</v>
      </c>
      <c r="CM39" s="77">
        <f t="shared" si="134"/>
        <v>0</v>
      </c>
      <c r="CN39" s="78" t="str">
        <f t="shared" si="135"/>
        <v/>
      </c>
      <c r="CO39" s="69"/>
      <c r="CP39" s="127"/>
      <c r="CQ39" s="74" t="str">
        <f t="shared" si="136"/>
        <v>Denmark</v>
      </c>
      <c r="CR39" s="75"/>
      <c r="CS39" s="75"/>
      <c r="CT39" s="76" t="str">
        <f t="shared" si="137"/>
        <v>Serbia</v>
      </c>
      <c r="CW39" s="77">
        <f t="shared" si="138"/>
        <v>0</v>
      </c>
      <c r="CX39" s="78" t="str">
        <f t="shared" si="139"/>
        <v/>
      </c>
      <c r="CY39" s="69"/>
      <c r="CZ39" s="127"/>
      <c r="DA39" s="74" t="str">
        <f t="shared" si="140"/>
        <v>Denmark</v>
      </c>
      <c r="DB39" s="75"/>
      <c r="DC39" s="75"/>
      <c r="DD39" s="76" t="str">
        <f t="shared" si="141"/>
        <v>Serbia</v>
      </c>
      <c r="DG39" s="77">
        <f t="shared" si="142"/>
        <v>0</v>
      </c>
      <c r="DH39" s="78" t="str">
        <f t="shared" si="143"/>
        <v/>
      </c>
      <c r="DI39" s="69"/>
    </row>
    <row r="40" spans="1:113" s="43" customFormat="1" ht="15" customHeight="1" x14ac:dyDescent="0.25">
      <c r="A40" s="41">
        <v>45</v>
      </c>
      <c r="B40" s="65"/>
      <c r="C40" s="55">
        <v>31</v>
      </c>
      <c r="D40" s="20" t="s">
        <v>104</v>
      </c>
      <c r="E40" s="157">
        <f t="shared" si="144"/>
        <v>45468.75</v>
      </c>
      <c r="F40" s="158">
        <v>45468.75</v>
      </c>
      <c r="G40" s="72" t="str">
        <f>Matches!G38</f>
        <v>Netherlands</v>
      </c>
      <c r="H40" s="75"/>
      <c r="I40" s="75"/>
      <c r="J40" s="73" t="str">
        <f>Matches!J38</f>
        <v>Austria</v>
      </c>
      <c r="K40" s="55"/>
      <c r="L40" s="55"/>
      <c r="M40" s="67"/>
      <c r="N40" s="127"/>
      <c r="O40" s="74" t="str">
        <f t="shared" si="104"/>
        <v>Netherlands</v>
      </c>
      <c r="P40" s="331">
        <v>3</v>
      </c>
      <c r="Q40" s="331">
        <v>1</v>
      </c>
      <c r="R40" s="76" t="str">
        <f t="shared" si="105"/>
        <v>Austria</v>
      </c>
      <c r="U40" s="77">
        <f t="shared" si="106"/>
        <v>0</v>
      </c>
      <c r="V40" s="78" t="str">
        <f t="shared" si="107"/>
        <v/>
      </c>
      <c r="W40" s="69"/>
      <c r="X40" s="127"/>
      <c r="Y40" s="74" t="str">
        <f t="shared" si="108"/>
        <v>Netherlands</v>
      </c>
      <c r="Z40" s="333">
        <v>1</v>
      </c>
      <c r="AA40" s="334">
        <v>1</v>
      </c>
      <c r="AB40" s="76" t="str">
        <f t="shared" si="109"/>
        <v>Austria</v>
      </c>
      <c r="AE40" s="77">
        <f t="shared" si="110"/>
        <v>0</v>
      </c>
      <c r="AF40" s="78" t="str">
        <f t="shared" si="111"/>
        <v/>
      </c>
      <c r="AG40" s="69"/>
      <c r="AH40" s="127"/>
      <c r="AI40" s="74" t="str">
        <f t="shared" si="112"/>
        <v>Netherlands</v>
      </c>
      <c r="AJ40" s="75">
        <v>1</v>
      </c>
      <c r="AK40" s="75">
        <v>1</v>
      </c>
      <c r="AL40" s="76" t="str">
        <f t="shared" si="113"/>
        <v>Austria</v>
      </c>
      <c r="AO40" s="77">
        <f t="shared" si="114"/>
        <v>0</v>
      </c>
      <c r="AP40" s="78" t="str">
        <f t="shared" si="115"/>
        <v/>
      </c>
      <c r="AQ40" s="69"/>
      <c r="AR40" s="127"/>
      <c r="AS40" s="74" t="str">
        <f t="shared" si="116"/>
        <v>Netherlands</v>
      </c>
      <c r="AT40" s="75">
        <v>1</v>
      </c>
      <c r="AU40" s="75">
        <v>0</v>
      </c>
      <c r="AV40" s="76" t="str">
        <f t="shared" si="117"/>
        <v>Austria</v>
      </c>
      <c r="AY40" s="77">
        <f t="shared" si="118"/>
        <v>0</v>
      </c>
      <c r="AZ40" s="78" t="str">
        <f t="shared" si="119"/>
        <v/>
      </c>
      <c r="BA40" s="69"/>
      <c r="BB40" s="127"/>
      <c r="BC40" s="74" t="str">
        <f t="shared" si="120"/>
        <v>Netherlands</v>
      </c>
      <c r="BD40" s="333">
        <v>1</v>
      </c>
      <c r="BE40" s="334">
        <v>0</v>
      </c>
      <c r="BF40" s="76" t="str">
        <f t="shared" si="121"/>
        <v>Austria</v>
      </c>
      <c r="BI40" s="77">
        <f t="shared" si="122"/>
        <v>0</v>
      </c>
      <c r="BJ40" s="78" t="str">
        <f t="shared" si="123"/>
        <v/>
      </c>
      <c r="BK40" s="69"/>
      <c r="BL40" s="127"/>
      <c r="BM40" s="74" t="str">
        <f t="shared" si="124"/>
        <v>Netherlands</v>
      </c>
      <c r="BN40" s="345">
        <v>1</v>
      </c>
      <c r="BO40" s="346">
        <v>1</v>
      </c>
      <c r="BP40" s="76" t="str">
        <f t="shared" si="125"/>
        <v>Austria</v>
      </c>
      <c r="BS40" s="77">
        <f t="shared" si="126"/>
        <v>0</v>
      </c>
      <c r="BT40" s="78" t="str">
        <f t="shared" si="127"/>
        <v/>
      </c>
      <c r="BU40" s="69"/>
      <c r="BV40" s="127"/>
      <c r="BW40" s="74" t="str">
        <f t="shared" si="128"/>
        <v>Netherlands</v>
      </c>
      <c r="BX40" s="75"/>
      <c r="BY40" s="75"/>
      <c r="BZ40" s="76" t="str">
        <f t="shared" si="129"/>
        <v>Austria</v>
      </c>
      <c r="CC40" s="77">
        <f t="shared" si="130"/>
        <v>0</v>
      </c>
      <c r="CD40" s="78" t="str">
        <f t="shared" si="131"/>
        <v/>
      </c>
      <c r="CE40" s="69"/>
      <c r="CF40" s="127"/>
      <c r="CG40" s="74" t="str">
        <f t="shared" si="132"/>
        <v>Netherlands</v>
      </c>
      <c r="CH40" s="75"/>
      <c r="CI40" s="75"/>
      <c r="CJ40" s="76" t="str">
        <f t="shared" si="133"/>
        <v>Austria</v>
      </c>
      <c r="CM40" s="77">
        <f t="shared" si="134"/>
        <v>0</v>
      </c>
      <c r="CN40" s="78" t="str">
        <f t="shared" si="135"/>
        <v/>
      </c>
      <c r="CO40" s="69"/>
      <c r="CP40" s="127"/>
      <c r="CQ40" s="74" t="str">
        <f t="shared" si="136"/>
        <v>Netherlands</v>
      </c>
      <c r="CR40" s="75"/>
      <c r="CS40" s="75"/>
      <c r="CT40" s="76" t="str">
        <f t="shared" si="137"/>
        <v>Austria</v>
      </c>
      <c r="CW40" s="77">
        <f t="shared" si="138"/>
        <v>0</v>
      </c>
      <c r="CX40" s="78" t="str">
        <f t="shared" si="139"/>
        <v/>
      </c>
      <c r="CY40" s="69"/>
      <c r="CZ40" s="127"/>
      <c r="DA40" s="74" t="str">
        <f t="shared" si="140"/>
        <v>Netherlands</v>
      </c>
      <c r="DB40" s="75"/>
      <c r="DC40" s="75"/>
      <c r="DD40" s="76" t="str">
        <f t="shared" si="141"/>
        <v>Austria</v>
      </c>
      <c r="DG40" s="77">
        <f t="shared" si="142"/>
        <v>0</v>
      </c>
      <c r="DH40" s="78" t="str">
        <f t="shared" si="143"/>
        <v/>
      </c>
      <c r="DI40" s="69"/>
    </row>
    <row r="41" spans="1:113" s="43" customFormat="1" ht="15" customHeight="1" x14ac:dyDescent="0.25">
      <c r="A41" s="41">
        <v>46</v>
      </c>
      <c r="B41" s="65"/>
      <c r="C41" s="55">
        <v>32</v>
      </c>
      <c r="D41" s="20" t="s">
        <v>104</v>
      </c>
      <c r="E41" s="157">
        <f t="shared" si="144"/>
        <v>45468.75</v>
      </c>
      <c r="F41" s="158">
        <v>45468.75</v>
      </c>
      <c r="G41" s="72" t="str">
        <f>Matches!G39</f>
        <v>France</v>
      </c>
      <c r="H41" s="75"/>
      <c r="I41" s="75"/>
      <c r="J41" s="73" t="str">
        <f>Matches!J39</f>
        <v>Poland</v>
      </c>
      <c r="K41" s="55"/>
      <c r="L41" s="55"/>
      <c r="M41" s="67"/>
      <c r="N41" s="127"/>
      <c r="O41" s="74" t="str">
        <f t="shared" si="104"/>
        <v>France</v>
      </c>
      <c r="P41" s="331">
        <v>5</v>
      </c>
      <c r="Q41" s="331">
        <v>1</v>
      </c>
      <c r="R41" s="76" t="str">
        <f t="shared" si="105"/>
        <v>Poland</v>
      </c>
      <c r="U41" s="77">
        <f t="shared" si="106"/>
        <v>0</v>
      </c>
      <c r="V41" s="78" t="str">
        <f t="shared" si="107"/>
        <v/>
      </c>
      <c r="W41" s="69"/>
      <c r="X41" s="127"/>
      <c r="Y41" s="74" t="str">
        <f t="shared" si="108"/>
        <v>France</v>
      </c>
      <c r="Z41" s="333">
        <v>1</v>
      </c>
      <c r="AA41" s="334">
        <v>1</v>
      </c>
      <c r="AB41" s="76" t="str">
        <f t="shared" si="109"/>
        <v>Poland</v>
      </c>
      <c r="AE41" s="77">
        <f t="shared" si="110"/>
        <v>0</v>
      </c>
      <c r="AF41" s="78" t="str">
        <f t="shared" si="111"/>
        <v/>
      </c>
      <c r="AG41" s="69"/>
      <c r="AH41" s="127"/>
      <c r="AI41" s="74" t="str">
        <f t="shared" si="112"/>
        <v>France</v>
      </c>
      <c r="AJ41" s="75">
        <v>2</v>
      </c>
      <c r="AK41" s="75">
        <v>1</v>
      </c>
      <c r="AL41" s="76" t="str">
        <f t="shared" si="113"/>
        <v>Poland</v>
      </c>
      <c r="AO41" s="77">
        <f t="shared" si="114"/>
        <v>0</v>
      </c>
      <c r="AP41" s="78" t="str">
        <f t="shared" si="115"/>
        <v/>
      </c>
      <c r="AQ41" s="69"/>
      <c r="AR41" s="127"/>
      <c r="AS41" s="74" t="str">
        <f t="shared" si="116"/>
        <v>France</v>
      </c>
      <c r="AT41" s="75">
        <v>1</v>
      </c>
      <c r="AU41" s="75">
        <v>0</v>
      </c>
      <c r="AV41" s="76" t="str">
        <f t="shared" si="117"/>
        <v>Poland</v>
      </c>
      <c r="AY41" s="77">
        <f t="shared" si="118"/>
        <v>0</v>
      </c>
      <c r="AZ41" s="78" t="str">
        <f t="shared" si="119"/>
        <v/>
      </c>
      <c r="BA41" s="69"/>
      <c r="BB41" s="127"/>
      <c r="BC41" s="74" t="str">
        <f t="shared" si="120"/>
        <v>France</v>
      </c>
      <c r="BD41" s="333">
        <v>3</v>
      </c>
      <c r="BE41" s="334">
        <v>0</v>
      </c>
      <c r="BF41" s="76" t="str">
        <f t="shared" si="121"/>
        <v>Poland</v>
      </c>
      <c r="BI41" s="77">
        <f t="shared" si="122"/>
        <v>0</v>
      </c>
      <c r="BJ41" s="78" t="str">
        <f t="shared" si="123"/>
        <v/>
      </c>
      <c r="BK41" s="69"/>
      <c r="BL41" s="127"/>
      <c r="BM41" s="74" t="str">
        <f t="shared" si="124"/>
        <v>France</v>
      </c>
      <c r="BN41" s="345">
        <v>2</v>
      </c>
      <c r="BO41" s="346">
        <v>1</v>
      </c>
      <c r="BP41" s="76" t="str">
        <f t="shared" si="125"/>
        <v>Poland</v>
      </c>
      <c r="BS41" s="77">
        <f t="shared" si="126"/>
        <v>0</v>
      </c>
      <c r="BT41" s="78" t="str">
        <f t="shared" si="127"/>
        <v/>
      </c>
      <c r="BU41" s="69"/>
      <c r="BV41" s="127"/>
      <c r="BW41" s="74" t="str">
        <f t="shared" si="128"/>
        <v>France</v>
      </c>
      <c r="BX41" s="75"/>
      <c r="BY41" s="75"/>
      <c r="BZ41" s="76" t="str">
        <f t="shared" si="129"/>
        <v>Poland</v>
      </c>
      <c r="CC41" s="77">
        <f t="shared" si="130"/>
        <v>0</v>
      </c>
      <c r="CD41" s="78" t="str">
        <f t="shared" si="131"/>
        <v/>
      </c>
      <c r="CE41" s="69"/>
      <c r="CF41" s="127"/>
      <c r="CG41" s="74" t="str">
        <f t="shared" si="132"/>
        <v>France</v>
      </c>
      <c r="CH41" s="75"/>
      <c r="CI41" s="75"/>
      <c r="CJ41" s="76" t="str">
        <f t="shared" si="133"/>
        <v>Poland</v>
      </c>
      <c r="CM41" s="77">
        <f t="shared" si="134"/>
        <v>0</v>
      </c>
      <c r="CN41" s="78" t="str">
        <f t="shared" si="135"/>
        <v/>
      </c>
      <c r="CO41" s="69"/>
      <c r="CP41" s="127"/>
      <c r="CQ41" s="74" t="str">
        <f t="shared" si="136"/>
        <v>France</v>
      </c>
      <c r="CR41" s="75"/>
      <c r="CS41" s="75"/>
      <c r="CT41" s="76" t="str">
        <f t="shared" si="137"/>
        <v>Poland</v>
      </c>
      <c r="CW41" s="77">
        <f t="shared" si="138"/>
        <v>0</v>
      </c>
      <c r="CX41" s="78" t="str">
        <f t="shared" si="139"/>
        <v/>
      </c>
      <c r="CY41" s="69"/>
      <c r="CZ41" s="127"/>
      <c r="DA41" s="74" t="str">
        <f t="shared" si="140"/>
        <v>France</v>
      </c>
      <c r="DB41" s="75"/>
      <c r="DC41" s="75"/>
      <c r="DD41" s="76" t="str">
        <f t="shared" si="141"/>
        <v>Poland</v>
      </c>
      <c r="DG41" s="77">
        <f t="shared" si="142"/>
        <v>0</v>
      </c>
      <c r="DH41" s="78" t="str">
        <f t="shared" si="143"/>
        <v/>
      </c>
      <c r="DI41" s="69"/>
    </row>
    <row r="42" spans="1:113" s="43" customFormat="1" ht="15" customHeight="1" x14ac:dyDescent="0.25">
      <c r="A42" s="41">
        <v>47</v>
      </c>
      <c r="B42" s="65"/>
      <c r="C42" s="55">
        <v>33</v>
      </c>
      <c r="D42" s="20" t="s">
        <v>105</v>
      </c>
      <c r="E42" s="157">
        <f t="shared" si="144"/>
        <v>45469.75</v>
      </c>
      <c r="F42" s="158">
        <v>45469.75</v>
      </c>
      <c r="G42" s="72" t="str">
        <f>Matches!G40</f>
        <v>Slovakia</v>
      </c>
      <c r="H42" s="75"/>
      <c r="I42" s="75"/>
      <c r="J42" s="73" t="str">
        <f>Matches!J40</f>
        <v>Romania</v>
      </c>
      <c r="K42" s="55"/>
      <c r="L42" s="55"/>
      <c r="M42" s="67"/>
      <c r="N42" s="127"/>
      <c r="O42" s="74" t="str">
        <f t="shared" si="104"/>
        <v>Slovakia</v>
      </c>
      <c r="P42" s="331">
        <v>1</v>
      </c>
      <c r="Q42" s="331">
        <v>1</v>
      </c>
      <c r="R42" s="76" t="str">
        <f t="shared" si="105"/>
        <v>Romania</v>
      </c>
      <c r="U42" s="77">
        <f t="shared" si="106"/>
        <v>0</v>
      </c>
      <c r="V42" s="78" t="str">
        <f t="shared" si="107"/>
        <v/>
      </c>
      <c r="W42" s="69"/>
      <c r="X42" s="127"/>
      <c r="Y42" s="74" t="str">
        <f t="shared" si="108"/>
        <v>Slovakia</v>
      </c>
      <c r="Z42" s="333">
        <v>1</v>
      </c>
      <c r="AA42" s="334">
        <v>1</v>
      </c>
      <c r="AB42" s="76" t="str">
        <f t="shared" si="109"/>
        <v>Romania</v>
      </c>
      <c r="AE42" s="77">
        <f t="shared" si="110"/>
        <v>0</v>
      </c>
      <c r="AF42" s="78" t="str">
        <f t="shared" si="111"/>
        <v/>
      </c>
      <c r="AG42" s="69"/>
      <c r="AH42" s="127"/>
      <c r="AI42" s="74" t="str">
        <f t="shared" si="112"/>
        <v>Slovakia</v>
      </c>
      <c r="AJ42" s="75">
        <v>0</v>
      </c>
      <c r="AK42" s="75">
        <v>1</v>
      </c>
      <c r="AL42" s="76" t="str">
        <f t="shared" si="113"/>
        <v>Romania</v>
      </c>
      <c r="AO42" s="77">
        <f t="shared" si="114"/>
        <v>0</v>
      </c>
      <c r="AP42" s="78" t="str">
        <f t="shared" si="115"/>
        <v/>
      </c>
      <c r="AQ42" s="69"/>
      <c r="AR42" s="127"/>
      <c r="AS42" s="74" t="str">
        <f t="shared" si="116"/>
        <v>Slovakia</v>
      </c>
      <c r="AT42" s="75">
        <v>0</v>
      </c>
      <c r="AU42" s="75">
        <v>1</v>
      </c>
      <c r="AV42" s="76" t="str">
        <f t="shared" si="117"/>
        <v>Romania</v>
      </c>
      <c r="AY42" s="77">
        <f t="shared" si="118"/>
        <v>0</v>
      </c>
      <c r="AZ42" s="78" t="str">
        <f t="shared" si="119"/>
        <v/>
      </c>
      <c r="BA42" s="69"/>
      <c r="BB42" s="127"/>
      <c r="BC42" s="74" t="str">
        <f t="shared" si="120"/>
        <v>Slovakia</v>
      </c>
      <c r="BD42" s="333">
        <v>0</v>
      </c>
      <c r="BE42" s="334">
        <v>0</v>
      </c>
      <c r="BF42" s="76" t="str">
        <f t="shared" si="121"/>
        <v>Romania</v>
      </c>
      <c r="BI42" s="77">
        <f t="shared" si="122"/>
        <v>0</v>
      </c>
      <c r="BJ42" s="78" t="str">
        <f t="shared" si="123"/>
        <v/>
      </c>
      <c r="BK42" s="69"/>
      <c r="BL42" s="127"/>
      <c r="BM42" s="74" t="str">
        <f t="shared" si="124"/>
        <v>Slovakia</v>
      </c>
      <c r="BN42" s="345">
        <v>1</v>
      </c>
      <c r="BO42" s="346">
        <v>1</v>
      </c>
      <c r="BP42" s="76" t="str">
        <f t="shared" si="125"/>
        <v>Romania</v>
      </c>
      <c r="BS42" s="77">
        <f t="shared" si="126"/>
        <v>0</v>
      </c>
      <c r="BT42" s="78" t="str">
        <f t="shared" si="127"/>
        <v/>
      </c>
      <c r="BU42" s="69"/>
      <c r="BV42" s="127"/>
      <c r="BW42" s="74" t="str">
        <f t="shared" si="128"/>
        <v>Slovakia</v>
      </c>
      <c r="BX42" s="75"/>
      <c r="BY42" s="75"/>
      <c r="BZ42" s="76" t="str">
        <f t="shared" si="129"/>
        <v>Romania</v>
      </c>
      <c r="CC42" s="77">
        <f t="shared" si="130"/>
        <v>0</v>
      </c>
      <c r="CD42" s="78" t="str">
        <f t="shared" si="131"/>
        <v/>
      </c>
      <c r="CE42" s="69"/>
      <c r="CF42" s="127"/>
      <c r="CG42" s="74" t="str">
        <f t="shared" si="132"/>
        <v>Slovakia</v>
      </c>
      <c r="CH42" s="75"/>
      <c r="CI42" s="75"/>
      <c r="CJ42" s="76" t="str">
        <f t="shared" si="133"/>
        <v>Romania</v>
      </c>
      <c r="CM42" s="77">
        <f t="shared" si="134"/>
        <v>0</v>
      </c>
      <c r="CN42" s="78" t="str">
        <f t="shared" si="135"/>
        <v/>
      </c>
      <c r="CO42" s="69"/>
      <c r="CP42" s="127"/>
      <c r="CQ42" s="74" t="str">
        <f t="shared" si="136"/>
        <v>Slovakia</v>
      </c>
      <c r="CR42" s="75"/>
      <c r="CS42" s="75"/>
      <c r="CT42" s="76" t="str">
        <f t="shared" si="137"/>
        <v>Romania</v>
      </c>
      <c r="CW42" s="77">
        <f t="shared" si="138"/>
        <v>0</v>
      </c>
      <c r="CX42" s="78" t="str">
        <f t="shared" si="139"/>
        <v/>
      </c>
      <c r="CY42" s="69"/>
      <c r="CZ42" s="127"/>
      <c r="DA42" s="74" t="str">
        <f t="shared" si="140"/>
        <v>Slovakia</v>
      </c>
      <c r="DB42" s="75"/>
      <c r="DC42" s="75"/>
      <c r="DD42" s="76" t="str">
        <f t="shared" si="141"/>
        <v>Romania</v>
      </c>
      <c r="DG42" s="77">
        <f t="shared" si="142"/>
        <v>0</v>
      </c>
      <c r="DH42" s="78" t="str">
        <f t="shared" si="143"/>
        <v/>
      </c>
      <c r="DI42" s="69"/>
    </row>
    <row r="43" spans="1:113" s="43" customFormat="1" ht="15" customHeight="1" x14ac:dyDescent="0.25">
      <c r="A43" s="41">
        <v>48</v>
      </c>
      <c r="B43" s="65"/>
      <c r="C43" s="55">
        <v>34</v>
      </c>
      <c r="D43" s="20" t="s">
        <v>105</v>
      </c>
      <c r="E43" s="157">
        <f t="shared" si="144"/>
        <v>45469.75</v>
      </c>
      <c r="F43" s="158">
        <v>45469.75</v>
      </c>
      <c r="G43" s="72" t="str">
        <f>Matches!G41</f>
        <v>Ukraine</v>
      </c>
      <c r="H43" s="75"/>
      <c r="I43" s="75"/>
      <c r="J43" s="73" t="str">
        <f>Matches!J41</f>
        <v>Belgium</v>
      </c>
      <c r="K43" s="55"/>
      <c r="L43" s="55"/>
      <c r="M43" s="67"/>
      <c r="N43" s="127"/>
      <c r="O43" s="74" t="str">
        <f t="shared" si="104"/>
        <v>Ukraine</v>
      </c>
      <c r="P43" s="331">
        <v>0</v>
      </c>
      <c r="Q43" s="331">
        <v>3</v>
      </c>
      <c r="R43" s="76" t="str">
        <f t="shared" si="105"/>
        <v>Belgium</v>
      </c>
      <c r="U43" s="77">
        <f t="shared" si="106"/>
        <v>0</v>
      </c>
      <c r="V43" s="78" t="str">
        <f t="shared" si="107"/>
        <v/>
      </c>
      <c r="W43" s="69"/>
      <c r="X43" s="127"/>
      <c r="Y43" s="74" t="str">
        <f t="shared" si="108"/>
        <v>Ukraine</v>
      </c>
      <c r="Z43" s="333">
        <v>1</v>
      </c>
      <c r="AA43" s="334">
        <v>1</v>
      </c>
      <c r="AB43" s="76" t="str">
        <f t="shared" si="109"/>
        <v>Belgium</v>
      </c>
      <c r="AE43" s="77">
        <f t="shared" si="110"/>
        <v>0</v>
      </c>
      <c r="AF43" s="78" t="str">
        <f t="shared" si="111"/>
        <v/>
      </c>
      <c r="AG43" s="69"/>
      <c r="AH43" s="127"/>
      <c r="AI43" s="74" t="str">
        <f t="shared" si="112"/>
        <v>Ukraine</v>
      </c>
      <c r="AJ43" s="75">
        <v>0</v>
      </c>
      <c r="AK43" s="75">
        <v>0</v>
      </c>
      <c r="AL43" s="76" t="str">
        <f t="shared" si="113"/>
        <v>Belgium</v>
      </c>
      <c r="AO43" s="77">
        <f t="shared" si="114"/>
        <v>0</v>
      </c>
      <c r="AP43" s="78" t="str">
        <f t="shared" si="115"/>
        <v/>
      </c>
      <c r="AQ43" s="69"/>
      <c r="AR43" s="127"/>
      <c r="AS43" s="74" t="str">
        <f t="shared" si="116"/>
        <v>Ukraine</v>
      </c>
      <c r="AT43" s="75">
        <v>0</v>
      </c>
      <c r="AU43" s="75">
        <v>2</v>
      </c>
      <c r="AV43" s="76" t="str">
        <f t="shared" si="117"/>
        <v>Belgium</v>
      </c>
      <c r="AY43" s="77">
        <f t="shared" si="118"/>
        <v>0</v>
      </c>
      <c r="AZ43" s="78" t="str">
        <f t="shared" si="119"/>
        <v/>
      </c>
      <c r="BA43" s="69"/>
      <c r="BB43" s="127"/>
      <c r="BC43" s="74" t="str">
        <f t="shared" si="120"/>
        <v>Ukraine</v>
      </c>
      <c r="BD43" s="333">
        <v>1</v>
      </c>
      <c r="BE43" s="334">
        <v>4</v>
      </c>
      <c r="BF43" s="76" t="str">
        <f t="shared" si="121"/>
        <v>Belgium</v>
      </c>
      <c r="BI43" s="77">
        <f t="shared" si="122"/>
        <v>0</v>
      </c>
      <c r="BJ43" s="78" t="str">
        <f t="shared" si="123"/>
        <v/>
      </c>
      <c r="BK43" s="69"/>
      <c r="BL43" s="127"/>
      <c r="BM43" s="74" t="str">
        <f t="shared" si="124"/>
        <v>Ukraine</v>
      </c>
      <c r="BN43" s="345">
        <v>1</v>
      </c>
      <c r="BO43" s="346">
        <v>3</v>
      </c>
      <c r="BP43" s="76" t="str">
        <f t="shared" si="125"/>
        <v>Belgium</v>
      </c>
      <c r="BS43" s="77">
        <f t="shared" si="126"/>
        <v>0</v>
      </c>
      <c r="BT43" s="78" t="str">
        <f t="shared" si="127"/>
        <v/>
      </c>
      <c r="BU43" s="69"/>
      <c r="BV43" s="127"/>
      <c r="BW43" s="74" t="str">
        <f t="shared" si="128"/>
        <v>Ukraine</v>
      </c>
      <c r="BX43" s="75"/>
      <c r="BY43" s="75"/>
      <c r="BZ43" s="76" t="str">
        <f t="shared" si="129"/>
        <v>Belgium</v>
      </c>
      <c r="CC43" s="77">
        <f t="shared" si="130"/>
        <v>0</v>
      </c>
      <c r="CD43" s="78" t="str">
        <f t="shared" si="131"/>
        <v/>
      </c>
      <c r="CE43" s="69"/>
      <c r="CF43" s="127"/>
      <c r="CG43" s="74" t="str">
        <f t="shared" si="132"/>
        <v>Ukraine</v>
      </c>
      <c r="CH43" s="75"/>
      <c r="CI43" s="75"/>
      <c r="CJ43" s="76" t="str">
        <f t="shared" si="133"/>
        <v>Belgium</v>
      </c>
      <c r="CM43" s="77">
        <f t="shared" si="134"/>
        <v>0</v>
      </c>
      <c r="CN43" s="78" t="str">
        <f t="shared" si="135"/>
        <v/>
      </c>
      <c r="CO43" s="69"/>
      <c r="CP43" s="127"/>
      <c r="CQ43" s="74" t="str">
        <f t="shared" si="136"/>
        <v>Ukraine</v>
      </c>
      <c r="CR43" s="75"/>
      <c r="CS43" s="75"/>
      <c r="CT43" s="76" t="str">
        <f t="shared" si="137"/>
        <v>Belgium</v>
      </c>
      <c r="CW43" s="77">
        <f t="shared" si="138"/>
        <v>0</v>
      </c>
      <c r="CX43" s="78" t="str">
        <f t="shared" si="139"/>
        <v/>
      </c>
      <c r="CY43" s="69"/>
      <c r="CZ43" s="127"/>
      <c r="DA43" s="74" t="str">
        <f t="shared" si="140"/>
        <v>Ukraine</v>
      </c>
      <c r="DB43" s="75"/>
      <c r="DC43" s="75"/>
      <c r="DD43" s="76" t="str">
        <f t="shared" si="141"/>
        <v>Belgium</v>
      </c>
      <c r="DG43" s="77">
        <f t="shared" si="142"/>
        <v>0</v>
      </c>
      <c r="DH43" s="78" t="str">
        <f t="shared" si="143"/>
        <v/>
      </c>
      <c r="DI43" s="69"/>
    </row>
    <row r="44" spans="1:113" s="43" customFormat="1" ht="15" customHeight="1" x14ac:dyDescent="0.25">
      <c r="A44" s="41">
        <v>49</v>
      </c>
      <c r="B44" s="65"/>
      <c r="C44" s="55">
        <v>35</v>
      </c>
      <c r="D44" s="20" t="s">
        <v>106</v>
      </c>
      <c r="E44" s="157">
        <f t="shared" si="144"/>
        <v>45469.875</v>
      </c>
      <c r="F44" s="158">
        <v>45469.875</v>
      </c>
      <c r="G44" s="72" t="str">
        <f>Matches!G42</f>
        <v>Georgia</v>
      </c>
      <c r="H44" s="75"/>
      <c r="I44" s="75"/>
      <c r="J44" s="73" t="str">
        <f>Matches!J42</f>
        <v>Portugal</v>
      </c>
      <c r="K44" s="55"/>
      <c r="L44" s="55"/>
      <c r="M44" s="67"/>
      <c r="N44" s="127"/>
      <c r="O44" s="74" t="str">
        <f t="shared" si="104"/>
        <v>Georgia</v>
      </c>
      <c r="P44" s="331">
        <v>0</v>
      </c>
      <c r="Q44" s="331">
        <v>6</v>
      </c>
      <c r="R44" s="76" t="str">
        <f t="shared" si="105"/>
        <v>Portugal</v>
      </c>
      <c r="U44" s="77">
        <f t="shared" si="106"/>
        <v>0</v>
      </c>
      <c r="V44" s="78" t="str">
        <f t="shared" si="107"/>
        <v/>
      </c>
      <c r="W44" s="69"/>
      <c r="X44" s="127"/>
      <c r="Y44" s="74" t="str">
        <f t="shared" si="108"/>
        <v>Georgia</v>
      </c>
      <c r="Z44" s="333">
        <v>1</v>
      </c>
      <c r="AA44" s="334">
        <v>2</v>
      </c>
      <c r="AB44" s="76" t="str">
        <f t="shared" si="109"/>
        <v>Portugal</v>
      </c>
      <c r="AE44" s="77">
        <f t="shared" si="110"/>
        <v>0</v>
      </c>
      <c r="AF44" s="78" t="str">
        <f t="shared" si="111"/>
        <v/>
      </c>
      <c r="AG44" s="69"/>
      <c r="AH44" s="127"/>
      <c r="AI44" s="74" t="str">
        <f t="shared" si="112"/>
        <v>Georgia</v>
      </c>
      <c r="AJ44" s="75">
        <v>0</v>
      </c>
      <c r="AK44" s="75">
        <v>1</v>
      </c>
      <c r="AL44" s="76" t="str">
        <f t="shared" si="113"/>
        <v>Portugal</v>
      </c>
      <c r="AO44" s="77">
        <f t="shared" si="114"/>
        <v>0</v>
      </c>
      <c r="AP44" s="78" t="str">
        <f t="shared" si="115"/>
        <v/>
      </c>
      <c r="AQ44" s="69"/>
      <c r="AR44" s="127"/>
      <c r="AS44" s="74" t="str">
        <f t="shared" si="116"/>
        <v>Georgia</v>
      </c>
      <c r="AT44" s="75">
        <v>0</v>
      </c>
      <c r="AU44" s="75">
        <v>6</v>
      </c>
      <c r="AV44" s="76" t="str">
        <f t="shared" si="117"/>
        <v>Portugal</v>
      </c>
      <c r="AY44" s="77">
        <f t="shared" si="118"/>
        <v>0</v>
      </c>
      <c r="AZ44" s="78" t="str">
        <f t="shared" si="119"/>
        <v/>
      </c>
      <c r="BA44" s="69"/>
      <c r="BB44" s="127"/>
      <c r="BC44" s="74" t="str">
        <f t="shared" si="120"/>
        <v>Georgia</v>
      </c>
      <c r="BD44" s="333">
        <v>0</v>
      </c>
      <c r="BE44" s="334">
        <v>4</v>
      </c>
      <c r="BF44" s="76" t="str">
        <f t="shared" si="121"/>
        <v>Portugal</v>
      </c>
      <c r="BI44" s="77">
        <f t="shared" si="122"/>
        <v>0</v>
      </c>
      <c r="BJ44" s="78" t="str">
        <f t="shared" si="123"/>
        <v/>
      </c>
      <c r="BK44" s="69"/>
      <c r="BL44" s="127"/>
      <c r="BM44" s="74" t="str">
        <f t="shared" si="124"/>
        <v>Georgia</v>
      </c>
      <c r="BN44" s="345">
        <v>0</v>
      </c>
      <c r="BO44" s="346">
        <v>4</v>
      </c>
      <c r="BP44" s="76" t="str">
        <f t="shared" si="125"/>
        <v>Portugal</v>
      </c>
      <c r="BS44" s="77">
        <f t="shared" si="126"/>
        <v>0</v>
      </c>
      <c r="BT44" s="78" t="str">
        <f t="shared" si="127"/>
        <v/>
      </c>
      <c r="BU44" s="69"/>
      <c r="BV44" s="127"/>
      <c r="BW44" s="74" t="str">
        <f t="shared" si="128"/>
        <v>Georgia</v>
      </c>
      <c r="BX44" s="75"/>
      <c r="BY44" s="75"/>
      <c r="BZ44" s="76" t="str">
        <f t="shared" si="129"/>
        <v>Portugal</v>
      </c>
      <c r="CC44" s="77">
        <f t="shared" si="130"/>
        <v>0</v>
      </c>
      <c r="CD44" s="78" t="str">
        <f t="shared" si="131"/>
        <v/>
      </c>
      <c r="CE44" s="69"/>
      <c r="CF44" s="127"/>
      <c r="CG44" s="74" t="str">
        <f t="shared" si="132"/>
        <v>Georgia</v>
      </c>
      <c r="CH44" s="75"/>
      <c r="CI44" s="75"/>
      <c r="CJ44" s="76" t="str">
        <f t="shared" si="133"/>
        <v>Portugal</v>
      </c>
      <c r="CM44" s="77">
        <f t="shared" si="134"/>
        <v>0</v>
      </c>
      <c r="CN44" s="78" t="str">
        <f t="shared" si="135"/>
        <v/>
      </c>
      <c r="CO44" s="69"/>
      <c r="CP44" s="127"/>
      <c r="CQ44" s="74" t="str">
        <f t="shared" si="136"/>
        <v>Georgia</v>
      </c>
      <c r="CR44" s="75"/>
      <c r="CS44" s="75"/>
      <c r="CT44" s="76" t="str">
        <f t="shared" si="137"/>
        <v>Portugal</v>
      </c>
      <c r="CW44" s="77">
        <f t="shared" si="138"/>
        <v>0</v>
      </c>
      <c r="CX44" s="78" t="str">
        <f t="shared" si="139"/>
        <v/>
      </c>
      <c r="CY44" s="69"/>
      <c r="CZ44" s="127"/>
      <c r="DA44" s="74" t="str">
        <f t="shared" si="140"/>
        <v>Georgia</v>
      </c>
      <c r="DB44" s="75"/>
      <c r="DC44" s="75"/>
      <c r="DD44" s="76" t="str">
        <f t="shared" si="141"/>
        <v>Portugal</v>
      </c>
      <c r="DG44" s="77">
        <f t="shared" si="142"/>
        <v>0</v>
      </c>
      <c r="DH44" s="78" t="str">
        <f t="shared" si="143"/>
        <v/>
      </c>
      <c r="DI44" s="69"/>
    </row>
    <row r="45" spans="1:113" s="43" customFormat="1" ht="15" customHeight="1" x14ac:dyDescent="0.25">
      <c r="A45" s="41">
        <v>50</v>
      </c>
      <c r="B45" s="65"/>
      <c r="C45" s="55">
        <v>36</v>
      </c>
      <c r="D45" s="20" t="s">
        <v>106</v>
      </c>
      <c r="E45" s="157">
        <f t="shared" si="144"/>
        <v>45469.875</v>
      </c>
      <c r="F45" s="158">
        <v>45469.875</v>
      </c>
      <c r="G45" s="72" t="str">
        <f>Matches!G43</f>
        <v>Czechia</v>
      </c>
      <c r="H45" s="75"/>
      <c r="I45" s="75"/>
      <c r="J45" s="73" t="str">
        <f>Matches!J43</f>
        <v>Türkiye</v>
      </c>
      <c r="K45" s="55"/>
      <c r="L45" s="55"/>
      <c r="M45" s="67"/>
      <c r="N45" s="127"/>
      <c r="O45" s="74" t="str">
        <f t="shared" si="104"/>
        <v>Czechia</v>
      </c>
      <c r="P45" s="331">
        <v>2</v>
      </c>
      <c r="Q45" s="331">
        <v>2</v>
      </c>
      <c r="R45" s="76" t="str">
        <f t="shared" si="105"/>
        <v>Türkiye</v>
      </c>
      <c r="U45" s="77">
        <f t="shared" si="106"/>
        <v>0</v>
      </c>
      <c r="V45" s="78" t="str">
        <f t="shared" si="107"/>
        <v/>
      </c>
      <c r="W45" s="69"/>
      <c r="X45" s="127"/>
      <c r="Y45" s="74" t="str">
        <f t="shared" si="108"/>
        <v>Czechia</v>
      </c>
      <c r="Z45" s="333">
        <v>2</v>
      </c>
      <c r="AA45" s="334">
        <v>2</v>
      </c>
      <c r="AB45" s="76" t="str">
        <f t="shared" si="109"/>
        <v>Türkiye</v>
      </c>
      <c r="AE45" s="77">
        <f t="shared" si="110"/>
        <v>0</v>
      </c>
      <c r="AF45" s="78" t="str">
        <f t="shared" si="111"/>
        <v/>
      </c>
      <c r="AG45" s="69"/>
      <c r="AH45" s="127"/>
      <c r="AI45" s="74" t="str">
        <f t="shared" si="112"/>
        <v>Czechia</v>
      </c>
      <c r="AJ45" s="75">
        <v>1</v>
      </c>
      <c r="AK45" s="75">
        <v>2</v>
      </c>
      <c r="AL45" s="76" t="str">
        <f t="shared" si="113"/>
        <v>Türkiye</v>
      </c>
      <c r="AO45" s="77">
        <f t="shared" si="114"/>
        <v>0</v>
      </c>
      <c r="AP45" s="78" t="str">
        <f t="shared" si="115"/>
        <v/>
      </c>
      <c r="AQ45" s="69"/>
      <c r="AR45" s="127"/>
      <c r="AS45" s="74" t="str">
        <f t="shared" si="116"/>
        <v>Czechia</v>
      </c>
      <c r="AT45" s="75">
        <v>1</v>
      </c>
      <c r="AU45" s="75">
        <v>1</v>
      </c>
      <c r="AV45" s="76" t="str">
        <f t="shared" si="117"/>
        <v>Türkiye</v>
      </c>
      <c r="AY45" s="77">
        <f t="shared" si="118"/>
        <v>0</v>
      </c>
      <c r="AZ45" s="78" t="str">
        <f t="shared" si="119"/>
        <v/>
      </c>
      <c r="BA45" s="69"/>
      <c r="BB45" s="127"/>
      <c r="BC45" s="74" t="str">
        <f t="shared" si="120"/>
        <v>Czechia</v>
      </c>
      <c r="BD45" s="333">
        <v>1</v>
      </c>
      <c r="BE45" s="334">
        <v>2</v>
      </c>
      <c r="BF45" s="76" t="str">
        <f t="shared" si="121"/>
        <v>Türkiye</v>
      </c>
      <c r="BI45" s="77">
        <f t="shared" si="122"/>
        <v>0</v>
      </c>
      <c r="BJ45" s="78" t="str">
        <f t="shared" si="123"/>
        <v/>
      </c>
      <c r="BK45" s="69"/>
      <c r="BL45" s="127"/>
      <c r="BM45" s="74" t="str">
        <f t="shared" si="124"/>
        <v>Czechia</v>
      </c>
      <c r="BN45" s="345">
        <v>1</v>
      </c>
      <c r="BO45" s="346">
        <v>1</v>
      </c>
      <c r="BP45" s="76" t="str">
        <f t="shared" si="125"/>
        <v>Türkiye</v>
      </c>
      <c r="BS45" s="77">
        <f t="shared" si="126"/>
        <v>0</v>
      </c>
      <c r="BT45" s="78" t="str">
        <f t="shared" si="127"/>
        <v/>
      </c>
      <c r="BU45" s="69"/>
      <c r="BV45" s="127"/>
      <c r="BW45" s="74" t="str">
        <f t="shared" si="128"/>
        <v>Czechia</v>
      </c>
      <c r="BX45" s="75"/>
      <c r="BY45" s="75"/>
      <c r="BZ45" s="76" t="str">
        <f t="shared" si="129"/>
        <v>Türkiye</v>
      </c>
      <c r="CC45" s="77">
        <f t="shared" si="130"/>
        <v>0</v>
      </c>
      <c r="CD45" s="78" t="str">
        <f t="shared" si="131"/>
        <v/>
      </c>
      <c r="CE45" s="69"/>
      <c r="CF45" s="127"/>
      <c r="CG45" s="74" t="str">
        <f t="shared" si="132"/>
        <v>Czechia</v>
      </c>
      <c r="CH45" s="75"/>
      <c r="CI45" s="75"/>
      <c r="CJ45" s="76" t="str">
        <f t="shared" si="133"/>
        <v>Türkiye</v>
      </c>
      <c r="CM45" s="77">
        <f t="shared" si="134"/>
        <v>0</v>
      </c>
      <c r="CN45" s="78" t="str">
        <f t="shared" si="135"/>
        <v/>
      </c>
      <c r="CO45" s="69"/>
      <c r="CP45" s="127"/>
      <c r="CQ45" s="74" t="str">
        <f t="shared" si="136"/>
        <v>Czechia</v>
      </c>
      <c r="CR45" s="75"/>
      <c r="CS45" s="75"/>
      <c r="CT45" s="76" t="str">
        <f t="shared" si="137"/>
        <v>Türkiye</v>
      </c>
      <c r="CW45" s="77">
        <f t="shared" si="138"/>
        <v>0</v>
      </c>
      <c r="CX45" s="78" t="str">
        <f t="shared" si="139"/>
        <v/>
      </c>
      <c r="CY45" s="69"/>
      <c r="CZ45" s="127"/>
      <c r="DA45" s="74" t="str">
        <f t="shared" si="140"/>
        <v>Czechia</v>
      </c>
      <c r="DB45" s="75"/>
      <c r="DC45" s="75"/>
      <c r="DD45" s="76" t="str">
        <f t="shared" si="141"/>
        <v>Türkiye</v>
      </c>
      <c r="DG45" s="77">
        <f t="shared" si="142"/>
        <v>0</v>
      </c>
      <c r="DH45" s="78" t="str">
        <f t="shared" si="143"/>
        <v/>
      </c>
      <c r="DI45" s="69"/>
    </row>
    <row r="46" spans="1:113" s="43" customFormat="1" ht="15" customHeight="1" x14ac:dyDescent="0.25">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5">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5">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5">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5">
      <c r="A50" s="41"/>
      <c r="B50" s="65"/>
      <c r="C50" s="85"/>
      <c r="D50" s="390" t="s">
        <v>107</v>
      </c>
      <c r="E50" s="380"/>
      <c r="F50" s="380"/>
      <c r="G50" s="390" t="s">
        <v>108</v>
      </c>
      <c r="H50" s="380"/>
      <c r="I50" s="380" t="s">
        <v>109</v>
      </c>
      <c r="J50" s="380"/>
      <c r="K50" s="66"/>
      <c r="L50" s="66"/>
      <c r="M50" s="67"/>
      <c r="N50" s="86">
        <f ca="1">SUM(W51:W58)</f>
        <v>0</v>
      </c>
      <c r="O50" s="379" t="str">
        <f>D50</f>
        <v>Winner</v>
      </c>
      <c r="P50" s="379"/>
      <c r="Q50" s="379" t="str">
        <f>G50</f>
        <v>Runner Up</v>
      </c>
      <c r="R50" s="379"/>
      <c r="S50" s="379" t="str">
        <f>I50</f>
        <v>Third Place</v>
      </c>
      <c r="T50" s="379"/>
      <c r="U50" s="379"/>
      <c r="V50" s="68"/>
      <c r="W50" s="69"/>
      <c r="X50" s="86">
        <f ca="1">SUM(AG51:AG58)</f>
        <v>0</v>
      </c>
      <c r="Y50" s="379" t="str">
        <f>O50</f>
        <v>Winner</v>
      </c>
      <c r="Z50" s="379"/>
      <c r="AA50" s="379" t="str">
        <f>Q50</f>
        <v>Runner Up</v>
      </c>
      <c r="AB50" s="379"/>
      <c r="AC50" s="379" t="str">
        <f>S50</f>
        <v>Third Place</v>
      </c>
      <c r="AD50" s="379"/>
      <c r="AE50" s="379"/>
      <c r="AF50" s="68"/>
      <c r="AG50" s="69"/>
      <c r="AH50" s="86">
        <f t="shared" ref="AH50" ca="1" si="153">SUM(AQ51:AQ58)</f>
        <v>0</v>
      </c>
      <c r="AI50" s="379" t="str">
        <f t="shared" si="145"/>
        <v>Winner</v>
      </c>
      <c r="AJ50" s="379"/>
      <c r="AK50" s="379" t="str">
        <f t="shared" ref="AK50" si="154">AA50</f>
        <v>Runner Up</v>
      </c>
      <c r="AL50" s="379"/>
      <c r="AM50" s="379" t="str">
        <f t="shared" ref="AM50" si="155">AC50</f>
        <v>Third Place</v>
      </c>
      <c r="AN50" s="379"/>
      <c r="AO50" s="379"/>
      <c r="AP50" s="68"/>
      <c r="AQ50" s="69"/>
      <c r="AR50" s="86">
        <f t="shared" ref="AR50" ca="1" si="156">SUM(BA51:BA58)</f>
        <v>0</v>
      </c>
      <c r="AS50" s="379" t="str">
        <f t="shared" si="146"/>
        <v>Winner</v>
      </c>
      <c r="AT50" s="379"/>
      <c r="AU50" s="379" t="str">
        <f t="shared" ref="AU50" si="157">AK50</f>
        <v>Runner Up</v>
      </c>
      <c r="AV50" s="379"/>
      <c r="AW50" s="379" t="str">
        <f t="shared" ref="AW50" si="158">AM50</f>
        <v>Third Place</v>
      </c>
      <c r="AX50" s="379"/>
      <c r="AY50" s="379"/>
      <c r="AZ50" s="68"/>
      <c r="BA50" s="69"/>
      <c r="BB50" s="86">
        <f t="shared" ref="BB50" ca="1" si="159">SUM(BK51:BK58)</f>
        <v>0</v>
      </c>
      <c r="BC50" s="379" t="str">
        <f t="shared" si="147"/>
        <v>Winner</v>
      </c>
      <c r="BD50" s="379"/>
      <c r="BE50" s="379" t="str">
        <f t="shared" ref="BE50" si="160">AU50</f>
        <v>Runner Up</v>
      </c>
      <c r="BF50" s="379"/>
      <c r="BG50" s="379" t="str">
        <f t="shared" ref="BG50" si="161">AW50</f>
        <v>Third Place</v>
      </c>
      <c r="BH50" s="379"/>
      <c r="BI50" s="379"/>
      <c r="BJ50" s="68"/>
      <c r="BK50" s="69"/>
      <c r="BL50" s="86">
        <f t="shared" ref="BL50" ca="1" si="162">SUM(BU51:BU58)</f>
        <v>0</v>
      </c>
      <c r="BM50" s="379" t="str">
        <f t="shared" si="148"/>
        <v>Winner</v>
      </c>
      <c r="BN50" s="379"/>
      <c r="BO50" s="379" t="str">
        <f t="shared" ref="BO50" si="163">BE50</f>
        <v>Runner Up</v>
      </c>
      <c r="BP50" s="379"/>
      <c r="BQ50" s="379" t="str">
        <f t="shared" ref="BQ50" si="164">BG50</f>
        <v>Third Place</v>
      </c>
      <c r="BR50" s="379"/>
      <c r="BS50" s="379"/>
      <c r="BT50" s="68"/>
      <c r="BU50" s="69"/>
      <c r="BV50" s="86">
        <f t="shared" ref="BV50" si="165">SUM(CE51:CE58)</f>
        <v>0</v>
      </c>
      <c r="BW50" s="379" t="str">
        <f t="shared" si="149"/>
        <v>Winner</v>
      </c>
      <c r="BX50" s="379"/>
      <c r="BY50" s="379" t="str">
        <f t="shared" ref="BY50" si="166">BO50</f>
        <v>Runner Up</v>
      </c>
      <c r="BZ50" s="379"/>
      <c r="CA50" s="379" t="str">
        <f t="shared" ref="CA50" si="167">BQ50</f>
        <v>Third Place</v>
      </c>
      <c r="CB50" s="379"/>
      <c r="CC50" s="379"/>
      <c r="CD50" s="68"/>
      <c r="CE50" s="69"/>
      <c r="CF50" s="86">
        <f t="shared" ref="CF50" si="168">SUM(CO51:CO58)</f>
        <v>0</v>
      </c>
      <c r="CG50" s="379" t="str">
        <f t="shared" si="150"/>
        <v>Winner</v>
      </c>
      <c r="CH50" s="379"/>
      <c r="CI50" s="379" t="str">
        <f t="shared" ref="CI50" si="169">BY50</f>
        <v>Runner Up</v>
      </c>
      <c r="CJ50" s="379"/>
      <c r="CK50" s="379" t="str">
        <f t="shared" ref="CK50" si="170">CA50</f>
        <v>Third Place</v>
      </c>
      <c r="CL50" s="379"/>
      <c r="CM50" s="379"/>
      <c r="CN50" s="68"/>
      <c r="CO50" s="69"/>
      <c r="CP50" s="86">
        <f t="shared" ref="CP50" si="171">SUM(CY51:CY58)</f>
        <v>0</v>
      </c>
      <c r="CQ50" s="379" t="str">
        <f t="shared" si="151"/>
        <v>Winner</v>
      </c>
      <c r="CR50" s="379"/>
      <c r="CS50" s="379" t="str">
        <f t="shared" ref="CS50" si="172">CI50</f>
        <v>Runner Up</v>
      </c>
      <c r="CT50" s="379"/>
      <c r="CU50" s="379" t="str">
        <f t="shared" ref="CU50" si="173">CK50</f>
        <v>Third Place</v>
      </c>
      <c r="CV50" s="379"/>
      <c r="CW50" s="379"/>
      <c r="CX50" s="68"/>
      <c r="CY50" s="69"/>
      <c r="CZ50" s="86">
        <f t="shared" ref="CZ50" si="174">SUM(DI51:DI58)</f>
        <v>0</v>
      </c>
      <c r="DA50" s="379" t="str">
        <f t="shared" si="152"/>
        <v>Winner</v>
      </c>
      <c r="DB50" s="379"/>
      <c r="DC50" s="379" t="str">
        <f t="shared" ref="DC50" si="175">CS50</f>
        <v>Runner Up</v>
      </c>
      <c r="DD50" s="379"/>
      <c r="DE50" s="379" t="str">
        <f t="shared" ref="DE50" si="176">CU50</f>
        <v>Third Place</v>
      </c>
      <c r="DF50" s="379"/>
      <c r="DG50" s="379"/>
      <c r="DH50" s="68"/>
      <c r="DI50" s="69"/>
    </row>
    <row r="51" spans="1:113" s="43" customFormat="1" ht="15" customHeight="1" x14ac:dyDescent="0.25">
      <c r="A51" s="41"/>
      <c r="B51" s="65"/>
      <c r="C51" s="87" t="s">
        <v>101</v>
      </c>
      <c r="D51" s="375" t="str">
        <f>Matches!P7</f>
        <v>Germany</v>
      </c>
      <c r="E51" s="375"/>
      <c r="F51" s="375"/>
      <c r="G51" s="375" t="str">
        <f>Matches!P8</f>
        <v>Switzerland</v>
      </c>
      <c r="H51" s="375"/>
      <c r="I51" s="388" t="str">
        <f>IF(ISNA(MATCH(Matches!P9,Qual3,0)),"",Matches!P9)</f>
        <v/>
      </c>
      <c r="J51" s="389"/>
      <c r="K51" s="66"/>
      <c r="L51" s="66"/>
      <c r="M51" s="67"/>
      <c r="N51" s="126">
        <v>0</v>
      </c>
      <c r="O51" s="365" t="str">
        <f ca="1">VLOOKUP(1,OFFSET('Dummy Table'!DY4:DZ7,0,N51),2,FALSE)</f>
        <v>Germany</v>
      </c>
      <c r="P51" s="365"/>
      <c r="Q51" s="365" t="str">
        <f ca="1">VLOOKUP(2,OFFSET('Dummy Table'!DY4:DZ7,0,N51),2,FALSE)</f>
        <v>Switzerland</v>
      </c>
      <c r="R51" s="365"/>
      <c r="S51" s="367" t="str">
        <f ca="1">IFERROR(IF(MATCH(VLOOKUP(3,OFFSET('Dummy Table'!DY4:DZ7,0,N51),2,FALSE),OFFSET('Dummy Table'!IU13:IU16,0,N51),0),VLOOKUP(3,OFFSET('Dummy Table'!DY4:DZ7,0,N51),2,FALSE),""),"")</f>
        <v>Scotland</v>
      </c>
      <c r="T51" s="367"/>
      <c r="U51" s="367"/>
      <c r="V51" s="68"/>
      <c r="W51" s="78">
        <f>IF(P45&lt;&gt;"",IF(SUM(Matches!T7:T10)=12,IF(O51=D51,Bonu1,0)+IF(Q51=G51,Bonu2,0)+IF(AND(S51&lt;&gt;"",I51&lt;&gt;"",S51=I51),Bonu3,0),0),"")</f>
        <v>0</v>
      </c>
      <c r="X51" s="126">
        <f>N51+128</f>
        <v>128</v>
      </c>
      <c r="Y51" s="365" t="str">
        <f ca="1">VLOOKUP(1,OFFSET('Dummy Table'!DY4:DZ7,0,X51),2,FALSE)</f>
        <v>Germany</v>
      </c>
      <c r="Z51" s="365"/>
      <c r="AA51" s="365" t="str">
        <f ca="1">VLOOKUP(2,OFFSET('Dummy Table'!DY4:DZ7,0,X51),2,FALSE)</f>
        <v>Scotland</v>
      </c>
      <c r="AB51" s="365"/>
      <c r="AC51" s="367" t="str">
        <f ca="1">IFERROR(IF(MATCH(VLOOKUP(3,OFFSET('Dummy Table'!DY4:DZ7,0,X51),2,FALSE),OFFSET('Dummy Table'!IU13:IU16,0,X51),0),VLOOKUP(3,OFFSET('Dummy Table'!DY4:DZ7,0,X51),2,FALSE),""),"")</f>
        <v>Hungary</v>
      </c>
      <c r="AD51" s="367"/>
      <c r="AE51" s="367"/>
      <c r="AF51" s="68"/>
      <c r="AG51" s="78">
        <f>IF(Z45&lt;&gt;"",IF(SUM(Matches!T7:T10)=12,IF(Y51=D51,Bonu1,0)+IF(AA51=G51,Bonu2,0)+IF(AND(AC51&lt;&gt;"",I51&lt;&gt;"",AC51=I51),Bonu3,0),0),"")</f>
        <v>0</v>
      </c>
      <c r="AH51" s="126">
        <f t="shared" ref="AH51" si="177">X51+128</f>
        <v>256</v>
      </c>
      <c r="AI51" s="365" t="str">
        <f ca="1">VLOOKUP(1,OFFSET('Dummy Table'!DY4:DZ7,0,AH51),2,FALSE)</f>
        <v>Germany</v>
      </c>
      <c r="AJ51" s="365"/>
      <c r="AK51" s="365" t="str">
        <f ca="1">VLOOKUP(2,OFFSET('Dummy Table'!DY4:DZ7,0,AH51),2,FALSE)</f>
        <v>Hungary</v>
      </c>
      <c r="AL51" s="365"/>
      <c r="AM51" s="367" t="str">
        <f ca="1">IFERROR(IF(MATCH(VLOOKUP(3,OFFSET('Dummy Table'!DY4:DZ7,0,AH51),2,FALSE),OFFSET('Dummy Table'!IU13:IU16,0,AH51),0),VLOOKUP(3,OFFSET('Dummy Table'!DY4:DZ7,0,AH51),2,FALSE),""),"")</f>
        <v/>
      </c>
      <c r="AN51" s="367"/>
      <c r="AO51" s="367"/>
      <c r="AP51" s="68"/>
      <c r="AQ51" s="78">
        <f>IF(AJ45&lt;&gt;"",IF(SUM(Matches!T7:T10)=12,IF(AI51=D51,Bonu1,0)+IF(AK51=G51,Bonu2,0)+IF(AND(AM51&lt;&gt;"",I51&lt;&gt;"",AM51=I51),Bonu3,0),0),"")</f>
        <v>0</v>
      </c>
      <c r="AR51" s="126">
        <f t="shared" ref="AR51" si="178">AH51+128</f>
        <v>384</v>
      </c>
      <c r="AS51" s="365" t="str">
        <f ca="1">VLOOKUP(1,OFFSET('Dummy Table'!DY4:DZ7,0,AR51),2,FALSE)</f>
        <v>Germany</v>
      </c>
      <c r="AT51" s="365"/>
      <c r="AU51" s="365" t="str">
        <f ca="1">VLOOKUP(2,OFFSET('Dummy Table'!DY4:DZ7,0,AR51),2,FALSE)</f>
        <v>Switzerland</v>
      </c>
      <c r="AV51" s="365"/>
      <c r="AW51" s="367" t="str">
        <f ca="1">IFERROR(IF(MATCH(VLOOKUP(3,OFFSET('Dummy Table'!DY4:DZ7,0,AR51),2,FALSE),OFFSET('Dummy Table'!IU13:IU16,0,AR51),0),VLOOKUP(3,OFFSET('Dummy Table'!DY4:DZ7,0,AR51),2,FALSE),""),"")</f>
        <v>Scotland</v>
      </c>
      <c r="AX51" s="367"/>
      <c r="AY51" s="367"/>
      <c r="AZ51" s="68"/>
      <c r="BA51" s="78">
        <f>IF(AT45&lt;&gt;"",IF(SUM(Matches!T7:T10)=12,IF(AS51=D51,Bonu1,0)+IF(AU51=G51,Bonu2,0)+IF(AND(AW51&lt;&gt;"",I51&lt;&gt;"",AW51=I51),Bonu3,0),0),"")</f>
        <v>0</v>
      </c>
      <c r="BB51" s="126">
        <f t="shared" ref="BB51" si="179">AR51+128</f>
        <v>512</v>
      </c>
      <c r="BC51" s="365" t="str">
        <f ca="1">VLOOKUP(1,OFFSET('Dummy Table'!DY4:DZ7,0,BB51),2,FALSE)</f>
        <v>Germany</v>
      </c>
      <c r="BD51" s="365"/>
      <c r="BE51" s="365" t="str">
        <f ca="1">VLOOKUP(2,OFFSET('Dummy Table'!DY4:DZ7,0,BB51),2,FALSE)</f>
        <v>Scotland</v>
      </c>
      <c r="BF51" s="365"/>
      <c r="BG51" s="367" t="str">
        <f ca="1">IFERROR(IF(MATCH(VLOOKUP(3,OFFSET('Dummy Table'!DY4:DZ7,0,BB51),2,FALSE),OFFSET('Dummy Table'!IU13:IU16,0,BB51),0),VLOOKUP(3,OFFSET('Dummy Table'!DY4:DZ7,0,BB51),2,FALSE),""),"")</f>
        <v>Switzerland</v>
      </c>
      <c r="BH51" s="367"/>
      <c r="BI51" s="367"/>
      <c r="BJ51" s="68"/>
      <c r="BK51" s="78">
        <f>IF(BD45&lt;&gt;"",IF(SUM(Matches!T7:T10)=12,IF(BC51=D51,Bonu1,0)+IF(BE51=G51,Bonu2,0)+IF(AND(BG51&lt;&gt;"",I51&lt;&gt;"",BG51=I51),Bonu3,0),0),"")</f>
        <v>0</v>
      </c>
      <c r="BL51" s="126">
        <f t="shared" ref="BL51" si="180">BB51+128</f>
        <v>640</v>
      </c>
      <c r="BM51" s="365" t="str">
        <f ca="1">VLOOKUP(1,OFFSET('Dummy Table'!DY4:DZ7,0,BL51),2,FALSE)</f>
        <v>Germany</v>
      </c>
      <c r="BN51" s="365"/>
      <c r="BO51" s="365" t="str">
        <f ca="1">VLOOKUP(2,OFFSET('Dummy Table'!DY4:DZ7,0,BL51),2,FALSE)</f>
        <v>Switzerland</v>
      </c>
      <c r="BP51" s="365"/>
      <c r="BQ51" s="367" t="str">
        <f ca="1">IFERROR(IF(MATCH(VLOOKUP(3,OFFSET('Dummy Table'!DY4:DZ7,0,BL51),2,FALSE),OFFSET('Dummy Table'!IU13:IU16,0,BL51),0),VLOOKUP(3,OFFSET('Dummy Table'!DY4:DZ7,0,BL51),2,FALSE),""),"")</f>
        <v>Scotland</v>
      </c>
      <c r="BR51" s="367"/>
      <c r="BS51" s="367"/>
      <c r="BT51" s="68"/>
      <c r="BU51" s="78">
        <f>IF(BN45&lt;&gt;"",IF(SUM(Matches!T7:T10)=12,IF(BM51=D51,Bonu1,0)+IF(BO51=G51,Bonu2,0)+IF(AND(BQ51&lt;&gt;"",I51&lt;&gt;"",BQ51=I51),Bonu3,0),0),"")</f>
        <v>0</v>
      </c>
      <c r="BV51" s="126">
        <f t="shared" ref="BV51" si="181">BL51+128</f>
        <v>768</v>
      </c>
      <c r="BW51" s="365" t="str">
        <f ca="1">VLOOKUP(1,OFFSET('Dummy Table'!DY4:DZ7,0,BV51),2,FALSE)</f>
        <v>Germany</v>
      </c>
      <c r="BX51" s="365"/>
      <c r="BY51" s="365" t="str">
        <f ca="1">VLOOKUP(2,OFFSET('Dummy Table'!DY4:DZ7,0,BV51),2,FALSE)</f>
        <v>Hungary</v>
      </c>
      <c r="BZ51" s="365"/>
      <c r="CA51" s="367" t="str">
        <f ca="1">IFERROR(IF(MATCH(VLOOKUP(3,OFFSET('Dummy Table'!DY4:DZ7,0,BV51),2,FALSE),OFFSET('Dummy Table'!IU13:IU16,0,BV51),0),VLOOKUP(3,OFFSET('Dummy Table'!DY4:DZ7,0,BV51),2,FALSE),""),"")</f>
        <v>Scotland</v>
      </c>
      <c r="CB51" s="367"/>
      <c r="CC51" s="367"/>
      <c r="CD51" s="68"/>
      <c r="CE51" s="78" t="str">
        <f>IF(BX45&lt;&gt;"",IF(SUM(Matches!T7:T10)=12,IF(BW51=D51,Bonu1,0)+IF(BY51=G51,Bonu2,0)+IF(AND(CA51&lt;&gt;"",I51&lt;&gt;"",CA51=I51),Bonu3,0),0),"")</f>
        <v/>
      </c>
      <c r="CF51" s="126">
        <f t="shared" ref="CF51" si="182">BV51+128</f>
        <v>896</v>
      </c>
      <c r="CG51" s="365" t="str">
        <f ca="1">VLOOKUP(1,OFFSET('Dummy Table'!DY4:DZ7,0,CF51),2,FALSE)</f>
        <v>Germany</v>
      </c>
      <c r="CH51" s="365"/>
      <c r="CI51" s="365" t="str">
        <f ca="1">VLOOKUP(2,OFFSET('Dummy Table'!DY4:DZ7,0,CF51),2,FALSE)</f>
        <v>Hungary</v>
      </c>
      <c r="CJ51" s="365"/>
      <c r="CK51" s="367" t="str">
        <f ca="1">IFERROR(IF(MATCH(VLOOKUP(3,OFFSET('Dummy Table'!DY4:DZ7,0,CF51),2,FALSE),OFFSET('Dummy Table'!IU13:IU16,0,CF51),0),VLOOKUP(3,OFFSET('Dummy Table'!DY4:DZ7,0,CF51),2,FALSE),""),"")</f>
        <v>Scotland</v>
      </c>
      <c r="CL51" s="367"/>
      <c r="CM51" s="367"/>
      <c r="CN51" s="68"/>
      <c r="CO51" s="78" t="str">
        <f>IF(CH45&lt;&gt;"",IF(SUM(Matches!T7:T10)=12,IF(CG51=D51,Bonu1,0)+IF(CI51=G51,Bonu2,0)+IF(AND(CK51&lt;&gt;"",I51&lt;&gt;"",CK51=I51),Bonu3,0),0),"")</f>
        <v/>
      </c>
      <c r="CP51" s="126">
        <f t="shared" ref="CP51" si="183">CF51+128</f>
        <v>1024</v>
      </c>
      <c r="CQ51" s="365" t="str">
        <f ca="1">VLOOKUP(1,OFFSET('Dummy Table'!DY4:DZ7,0,CP51),2,FALSE)</f>
        <v>Germany</v>
      </c>
      <c r="CR51" s="365"/>
      <c r="CS51" s="365" t="str">
        <f ca="1">VLOOKUP(2,OFFSET('Dummy Table'!DY4:DZ7,0,CP51),2,FALSE)</f>
        <v>Hungary</v>
      </c>
      <c r="CT51" s="365"/>
      <c r="CU51" s="367" t="str">
        <f ca="1">IFERROR(IF(MATCH(VLOOKUP(3,OFFSET('Dummy Table'!DY4:DZ7,0,CP51),2,FALSE),OFFSET('Dummy Table'!IU13:IU16,0,CP51),0),VLOOKUP(3,OFFSET('Dummy Table'!DY4:DZ7,0,CP51),2,FALSE),""),"")</f>
        <v>Scotland</v>
      </c>
      <c r="CV51" s="367"/>
      <c r="CW51" s="367"/>
      <c r="CX51" s="68"/>
      <c r="CY51" s="78" t="str">
        <f>IF(CR45&lt;&gt;"",IF(SUM(Matches!T7:T10)=12,IF(CQ51=D51,Bonu1,0)+IF(CS51=G51,Bonu2,0)+IF(AND(CU51&lt;&gt;"",I51&lt;&gt;"",CU51=I51),Bonu3,0),0),"")</f>
        <v/>
      </c>
      <c r="CZ51" s="126">
        <f t="shared" ref="CZ51" si="184">CP51+128</f>
        <v>1152</v>
      </c>
      <c r="DA51" s="365" t="str">
        <f ca="1">VLOOKUP(1,OFFSET('Dummy Table'!DY4:DZ7,0,CZ51),2,FALSE)</f>
        <v>Germany</v>
      </c>
      <c r="DB51" s="365"/>
      <c r="DC51" s="365" t="str">
        <f ca="1">VLOOKUP(2,OFFSET('Dummy Table'!DY4:DZ7,0,CZ51),2,FALSE)</f>
        <v>Hungary</v>
      </c>
      <c r="DD51" s="365"/>
      <c r="DE51" s="367" t="str">
        <f ca="1">IFERROR(IF(MATCH(VLOOKUP(3,OFFSET('Dummy Table'!DY4:DZ7,0,CZ51),2,FALSE),OFFSET('Dummy Table'!IU13:IU16,0,CZ51),0),VLOOKUP(3,OFFSET('Dummy Table'!DY4:DZ7,0,CZ51),2,FALSE),""),"")</f>
        <v>Scotland</v>
      </c>
      <c r="DF51" s="367"/>
      <c r="DG51" s="367"/>
      <c r="DH51" s="68"/>
      <c r="DI51" s="78" t="str">
        <f>IF(DB45&lt;&gt;"",IF(SUM(Matches!T7:T10)=12,IF(DA51=D51,Bonu1,0)+IF(DC51=G51,Bonu2,0)+IF(AND(DE51&lt;&gt;"",I51&lt;&gt;"",DE51=I51),Bonu3,0),0),"")</f>
        <v/>
      </c>
    </row>
    <row r="52" spans="1:113" s="43" customFormat="1" ht="15" customHeight="1" x14ac:dyDescent="0.25">
      <c r="A52" s="41"/>
      <c r="B52" s="65"/>
      <c r="C52" s="87" t="s">
        <v>102</v>
      </c>
      <c r="D52" s="375" t="str">
        <f>Matches!P12</f>
        <v>Spain</v>
      </c>
      <c r="E52" s="375"/>
      <c r="F52" s="375"/>
      <c r="G52" s="375" t="str">
        <f>Matches!P13</f>
        <v>Italy</v>
      </c>
      <c r="H52" s="375"/>
      <c r="I52" s="388" t="str">
        <f>IF(ISNA(MATCH(Matches!P14,Qual3,0)),"",Matches!P14)</f>
        <v>Albania</v>
      </c>
      <c r="J52" s="389"/>
      <c r="K52" s="66"/>
      <c r="L52" s="66"/>
      <c r="M52" s="67"/>
      <c r="N52" s="126">
        <f ca="1">SUM(U61:U75)</f>
        <v>0</v>
      </c>
      <c r="O52" s="365" t="str">
        <f ca="1">VLOOKUP(1,OFFSET('Dummy Table'!DY11:DZ14,0,N51),2,FALSE)</f>
        <v>Spain</v>
      </c>
      <c r="P52" s="365"/>
      <c r="Q52" s="365" t="str">
        <f ca="1">VLOOKUP(2,OFFSET('Dummy Table'!DY11:DZ14,0,N51),2,FALSE)</f>
        <v>Italy</v>
      </c>
      <c r="R52" s="365"/>
      <c r="S52" s="367" t="str">
        <f ca="1">IFERROR(IF(MATCH(VLOOKUP(3,OFFSET('Dummy Table'!DY11:DZ14,0,N51),2,FALSE),OFFSET('Dummy Table'!IU13:IU16,0,N51),0),VLOOKUP(3,OFFSET('Dummy Table'!DY11:DZ14,0,N51),2,FALSE),""),"")</f>
        <v>Croatia</v>
      </c>
      <c r="T52" s="367"/>
      <c r="U52" s="367"/>
      <c r="V52" s="68"/>
      <c r="W52" s="78">
        <f>IF(P45&lt;&gt;"",IF(SUM(Matches!T12:T15)=12,IF(O52=D52,Bonu1,0)+IF(Q52=G52,Bonu2,0)+IF(AND(S52&lt;&gt;"",I52&lt;&gt;"",S52=I52),Bonu3,0),0),"")</f>
        <v>0</v>
      </c>
      <c r="X52" s="126">
        <f ca="1">SUM(AE61:AE75)</f>
        <v>0</v>
      </c>
      <c r="Y52" s="365" t="str">
        <f ca="1">VLOOKUP(1,OFFSET('Dummy Table'!DY11:DZ14,0,X51),2,FALSE)</f>
        <v>Spain</v>
      </c>
      <c r="Z52" s="365"/>
      <c r="AA52" s="365" t="str">
        <f ca="1">VLOOKUP(2,OFFSET('Dummy Table'!DY11:DZ14,0,X51),2,FALSE)</f>
        <v>Italy</v>
      </c>
      <c r="AB52" s="365"/>
      <c r="AC52" s="367" t="str">
        <f ca="1">IFERROR(IF(MATCH(VLOOKUP(3,OFFSET('Dummy Table'!DY11:DZ14,0,X51),2,FALSE),OFFSET('Dummy Table'!IU13:IU16,0,X51),0),VLOOKUP(3,OFFSET('Dummy Table'!DY11:DZ14,0,X51),2,FALSE),""),"")</f>
        <v>Croatia</v>
      </c>
      <c r="AD52" s="367"/>
      <c r="AE52" s="367"/>
      <c r="AF52" s="68"/>
      <c r="AG52" s="78">
        <f>IF(Z45&lt;&gt;"",IF(SUM(Matches!T12:T15)=12,IF(Y52=D52,Bonu1,0)+IF(AA52=G52,Bonu2,0)+IF(AND(AC52&lt;&gt;"",I52&lt;&gt;"",AC52=I52),Bonu3,0),0),"")</f>
        <v>0</v>
      </c>
      <c r="AH52" s="126">
        <f t="shared" ref="AH52" ca="1" si="185">SUM(AO61:AO75)</f>
        <v>0</v>
      </c>
      <c r="AI52" s="365" t="str">
        <f ca="1">VLOOKUP(1,OFFSET('Dummy Table'!DY11:DZ14,0,AH51),2,FALSE)</f>
        <v>Spain</v>
      </c>
      <c r="AJ52" s="365"/>
      <c r="AK52" s="365" t="str">
        <f ca="1">VLOOKUP(2,OFFSET('Dummy Table'!DY11:DZ14,0,AH51),2,FALSE)</f>
        <v>Italy</v>
      </c>
      <c r="AL52" s="365"/>
      <c r="AM52" s="367" t="str">
        <f ca="1">IFERROR(IF(MATCH(VLOOKUP(3,OFFSET('Dummy Table'!DY11:DZ14,0,AH51),2,FALSE),OFFSET('Dummy Table'!IU13:IU16,0,AH51),0),VLOOKUP(3,OFFSET('Dummy Table'!DY11:DZ14,0,AH51),2,FALSE),""),"")</f>
        <v>Croatia</v>
      </c>
      <c r="AN52" s="367"/>
      <c r="AO52" s="367"/>
      <c r="AP52" s="68"/>
      <c r="AQ52" s="78">
        <f>IF(AJ45&lt;&gt;"",IF(SUM(Matches!T12:T15)=12,IF(AI52=D52,Bonu1,0)+IF(AK52=G52,Bonu2,0)+IF(AND(AM52&lt;&gt;"",I52&lt;&gt;"",AM52=I52),Bonu3,0),0),"")</f>
        <v>0</v>
      </c>
      <c r="AR52" s="126">
        <f t="shared" ref="AR52" ca="1" si="186">SUM(AY61:AY75)</f>
        <v>0</v>
      </c>
      <c r="AS52" s="365" t="str">
        <f ca="1">VLOOKUP(1,OFFSET('Dummy Table'!DY11:DZ14,0,AR51),2,FALSE)</f>
        <v>Spain</v>
      </c>
      <c r="AT52" s="365"/>
      <c r="AU52" s="365" t="str">
        <f ca="1">VLOOKUP(2,OFFSET('Dummy Table'!DY11:DZ14,0,AR51),2,FALSE)</f>
        <v>Italy</v>
      </c>
      <c r="AV52" s="365"/>
      <c r="AW52" s="367" t="str">
        <f ca="1">IFERROR(IF(MATCH(VLOOKUP(3,OFFSET('Dummy Table'!DY11:DZ14,0,AR51),2,FALSE),OFFSET('Dummy Table'!IU13:IU16,0,AR51),0),VLOOKUP(3,OFFSET('Dummy Table'!DY11:DZ14,0,AR51),2,FALSE),""),"")</f>
        <v>Croatia</v>
      </c>
      <c r="AX52" s="367"/>
      <c r="AY52" s="367"/>
      <c r="AZ52" s="68"/>
      <c r="BA52" s="78">
        <f>IF(AT45&lt;&gt;"",IF(SUM(Matches!T12:T15)=12,IF(AS52=D52,Bonu1,0)+IF(AU52=G52,Bonu2,0)+IF(AND(AW52&lt;&gt;"",I52&lt;&gt;"",AW52=I52),Bonu3,0),0),"")</f>
        <v>0</v>
      </c>
      <c r="BB52" s="126">
        <f t="shared" ref="BB52" ca="1" si="187">SUM(BI61:BI75)</f>
        <v>0</v>
      </c>
      <c r="BC52" s="365" t="str">
        <f ca="1">VLOOKUP(1,OFFSET('Dummy Table'!DY11:DZ14,0,BB51),2,FALSE)</f>
        <v>Italy</v>
      </c>
      <c r="BD52" s="365"/>
      <c r="BE52" s="365" t="str">
        <f ca="1">VLOOKUP(2,OFFSET('Dummy Table'!DY11:DZ14,0,BB51),2,FALSE)</f>
        <v>Croatia</v>
      </c>
      <c r="BF52" s="365"/>
      <c r="BG52" s="367" t="str">
        <f ca="1">IFERROR(IF(MATCH(VLOOKUP(3,OFFSET('Dummy Table'!DY11:DZ14,0,BB51),2,FALSE),OFFSET('Dummy Table'!IU13:IU16,0,BB51),0),VLOOKUP(3,OFFSET('Dummy Table'!DY11:DZ14,0,BB51),2,FALSE),""),"")</f>
        <v>Spain</v>
      </c>
      <c r="BH52" s="367"/>
      <c r="BI52" s="367"/>
      <c r="BJ52" s="68"/>
      <c r="BK52" s="78">
        <f>IF(BD45&lt;&gt;"",IF(SUM(Matches!T12:T15)=12,IF(BC52=D52,Bonu1,0)+IF(BE52=G52,Bonu2,0)+IF(AND(BG52&lt;&gt;"",I52&lt;&gt;"",BG52=I52),Bonu3,0),0),"")</f>
        <v>0</v>
      </c>
      <c r="BL52" s="126">
        <f t="shared" ref="BL52" ca="1" si="188">SUM(BS61:BS75)</f>
        <v>0</v>
      </c>
      <c r="BM52" s="365" t="str">
        <f ca="1">VLOOKUP(1,OFFSET('Dummy Table'!DY11:DZ14,0,BL51),2,FALSE)</f>
        <v>Spain</v>
      </c>
      <c r="BN52" s="365"/>
      <c r="BO52" s="365" t="str">
        <f ca="1">VLOOKUP(2,OFFSET('Dummy Table'!DY11:DZ14,0,BL51),2,FALSE)</f>
        <v>Italy</v>
      </c>
      <c r="BP52" s="365"/>
      <c r="BQ52" s="367" t="str">
        <f ca="1">IFERROR(IF(MATCH(VLOOKUP(3,OFFSET('Dummy Table'!DY11:DZ14,0,BL51),2,FALSE),OFFSET('Dummy Table'!IU13:IU16,0,BL51),0),VLOOKUP(3,OFFSET('Dummy Table'!DY11:DZ14,0,BL51),2,FALSE),""),"")</f>
        <v>Croatia</v>
      </c>
      <c r="BR52" s="367"/>
      <c r="BS52" s="367"/>
      <c r="BT52" s="68"/>
      <c r="BU52" s="78">
        <f>IF(BN45&lt;&gt;"",IF(SUM(Matches!T12:T15)=12,IF(BM52=D52,Bonu1,0)+IF(BO52=G52,Bonu2,0)+IF(AND(BQ52&lt;&gt;"",I52&lt;&gt;"",BQ52=I52),Bonu3,0),0),"")</f>
        <v>0</v>
      </c>
      <c r="BV52" s="126">
        <f t="shared" ref="BV52" ca="1" si="189">SUM(CC61:CC75)</f>
        <v>0</v>
      </c>
      <c r="BW52" s="365" t="str">
        <f ca="1">VLOOKUP(1,OFFSET('Dummy Table'!DY11:DZ14,0,BV51),2,FALSE)</f>
        <v>Spain</v>
      </c>
      <c r="BX52" s="365"/>
      <c r="BY52" s="365" t="str">
        <f ca="1">VLOOKUP(2,OFFSET('Dummy Table'!DY11:DZ14,0,BV51),2,FALSE)</f>
        <v>Albania</v>
      </c>
      <c r="BZ52" s="365"/>
      <c r="CA52" s="367" t="str">
        <f ca="1">IFERROR(IF(MATCH(VLOOKUP(3,OFFSET('Dummy Table'!DY11:DZ14,0,BV51),2,FALSE),OFFSET('Dummy Table'!IU13:IU16,0,BV51),0),VLOOKUP(3,OFFSET('Dummy Table'!DY11:DZ14,0,BV51),2,FALSE),""),"")</f>
        <v>Croatia</v>
      </c>
      <c r="CB52" s="367"/>
      <c r="CC52" s="367"/>
      <c r="CD52" s="68"/>
      <c r="CE52" s="78" t="str">
        <f>IF(BX45&lt;&gt;"",IF(SUM(Matches!T12:T15)=12,IF(BW52=D52,Bonu1,0)+IF(BY52=G52,Bonu2,0)+IF(AND(CA52&lt;&gt;"",I52&lt;&gt;"",CA52=I52),Bonu3,0),0),"")</f>
        <v/>
      </c>
      <c r="CF52" s="126">
        <f t="shared" ref="CF52" ca="1" si="190">SUM(CM61:CM75)</f>
        <v>0</v>
      </c>
      <c r="CG52" s="365" t="str">
        <f ca="1">VLOOKUP(1,OFFSET('Dummy Table'!DY11:DZ14,0,CF51),2,FALSE)</f>
        <v>Spain</v>
      </c>
      <c r="CH52" s="365"/>
      <c r="CI52" s="365" t="str">
        <f ca="1">VLOOKUP(2,OFFSET('Dummy Table'!DY11:DZ14,0,CF51),2,FALSE)</f>
        <v>Albania</v>
      </c>
      <c r="CJ52" s="365"/>
      <c r="CK52" s="367" t="str">
        <f ca="1">IFERROR(IF(MATCH(VLOOKUP(3,OFFSET('Dummy Table'!DY11:DZ14,0,CF51),2,FALSE),OFFSET('Dummy Table'!IU13:IU16,0,CF51),0),VLOOKUP(3,OFFSET('Dummy Table'!DY11:DZ14,0,CF51),2,FALSE),""),"")</f>
        <v>Croatia</v>
      </c>
      <c r="CL52" s="367"/>
      <c r="CM52" s="367"/>
      <c r="CN52" s="68"/>
      <c r="CO52" s="78" t="str">
        <f>IF(CH45&lt;&gt;"",IF(SUM(Matches!T12:T15)=12,IF(CG52=D52,Bonu1,0)+IF(CI52=G52,Bonu2,0)+IF(AND(CK52&lt;&gt;"",I52&lt;&gt;"",CK52=I52),Bonu3,0),0),"")</f>
        <v/>
      </c>
      <c r="CP52" s="126">
        <f t="shared" ref="CP52" ca="1" si="191">SUM(CW61:CW75)</f>
        <v>0</v>
      </c>
      <c r="CQ52" s="365" t="str">
        <f ca="1">VLOOKUP(1,OFFSET('Dummy Table'!DY11:DZ14,0,CP51),2,FALSE)</f>
        <v>Spain</v>
      </c>
      <c r="CR52" s="365"/>
      <c r="CS52" s="365" t="str">
        <f ca="1">VLOOKUP(2,OFFSET('Dummy Table'!DY11:DZ14,0,CP51),2,FALSE)</f>
        <v>Albania</v>
      </c>
      <c r="CT52" s="365"/>
      <c r="CU52" s="367" t="str">
        <f ca="1">IFERROR(IF(MATCH(VLOOKUP(3,OFFSET('Dummy Table'!DY11:DZ14,0,CP51),2,FALSE),OFFSET('Dummy Table'!IU13:IU16,0,CP51),0),VLOOKUP(3,OFFSET('Dummy Table'!DY11:DZ14,0,CP51),2,FALSE),""),"")</f>
        <v>Croatia</v>
      </c>
      <c r="CV52" s="367"/>
      <c r="CW52" s="367"/>
      <c r="CX52" s="68"/>
      <c r="CY52" s="78" t="str">
        <f>IF(CR45&lt;&gt;"",IF(SUM(Matches!T12:T15)=12,IF(CQ52=D52,Bonu1,0)+IF(CS52=G52,Bonu2,0)+IF(AND(CU52&lt;&gt;"",I52&lt;&gt;"",CU52=I52),Bonu3,0),0),"")</f>
        <v/>
      </c>
      <c r="CZ52" s="126">
        <f t="shared" ref="CZ52" ca="1" si="192">SUM(DG61:DG75)</f>
        <v>0</v>
      </c>
      <c r="DA52" s="365" t="str">
        <f ca="1">VLOOKUP(1,OFFSET('Dummy Table'!DY11:DZ14,0,CZ51),2,FALSE)</f>
        <v>Spain</v>
      </c>
      <c r="DB52" s="365"/>
      <c r="DC52" s="365" t="str">
        <f ca="1">VLOOKUP(2,OFFSET('Dummy Table'!DY11:DZ14,0,CZ51),2,FALSE)</f>
        <v>Albania</v>
      </c>
      <c r="DD52" s="365"/>
      <c r="DE52" s="367" t="str">
        <f ca="1">IFERROR(IF(MATCH(VLOOKUP(3,OFFSET('Dummy Table'!DY11:DZ14,0,CZ51),2,FALSE),OFFSET('Dummy Table'!IU13:IU16,0,CZ51),0),VLOOKUP(3,OFFSET('Dummy Table'!DY11:DZ14,0,CZ51),2,FALSE),""),"")</f>
        <v>Croatia</v>
      </c>
      <c r="DF52" s="367"/>
      <c r="DG52" s="367"/>
      <c r="DH52" s="68"/>
      <c r="DI52" s="78" t="str">
        <f>IF(DB45&lt;&gt;"",IF(SUM(Matches!T12:T15)=12,IF(DA52=D52,Bonu1,0)+IF(DC52=G52,Bonu2,0)+IF(AND(DE52&lt;&gt;"",I52&lt;&gt;"",DE52=I52),Bonu3,0),0),"")</f>
        <v/>
      </c>
    </row>
    <row r="53" spans="1:113" s="43" customFormat="1" ht="15" customHeight="1" x14ac:dyDescent="0.25">
      <c r="A53" s="41"/>
      <c r="B53" s="65"/>
      <c r="C53" s="87" t="s">
        <v>103</v>
      </c>
      <c r="D53" s="375" t="str">
        <f>Matches!P17</f>
        <v>England</v>
      </c>
      <c r="E53" s="375"/>
      <c r="F53" s="375"/>
      <c r="G53" s="375" t="str">
        <f>Matches!P18</f>
        <v>Denmark</v>
      </c>
      <c r="H53" s="375"/>
      <c r="I53" s="388" t="str">
        <f>IF(ISNA(MATCH(Matches!P19,Qual3,0)),"",Matches!P19)</f>
        <v>Slovenia</v>
      </c>
      <c r="J53" s="389"/>
      <c r="K53" s="66"/>
      <c r="L53" s="66"/>
      <c r="M53" s="67"/>
      <c r="N53" s="86">
        <f ca="1">SUM(W61:W88)</f>
        <v>0</v>
      </c>
      <c r="O53" s="365" t="str">
        <f ca="1">VLOOKUP(1,OFFSET('Dummy Table'!DY18:DZ21,0,N51),2,FALSE)</f>
        <v>Denmark</v>
      </c>
      <c r="P53" s="365"/>
      <c r="Q53" s="365" t="str">
        <f ca="1">VLOOKUP(2,OFFSET('Dummy Table'!DY18:DZ21,0,N51),2,FALSE)</f>
        <v>England</v>
      </c>
      <c r="R53" s="365"/>
      <c r="S53" s="367" t="str">
        <f ca="1">IFERROR(IF(MATCH(VLOOKUP(3,OFFSET('Dummy Table'!DY18:DZ21,0,N51),2,FALSE),OFFSET('Dummy Table'!IU13:IU16,0,N51),0),VLOOKUP(3,OFFSET('Dummy Table'!DY18:DZ21,0,N51),2,FALSE),""),"")</f>
        <v/>
      </c>
      <c r="T53" s="367"/>
      <c r="U53" s="367"/>
      <c r="V53" s="68"/>
      <c r="W53" s="78">
        <f>IF(P45&lt;&gt;"",IF(SUM(Matches!T17:T20)=12,IF(O53=D53,Bonu1,0)+IF(Q53=G53,Bonu2,0)+IF(AND(S53&lt;&gt;"",I53&lt;&gt;"",S53=I53),Bonu3,0),0),"")</f>
        <v>0</v>
      </c>
      <c r="X53" s="86">
        <f ca="1">SUM(AG61:AG88)</f>
        <v>0</v>
      </c>
      <c r="Y53" s="365" t="str">
        <f ca="1">VLOOKUP(1,OFFSET('Dummy Table'!DY18:DZ21,0,X51),2,FALSE)</f>
        <v>England</v>
      </c>
      <c r="Z53" s="365"/>
      <c r="AA53" s="365" t="str">
        <f ca="1">VLOOKUP(2,OFFSET('Dummy Table'!DY18:DZ21,0,X51),2,FALSE)</f>
        <v>Denmark</v>
      </c>
      <c r="AB53" s="365"/>
      <c r="AC53" s="367" t="str">
        <f ca="1">IFERROR(IF(MATCH(VLOOKUP(3,OFFSET('Dummy Table'!DY18:DZ21,0,X51),2,FALSE),OFFSET('Dummy Table'!IU13:IU16,0,X51),0),VLOOKUP(3,OFFSET('Dummy Table'!DY18:DZ21,0,X51),2,FALSE),""),"")</f>
        <v/>
      </c>
      <c r="AD53" s="367"/>
      <c r="AE53" s="367"/>
      <c r="AF53" s="68"/>
      <c r="AG53" s="78">
        <f>IF(Z45&lt;&gt;"",IF(SUM(Matches!T17:T20)=12,IF(Y53=D53,Bonu1,0)+IF(AA53=G53,Bonu2,0)+IF(AND(AC53&lt;&gt;"",I53&lt;&gt;"",AC53=I53),Bonu3,0),0),"")</f>
        <v>0</v>
      </c>
      <c r="AH53" s="86">
        <f t="shared" ref="AH53" ca="1" si="193">SUM(AQ61:AQ88)</f>
        <v>0</v>
      </c>
      <c r="AI53" s="365" t="str">
        <f ca="1">VLOOKUP(1,OFFSET('Dummy Table'!DY18:DZ21,0,AH51),2,FALSE)</f>
        <v>England</v>
      </c>
      <c r="AJ53" s="365"/>
      <c r="AK53" s="365" t="str">
        <f ca="1">VLOOKUP(2,OFFSET('Dummy Table'!DY18:DZ21,0,AH51),2,FALSE)</f>
        <v>Serbia</v>
      </c>
      <c r="AL53" s="365"/>
      <c r="AM53" s="367" t="str">
        <f ca="1">IFERROR(IF(MATCH(VLOOKUP(3,OFFSET('Dummy Table'!DY18:DZ21,0,AH51),2,FALSE),OFFSET('Dummy Table'!IU13:IU16,0,AH51),0),VLOOKUP(3,OFFSET('Dummy Table'!DY18:DZ21,0,AH51),2,FALSE),""),"")</f>
        <v>Denmark</v>
      </c>
      <c r="AN53" s="367"/>
      <c r="AO53" s="367"/>
      <c r="AP53" s="68"/>
      <c r="AQ53" s="78">
        <f>IF(AJ45&lt;&gt;"",IF(SUM(Matches!T17:T20)=12,IF(AI53=D53,Bonu1,0)+IF(AK53=G53,Bonu2,0)+IF(AND(AM53&lt;&gt;"",I53&lt;&gt;"",AM53=I53),Bonu3,0),0),"")</f>
        <v>0</v>
      </c>
      <c r="AR53" s="86">
        <f t="shared" ref="AR53" ca="1" si="194">SUM(BA61:BA88)</f>
        <v>0</v>
      </c>
      <c r="AS53" s="365" t="str">
        <f ca="1">VLOOKUP(1,OFFSET('Dummy Table'!DY18:DZ21,0,AR51),2,FALSE)</f>
        <v>England</v>
      </c>
      <c r="AT53" s="365"/>
      <c r="AU53" s="365" t="str">
        <f ca="1">VLOOKUP(2,OFFSET('Dummy Table'!DY18:DZ21,0,AR51),2,FALSE)</f>
        <v>Denmark</v>
      </c>
      <c r="AV53" s="365"/>
      <c r="AW53" s="367" t="str">
        <f ca="1">IFERROR(IF(MATCH(VLOOKUP(3,OFFSET('Dummy Table'!DY18:DZ21,0,AR51),2,FALSE),OFFSET('Dummy Table'!IU13:IU16,0,AR51),0),VLOOKUP(3,OFFSET('Dummy Table'!DY18:DZ21,0,AR51),2,FALSE),""),"")</f>
        <v/>
      </c>
      <c r="AX53" s="367"/>
      <c r="AY53" s="367"/>
      <c r="AZ53" s="68"/>
      <c r="BA53" s="78">
        <f>IF(AT45&lt;&gt;"",IF(SUM(Matches!T17:T20)=12,IF(AS53=D53,Bonu1,0)+IF(AU53=G53,Bonu2,0)+IF(AND(AW53&lt;&gt;"",I53&lt;&gt;"",AW53=I53),Bonu3,0),0),"")</f>
        <v>0</v>
      </c>
      <c r="BB53" s="86">
        <f t="shared" ref="BB53" ca="1" si="195">SUM(BK61:BK88)</f>
        <v>0</v>
      </c>
      <c r="BC53" s="365" t="str">
        <f ca="1">VLOOKUP(1,OFFSET('Dummy Table'!DY18:DZ21,0,BB51),2,FALSE)</f>
        <v>Denmark</v>
      </c>
      <c r="BD53" s="365"/>
      <c r="BE53" s="365" t="str">
        <f ca="1">VLOOKUP(2,OFFSET('Dummy Table'!DY18:DZ21,0,BB51),2,FALSE)</f>
        <v>England</v>
      </c>
      <c r="BF53" s="365"/>
      <c r="BG53" s="367" t="str">
        <f ca="1">IFERROR(IF(MATCH(VLOOKUP(3,OFFSET('Dummy Table'!DY18:DZ21,0,BB51),2,FALSE),OFFSET('Dummy Table'!IU13:IU16,0,BB51),0),VLOOKUP(3,OFFSET('Dummy Table'!DY18:DZ21,0,BB51),2,FALSE),""),"")</f>
        <v>Serbia</v>
      </c>
      <c r="BH53" s="367"/>
      <c r="BI53" s="367"/>
      <c r="BJ53" s="68"/>
      <c r="BK53" s="78">
        <f>IF(BD45&lt;&gt;"",IF(SUM(Matches!T17:T20)=12,IF(BC53=D53,Bonu1,0)+IF(BE53=G53,Bonu2,0)+IF(AND(BG53&lt;&gt;"",I53&lt;&gt;"",BG53=I53),Bonu3,0),0),"")</f>
        <v>0</v>
      </c>
      <c r="BL53" s="86">
        <f t="shared" ref="BL53" ca="1" si="196">SUM(BU61:BU88)</f>
        <v>0</v>
      </c>
      <c r="BM53" s="365" t="str">
        <f ca="1">VLOOKUP(1,OFFSET('Dummy Table'!DY18:DZ21,0,BL51),2,FALSE)</f>
        <v>England</v>
      </c>
      <c r="BN53" s="365"/>
      <c r="BO53" s="365" t="str">
        <f ca="1">VLOOKUP(2,OFFSET('Dummy Table'!DY18:DZ21,0,BL51),2,FALSE)</f>
        <v>Denmark</v>
      </c>
      <c r="BP53" s="365"/>
      <c r="BQ53" s="367" t="str">
        <f ca="1">IFERROR(IF(MATCH(VLOOKUP(3,OFFSET('Dummy Table'!DY18:DZ21,0,BL51),2,FALSE),OFFSET('Dummy Table'!IU13:IU16,0,BL51),0),VLOOKUP(3,OFFSET('Dummy Table'!DY18:DZ21,0,BL51),2,FALSE),""),"")</f>
        <v>Serbia</v>
      </c>
      <c r="BR53" s="367"/>
      <c r="BS53" s="367"/>
      <c r="BT53" s="68"/>
      <c r="BU53" s="78">
        <f>IF(BN45&lt;&gt;"",IF(SUM(Matches!T17:T20)=12,IF(BM53=D53,Bonu1,0)+IF(BO53=G53,Bonu2,0)+IF(AND(BQ53&lt;&gt;"",I53&lt;&gt;"",BQ53=I53),Bonu3,0),0),"")</f>
        <v>0</v>
      </c>
      <c r="BV53" s="86">
        <f t="shared" ref="BV53" ca="1" si="197">SUM(CE61:CE88)</f>
        <v>0</v>
      </c>
      <c r="BW53" s="365" t="str">
        <f ca="1">VLOOKUP(1,OFFSET('Dummy Table'!DY18:DZ21,0,BV51),2,FALSE)</f>
        <v>England</v>
      </c>
      <c r="BX53" s="365"/>
      <c r="BY53" s="365" t="str">
        <f ca="1">VLOOKUP(2,OFFSET('Dummy Table'!DY18:DZ21,0,BV51),2,FALSE)</f>
        <v>Denmark</v>
      </c>
      <c r="BZ53" s="365"/>
      <c r="CA53" s="367" t="str">
        <f ca="1">IFERROR(IF(MATCH(VLOOKUP(3,OFFSET('Dummy Table'!DY18:DZ21,0,BV51),2,FALSE),OFFSET('Dummy Table'!IU13:IU16,0,BV51),0),VLOOKUP(3,OFFSET('Dummy Table'!DY18:DZ21,0,BV51),2,FALSE),""),"")</f>
        <v>Slovenia</v>
      </c>
      <c r="CB53" s="367"/>
      <c r="CC53" s="367"/>
      <c r="CD53" s="68"/>
      <c r="CE53" s="78" t="str">
        <f>IF(BX45&lt;&gt;"",IF(SUM(Matches!T17:T20)=12,IF(BW53=D53,Bonu1,0)+IF(BY53=G53,Bonu2,0)+IF(AND(CA53&lt;&gt;"",I53&lt;&gt;"",CA53=I53),Bonu3,0),0),"")</f>
        <v/>
      </c>
      <c r="CF53" s="86">
        <f t="shared" ref="CF53" ca="1" si="198">SUM(CO61:CO88)</f>
        <v>0</v>
      </c>
      <c r="CG53" s="365" t="str">
        <f ca="1">VLOOKUP(1,OFFSET('Dummy Table'!DY18:DZ21,0,CF51),2,FALSE)</f>
        <v>England</v>
      </c>
      <c r="CH53" s="365"/>
      <c r="CI53" s="365" t="str">
        <f ca="1">VLOOKUP(2,OFFSET('Dummy Table'!DY18:DZ21,0,CF51),2,FALSE)</f>
        <v>Denmark</v>
      </c>
      <c r="CJ53" s="365"/>
      <c r="CK53" s="367" t="str">
        <f ca="1">IFERROR(IF(MATCH(VLOOKUP(3,OFFSET('Dummy Table'!DY18:DZ21,0,CF51),2,FALSE),OFFSET('Dummy Table'!IU13:IU16,0,CF51),0),VLOOKUP(3,OFFSET('Dummy Table'!DY18:DZ21,0,CF51),2,FALSE),""),"")</f>
        <v>Slovenia</v>
      </c>
      <c r="CL53" s="367"/>
      <c r="CM53" s="367"/>
      <c r="CN53" s="68"/>
      <c r="CO53" s="78" t="str">
        <f>IF(CH45&lt;&gt;"",IF(SUM(Matches!T17:T20)=12,IF(CG53=D53,Bonu1,0)+IF(CI53=G53,Bonu2,0)+IF(AND(CK53&lt;&gt;"",I53&lt;&gt;"",CK53=I53),Bonu3,0),0),"")</f>
        <v/>
      </c>
      <c r="CP53" s="86">
        <f t="shared" ref="CP53" ca="1" si="199">SUM(CY61:CY88)</f>
        <v>0</v>
      </c>
      <c r="CQ53" s="365" t="str">
        <f ca="1">VLOOKUP(1,OFFSET('Dummy Table'!DY18:DZ21,0,CP51),2,FALSE)</f>
        <v>England</v>
      </c>
      <c r="CR53" s="365"/>
      <c r="CS53" s="365" t="str">
        <f ca="1">VLOOKUP(2,OFFSET('Dummy Table'!DY18:DZ21,0,CP51),2,FALSE)</f>
        <v>Denmark</v>
      </c>
      <c r="CT53" s="365"/>
      <c r="CU53" s="367" t="str">
        <f ca="1">IFERROR(IF(MATCH(VLOOKUP(3,OFFSET('Dummy Table'!DY18:DZ21,0,CP51),2,FALSE),OFFSET('Dummy Table'!IU13:IU16,0,CP51),0),VLOOKUP(3,OFFSET('Dummy Table'!DY18:DZ21,0,CP51),2,FALSE),""),"")</f>
        <v>Slovenia</v>
      </c>
      <c r="CV53" s="367"/>
      <c r="CW53" s="367"/>
      <c r="CX53" s="68"/>
      <c r="CY53" s="78" t="str">
        <f>IF(CR45&lt;&gt;"",IF(SUM(Matches!T17:T20)=12,IF(CQ53=D53,Bonu1,0)+IF(CS53=G53,Bonu2,0)+IF(AND(CU53&lt;&gt;"",I53&lt;&gt;"",CU53=I53),Bonu3,0),0),"")</f>
        <v/>
      </c>
      <c r="CZ53" s="86">
        <f t="shared" ref="CZ53" ca="1" si="200">SUM(DI61:DI88)</f>
        <v>0</v>
      </c>
      <c r="DA53" s="365" t="str">
        <f ca="1">VLOOKUP(1,OFFSET('Dummy Table'!DY18:DZ21,0,CZ51),2,FALSE)</f>
        <v>England</v>
      </c>
      <c r="DB53" s="365"/>
      <c r="DC53" s="365" t="str">
        <f ca="1">VLOOKUP(2,OFFSET('Dummy Table'!DY18:DZ21,0,CZ51),2,FALSE)</f>
        <v>Denmark</v>
      </c>
      <c r="DD53" s="365"/>
      <c r="DE53" s="367" t="str">
        <f ca="1">IFERROR(IF(MATCH(VLOOKUP(3,OFFSET('Dummy Table'!DY18:DZ21,0,CZ51),2,FALSE),OFFSET('Dummy Table'!IU13:IU16,0,CZ51),0),VLOOKUP(3,OFFSET('Dummy Table'!DY18:DZ21,0,CZ51),2,FALSE),""),"")</f>
        <v>Slovenia</v>
      </c>
      <c r="DF53" s="367"/>
      <c r="DG53" s="367"/>
      <c r="DH53" s="68"/>
      <c r="DI53" s="78" t="str">
        <f>IF(DB45&lt;&gt;"",IF(SUM(Matches!T17:T20)=12,IF(DA53=D53,Bonu1,0)+IF(DC53=G53,Bonu2,0)+IF(AND(DE53&lt;&gt;"",I53&lt;&gt;"",DE53=I53),Bonu3,0),0),"")</f>
        <v/>
      </c>
    </row>
    <row r="54" spans="1:113" s="43" customFormat="1" ht="15" customHeight="1" x14ac:dyDescent="0.25">
      <c r="A54" s="41"/>
      <c r="B54" s="65"/>
      <c r="C54" s="87" t="s">
        <v>104</v>
      </c>
      <c r="D54" s="375" t="str">
        <f>Matches!P22</f>
        <v>Netherlands</v>
      </c>
      <c r="E54" s="375"/>
      <c r="F54" s="375"/>
      <c r="G54" s="375" t="str">
        <f>Matches!P23</f>
        <v>France</v>
      </c>
      <c r="H54" s="375"/>
      <c r="I54" s="388" t="str">
        <f>IF(ISNA(MATCH(Matches!P24,Qual3,0)),"",Matches!P24)</f>
        <v>Poland</v>
      </c>
      <c r="J54" s="389"/>
      <c r="K54" s="66"/>
      <c r="L54" s="66"/>
      <c r="M54" s="67"/>
      <c r="N54" s="126"/>
      <c r="O54" s="365" t="str">
        <f ca="1">VLOOKUP(1,OFFSET('Dummy Table'!DY25:DZ28,0,N51),2,FALSE)</f>
        <v>France</v>
      </c>
      <c r="P54" s="365"/>
      <c r="Q54" s="365" t="str">
        <f ca="1">VLOOKUP(2,OFFSET('Dummy Table'!DY25:DZ28,0,N51),2,FALSE)</f>
        <v>Netherlands</v>
      </c>
      <c r="R54" s="365"/>
      <c r="S54" s="367" t="str">
        <f ca="1">IFERROR(IF(MATCH(VLOOKUP(3,OFFSET('Dummy Table'!DY25:DZ28,0,N51),2,FALSE),OFFSET('Dummy Table'!IU13:IU16,0,N51),0),VLOOKUP(3,OFFSET('Dummy Table'!DY25:DZ28,0,N51),2,FALSE),""),"")</f>
        <v>Austria</v>
      </c>
      <c r="T54" s="367"/>
      <c r="U54" s="367"/>
      <c r="V54" s="68"/>
      <c r="W54" s="78">
        <f>IF(P45&lt;&gt;"",IF(SUM(Matches!T22:T25)=12,IF(O54=D54,Bonu1,0)+IF(Q54=G54,Bonu2,0)+IF(AND(S54&lt;&gt;"",I54&lt;&gt;"",S54=I54),Bonu3,0),0),"")</f>
        <v>0</v>
      </c>
      <c r="X54" s="126"/>
      <c r="Y54" s="365" t="str">
        <f ca="1">VLOOKUP(1,OFFSET('Dummy Table'!DY25:DZ28,0,X51),2,FALSE)</f>
        <v>France</v>
      </c>
      <c r="Z54" s="365"/>
      <c r="AA54" s="365" t="str">
        <f ca="1">VLOOKUP(2,OFFSET('Dummy Table'!DY25:DZ28,0,X51),2,FALSE)</f>
        <v>Poland</v>
      </c>
      <c r="AB54" s="365"/>
      <c r="AC54" s="367" t="str">
        <f ca="1">IFERROR(IF(MATCH(VLOOKUP(3,OFFSET('Dummy Table'!DY25:DZ28,0,X51),2,FALSE),OFFSET('Dummy Table'!IU13:IU16,0,X51),0),VLOOKUP(3,OFFSET('Dummy Table'!DY25:DZ28,0,X51),2,FALSE),""),"")</f>
        <v/>
      </c>
      <c r="AD54" s="367"/>
      <c r="AE54" s="367"/>
      <c r="AF54" s="68"/>
      <c r="AG54" s="78">
        <f>IF(Z45&lt;&gt;"",IF(SUM(Matches!T22:T25)=12,IF(Y54=D54,Bonu1,0)+IF(AA54=G54,Bonu2,0)+IF(AND(AC54&lt;&gt;"",I54&lt;&gt;"",AC54=I54),Bonu3,0),0),"")</f>
        <v>0</v>
      </c>
      <c r="AH54" s="126"/>
      <c r="AI54" s="365" t="str">
        <f ca="1">VLOOKUP(1,OFFSET('Dummy Table'!DY25:DZ28,0,AH51),2,FALSE)</f>
        <v>France</v>
      </c>
      <c r="AJ54" s="365"/>
      <c r="AK54" s="365" t="str">
        <f ca="1">VLOOKUP(2,OFFSET('Dummy Table'!DY25:DZ28,0,AH51),2,FALSE)</f>
        <v>Netherlands</v>
      </c>
      <c r="AL54" s="365"/>
      <c r="AM54" s="367" t="str">
        <f ca="1">IFERROR(IF(MATCH(VLOOKUP(3,OFFSET('Dummy Table'!DY25:DZ28,0,AH51),2,FALSE),OFFSET('Dummy Table'!IU13:IU16,0,AH51),0),VLOOKUP(3,OFFSET('Dummy Table'!DY25:DZ28,0,AH51),2,FALSE),""),"")</f>
        <v/>
      </c>
      <c r="AN54" s="367"/>
      <c r="AO54" s="367"/>
      <c r="AP54" s="68"/>
      <c r="AQ54" s="78">
        <f>IF(AJ45&lt;&gt;"",IF(SUM(Matches!T22:T25)=12,IF(AI54=D54,Bonu1,0)+IF(AK54=G54,Bonu2,0)+IF(AND(AM54&lt;&gt;"",I54&lt;&gt;"",AM54=I54),Bonu3,0),0),"")</f>
        <v>0</v>
      </c>
      <c r="AR54" s="126"/>
      <c r="AS54" s="365" t="str">
        <f ca="1">VLOOKUP(1,OFFSET('Dummy Table'!DY25:DZ28,0,AR51),2,FALSE)</f>
        <v>France</v>
      </c>
      <c r="AT54" s="365"/>
      <c r="AU54" s="365" t="str">
        <f ca="1">VLOOKUP(2,OFFSET('Dummy Table'!DY25:DZ28,0,AR51),2,FALSE)</f>
        <v>Netherlands</v>
      </c>
      <c r="AV54" s="365"/>
      <c r="AW54" s="367" t="str">
        <f ca="1">IFERROR(IF(MATCH(VLOOKUP(3,OFFSET('Dummy Table'!DY25:DZ28,0,AR51),2,FALSE),OFFSET('Dummy Table'!IU13:IU16,0,AR51),0),VLOOKUP(3,OFFSET('Dummy Table'!DY25:DZ28,0,AR51),2,FALSE),""),"")</f>
        <v/>
      </c>
      <c r="AX54" s="367"/>
      <c r="AY54" s="367"/>
      <c r="AZ54" s="68"/>
      <c r="BA54" s="78">
        <f>IF(AT45&lt;&gt;"",IF(SUM(Matches!T22:T25)=12,IF(AS54=D54,Bonu1,0)+IF(AU54=G54,Bonu2,0)+IF(AND(AW54&lt;&gt;"",I54&lt;&gt;"",AW54=I54),Bonu3,0),0),"")</f>
        <v>0</v>
      </c>
      <c r="BB54" s="126"/>
      <c r="BC54" s="365" t="str">
        <f ca="1">VLOOKUP(1,OFFSET('Dummy Table'!DY25:DZ28,0,BB51),2,FALSE)</f>
        <v>France</v>
      </c>
      <c r="BD54" s="365"/>
      <c r="BE54" s="365" t="str">
        <f ca="1">VLOOKUP(2,OFFSET('Dummy Table'!DY25:DZ28,0,BB51),2,FALSE)</f>
        <v>Netherlands</v>
      </c>
      <c r="BF54" s="365"/>
      <c r="BG54" s="367" t="str">
        <f ca="1">IFERROR(IF(MATCH(VLOOKUP(3,OFFSET('Dummy Table'!DY25:DZ28,0,BB51),2,FALSE),OFFSET('Dummy Table'!IU13:IU16,0,BB51),0),VLOOKUP(3,OFFSET('Dummy Table'!DY25:DZ28,0,BB51),2,FALSE),""),"")</f>
        <v>Austria</v>
      </c>
      <c r="BH54" s="367"/>
      <c r="BI54" s="367"/>
      <c r="BJ54" s="68"/>
      <c r="BK54" s="78">
        <f>IF(BD45&lt;&gt;"",IF(SUM(Matches!T22:T25)=12,IF(BC54=D54,Bonu1,0)+IF(BE54=G54,Bonu2,0)+IF(AND(BG54&lt;&gt;"",I54&lt;&gt;"",BG54=I54),Bonu3,0),0),"")</f>
        <v>0</v>
      </c>
      <c r="BL54" s="126"/>
      <c r="BM54" s="365" t="str">
        <f ca="1">VLOOKUP(1,OFFSET('Dummy Table'!DY25:DZ28,0,BL51),2,FALSE)</f>
        <v>Netherlands</v>
      </c>
      <c r="BN54" s="365"/>
      <c r="BO54" s="365" t="str">
        <f ca="1">VLOOKUP(2,OFFSET('Dummy Table'!DY25:DZ28,0,BL51),2,FALSE)</f>
        <v>France</v>
      </c>
      <c r="BP54" s="365"/>
      <c r="BQ54" s="367" t="str">
        <f ca="1">IFERROR(IF(MATCH(VLOOKUP(3,OFFSET('Dummy Table'!DY25:DZ28,0,BL51),2,FALSE),OFFSET('Dummy Table'!IU13:IU16,0,BL51),0),VLOOKUP(3,OFFSET('Dummy Table'!DY25:DZ28,0,BL51),2,FALSE),""),"")</f>
        <v/>
      </c>
      <c r="BR54" s="367"/>
      <c r="BS54" s="367"/>
      <c r="BT54" s="68"/>
      <c r="BU54" s="78">
        <f>IF(BN45&lt;&gt;"",IF(SUM(Matches!T22:T25)=12,IF(BM54=D54,Bonu1,0)+IF(BO54=G54,Bonu2,0)+IF(AND(BQ54&lt;&gt;"",I54&lt;&gt;"",BQ54=I54),Bonu3,0),0),"")</f>
        <v>0</v>
      </c>
      <c r="BV54" s="126"/>
      <c r="BW54" s="365" t="str">
        <f ca="1">VLOOKUP(1,OFFSET('Dummy Table'!DY25:DZ28,0,BV51),2,FALSE)</f>
        <v>France</v>
      </c>
      <c r="BX54" s="365"/>
      <c r="BY54" s="365" t="str">
        <f ca="1">VLOOKUP(2,OFFSET('Dummy Table'!DY25:DZ28,0,BV51),2,FALSE)</f>
        <v>Netherlands</v>
      </c>
      <c r="BZ54" s="365"/>
      <c r="CA54" s="367" t="str">
        <f ca="1">IFERROR(IF(MATCH(VLOOKUP(3,OFFSET('Dummy Table'!DY25:DZ28,0,BV51),2,FALSE),OFFSET('Dummy Table'!IU13:IU16,0,BV51),0),VLOOKUP(3,OFFSET('Dummy Table'!DY25:DZ28,0,BV51),2,FALSE),""),"")</f>
        <v>Austria</v>
      </c>
      <c r="CB54" s="367"/>
      <c r="CC54" s="367"/>
      <c r="CD54" s="68"/>
      <c r="CE54" s="78" t="str">
        <f>IF(BX45&lt;&gt;"",IF(SUM(Matches!T22:T25)=12,IF(BW54=D54,Bonu1,0)+IF(BY54=G54,Bonu2,0)+IF(AND(CA54&lt;&gt;"",I54&lt;&gt;"",CA54=I54),Bonu3,0),0),"")</f>
        <v/>
      </c>
      <c r="CF54" s="126"/>
      <c r="CG54" s="365" t="str">
        <f ca="1">VLOOKUP(1,OFFSET('Dummy Table'!DY25:DZ28,0,CF51),2,FALSE)</f>
        <v>France</v>
      </c>
      <c r="CH54" s="365"/>
      <c r="CI54" s="365" t="str">
        <f ca="1">VLOOKUP(2,OFFSET('Dummy Table'!DY25:DZ28,0,CF51),2,FALSE)</f>
        <v>Netherlands</v>
      </c>
      <c r="CJ54" s="365"/>
      <c r="CK54" s="367" t="str">
        <f ca="1">IFERROR(IF(MATCH(VLOOKUP(3,OFFSET('Dummy Table'!DY25:DZ28,0,CF51),2,FALSE),OFFSET('Dummy Table'!IU13:IU16,0,CF51),0),VLOOKUP(3,OFFSET('Dummy Table'!DY25:DZ28,0,CF51),2,FALSE),""),"")</f>
        <v>Austria</v>
      </c>
      <c r="CL54" s="367"/>
      <c r="CM54" s="367"/>
      <c r="CN54" s="68"/>
      <c r="CO54" s="78" t="str">
        <f>IF(CH45&lt;&gt;"",IF(SUM(Matches!T22:T25)=12,IF(CG54=D54,Bonu1,0)+IF(CI54=G54,Bonu2,0)+IF(AND(CK54&lt;&gt;"",I54&lt;&gt;"",CK54=I54),Bonu3,0),0),"")</f>
        <v/>
      </c>
      <c r="CP54" s="126"/>
      <c r="CQ54" s="365" t="str">
        <f ca="1">VLOOKUP(1,OFFSET('Dummy Table'!DY25:DZ28,0,CP51),2,FALSE)</f>
        <v>France</v>
      </c>
      <c r="CR54" s="365"/>
      <c r="CS54" s="365" t="str">
        <f ca="1">VLOOKUP(2,OFFSET('Dummy Table'!DY25:DZ28,0,CP51),2,FALSE)</f>
        <v>Netherlands</v>
      </c>
      <c r="CT54" s="365"/>
      <c r="CU54" s="367" t="str">
        <f ca="1">IFERROR(IF(MATCH(VLOOKUP(3,OFFSET('Dummy Table'!DY25:DZ28,0,CP51),2,FALSE),OFFSET('Dummy Table'!IU13:IU16,0,CP51),0),VLOOKUP(3,OFFSET('Dummy Table'!DY25:DZ28,0,CP51),2,FALSE),""),"")</f>
        <v>Austria</v>
      </c>
      <c r="CV54" s="367"/>
      <c r="CW54" s="367"/>
      <c r="CX54" s="68"/>
      <c r="CY54" s="78" t="str">
        <f>IF(CR45&lt;&gt;"",IF(SUM(Matches!T22:T25)=12,IF(CQ54=D54,Bonu1,0)+IF(CS54=G54,Bonu2,0)+IF(AND(CU54&lt;&gt;"",I54&lt;&gt;"",CU54=I54),Bonu3,0),0),"")</f>
        <v/>
      </c>
      <c r="CZ54" s="126"/>
      <c r="DA54" s="365" t="str">
        <f ca="1">VLOOKUP(1,OFFSET('Dummy Table'!DY25:DZ28,0,CZ51),2,FALSE)</f>
        <v>France</v>
      </c>
      <c r="DB54" s="365"/>
      <c r="DC54" s="365" t="str">
        <f ca="1">VLOOKUP(2,OFFSET('Dummy Table'!DY25:DZ28,0,CZ51),2,FALSE)</f>
        <v>Netherlands</v>
      </c>
      <c r="DD54" s="365"/>
      <c r="DE54" s="367" t="str">
        <f ca="1">IFERROR(IF(MATCH(VLOOKUP(3,OFFSET('Dummy Table'!DY25:DZ28,0,CZ51),2,FALSE),OFFSET('Dummy Table'!IU13:IU16,0,CZ51),0),VLOOKUP(3,OFFSET('Dummy Table'!DY25:DZ28,0,CZ51),2,FALSE),""),"")</f>
        <v>Austria</v>
      </c>
      <c r="DF54" s="367"/>
      <c r="DG54" s="367"/>
      <c r="DH54" s="68"/>
      <c r="DI54" s="78" t="str">
        <f>IF(DB45&lt;&gt;"",IF(SUM(Matches!T22:T25)=12,IF(DA54=D54,Bonu1,0)+IF(DC54=G54,Bonu2,0)+IF(AND(DE54&lt;&gt;"",I54&lt;&gt;"",DE54=I54),Bonu3,0),0),"")</f>
        <v/>
      </c>
    </row>
    <row r="55" spans="1:113" s="43" customFormat="1" ht="15" customHeight="1" x14ac:dyDescent="0.25">
      <c r="A55" s="41"/>
      <c r="B55" s="65"/>
      <c r="C55" s="87" t="s">
        <v>105</v>
      </c>
      <c r="D55" s="375" t="str">
        <f>Matches!P27</f>
        <v>Romania</v>
      </c>
      <c r="E55" s="375"/>
      <c r="F55" s="375"/>
      <c r="G55" s="375" t="str">
        <f>Matches!P28</f>
        <v>Slovakia</v>
      </c>
      <c r="H55" s="375"/>
      <c r="I55" s="388" t="str">
        <f>IF(ISNA(MATCH(Matches!P29,Qual3,0)),"",Matches!P29)</f>
        <v/>
      </c>
      <c r="J55" s="389"/>
      <c r="K55" s="66"/>
      <c r="L55" s="66"/>
      <c r="M55" s="67"/>
      <c r="N55" s="126"/>
      <c r="O55" s="365" t="str">
        <f ca="1">VLOOKUP(1,OFFSET('Dummy Table'!DY31:DZ34,0,N51),2,FALSE)</f>
        <v>Belgium</v>
      </c>
      <c r="P55" s="365"/>
      <c r="Q55" s="365" t="str">
        <f ca="1">VLOOKUP(2,OFFSET('Dummy Table'!DY31:DZ34,0,N51),2,FALSE)</f>
        <v>Slovakia</v>
      </c>
      <c r="R55" s="365"/>
      <c r="S55" s="367" t="str">
        <f ca="1">IFERROR(IF(MATCH(VLOOKUP(3,OFFSET('Dummy Table'!DY31:DZ34,0,N51),2,FALSE),OFFSET('Dummy Table'!IU13:IU16,0,N51),0),VLOOKUP(3,OFFSET('Dummy Table'!DY31:DZ34,0,N51),2,FALSE),""),"")</f>
        <v/>
      </c>
      <c r="T55" s="367"/>
      <c r="U55" s="367"/>
      <c r="V55" s="68"/>
      <c r="W55" s="78">
        <f>IF(P45&lt;&gt;"",IF(SUM(Matches!T27:T30)=12,IF(O55=D55,Bonu1,0)+IF(Q55=G55,Bonu2,0)+IF(AND(S55&lt;&gt;"",I55&lt;&gt;"",S55=I55),Bonu3,0),0),"")</f>
        <v>0</v>
      </c>
      <c r="X55" s="126"/>
      <c r="Y55" s="365" t="str">
        <f ca="1">VLOOKUP(1,OFFSET('Dummy Table'!DY31:DZ34,0,X51),2,FALSE)</f>
        <v>Belgium</v>
      </c>
      <c r="Z55" s="365"/>
      <c r="AA55" s="365" t="str">
        <f ca="1">VLOOKUP(2,OFFSET('Dummy Table'!DY31:DZ34,0,X51),2,FALSE)</f>
        <v>Ukraine</v>
      </c>
      <c r="AB55" s="365"/>
      <c r="AC55" s="367" t="str">
        <f ca="1">IFERROR(IF(MATCH(VLOOKUP(3,OFFSET('Dummy Table'!DY31:DZ34,0,X51),2,FALSE),OFFSET('Dummy Table'!IU13:IU16,0,X51),0),VLOOKUP(3,OFFSET('Dummy Table'!DY31:DZ34,0,X51),2,FALSE),""),"")</f>
        <v>Romania</v>
      </c>
      <c r="AD55" s="367"/>
      <c r="AE55" s="367"/>
      <c r="AF55" s="68"/>
      <c r="AG55" s="78">
        <f>IF(Z45&lt;&gt;"",IF(SUM(Matches!T27:T30)=12,IF(Y55=D55,Bonu1,0)+IF(AA55=G55,Bonu2,0)+IF(AND(AC55&lt;&gt;"",I55&lt;&gt;"",AC55=I55),Bonu3,0),0),"")</f>
        <v>0</v>
      </c>
      <c r="AH55" s="126"/>
      <c r="AI55" s="365" t="str">
        <f ca="1">VLOOKUP(1,OFFSET('Dummy Table'!DY31:DZ34,0,AH51),2,FALSE)</f>
        <v>Romania</v>
      </c>
      <c r="AJ55" s="365"/>
      <c r="AK55" s="365" t="str">
        <f ca="1">VLOOKUP(2,OFFSET('Dummy Table'!DY31:DZ34,0,AH51),2,FALSE)</f>
        <v>Ukraine</v>
      </c>
      <c r="AL55" s="365"/>
      <c r="AM55" s="367" t="str">
        <f ca="1">IFERROR(IF(MATCH(VLOOKUP(3,OFFSET('Dummy Table'!DY31:DZ34,0,AH51),2,FALSE),OFFSET('Dummy Table'!IU13:IU16,0,AH51),0),VLOOKUP(3,OFFSET('Dummy Table'!DY31:DZ34,0,AH51),2,FALSE),""),"")</f>
        <v>Belgium</v>
      </c>
      <c r="AN55" s="367"/>
      <c r="AO55" s="367"/>
      <c r="AP55" s="68"/>
      <c r="AQ55" s="78">
        <f>IF(AJ45&lt;&gt;"",IF(SUM(Matches!T27:T30)=12,IF(AI55=D55,Bonu1,0)+IF(AK55=G55,Bonu2,0)+IF(AND(AM55&lt;&gt;"",I55&lt;&gt;"",AM55=I55),Bonu3,0),0),"")</f>
        <v>0</v>
      </c>
      <c r="AR55" s="126"/>
      <c r="AS55" s="365" t="str">
        <f ca="1">VLOOKUP(1,OFFSET('Dummy Table'!DY31:DZ34,0,AR51),2,FALSE)</f>
        <v>Belgium</v>
      </c>
      <c r="AT55" s="365"/>
      <c r="AU55" s="365" t="str">
        <f ca="1">VLOOKUP(2,OFFSET('Dummy Table'!DY31:DZ34,0,AR51),2,FALSE)</f>
        <v>Romania</v>
      </c>
      <c r="AV55" s="365"/>
      <c r="AW55" s="367" t="str">
        <f ca="1">IFERROR(IF(MATCH(VLOOKUP(3,OFFSET('Dummy Table'!DY31:DZ34,0,AR51),2,FALSE),OFFSET('Dummy Table'!IU13:IU16,0,AR51),0),VLOOKUP(3,OFFSET('Dummy Table'!DY31:DZ34,0,AR51),2,FALSE),""),"")</f>
        <v>Ukraine</v>
      </c>
      <c r="AX55" s="367"/>
      <c r="AY55" s="367"/>
      <c r="AZ55" s="68"/>
      <c r="BA55" s="78">
        <f>IF(AT45&lt;&gt;"",IF(SUM(Matches!T27:T30)=12,IF(AS55=D55,Bonu1,0)+IF(AU55=G55,Bonu2,0)+IF(AND(AW55&lt;&gt;"",I55&lt;&gt;"",AW55=I55),Bonu3,0),0),"")</f>
        <v>0</v>
      </c>
      <c r="BB55" s="126"/>
      <c r="BC55" s="365" t="str">
        <f ca="1">VLOOKUP(1,OFFSET('Dummy Table'!DY31:DZ34,0,BB51),2,FALSE)</f>
        <v>Belgium</v>
      </c>
      <c r="BD55" s="365"/>
      <c r="BE55" s="365" t="str">
        <f ca="1">VLOOKUP(2,OFFSET('Dummy Table'!DY31:DZ34,0,BB51),2,FALSE)</f>
        <v>Ukraine</v>
      </c>
      <c r="BF55" s="365"/>
      <c r="BG55" s="367" t="str">
        <f ca="1">IFERROR(IF(MATCH(VLOOKUP(3,OFFSET('Dummy Table'!DY31:DZ34,0,BB51),2,FALSE),OFFSET('Dummy Table'!IU13:IU16,0,BB51),0),VLOOKUP(3,OFFSET('Dummy Table'!DY31:DZ34,0,BB51),2,FALSE),""),"")</f>
        <v/>
      </c>
      <c r="BH55" s="367"/>
      <c r="BI55" s="367"/>
      <c r="BJ55" s="68"/>
      <c r="BK55" s="78">
        <f>IF(BD45&lt;&gt;"",IF(SUM(Matches!T27:T30)=12,IF(BC55=D55,Bonu1,0)+IF(BE55=G55,Bonu2,0)+IF(AND(BG55&lt;&gt;"",I55&lt;&gt;"",BG55=I55),Bonu3,0),0),"")</f>
        <v>0</v>
      </c>
      <c r="BL55" s="126"/>
      <c r="BM55" s="365" t="str">
        <f ca="1">VLOOKUP(1,OFFSET('Dummy Table'!DY31:DZ34,0,BL51),2,FALSE)</f>
        <v>Belgium</v>
      </c>
      <c r="BN55" s="365"/>
      <c r="BO55" s="365" t="str">
        <f ca="1">VLOOKUP(2,OFFSET('Dummy Table'!DY31:DZ34,0,BL51),2,FALSE)</f>
        <v>Ukraine</v>
      </c>
      <c r="BP55" s="365"/>
      <c r="BQ55" s="367" t="str">
        <f ca="1">IFERROR(IF(MATCH(VLOOKUP(3,OFFSET('Dummy Table'!DY31:DZ34,0,BL51),2,FALSE),OFFSET('Dummy Table'!IU13:IU16,0,BL51),0),VLOOKUP(3,OFFSET('Dummy Table'!DY31:DZ34,0,BL51),2,FALSE),""),"")</f>
        <v/>
      </c>
      <c r="BR55" s="367"/>
      <c r="BS55" s="367"/>
      <c r="BT55" s="68"/>
      <c r="BU55" s="78">
        <f>IF(BN45&lt;&gt;"",IF(SUM(Matches!T27:T30)=12,IF(BM55=D55,Bonu1,0)+IF(BO55=G55,Bonu2,0)+IF(AND(BQ55&lt;&gt;"",I55&lt;&gt;"",BQ55=I55),Bonu3,0),0),"")</f>
        <v>0</v>
      </c>
      <c r="BV55" s="126"/>
      <c r="BW55" s="365" t="str">
        <f ca="1">VLOOKUP(1,OFFSET('Dummy Table'!DY31:DZ34,0,BV51),2,FALSE)</f>
        <v>Belgium</v>
      </c>
      <c r="BX55" s="365"/>
      <c r="BY55" s="365" t="str">
        <f ca="1">VLOOKUP(2,OFFSET('Dummy Table'!DY31:DZ34,0,BV51),2,FALSE)</f>
        <v>Romania</v>
      </c>
      <c r="BZ55" s="365"/>
      <c r="CA55" s="367" t="str">
        <f ca="1">IFERROR(IF(MATCH(VLOOKUP(3,OFFSET('Dummy Table'!DY31:DZ34,0,BV51),2,FALSE),OFFSET('Dummy Table'!IU13:IU16,0,BV51),0),VLOOKUP(3,OFFSET('Dummy Table'!DY31:DZ34,0,BV51),2,FALSE),""),"")</f>
        <v/>
      </c>
      <c r="CB55" s="367"/>
      <c r="CC55" s="367"/>
      <c r="CD55" s="68"/>
      <c r="CE55" s="78" t="str">
        <f>IF(BX45&lt;&gt;"",IF(SUM(Matches!T27:T30)=12,IF(BW55=D55,Bonu1,0)+IF(BY55=G55,Bonu2,0)+IF(AND(CA55&lt;&gt;"",I55&lt;&gt;"",CA55=I55),Bonu3,0),0),"")</f>
        <v/>
      </c>
      <c r="CF55" s="126"/>
      <c r="CG55" s="365" t="str">
        <f ca="1">VLOOKUP(1,OFFSET('Dummy Table'!DY31:DZ34,0,CF51),2,FALSE)</f>
        <v>Belgium</v>
      </c>
      <c r="CH55" s="365"/>
      <c r="CI55" s="365" t="str">
        <f ca="1">VLOOKUP(2,OFFSET('Dummy Table'!DY31:DZ34,0,CF51),2,FALSE)</f>
        <v>Romania</v>
      </c>
      <c r="CJ55" s="365"/>
      <c r="CK55" s="367" t="str">
        <f ca="1">IFERROR(IF(MATCH(VLOOKUP(3,OFFSET('Dummy Table'!DY31:DZ34,0,CF51),2,FALSE),OFFSET('Dummy Table'!IU13:IU16,0,CF51),0),VLOOKUP(3,OFFSET('Dummy Table'!DY31:DZ34,0,CF51),2,FALSE),""),"")</f>
        <v/>
      </c>
      <c r="CL55" s="367"/>
      <c r="CM55" s="367"/>
      <c r="CN55" s="68"/>
      <c r="CO55" s="78" t="str">
        <f>IF(CH45&lt;&gt;"",IF(SUM(Matches!T27:T30)=12,IF(CG55=D55,Bonu1,0)+IF(CI55=G55,Bonu2,0)+IF(AND(CK55&lt;&gt;"",I55&lt;&gt;"",CK55=I55),Bonu3,0),0),"")</f>
        <v/>
      </c>
      <c r="CP55" s="126"/>
      <c r="CQ55" s="365" t="str">
        <f ca="1">VLOOKUP(1,OFFSET('Dummy Table'!DY31:DZ34,0,CP51),2,FALSE)</f>
        <v>Belgium</v>
      </c>
      <c r="CR55" s="365"/>
      <c r="CS55" s="365" t="str">
        <f ca="1">VLOOKUP(2,OFFSET('Dummy Table'!DY31:DZ34,0,CP51),2,FALSE)</f>
        <v>Romania</v>
      </c>
      <c r="CT55" s="365"/>
      <c r="CU55" s="367" t="str">
        <f ca="1">IFERROR(IF(MATCH(VLOOKUP(3,OFFSET('Dummy Table'!DY31:DZ34,0,CP51),2,FALSE),OFFSET('Dummy Table'!IU13:IU16,0,CP51),0),VLOOKUP(3,OFFSET('Dummy Table'!DY31:DZ34,0,CP51),2,FALSE),""),"")</f>
        <v/>
      </c>
      <c r="CV55" s="367"/>
      <c r="CW55" s="367"/>
      <c r="CX55" s="68"/>
      <c r="CY55" s="78" t="str">
        <f>IF(CR45&lt;&gt;"",IF(SUM(Matches!T27:T30)=12,IF(CQ55=D55,Bonu1,0)+IF(CS55=G55,Bonu2,0)+IF(AND(CU55&lt;&gt;"",I55&lt;&gt;"",CU55=I55),Bonu3,0),0),"")</f>
        <v/>
      </c>
      <c r="CZ55" s="126"/>
      <c r="DA55" s="365" t="str">
        <f ca="1">VLOOKUP(1,OFFSET('Dummy Table'!DY31:DZ34,0,CZ51),2,FALSE)</f>
        <v>Belgium</v>
      </c>
      <c r="DB55" s="365"/>
      <c r="DC55" s="365" t="str">
        <f ca="1">VLOOKUP(2,OFFSET('Dummy Table'!DY31:DZ34,0,CZ51),2,FALSE)</f>
        <v>Romania</v>
      </c>
      <c r="DD55" s="365"/>
      <c r="DE55" s="367" t="str">
        <f ca="1">IFERROR(IF(MATCH(VLOOKUP(3,OFFSET('Dummy Table'!DY31:DZ34,0,CZ51),2,FALSE),OFFSET('Dummy Table'!IU13:IU16,0,CZ51),0),VLOOKUP(3,OFFSET('Dummy Table'!DY31:DZ34,0,CZ51),2,FALSE),""),"")</f>
        <v/>
      </c>
      <c r="DF55" s="367"/>
      <c r="DG55" s="367"/>
      <c r="DH55" s="68"/>
      <c r="DI55" s="78" t="str">
        <f>IF(DB45&lt;&gt;"",IF(SUM(Matches!T27:T30)=12,IF(DA55=D55,Bonu1,0)+IF(DC55=G55,Bonu2,0)+IF(AND(DE55&lt;&gt;"",I55&lt;&gt;"",DE55=I55),Bonu3,0),0),"")</f>
        <v/>
      </c>
    </row>
    <row r="56" spans="1:113" s="43" customFormat="1" ht="15" customHeight="1" x14ac:dyDescent="0.25">
      <c r="A56" s="41"/>
      <c r="B56" s="65"/>
      <c r="C56" s="87" t="s">
        <v>106</v>
      </c>
      <c r="D56" s="375" t="str">
        <f>Matches!P32</f>
        <v>Türkiye</v>
      </c>
      <c r="E56" s="375"/>
      <c r="F56" s="375"/>
      <c r="G56" s="375" t="str">
        <f>Matches!P33</f>
        <v>Portugal</v>
      </c>
      <c r="H56" s="375"/>
      <c r="I56" s="388" t="str">
        <f>IF(ISNA(MATCH(Matches!P34,Qual3,0)),"",Matches!P34)</f>
        <v>Czechia</v>
      </c>
      <c r="J56" s="389"/>
      <c r="K56" s="66"/>
      <c r="L56" s="66"/>
      <c r="M56" s="67"/>
      <c r="N56" s="126"/>
      <c r="O56" s="365" t="str">
        <f ca="1">VLOOKUP(1,OFFSET('Dummy Table'!DY37:DZ40,0,N51),2,FALSE)</f>
        <v>Portugal</v>
      </c>
      <c r="P56" s="365"/>
      <c r="Q56" s="365" t="str">
        <f ca="1">VLOOKUP(2,OFFSET('Dummy Table'!DY37:DZ40,0,N51),2,FALSE)</f>
        <v>Türkiye</v>
      </c>
      <c r="R56" s="365"/>
      <c r="S56" s="367" t="str">
        <f ca="1">IFERROR(IF(MATCH(VLOOKUP(3,OFFSET('Dummy Table'!DY37:DZ40,0,N51),2,FALSE),OFFSET('Dummy Table'!IU13:IU16,0,N51),0),VLOOKUP(3,OFFSET('Dummy Table'!DY37:DZ40,0,N51),2,FALSE),""),"")</f>
        <v>Czechia</v>
      </c>
      <c r="T56" s="367"/>
      <c r="U56" s="367"/>
      <c r="V56" s="68"/>
      <c r="W56" s="78">
        <f>IF(P45&lt;&gt;"",IF(SUM(Matches!T32:T35)=12,IF(O56=D56,Bonu1,0)+IF(Q56=G56,Bonu2,0)+IF(AND(S56&lt;&gt;"",I56&lt;&gt;"",S56=I56),Bonu3,0),0),"")</f>
        <v>0</v>
      </c>
      <c r="X56" s="126"/>
      <c r="Y56" s="365" t="str">
        <f ca="1">VLOOKUP(1,OFFSET('Dummy Table'!DY37:DZ40,0,X51),2,FALSE)</f>
        <v>Czechia</v>
      </c>
      <c r="Z56" s="365"/>
      <c r="AA56" s="365" t="str">
        <f ca="1">VLOOKUP(2,OFFSET('Dummy Table'!DY37:DZ40,0,X51),2,FALSE)</f>
        <v>Portugal</v>
      </c>
      <c r="AB56" s="365"/>
      <c r="AC56" s="367" t="str">
        <f ca="1">IFERROR(IF(MATCH(VLOOKUP(3,OFFSET('Dummy Table'!DY37:DZ40,0,X51),2,FALSE),OFFSET('Dummy Table'!IU13:IU16,0,X51),0),VLOOKUP(3,OFFSET('Dummy Table'!DY37:DZ40,0,X51),2,FALSE),""),"")</f>
        <v>Türkiye</v>
      </c>
      <c r="AD56" s="367"/>
      <c r="AE56" s="367"/>
      <c r="AF56" s="68"/>
      <c r="AG56" s="78">
        <f>IF(Z45&lt;&gt;"",IF(SUM(Matches!T32:T35)=12,IF(Y56=D56,Bonu1,0)+IF(AA56=G56,Bonu2,0)+IF(AND(AC56&lt;&gt;"",I56&lt;&gt;"",AC56=I56),Bonu3,0),0),"")</f>
        <v>0</v>
      </c>
      <c r="AH56" s="126"/>
      <c r="AI56" s="365" t="str">
        <f ca="1">VLOOKUP(1,OFFSET('Dummy Table'!DY37:DZ40,0,AH51),2,FALSE)</f>
        <v>Türkiye</v>
      </c>
      <c r="AJ56" s="365"/>
      <c r="AK56" s="365" t="str">
        <f ca="1">VLOOKUP(2,OFFSET('Dummy Table'!DY37:DZ40,0,AH51),2,FALSE)</f>
        <v>Portugal</v>
      </c>
      <c r="AL56" s="365"/>
      <c r="AM56" s="367" t="str">
        <f ca="1">IFERROR(IF(MATCH(VLOOKUP(3,OFFSET('Dummy Table'!DY37:DZ40,0,AH51),2,FALSE),OFFSET('Dummy Table'!IU13:IU16,0,AH51),0),VLOOKUP(3,OFFSET('Dummy Table'!DY37:DZ40,0,AH51),2,FALSE),""),"")</f>
        <v>Czechia</v>
      </c>
      <c r="AN56" s="367"/>
      <c r="AO56" s="367"/>
      <c r="AP56" s="68"/>
      <c r="AQ56" s="78">
        <f>IF(AJ45&lt;&gt;"",IF(SUM(Matches!T32:T35)=12,IF(AI56=D56,Bonu1,0)+IF(AK56=G56,Bonu2,0)+IF(AND(AM56&lt;&gt;"",I56&lt;&gt;"",AM56=I56),Bonu3,0),0),"")</f>
        <v>0</v>
      </c>
      <c r="AR56" s="126"/>
      <c r="AS56" s="365" t="str">
        <f ca="1">VLOOKUP(1,OFFSET('Dummy Table'!DY37:DZ40,0,AR51),2,FALSE)</f>
        <v>Portugal</v>
      </c>
      <c r="AT56" s="365"/>
      <c r="AU56" s="365" t="str">
        <f ca="1">VLOOKUP(2,OFFSET('Dummy Table'!DY37:DZ40,0,AR51),2,FALSE)</f>
        <v>Türkiye</v>
      </c>
      <c r="AV56" s="365"/>
      <c r="AW56" s="367" t="str">
        <f ca="1">IFERROR(IF(MATCH(VLOOKUP(3,OFFSET('Dummy Table'!DY37:DZ40,0,AR51),2,FALSE),OFFSET('Dummy Table'!IU13:IU16,0,AR51),0),VLOOKUP(3,OFFSET('Dummy Table'!DY37:DZ40,0,AR51),2,FALSE),""),"")</f>
        <v>Czechia</v>
      </c>
      <c r="AX56" s="367"/>
      <c r="AY56" s="367"/>
      <c r="AZ56" s="68"/>
      <c r="BA56" s="78">
        <f>IF(AT45&lt;&gt;"",IF(SUM(Matches!T32:T35)=12,IF(AS56=D56,Bonu1,0)+IF(AU56=G56,Bonu2,0)+IF(AND(AW56&lt;&gt;"",I56&lt;&gt;"",AW56=I56),Bonu3,0),0),"")</f>
        <v>0</v>
      </c>
      <c r="BB56" s="126"/>
      <c r="BC56" s="365" t="str">
        <f ca="1">VLOOKUP(1,OFFSET('Dummy Table'!DY37:DZ40,0,BB51),2,FALSE)</f>
        <v>Portugal</v>
      </c>
      <c r="BD56" s="365"/>
      <c r="BE56" s="365" t="str">
        <f ca="1">VLOOKUP(2,OFFSET('Dummy Table'!DY37:DZ40,0,BB51),2,FALSE)</f>
        <v>Türkiye</v>
      </c>
      <c r="BF56" s="365"/>
      <c r="BG56" s="367" t="str">
        <f ca="1">IFERROR(IF(MATCH(VLOOKUP(3,OFFSET('Dummy Table'!DY37:DZ40,0,BB51),2,FALSE),OFFSET('Dummy Table'!IU13:IU16,0,BB51),0),VLOOKUP(3,OFFSET('Dummy Table'!DY37:DZ40,0,BB51),2,FALSE),""),"")</f>
        <v/>
      </c>
      <c r="BH56" s="367"/>
      <c r="BI56" s="367"/>
      <c r="BJ56" s="68"/>
      <c r="BK56" s="78">
        <f>IF(BD45&lt;&gt;"",IF(SUM(Matches!T32:T35)=12,IF(BC56=D56,Bonu1,0)+IF(BE56=G56,Bonu2,0)+IF(AND(BG56&lt;&gt;"",I56&lt;&gt;"",BG56=I56),Bonu3,0),0),"")</f>
        <v>0</v>
      </c>
      <c r="BL56" s="126"/>
      <c r="BM56" s="365" t="str">
        <f ca="1">VLOOKUP(1,OFFSET('Dummy Table'!DY37:DZ40,0,BL51),2,FALSE)</f>
        <v>Portugal</v>
      </c>
      <c r="BN56" s="365"/>
      <c r="BO56" s="365" t="str">
        <f ca="1">VLOOKUP(2,OFFSET('Dummy Table'!DY37:DZ40,0,BL51),2,FALSE)</f>
        <v>Czechia</v>
      </c>
      <c r="BP56" s="365"/>
      <c r="BQ56" s="367" t="str">
        <f ca="1">IFERROR(IF(MATCH(VLOOKUP(3,OFFSET('Dummy Table'!DY37:DZ40,0,BL51),2,FALSE),OFFSET('Dummy Table'!IU13:IU16,0,BL51),0),VLOOKUP(3,OFFSET('Dummy Table'!DY37:DZ40,0,BL51),2,FALSE),""),"")</f>
        <v>Türkiye</v>
      </c>
      <c r="BR56" s="367"/>
      <c r="BS56" s="367"/>
      <c r="BT56" s="68"/>
      <c r="BU56" s="78">
        <f>IF(BN45&lt;&gt;"",IF(SUM(Matches!T32:T35)=12,IF(BM56=D56,Bonu1,0)+IF(BO56=G56,Bonu2,0)+IF(AND(BQ56&lt;&gt;"",I56&lt;&gt;"",BQ56=I56),Bonu3,0),0),"")</f>
        <v>0</v>
      </c>
      <c r="BV56" s="126"/>
      <c r="BW56" s="365" t="str">
        <f ca="1">VLOOKUP(1,OFFSET('Dummy Table'!DY37:DZ40,0,BV51),2,FALSE)</f>
        <v>Portugal</v>
      </c>
      <c r="BX56" s="365"/>
      <c r="BY56" s="365" t="str">
        <f ca="1">VLOOKUP(2,OFFSET('Dummy Table'!DY37:DZ40,0,BV51),2,FALSE)</f>
        <v>Türkiye</v>
      </c>
      <c r="BZ56" s="365"/>
      <c r="CA56" s="367" t="str">
        <f ca="1">IFERROR(IF(MATCH(VLOOKUP(3,OFFSET('Dummy Table'!DY37:DZ40,0,BV51),2,FALSE),OFFSET('Dummy Table'!IU13:IU16,0,BV51),0),VLOOKUP(3,OFFSET('Dummy Table'!DY37:DZ40,0,BV51),2,FALSE),""),"")</f>
        <v/>
      </c>
      <c r="CB56" s="367"/>
      <c r="CC56" s="367"/>
      <c r="CD56" s="68"/>
      <c r="CE56" s="78" t="str">
        <f>IF(BX45&lt;&gt;"",IF(SUM(Matches!T32:T35)=12,IF(BW56=D56,Bonu1,0)+IF(BY56=G56,Bonu2,0)+IF(AND(CA56&lt;&gt;"",I56&lt;&gt;"",CA56=I56),Bonu3,0),0),"")</f>
        <v/>
      </c>
      <c r="CF56" s="126"/>
      <c r="CG56" s="365" t="str">
        <f ca="1">VLOOKUP(1,OFFSET('Dummy Table'!DY37:DZ40,0,CF51),2,FALSE)</f>
        <v>Portugal</v>
      </c>
      <c r="CH56" s="365"/>
      <c r="CI56" s="365" t="str">
        <f ca="1">VLOOKUP(2,OFFSET('Dummy Table'!DY37:DZ40,0,CF51),2,FALSE)</f>
        <v>Türkiye</v>
      </c>
      <c r="CJ56" s="365"/>
      <c r="CK56" s="367" t="str">
        <f ca="1">IFERROR(IF(MATCH(VLOOKUP(3,OFFSET('Dummy Table'!DY37:DZ40,0,CF51),2,FALSE),OFFSET('Dummy Table'!IU13:IU16,0,CF51),0),VLOOKUP(3,OFFSET('Dummy Table'!DY37:DZ40,0,CF51),2,FALSE),""),"")</f>
        <v/>
      </c>
      <c r="CL56" s="367"/>
      <c r="CM56" s="367"/>
      <c r="CN56" s="68"/>
      <c r="CO56" s="78" t="str">
        <f>IF(CH45&lt;&gt;"",IF(SUM(Matches!T32:T35)=12,IF(CG56=D56,Bonu1,0)+IF(CI56=G56,Bonu2,0)+IF(AND(CK56&lt;&gt;"",I56&lt;&gt;"",CK56=I56),Bonu3,0),0),"")</f>
        <v/>
      </c>
      <c r="CP56" s="126"/>
      <c r="CQ56" s="365" t="str">
        <f ca="1">VLOOKUP(1,OFFSET('Dummy Table'!DY37:DZ40,0,CP51),2,FALSE)</f>
        <v>Portugal</v>
      </c>
      <c r="CR56" s="365"/>
      <c r="CS56" s="365" t="str">
        <f ca="1">VLOOKUP(2,OFFSET('Dummy Table'!DY37:DZ40,0,CP51),2,FALSE)</f>
        <v>Türkiye</v>
      </c>
      <c r="CT56" s="365"/>
      <c r="CU56" s="367" t="str">
        <f ca="1">IFERROR(IF(MATCH(VLOOKUP(3,OFFSET('Dummy Table'!DY37:DZ40,0,CP51),2,FALSE),OFFSET('Dummy Table'!IU13:IU16,0,CP51),0),VLOOKUP(3,OFFSET('Dummy Table'!DY37:DZ40,0,CP51),2,FALSE),""),"")</f>
        <v/>
      </c>
      <c r="CV56" s="367"/>
      <c r="CW56" s="367"/>
      <c r="CX56" s="68"/>
      <c r="CY56" s="78" t="str">
        <f>IF(CR45&lt;&gt;"",IF(SUM(Matches!T32:T35)=12,IF(CQ56=D56,Bonu1,0)+IF(CS56=G56,Bonu2,0)+IF(AND(CU56&lt;&gt;"",I56&lt;&gt;"",CU56=I56),Bonu3,0),0),"")</f>
        <v/>
      </c>
      <c r="CZ56" s="126"/>
      <c r="DA56" s="365" t="str">
        <f ca="1">VLOOKUP(1,OFFSET('Dummy Table'!DY37:DZ40,0,CZ51),2,FALSE)</f>
        <v>Portugal</v>
      </c>
      <c r="DB56" s="365"/>
      <c r="DC56" s="365" t="str">
        <f ca="1">VLOOKUP(2,OFFSET('Dummy Table'!DY37:DZ40,0,CZ51),2,FALSE)</f>
        <v>Türkiye</v>
      </c>
      <c r="DD56" s="365"/>
      <c r="DE56" s="367" t="str">
        <f ca="1">IFERROR(IF(MATCH(VLOOKUP(3,OFFSET('Dummy Table'!DY37:DZ40,0,CZ51),2,FALSE),OFFSET('Dummy Table'!IU13:IU16,0,CZ51),0),VLOOKUP(3,OFFSET('Dummy Table'!DY37:DZ40,0,CZ51),2,FALSE),""),"")</f>
        <v/>
      </c>
      <c r="DF56" s="367"/>
      <c r="DG56" s="367"/>
      <c r="DH56" s="68"/>
      <c r="DI56" s="78" t="str">
        <f>IF(DB45&lt;&gt;"",IF(SUM(Matches!T32:T35)=12,IF(DA56=D56,Bonu1,0)+IF(DC56=G56,Bonu2,0)+IF(AND(DE56&lt;&gt;"",I56&lt;&gt;"",DE56=I56),Bonu3,0),0),"")</f>
        <v/>
      </c>
    </row>
    <row r="57" spans="1:113" s="43" customFormat="1" ht="15" customHeight="1" x14ac:dyDescent="0.25">
      <c r="A57" s="41"/>
      <c r="B57" s="65"/>
      <c r="C57" s="88">
        <f>SUM(Matches!T7:T35)</f>
        <v>24</v>
      </c>
      <c r="D57" s="66"/>
      <c r="E57" s="66"/>
      <c r="F57" s="66"/>
      <c r="G57" s="66"/>
      <c r="H57" s="66"/>
      <c r="I57" s="66"/>
      <c r="J57" s="66"/>
      <c r="K57" s="66"/>
      <c r="L57" s="66"/>
      <c r="M57" s="67"/>
      <c r="N57" s="126"/>
      <c r="O57" s="376" t="s">
        <v>110</v>
      </c>
      <c r="P57" s="377"/>
      <c r="Q57" s="377"/>
      <c r="R57" s="378"/>
      <c r="S57" s="366">
        <f ca="1">IF(C57=72,OFFSET('Dummy Table'!IV34,0,N51),0)</f>
        <v>0</v>
      </c>
      <c r="T57" s="366"/>
      <c r="U57" s="366"/>
      <c r="V57" s="68"/>
      <c r="W57" s="78">
        <f ca="1">IF(P45&lt;&gt;"",IF(S57=16,Bonu4,IF(S57&gt;11,Bonu5,IF(S57&gt;7,Bonu7,0))),"")</f>
        <v>0</v>
      </c>
      <c r="X57" s="126"/>
      <c r="Y57" s="376" t="s">
        <v>110</v>
      </c>
      <c r="Z57" s="377"/>
      <c r="AA57" s="377"/>
      <c r="AB57" s="378"/>
      <c r="AC57" s="366">
        <f ca="1">IF(C57=72,OFFSET('Dummy Table'!IV34,0,X51),0)</f>
        <v>0</v>
      </c>
      <c r="AD57" s="366"/>
      <c r="AE57" s="366"/>
      <c r="AF57" s="68"/>
      <c r="AG57" s="78">
        <f ca="1">IF(Z45&lt;&gt;"",IF(AC57=16,Bonu4,IF(AC57&gt;11,Bonu5,IF(AC57&gt;7,Bonu7,0))),"")</f>
        <v>0</v>
      </c>
      <c r="AH57" s="126"/>
      <c r="AI57" s="376" t="s">
        <v>110</v>
      </c>
      <c r="AJ57" s="377"/>
      <c r="AK57" s="377"/>
      <c r="AL57" s="378"/>
      <c r="AM57" s="366">
        <f ca="1">IF(C57=72,OFFSET('Dummy Table'!IV34,0,AH51),0)</f>
        <v>0</v>
      </c>
      <c r="AN57" s="366"/>
      <c r="AO57" s="366"/>
      <c r="AP57" s="68"/>
      <c r="AQ57" s="78">
        <f ca="1">IF(AJ45&lt;&gt;"",IF(AM57=16,Bonu4,IF(AM57&gt;11,Bonu5,IF(AM57&gt;7,Bonu7,0))),"")</f>
        <v>0</v>
      </c>
      <c r="AR57" s="126"/>
      <c r="AS57" s="376" t="s">
        <v>110</v>
      </c>
      <c r="AT57" s="377"/>
      <c r="AU57" s="377"/>
      <c r="AV57" s="378"/>
      <c r="AW57" s="366">
        <f ca="1">IF(C57=72,OFFSET('Dummy Table'!IV34,0,AR51),0)</f>
        <v>0</v>
      </c>
      <c r="AX57" s="366"/>
      <c r="AY57" s="366"/>
      <c r="AZ57" s="68"/>
      <c r="BA57" s="78">
        <f ca="1">IF(AT45&lt;&gt;"",IF(AW57=16,Bonu4,IF(AW57&gt;11,Bonu5,IF(AW57&gt;7,Bonu7,0))),"")</f>
        <v>0</v>
      </c>
      <c r="BB57" s="126"/>
      <c r="BC57" s="376" t="s">
        <v>110</v>
      </c>
      <c r="BD57" s="377"/>
      <c r="BE57" s="377"/>
      <c r="BF57" s="378"/>
      <c r="BG57" s="366">
        <f ca="1">IF(C57=72,OFFSET('Dummy Table'!IV34,0,BB51),0)</f>
        <v>0</v>
      </c>
      <c r="BH57" s="366"/>
      <c r="BI57" s="366"/>
      <c r="BJ57" s="68"/>
      <c r="BK57" s="78">
        <f ca="1">IF(BD45&lt;&gt;"",IF(BG57=16,Bonu4,IF(BG57&gt;11,Bonu5,IF(BG57&gt;7,Bonu7,0))),"")</f>
        <v>0</v>
      </c>
      <c r="BL57" s="126"/>
      <c r="BM57" s="376" t="s">
        <v>110</v>
      </c>
      <c r="BN57" s="377"/>
      <c r="BO57" s="377"/>
      <c r="BP57" s="378"/>
      <c r="BQ57" s="366">
        <f ca="1">IF(C57=72,OFFSET('Dummy Table'!IV34,0,BL51),0)</f>
        <v>0</v>
      </c>
      <c r="BR57" s="366"/>
      <c r="BS57" s="366"/>
      <c r="BT57" s="68"/>
      <c r="BU57" s="78">
        <f ca="1">IF(BN45&lt;&gt;"",IF(BQ57=16,Bonu4,IF(BQ57&gt;11,Bonu5,IF(BQ57&gt;7,Bonu7,0))),"")</f>
        <v>0</v>
      </c>
      <c r="BV57" s="126"/>
      <c r="BW57" s="376" t="s">
        <v>110</v>
      </c>
      <c r="BX57" s="377"/>
      <c r="BY57" s="377"/>
      <c r="BZ57" s="378"/>
      <c r="CA57" s="366">
        <f ca="1">IF(C57=72,OFFSET('Dummy Table'!IV34,0,BV51),0)</f>
        <v>0</v>
      </c>
      <c r="CB57" s="366"/>
      <c r="CC57" s="366"/>
      <c r="CD57" s="68"/>
      <c r="CE57" s="78" t="str">
        <f>IF(BX45&lt;&gt;"",IF(CA57=16,Bonu4,IF(CA57&gt;11,Bonu5,IF(CA57&gt;7,Bonu7,0))),"")</f>
        <v/>
      </c>
      <c r="CF57" s="126"/>
      <c r="CG57" s="376" t="s">
        <v>110</v>
      </c>
      <c r="CH57" s="377"/>
      <c r="CI57" s="377"/>
      <c r="CJ57" s="378"/>
      <c r="CK57" s="366">
        <f ca="1">IF(C57=72,OFFSET('Dummy Table'!IV34,0,CF51),0)</f>
        <v>0</v>
      </c>
      <c r="CL57" s="366"/>
      <c r="CM57" s="366"/>
      <c r="CN57" s="68"/>
      <c r="CO57" s="78" t="str">
        <f>IF(CH45&lt;&gt;"",IF(CK57=16,Bonu4,IF(CK57&gt;11,Bonu5,IF(CK57&gt;7,Bonu7,0))),"")</f>
        <v/>
      </c>
      <c r="CP57" s="126"/>
      <c r="CQ57" s="376" t="s">
        <v>110</v>
      </c>
      <c r="CR57" s="377"/>
      <c r="CS57" s="377"/>
      <c r="CT57" s="378"/>
      <c r="CU57" s="366">
        <f ca="1">IF(C57=72,OFFSET('Dummy Table'!IV34,0,CP51),0)</f>
        <v>0</v>
      </c>
      <c r="CV57" s="366"/>
      <c r="CW57" s="366"/>
      <c r="CX57" s="68"/>
      <c r="CY57" s="78" t="str">
        <f>IF(CR45&lt;&gt;"",IF(CU57=16,Bonu4,IF(CU57&gt;11,Bonu5,IF(CU57&gt;7,Bonu7,0))),"")</f>
        <v/>
      </c>
      <c r="CZ57" s="126"/>
      <c r="DA57" s="376" t="s">
        <v>110</v>
      </c>
      <c r="DB57" s="377"/>
      <c r="DC57" s="377"/>
      <c r="DD57" s="378"/>
      <c r="DE57" s="366">
        <f ca="1">IF(C57=72,OFFSET('Dummy Table'!IV34,0,CZ51),0)</f>
        <v>0</v>
      </c>
      <c r="DF57" s="366"/>
      <c r="DG57" s="366"/>
      <c r="DH57" s="68"/>
      <c r="DI57" s="78" t="str">
        <f>IF(DB45&lt;&gt;"",IF(DE57=16,Bonu4,IF(DE57&gt;11,Bonu5,IF(DE57&gt;7,Bonu7,0))),"")</f>
        <v/>
      </c>
    </row>
    <row r="58" spans="1:113" s="43" customFormat="1" ht="15" customHeight="1" x14ac:dyDescent="0.25">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5">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Italy</v>
      </c>
      <c r="BD59" s="68"/>
      <c r="BE59" s="68"/>
      <c r="BI59" s="41"/>
      <c r="BJ59" s="68"/>
      <c r="BK59" s="69"/>
      <c r="BL59" s="126" t="str">
        <f t="shared" ca="1" si="204"/>
        <v>Spain</v>
      </c>
      <c r="BN59" s="68"/>
      <c r="BO59" s="68"/>
      <c r="BS59" s="41"/>
      <c r="BT59" s="68"/>
      <c r="BU59" s="69"/>
      <c r="BV59" s="126" t="str">
        <f t="shared" ca="1" si="205"/>
        <v>Spain</v>
      </c>
      <c r="BX59" s="68"/>
      <c r="BY59" s="68"/>
      <c r="CC59" s="41"/>
      <c r="CD59" s="68"/>
      <c r="CE59" s="69"/>
      <c r="CF59" s="126" t="str">
        <f t="shared" ca="1" si="206"/>
        <v>Spain</v>
      </c>
      <c r="CH59" s="68"/>
      <c r="CI59" s="68"/>
      <c r="CM59" s="41"/>
      <c r="CN59" s="68"/>
      <c r="CO59" s="69"/>
      <c r="CP59" s="126" t="str">
        <f t="shared" ca="1" si="207"/>
        <v>Spain</v>
      </c>
      <c r="CR59" s="68"/>
      <c r="CS59" s="68"/>
      <c r="CW59" s="41"/>
      <c r="CX59" s="68"/>
      <c r="CY59" s="69"/>
      <c r="CZ59" s="126" t="str">
        <f t="shared" ca="1" si="208"/>
        <v>Spain</v>
      </c>
      <c r="DB59" s="68"/>
      <c r="DC59" s="68"/>
      <c r="DG59" s="41"/>
      <c r="DH59" s="68"/>
      <c r="DI59" s="69"/>
    </row>
    <row r="60" spans="1:113" s="43" customFormat="1" ht="15" customHeight="1" x14ac:dyDescent="0.25">
      <c r="A60" s="41"/>
      <c r="B60" s="65"/>
      <c r="C60" s="55"/>
      <c r="D60" s="55"/>
      <c r="E60" s="66"/>
      <c r="F60" s="66"/>
      <c r="G60" s="66"/>
      <c r="H60" s="380" t="str">
        <f>H7</f>
        <v>Score</v>
      </c>
      <c r="I60" s="380"/>
      <c r="J60" s="66"/>
      <c r="K60" s="380" t="s">
        <v>111</v>
      </c>
      <c r="L60" s="380"/>
      <c r="M60" s="89"/>
      <c r="N60" s="126" t="str">
        <f t="shared" ca="1" si="209"/>
        <v>Denmark</v>
      </c>
      <c r="O60" s="129"/>
      <c r="P60" s="362" t="str">
        <f>H60</f>
        <v>Score</v>
      </c>
      <c r="Q60" s="362"/>
      <c r="R60" s="130" t="str">
        <f ca="1">IF(KOGameRule=0,Q56,J67)</f>
        <v>Türkiye</v>
      </c>
      <c r="S60" s="362" t="str">
        <f>K60</f>
        <v>PK</v>
      </c>
      <c r="T60" s="362"/>
      <c r="V60" s="90"/>
      <c r="W60" s="91"/>
      <c r="X60" s="126" t="str">
        <f t="shared" ca="1" si="210"/>
        <v>England</v>
      </c>
      <c r="Y60" s="129"/>
      <c r="Z60" s="362" t="str">
        <f>P60</f>
        <v>Score</v>
      </c>
      <c r="AA60" s="362"/>
      <c r="AB60" s="130"/>
      <c r="AC60" s="362" t="str">
        <f>S60</f>
        <v>PK</v>
      </c>
      <c r="AD60" s="362"/>
      <c r="AF60" s="90"/>
      <c r="AG60" s="91"/>
      <c r="AH60" s="126" t="str">
        <f t="shared" ca="1" si="201"/>
        <v>England</v>
      </c>
      <c r="AI60" s="129"/>
      <c r="AJ60" s="362" t="str">
        <f t="shared" ref="AJ60" si="211">Z60</f>
        <v>Score</v>
      </c>
      <c r="AK60" s="362"/>
      <c r="AL60" s="130"/>
      <c r="AM60" s="362" t="str">
        <f t="shared" ref="AM60" si="212">AC60</f>
        <v>PK</v>
      </c>
      <c r="AN60" s="362"/>
      <c r="AP60" s="90"/>
      <c r="AQ60" s="91"/>
      <c r="AR60" s="126" t="str">
        <f t="shared" ca="1" si="202"/>
        <v>England</v>
      </c>
      <c r="AS60" s="129"/>
      <c r="AT60" s="362" t="str">
        <f t="shared" ref="AT60" si="213">AJ60</f>
        <v>Score</v>
      </c>
      <c r="AU60" s="362"/>
      <c r="AV60" s="130"/>
      <c r="AW60" s="362" t="str">
        <f t="shared" ref="AW60" si="214">AM60</f>
        <v>PK</v>
      </c>
      <c r="AX60" s="362"/>
      <c r="AZ60" s="90"/>
      <c r="BA60" s="91"/>
      <c r="BB60" s="126" t="str">
        <f t="shared" ca="1" si="203"/>
        <v>Denmark</v>
      </c>
      <c r="BC60" s="129"/>
      <c r="BD60" s="362" t="str">
        <f t="shared" ref="BD60" si="215">AT60</f>
        <v>Score</v>
      </c>
      <c r="BE60" s="362"/>
      <c r="BF60" s="130"/>
      <c r="BG60" s="362" t="str">
        <f t="shared" ref="BG60" si="216">AW60</f>
        <v>PK</v>
      </c>
      <c r="BH60" s="362"/>
      <c r="BJ60" s="90"/>
      <c r="BK60" s="91"/>
      <c r="BL60" s="126" t="str">
        <f t="shared" ca="1" si="204"/>
        <v>England</v>
      </c>
      <c r="BM60" s="129"/>
      <c r="BN60" s="362" t="str">
        <f t="shared" ref="BN60" si="217">BD60</f>
        <v>Score</v>
      </c>
      <c r="BO60" s="362"/>
      <c r="BP60" s="130"/>
      <c r="BQ60" s="362" t="str">
        <f t="shared" ref="BQ60" si="218">BG60</f>
        <v>PK</v>
      </c>
      <c r="BR60" s="362"/>
      <c r="BT60" s="90"/>
      <c r="BU60" s="91"/>
      <c r="BV60" s="126" t="str">
        <f t="shared" ca="1" si="205"/>
        <v>England</v>
      </c>
      <c r="BW60" s="129"/>
      <c r="BX60" s="362" t="str">
        <f t="shared" ref="BX60" si="219">BN60</f>
        <v>Score</v>
      </c>
      <c r="BY60" s="362"/>
      <c r="BZ60" s="130"/>
      <c r="CA60" s="362" t="str">
        <f t="shared" ref="CA60" si="220">BQ60</f>
        <v>PK</v>
      </c>
      <c r="CB60" s="362"/>
      <c r="CD60" s="90"/>
      <c r="CE60" s="91"/>
      <c r="CF60" s="126" t="str">
        <f t="shared" ca="1" si="206"/>
        <v>England</v>
      </c>
      <c r="CG60" s="129"/>
      <c r="CH60" s="362" t="str">
        <f t="shared" ref="CH60" si="221">BX60</f>
        <v>Score</v>
      </c>
      <c r="CI60" s="362"/>
      <c r="CJ60" s="130"/>
      <c r="CK60" s="362" t="str">
        <f t="shared" ref="CK60" si="222">CA60</f>
        <v>PK</v>
      </c>
      <c r="CL60" s="362"/>
      <c r="CN60" s="90"/>
      <c r="CO60" s="91"/>
      <c r="CP60" s="126" t="str">
        <f t="shared" ca="1" si="207"/>
        <v>England</v>
      </c>
      <c r="CQ60" s="129"/>
      <c r="CR60" s="362" t="str">
        <f t="shared" ref="CR60" si="223">CH60</f>
        <v>Score</v>
      </c>
      <c r="CS60" s="362"/>
      <c r="CT60" s="130"/>
      <c r="CU60" s="362" t="str">
        <f t="shared" ref="CU60" si="224">CK60</f>
        <v>PK</v>
      </c>
      <c r="CV60" s="362"/>
      <c r="CX60" s="90"/>
      <c r="CY60" s="91"/>
      <c r="CZ60" s="126" t="str">
        <f t="shared" ca="1" si="208"/>
        <v>England</v>
      </c>
      <c r="DA60" s="129"/>
      <c r="DB60" s="362" t="str">
        <f t="shared" ref="DB60" si="225">CR60</f>
        <v>Score</v>
      </c>
      <c r="DC60" s="362"/>
      <c r="DD60" s="130"/>
      <c r="DE60" s="362" t="str">
        <f t="shared" ref="DE60" si="226">CU60</f>
        <v>PK</v>
      </c>
      <c r="DF60" s="362"/>
      <c r="DH60" s="90"/>
      <c r="DI60" s="91"/>
    </row>
    <row r="61" spans="1:113" s="43" customFormat="1" ht="15" customHeight="1" x14ac:dyDescent="0.25">
      <c r="A61" s="41"/>
      <c r="B61" s="65"/>
      <c r="C61" s="92">
        <v>37</v>
      </c>
      <c r="D61" s="95" t="s">
        <v>112</v>
      </c>
      <c r="E61" s="149">
        <f>F61</f>
        <v>45472.875</v>
      </c>
      <c r="F61" s="150">
        <v>45472.875</v>
      </c>
      <c r="G61" s="93" t="str">
        <f>Matches!G44</f>
        <v>Group A Winner</v>
      </c>
      <c r="H61" s="75"/>
      <c r="I61" s="75"/>
      <c r="J61" s="94" t="str">
        <f>Matches!J44</f>
        <v>Group C Runner Up</v>
      </c>
      <c r="K61" s="95"/>
      <c r="L61" s="95"/>
      <c r="M61" s="89"/>
      <c r="N61" s="126" t="str">
        <f t="shared" ca="1" si="209"/>
        <v>France</v>
      </c>
      <c r="O61" s="74" t="str">
        <f ca="1">IF(KOGameRule=0,O51,G61)</f>
        <v>Germany</v>
      </c>
      <c r="P61" s="75">
        <v>3</v>
      </c>
      <c r="Q61" s="75">
        <v>3</v>
      </c>
      <c r="R61" s="76" t="str">
        <f ca="1">IF(KOGameRule=0,Q53,J61)</f>
        <v>England</v>
      </c>
      <c r="S61" s="79">
        <v>5</v>
      </c>
      <c r="T61" s="79">
        <v>4</v>
      </c>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France</v>
      </c>
      <c r="Y61" s="74" t="str">
        <f ca="1">IF(KOGameRule=0,Y51,G61)</f>
        <v>Germany</v>
      </c>
      <c r="Z61" s="331">
        <v>3</v>
      </c>
      <c r="AA61" s="332">
        <v>0</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0</v>
      </c>
      <c r="AH61" s="126" t="str">
        <f t="shared" ca="1" si="201"/>
        <v>France</v>
      </c>
      <c r="AI61" s="74" t="str">
        <f ca="1">IF(KOGameRule=0,AI51,G61)</f>
        <v>Germany</v>
      </c>
      <c r="AJ61" s="75"/>
      <c r="AK61" s="75"/>
      <c r="AL61" s="76" t="str">
        <f ca="1">IF(KOGameRule=0,AK53,J61)</f>
        <v>Serbia</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c r="AU61" s="75"/>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0</v>
      </c>
      <c r="BB61" s="126" t="str">
        <f t="shared" ca="1" si="203"/>
        <v>France</v>
      </c>
      <c r="BC61" s="74" t="str">
        <f ca="1">IF(KOGameRule=0,BC51,G61)</f>
        <v>Germany</v>
      </c>
      <c r="BD61" s="75"/>
      <c r="BE61" s="75"/>
      <c r="BF61" s="76" t="str">
        <f ca="1">IF(KOGameRule=0,BE53,J61)</f>
        <v>England</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Netherlands</v>
      </c>
      <c r="BM61" s="74" t="str">
        <f ca="1">IF(KOGameRule=0,BM51,G61)</f>
        <v>Germany</v>
      </c>
      <c r="BN61" s="75"/>
      <c r="BO61" s="75"/>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0</v>
      </c>
      <c r="BV61" s="126" t="str">
        <f t="shared" ca="1" si="205"/>
        <v>France</v>
      </c>
      <c r="BW61" s="74" t="str">
        <f ca="1">IF(KOGameRule=0,BW51,G61)</f>
        <v>Germany</v>
      </c>
      <c r="BX61" s="75"/>
      <c r="BY61" s="75"/>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0</v>
      </c>
      <c r="CF61" s="126" t="str">
        <f t="shared" ca="1" si="206"/>
        <v>France</v>
      </c>
      <c r="CG61" s="74" t="str">
        <f ca="1">IF(KOGameRule=0,CG51,G61)</f>
        <v>Germany</v>
      </c>
      <c r="CH61" s="75"/>
      <c r="CI61" s="75"/>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Denmark</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5">
      <c r="A62" s="41"/>
      <c r="B62" s="65"/>
      <c r="C62" s="55">
        <v>38</v>
      </c>
      <c r="D62" s="20" t="s">
        <v>112</v>
      </c>
      <c r="E62" s="151">
        <f t="shared" ref="E62:E75" si="247">F62</f>
        <v>45472.75</v>
      </c>
      <c r="F62" s="152">
        <v>45472.75</v>
      </c>
      <c r="G62" s="72" t="str">
        <f>Matches!G45</f>
        <v>Group A Runner Up</v>
      </c>
      <c r="H62" s="75"/>
      <c r="I62" s="75"/>
      <c r="J62" s="73" t="str">
        <f>Matches!J45</f>
        <v>Group B Runner Up</v>
      </c>
      <c r="K62" s="20"/>
      <c r="L62" s="20"/>
      <c r="M62" s="89"/>
      <c r="N62" s="126" t="str">
        <f t="shared" ca="1" si="209"/>
        <v>Belgium</v>
      </c>
      <c r="O62" s="74" t="str">
        <f ca="1">IF(KOGameRule=0,Q51,G62)</f>
        <v>Switzerland</v>
      </c>
      <c r="P62" s="75">
        <v>0</v>
      </c>
      <c r="Q62" s="75">
        <v>1</v>
      </c>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0</v>
      </c>
      <c r="X62" s="126" t="str">
        <f t="shared" ca="1" si="210"/>
        <v>Belgium</v>
      </c>
      <c r="Y62" s="74" t="str">
        <f ca="1">IF(KOGameRule=0,AA51,G62)</f>
        <v>Scotland</v>
      </c>
      <c r="Z62" s="333">
        <v>0</v>
      </c>
      <c r="AA62" s="334">
        <v>0</v>
      </c>
      <c r="AB62" s="76" t="str">
        <f ca="1">IF(KOGameRule=0,AA52,J62)</f>
        <v>Italy</v>
      </c>
      <c r="AC62" s="337">
        <v>7</v>
      </c>
      <c r="AD62" s="338">
        <v>8</v>
      </c>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Romania</v>
      </c>
      <c r="AI62" s="74" t="str">
        <f ca="1">IF(KOGameRule=0,AK51,G62)</f>
        <v>Hungary</v>
      </c>
      <c r="AJ62" s="75"/>
      <c r="AK62" s="75"/>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c r="AU62" s="75"/>
      <c r="AV62" s="76" t="str">
        <f ca="1">IF(KOGameRule=0,AU52,J62)</f>
        <v>Italy</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Scotland</v>
      </c>
      <c r="BD62" s="75"/>
      <c r="BE62" s="75"/>
      <c r="BF62" s="76" t="str">
        <f ca="1">IF(KOGameRule=0,BE52,J62)</f>
        <v>Croatia</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75"/>
      <c r="BO62" s="75"/>
      <c r="BP62" s="76" t="str">
        <f ca="1">IF(KOGameRule=0,BO52,J62)</f>
        <v>Italy</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Hungary</v>
      </c>
      <c r="BX62" s="75"/>
      <c r="BY62" s="75"/>
      <c r="BZ62" s="76" t="str">
        <f ca="1">IF(KOGameRule=0,BY52,J62)</f>
        <v>Albania</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Hungary</v>
      </c>
      <c r="CH62" s="75"/>
      <c r="CI62" s="75"/>
      <c r="CJ62" s="76" t="str">
        <f ca="1">IF(KOGameRule=0,CI52,J62)</f>
        <v>Albania</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Belgium</v>
      </c>
      <c r="CQ62" s="74" t="str">
        <f ca="1">IF(KOGameRule=0,CS51,G62)</f>
        <v>Hungary</v>
      </c>
      <c r="CR62" s="75"/>
      <c r="CS62" s="75"/>
      <c r="CT62" s="76" t="str">
        <f ca="1">IF(KOGameRule=0,CS52,J62)</f>
        <v>Albania</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Hungary</v>
      </c>
      <c r="DB62" s="75"/>
      <c r="DC62" s="75"/>
      <c r="DD62" s="76" t="str">
        <f ca="1">IF(KOGameRule=0,DC52,J62)</f>
        <v>Albania</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5">
      <c r="A63" s="41"/>
      <c r="B63" s="65"/>
      <c r="C63" s="55">
        <v>39</v>
      </c>
      <c r="D63" s="20" t="s">
        <v>112</v>
      </c>
      <c r="E63" s="151">
        <f t="shared" si="247"/>
        <v>45473.875</v>
      </c>
      <c r="F63" s="152">
        <v>45473.875</v>
      </c>
      <c r="G63" s="72" t="str">
        <f>Matches!G46</f>
        <v>Group B Winner</v>
      </c>
      <c r="H63" s="75"/>
      <c r="I63" s="75"/>
      <c r="J63" s="73" t="str">
        <f>Matches!J46</f>
        <v>Group A/D/E/F 3rd Place</v>
      </c>
      <c r="K63" s="20"/>
      <c r="L63" s="20"/>
      <c r="M63" s="89"/>
      <c r="N63" s="126" t="str">
        <f t="shared" ca="1" si="209"/>
        <v>Portugal</v>
      </c>
      <c r="O63" s="74" t="str">
        <f ca="1">IF(KOGameRule=0,O52,G63)</f>
        <v>Spain</v>
      </c>
      <c r="P63" s="75">
        <v>2</v>
      </c>
      <c r="Q63" s="75">
        <v>0</v>
      </c>
      <c r="R63" s="76" t="str">
        <f ca="1">IF(KOGameRule=0,OFFSET('Dummy Table'!IU18,0,N51),J63)</f>
        <v>Austria</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Czechia</v>
      </c>
      <c r="Y63" s="74" t="str">
        <f ca="1">IF(KOGameRule=0,Y52,G63)</f>
        <v>Spain</v>
      </c>
      <c r="Z63" s="333">
        <v>3</v>
      </c>
      <c r="AA63" s="334">
        <v>1</v>
      </c>
      <c r="AB63" s="76" t="str">
        <f ca="1">IF(KOGameRule=0,OFFSET('Dummy Table'!IU18,0,X51),J63)</f>
        <v>Romania</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Türkiye</v>
      </c>
      <c r="AI63" s="74" t="str">
        <f ca="1">IF(KOGameRule=0,AI52,G63)</f>
        <v>Spain</v>
      </c>
      <c r="AJ63" s="75"/>
      <c r="AK63" s="75"/>
      <c r="AL63" s="76" t="str">
        <f ca="1">IF(KOGameRule=0,OFFSET('Dummy Table'!IU18,0,AH51),J63)</f>
        <v>Czechia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c r="AU63" s="75"/>
      <c r="AV63" s="76" t="str">
        <f ca="1">IF(KOGameRule=0,OFFSET('Dummy Table'!IU18,0,AR51),J63)</f>
        <v>Ukraine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Portugal</v>
      </c>
      <c r="BC63" s="74" t="str">
        <f ca="1">IF(KOGameRule=0,BC52,G63)</f>
        <v>Italy</v>
      </c>
      <c r="BD63" s="75"/>
      <c r="BE63" s="75"/>
      <c r="BF63" s="76" t="str">
        <f ca="1">IF(KOGameRule=0,OFFSET('Dummy Table'!IU18,0,BB51),J63)</f>
        <v>Switzerland</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Portugal</v>
      </c>
      <c r="BM63" s="74" t="str">
        <f ca="1">IF(KOGameRule=0,BM52,G63)</f>
        <v>Spain</v>
      </c>
      <c r="BN63" s="75"/>
      <c r="BO63" s="75"/>
      <c r="BP63" s="76" t="str">
        <f ca="1">IF(KOGameRule=0,OFFSET('Dummy Table'!IU18,0,BL51),J63)</f>
        <v>Scotland</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Spain</v>
      </c>
      <c r="BX63" s="75"/>
      <c r="BY63" s="75"/>
      <c r="BZ63" s="76" t="str">
        <f ca="1">IF(KOGameRule=0,OFFSET('Dummy Table'!IU18,0,BV51),J63)</f>
        <v>Scotland</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c r="CI63" s="75"/>
      <c r="CJ63" s="76" t="str">
        <f ca="1">IF(KOGameRule=0,OFFSET('Dummy Table'!IU18,0,CF51),J63)</f>
        <v>Scotland</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Portugal</v>
      </c>
      <c r="CQ63" s="74" t="str">
        <f ca="1">IF(KOGameRule=0,CQ52,G63)</f>
        <v>Spain</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Spain</v>
      </c>
      <c r="DB63" s="75"/>
      <c r="DC63" s="75"/>
      <c r="DD63" s="76" t="str">
        <f ca="1">IF(KOGameRule=0,OFFSET('Dummy Table'!IU18,0,CZ51),J63)</f>
        <v>Scotland</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5">
      <c r="A64" s="41"/>
      <c r="B64" s="65"/>
      <c r="C64" s="55">
        <v>40</v>
      </c>
      <c r="D64" s="20" t="s">
        <v>112</v>
      </c>
      <c r="E64" s="151">
        <f t="shared" si="247"/>
        <v>45473.75</v>
      </c>
      <c r="F64" s="152">
        <v>45473.75</v>
      </c>
      <c r="G64" s="72" t="str">
        <f>Matches!G47</f>
        <v>Group C Winner</v>
      </c>
      <c r="H64" s="75"/>
      <c r="I64" s="75"/>
      <c r="J64" s="73" t="str">
        <f>Matches!J47</f>
        <v>Group D/E/F 3rd Place</v>
      </c>
      <c r="K64" s="20"/>
      <c r="L64" s="20"/>
      <c r="M64" s="89"/>
      <c r="N64" s="126" t="str">
        <f t="shared" ref="N64:N69" ca="1" si="248">Q51</f>
        <v>Switzerland</v>
      </c>
      <c r="O64" s="74" t="str">
        <f ca="1">IF(KOGameRule=0,O53,G64)</f>
        <v>Denmark</v>
      </c>
      <c r="P64" s="75">
        <v>2</v>
      </c>
      <c r="Q64" s="75">
        <v>1</v>
      </c>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333">
        <v>1</v>
      </c>
      <c r="AA64" s="334">
        <v>0</v>
      </c>
      <c r="AB64" s="76" t="str">
        <f ca="1">IF(KOGameRule=0,OFFSET('Dummy Table'!IU19,0,X51),J64)</f>
        <v>Türkiye</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Hungary</v>
      </c>
      <c r="AI64" s="74" t="str">
        <f ca="1">IF(KOGameRule=0,AI53,G64)</f>
        <v>England</v>
      </c>
      <c r="AJ64" s="75"/>
      <c r="AK64" s="75"/>
      <c r="AL64" s="76" t="str">
        <f ca="1">IF(KOGameRule=0,OFFSET('Dummy Table'!IU19,0,AH51),J64)</f>
        <v>Belgium</v>
      </c>
      <c r="AM64" s="79"/>
      <c r="AN64" s="79"/>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c r="AU64" s="75"/>
      <c r="AV64" s="76" t="str">
        <f ca="1">IF(KOGameRule=0,OFFSET('Dummy Table'!IU19,0,AR51),J64)</f>
        <v>Czechia</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Scotland</v>
      </c>
      <c r="BC64" s="74" t="str">
        <f ca="1">IF(KOGameRule=0,BC53,G64)</f>
        <v>Denmark</v>
      </c>
      <c r="BD64" s="75"/>
      <c r="BE64" s="75"/>
      <c r="BF64" s="76" t="str">
        <f ca="1">IF(KOGameRule=0,OFFSET('Dummy Table'!IU19,0,BB51),J64)</f>
        <v>Austria</v>
      </c>
      <c r="BG64" s="79"/>
      <c r="BH64" s="79"/>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Switzerland</v>
      </c>
      <c r="BM64" s="74" t="str">
        <f ca="1">IF(KOGameRule=0,BM53,G64)</f>
        <v>England</v>
      </c>
      <c r="BN64" s="75"/>
      <c r="BO64" s="75"/>
      <c r="BP64" s="76" t="str">
        <f ca="1">IF(KOGameRule=0,OFFSET('Dummy Table'!IU19,0,BL51),J64)</f>
        <v>Türkiye</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Hungary</v>
      </c>
      <c r="BW64" s="74" t="str">
        <f ca="1">IF(KOGameRule=0,BW53,G64)</f>
        <v>England</v>
      </c>
      <c r="BX64" s="75"/>
      <c r="BY64" s="75"/>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Hungary</v>
      </c>
      <c r="CG64" s="74" t="str">
        <f ca="1">IF(KOGameRule=0,CG53,G64)</f>
        <v>England</v>
      </c>
      <c r="CH64" s="75"/>
      <c r="CI64" s="75"/>
      <c r="CJ64" s="76" t="str">
        <f ca="1">IF(KOGameRule=0,OFFSET('Dummy Table'!IU19,0,CF51),J64)</f>
        <v>Austria</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Hungary</v>
      </c>
      <c r="CQ64" s="74" t="str">
        <f ca="1">IF(KOGameRule=0,CQ53,G64)</f>
        <v>England</v>
      </c>
      <c r="CR64" s="75"/>
      <c r="CS64" s="75"/>
      <c r="CT64" s="76" t="str">
        <f ca="1">IF(KOGameRule=0,OFFSET('Dummy Table'!IU19,0,CP51),J64)</f>
        <v>Austria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Hungary</v>
      </c>
      <c r="DA64" s="74" t="str">
        <f ca="1">IF(KOGameRule=0,DA53,G64)</f>
        <v>England</v>
      </c>
      <c r="DB64" s="75"/>
      <c r="DC64" s="75"/>
      <c r="DD64" s="76" t="str">
        <f ca="1">IF(KOGameRule=0,OFFSET('Dummy Table'!IU19,0,CZ51),J64)</f>
        <v>Austria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5">
      <c r="A65" s="41"/>
      <c r="B65" s="65"/>
      <c r="C65" s="55">
        <v>41</v>
      </c>
      <c r="D65" s="20" t="s">
        <v>112</v>
      </c>
      <c r="E65" s="151">
        <f t="shared" si="247"/>
        <v>45474.875</v>
      </c>
      <c r="F65" s="152">
        <v>45474.875</v>
      </c>
      <c r="G65" s="72" t="str">
        <f>Matches!G48</f>
        <v>Group F Winner</v>
      </c>
      <c r="H65" s="75"/>
      <c r="I65" s="75"/>
      <c r="J65" s="73" t="str">
        <f>Matches!J48</f>
        <v>Group A/B/C 3rd Place</v>
      </c>
      <c r="K65" s="20"/>
      <c r="L65" s="20"/>
      <c r="M65" s="89"/>
      <c r="N65" s="126" t="str">
        <f t="shared" ca="1" si="248"/>
        <v>Italy</v>
      </c>
      <c r="O65" s="74" t="str">
        <f ca="1">IF(KOGameRule=0,O56,G65)</f>
        <v>Portugal</v>
      </c>
      <c r="P65" s="75">
        <v>0</v>
      </c>
      <c r="Q65" s="75">
        <v>1</v>
      </c>
      <c r="R65" s="76" t="str">
        <f ca="1">IF(KOGameRule=0,OFFSET('Dummy Table'!IU21,0,N51),J65)</f>
        <v>Croatia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Italy</v>
      </c>
      <c r="Y65" s="74" t="str">
        <f ca="1">IF(KOGameRule=0,Y56,G65)</f>
        <v>Czechia</v>
      </c>
      <c r="Z65" s="333">
        <v>0</v>
      </c>
      <c r="AA65" s="334">
        <v>0</v>
      </c>
      <c r="AB65" s="76" t="str">
        <f ca="1">IF(KOGameRule=0,OFFSET('Dummy Table'!IU21,0,X51),J65)</f>
        <v>Hungary</v>
      </c>
      <c r="AC65" s="337">
        <v>3</v>
      </c>
      <c r="AD65" s="338">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Türkiye</v>
      </c>
      <c r="AJ65" s="75"/>
      <c r="AK65" s="75"/>
      <c r="AL65" s="76" t="str">
        <f ca="1">IF(KOGameRule=0,OFFSET('Dummy Table'!IU21,0,AH51),J65)</f>
        <v>Croatia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Italy</v>
      </c>
      <c r="AS65" s="74" t="str">
        <f ca="1">IF(KOGameRule=0,AS56,G65)</f>
        <v>Portugal</v>
      </c>
      <c r="AT65" s="75"/>
      <c r="AU65" s="75"/>
      <c r="AV65" s="76" t="str">
        <f ca="1">IF(KOGameRule=0,OFFSET('Dummy Table'!IU21,0,AR51),J65)</f>
        <v>Scotland</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Croatia</v>
      </c>
      <c r="BC65" s="74" t="str">
        <f ca="1">IF(KOGameRule=0,BC56,G65)</f>
        <v>Portugal</v>
      </c>
      <c r="BD65" s="75"/>
      <c r="BE65" s="75"/>
      <c r="BF65" s="76" t="str">
        <f ca="1">IF(KOGameRule=0,OFFSET('Dummy Table'!IU21,0,BB51),J65)</f>
        <v>Serbia</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Italy</v>
      </c>
      <c r="BM65" s="74" t="str">
        <f ca="1">IF(KOGameRule=0,BM56,G65)</f>
        <v>Portugal</v>
      </c>
      <c r="BN65" s="75"/>
      <c r="BO65" s="75"/>
      <c r="BP65" s="76" t="str">
        <f ca="1">IF(KOGameRule=0,OFFSET('Dummy Table'!IU21,0,BL51),J65)</f>
        <v>Serbia</v>
      </c>
      <c r="BQ65" s="79"/>
      <c r="BR65" s="79"/>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Albania</v>
      </c>
      <c r="BW65" s="74" t="str">
        <f ca="1">IF(KOGameRule=0,BW56,G65)</f>
        <v>Portugal</v>
      </c>
      <c r="BX65" s="75"/>
      <c r="BY65" s="75"/>
      <c r="BZ65" s="76" t="str">
        <f ca="1">IF(KOGameRule=0,OFFSET('Dummy Table'!IU21,0,BV51),J65)</f>
        <v>Slovenia</v>
      </c>
      <c r="CA65" s="79"/>
      <c r="CB65" s="79"/>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Albania</v>
      </c>
      <c r="CG65" s="74" t="str">
        <f ca="1">IF(KOGameRule=0,CG56,G65)</f>
        <v>Portugal</v>
      </c>
      <c r="CH65" s="75"/>
      <c r="CI65" s="75"/>
      <c r="CJ65" s="76" t="str">
        <f ca="1">IF(KOGameRule=0,OFFSET('Dummy Table'!IU21,0,CF51),J65)</f>
        <v>Slovenia</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Albania</v>
      </c>
      <c r="CQ65" s="74" t="str">
        <f ca="1">IF(KOGameRule=0,CQ56,G65)</f>
        <v>Portugal</v>
      </c>
      <c r="CR65" s="75"/>
      <c r="CS65" s="75"/>
      <c r="CT65" s="76" t="str">
        <f ca="1">IF(KOGameRule=0,OFFSET('Dummy Table'!IU21,0,CP51),J65)</f>
        <v>Slovenia</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Albania</v>
      </c>
      <c r="DA65" s="74" t="str">
        <f ca="1">IF(KOGameRule=0,DA56,G65)</f>
        <v>Portugal</v>
      </c>
      <c r="DB65" s="75"/>
      <c r="DC65" s="75"/>
      <c r="DD65" s="76" t="str">
        <f ca="1">IF(KOGameRule=0,OFFSET('Dummy Table'!IU21,0,CZ51),J65)</f>
        <v>Slovenia</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5">
      <c r="A66" s="41"/>
      <c r="B66" s="65"/>
      <c r="C66" s="55">
        <v>42</v>
      </c>
      <c r="D66" s="20" t="s">
        <v>112</v>
      </c>
      <c r="E66" s="151">
        <f t="shared" si="247"/>
        <v>45474.75</v>
      </c>
      <c r="F66" s="152">
        <v>45474.75</v>
      </c>
      <c r="G66" s="72" t="str">
        <f>Matches!G49</f>
        <v>Group D Runner Up</v>
      </c>
      <c r="H66" s="75"/>
      <c r="I66" s="75"/>
      <c r="J66" s="73" t="str">
        <f>Matches!J49</f>
        <v>Group E Runner Up</v>
      </c>
      <c r="K66" s="20"/>
      <c r="L66" s="20"/>
      <c r="M66" s="89"/>
      <c r="N66" s="126" t="str">
        <f t="shared" ca="1" si="248"/>
        <v>England</v>
      </c>
      <c r="O66" s="74" t="str">
        <f ca="1">IF(KOGameRule=0,Q54,G66)</f>
        <v>Netherlands</v>
      </c>
      <c r="P66" s="75">
        <v>4</v>
      </c>
      <c r="Q66" s="75">
        <v>1</v>
      </c>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Poland</v>
      </c>
      <c r="Z66" s="333">
        <v>2</v>
      </c>
      <c r="AA66" s="334">
        <v>1</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Serbia</v>
      </c>
      <c r="AI66" s="74" t="str">
        <f ca="1">IF(KOGameRule=0,AK54,G66)</f>
        <v>Netherlands</v>
      </c>
      <c r="AJ66" s="75"/>
      <c r="AK66" s="75"/>
      <c r="AL66" s="76" t="str">
        <f ca="1">IF(KOGameRule=0,AK55,J66)</f>
        <v>Ukraine</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c r="AU66" s="75"/>
      <c r="AV66" s="76" t="str">
        <f ca="1">IF(KOGameRule=0,AU55,J66)</f>
        <v>Romania</v>
      </c>
      <c r="AW66" s="79"/>
      <c r="AX66" s="79"/>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England</v>
      </c>
      <c r="BC66" s="74" t="str">
        <f ca="1">IF(KOGameRule=0,BE54,G66)</f>
        <v>Netherlands</v>
      </c>
      <c r="BD66" s="75"/>
      <c r="BE66" s="75"/>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75"/>
      <c r="BO66" s="75"/>
      <c r="BP66" s="76" t="str">
        <f ca="1">IF(KOGameRule=0,BO55,J66)</f>
        <v>Ukraine</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75"/>
      <c r="BY66" s="75"/>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c r="CI66" s="75"/>
      <c r="CJ66" s="76" t="str">
        <f ca="1">IF(KOGameRule=0,CI55,J66)</f>
        <v>Romania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Denmark</v>
      </c>
      <c r="CQ66" s="74" t="str">
        <f ca="1">IF(KOGameRule=0,CS54,G66)</f>
        <v>Netherlands</v>
      </c>
      <c r="CR66" s="75"/>
      <c r="CS66" s="75"/>
      <c r="CT66" s="76" t="str">
        <f ca="1">IF(KOGameRule=0,CS55,J66)</f>
        <v>Romania</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Romania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5">
      <c r="A67" s="41"/>
      <c r="B67" s="65"/>
      <c r="C67" s="55">
        <v>43</v>
      </c>
      <c r="D67" s="20" t="s">
        <v>112</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v>1</v>
      </c>
      <c r="Q67" s="75">
        <v>1</v>
      </c>
      <c r="R67" s="76" t="str">
        <f ca="1">IF(KOGameRule=0,OFFSET('Dummy Table'!IU20,0,N51),J67)</f>
        <v>Scotland</v>
      </c>
      <c r="S67" s="79">
        <v>3</v>
      </c>
      <c r="T67" s="79">
        <v>4</v>
      </c>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Poland</v>
      </c>
      <c r="Y67" s="74" t="str">
        <f ca="1">IF(KOGameRule=0,Y55,G67)</f>
        <v>Belgium</v>
      </c>
      <c r="Z67" s="333">
        <v>2</v>
      </c>
      <c r="AA67" s="334">
        <v>2</v>
      </c>
      <c r="AB67" s="76" t="str">
        <f ca="1">IF(KOGameRule=0,OFFSET('Dummy Table'!IU20,0,X51),J67)</f>
        <v>Croatia</v>
      </c>
      <c r="AC67" s="337">
        <v>5</v>
      </c>
      <c r="AD67" s="338">
        <v>4</v>
      </c>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Romania</v>
      </c>
      <c r="AJ67" s="75"/>
      <c r="AK67" s="75"/>
      <c r="AL67" s="76" t="str">
        <f ca="1">IF(KOGameRule=0,OFFSET('Dummy Table'!IU20,0,AH51),J67)</f>
        <v>Denmark</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c r="AU67" s="75"/>
      <c r="AV67" s="76" t="str">
        <f ca="1">IF(KOGameRule=0,OFFSET('Dummy Table'!IU20,0,AR51),J67)</f>
        <v>Croatia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c r="BE67" s="75"/>
      <c r="BF67" s="76" t="str">
        <f ca="1">IF(KOGameRule=0,OFFSET('Dummy Table'!IU20,0,BB51),J67)</f>
        <v>Spain</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75"/>
      <c r="BO67" s="75"/>
      <c r="BP67" s="76" t="str">
        <f ca="1">IF(KOGameRule=0,OFFSET('Dummy Table'!IU20,0,BL51),J67)</f>
        <v>Croatia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75"/>
      <c r="BY67" s="75"/>
      <c r="BZ67" s="76" t="str">
        <f ca="1">IF(KOGameRule=0,OFFSET('Dummy Table'!IU20,0,BV51),J67)</f>
        <v>Croatia</v>
      </c>
      <c r="CA67" s="79"/>
      <c r="CB67" s="79"/>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c r="CI67" s="75"/>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Belgium</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x14ac:dyDescent="0.25">
      <c r="A68" s="41"/>
      <c r="B68" s="65"/>
      <c r="C68" s="96">
        <v>44</v>
      </c>
      <c r="D68" s="99" t="s">
        <v>112</v>
      </c>
      <c r="E68" s="153">
        <f t="shared" si="247"/>
        <v>45475.875</v>
      </c>
      <c r="F68" s="154">
        <v>45475.875</v>
      </c>
      <c r="G68" s="97" t="str">
        <f>Matches!G51</f>
        <v>Group D Winner</v>
      </c>
      <c r="H68" s="75"/>
      <c r="I68" s="75"/>
      <c r="J68" s="98" t="str">
        <f>Matches!J51</f>
        <v>Group F Runner Up</v>
      </c>
      <c r="K68" s="20"/>
      <c r="L68" s="20"/>
      <c r="M68" s="89"/>
      <c r="N68" s="126" t="str">
        <f t="shared" ca="1" si="248"/>
        <v>Slovakia</v>
      </c>
      <c r="O68" s="113" t="str">
        <f ca="1">IF(KOGameRule=0,O54,G68)</f>
        <v>France</v>
      </c>
      <c r="P68" s="75">
        <v>4</v>
      </c>
      <c r="Q68" s="75">
        <v>2</v>
      </c>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France</v>
      </c>
      <c r="Z68" s="335">
        <v>1</v>
      </c>
      <c r="AA68" s="336">
        <v>1</v>
      </c>
      <c r="AB68" s="114" t="str">
        <f ca="1">IF(KOGameRule=0,AA56,J68)</f>
        <v>Portugal</v>
      </c>
      <c r="AC68" s="337">
        <v>6</v>
      </c>
      <c r="AD68" s="338">
        <v>5</v>
      </c>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75"/>
      <c r="AK68" s="75"/>
      <c r="AL68" s="114" t="str">
        <f ca="1">IF(KOGameRule=0,AK56,J68)</f>
        <v>Portugal</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Romania</v>
      </c>
      <c r="AS68" s="113" t="str">
        <f ca="1">IF(KOGameRule=0,AS54,G68)</f>
        <v>France</v>
      </c>
      <c r="AT68" s="75"/>
      <c r="AU68" s="75"/>
      <c r="AV68" s="114" t="str">
        <f ca="1">IF(KOGameRule=0,AU56,J68)</f>
        <v>Türkiye</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c r="BE68" s="75"/>
      <c r="BF68" s="114" t="str">
        <f ca="1">IF(KOGameRule=0,BE56,J68)</f>
        <v>Türkiye</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Ukraine</v>
      </c>
      <c r="BM68" s="113" t="str">
        <f ca="1">IF(KOGameRule=0,BM54,G68)</f>
        <v>Netherlands</v>
      </c>
      <c r="BN68" s="75"/>
      <c r="BO68" s="75"/>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75"/>
      <c r="BY68" s="75"/>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Romania</v>
      </c>
      <c r="CG68" s="113" t="str">
        <f ca="1">IF(KOGameRule=0,CG54,G68)</f>
        <v>France</v>
      </c>
      <c r="CH68" s="75"/>
      <c r="CI68" s="75"/>
      <c r="CJ68" s="114" t="str">
        <f ca="1">IF(KOGameRule=0,CI56,J68)</f>
        <v>Türkiye</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Romania</v>
      </c>
      <c r="CQ68" s="113" t="str">
        <f ca="1">IF(KOGameRule=0,CQ54,G68)</f>
        <v>France</v>
      </c>
      <c r="CR68" s="75"/>
      <c r="CS68" s="75"/>
      <c r="CT68" s="114" t="str">
        <f ca="1">IF(KOGameRule=0,CS56,J68)</f>
        <v>Türkiye</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Romania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5">
      <c r="A69" s="41">
        <v>66</v>
      </c>
      <c r="B69" s="65"/>
      <c r="C69" s="92">
        <v>45</v>
      </c>
      <c r="D69" s="95" t="s">
        <v>113</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 ca="1">IF(KOGameRule=1,G69,IF(AND(P63&lt;&gt;"",Q63&lt;&gt;""),IF((P63+S63)&gt;(Q63+T63),O63,IF((P63+S63)&lt;(Q63+T63),R63,Matches!G52)),Matches!G52))</f>
        <v>Spain</v>
      </c>
      <c r="P69" s="75">
        <v>2</v>
      </c>
      <c r="Q69" s="75">
        <v>3</v>
      </c>
      <c r="R69" s="76" t="str">
        <f ca="1">IF(KOGameRule=1,J69,IF(AND(P61&lt;&gt;"",Q61&lt;&gt;""),IF((P61+S61)&gt;(Q61+T61),O61,IF((P61+S61)&lt;(Q61+T61),R61,Matches!J52)),Matches!J52))</f>
        <v>Germany</v>
      </c>
      <c r="S69" s="79"/>
      <c r="T69" s="79"/>
      <c r="U69" s="131">
        <f ca="1">IF(KOMatchRule=1,IF(AND(H69&lt;&gt;"",I69&lt;&gt;"",H69=I69,V69=Quar1+Pena1),1,IF(V69=Quar1,1,0)),IF(V69=Quar1,1,0))</f>
        <v>0</v>
      </c>
      <c r="V69" s="78">
        <f ca="1">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 ca="1">IF(KOGameRule=0,IF(AND(P45&lt;&gt;"",O69=G69,R69=J69),IF(OR(AND((H69+K69)&gt;(I69+L69),(P69+S69)&gt;(Q69+T69)),AND((H69+K69)&lt;(I69+L69),(P69+S69)&lt;(Q69+T69))),Bonu15+Bonu6,Bonu6),0),IF(OR(AND((H69+K69)&gt;(I69+L69),(P69+S69)&gt;(Q69+T69)),AND((H69+K69)&lt;(I69+L69),(P69+S69)&lt;(Q69+T69))),Bonu15,0))</f>
        <v>0</v>
      </c>
      <c r="X69" s="126" t="str">
        <f t="shared" ca="1" si="249"/>
        <v>Portugal</v>
      </c>
      <c r="Y69" s="74" t="str">
        <f ca="1">IF(KOGameRule=1,G69,IF(AND(Z63&lt;&gt;"",AA63&lt;&gt;""),IF((Z63+AC63)&gt;(AA63+AD63),Y63,IF((Z63+AC63)&lt;(AA63+AD63),AB63,Matches!G52)),Matches!G52))</f>
        <v>Spain</v>
      </c>
      <c r="Z69" s="339">
        <v>1</v>
      </c>
      <c r="AA69" s="340">
        <v>1</v>
      </c>
      <c r="AB69" s="76" t="str">
        <f ca="1">IF(KOGameRule=1,J69,IF(AND(Z61&lt;&gt;"",AA61&lt;&gt;""),IF((Z61+AC61)&gt;(AA61+AD61),Y61,IF((Z61+AC61)&lt;(AA61+AD61),AB61,Matches!J52)),Matches!J52))</f>
        <v>Germany</v>
      </c>
      <c r="AC69" s="337">
        <v>5</v>
      </c>
      <c r="AD69" s="338">
        <v>6</v>
      </c>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0</v>
      </c>
      <c r="AH69" s="126" t="str">
        <f t="shared" ca="1" si="250"/>
        <v>Portugal</v>
      </c>
      <c r="AI69" s="74" t="str">
        <f>IF(KOGameRule=1,G69,IF(AND(AJ63&lt;&gt;"",AK63&lt;&gt;""),IF((AJ63+AM63)&gt;(AK63+AN63),AI63,IF((AJ63+AM63)&lt;(AK63+AN63),AL63,Matches!G52)),Matches!G52))</f>
        <v>Match 39 Winner</v>
      </c>
      <c r="AJ69" s="75"/>
      <c r="AK69" s="75"/>
      <c r="AL69" s="76" t="str">
        <f>IF(KOGameRule=1,J69,IF(AND(AJ61&lt;&gt;"",AK61&lt;&gt;""),IF((AJ61+AM61)&gt;(AK61+AN61),AI61,IF((AJ61+AM61)&lt;(AK61+AN61),AL61,Matches!J52)),Matches!J52))</f>
        <v>Match 37 Winner</v>
      </c>
      <c r="AM69" s="79"/>
      <c r="AN69" s="79"/>
      <c r="AO69" s="131">
        <f>IF(KOMatchRule=1,IF(AND(H69&lt;&gt;"",I69&lt;&gt;"",H69=I69,AP69=Quar1+Pena1),1,IF(AP69=Quar1,1,0)),IF(AP69=Quar1,1,0))</f>
        <v>0</v>
      </c>
      <c r="AP69" s="78">
        <f>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IF(KOGameRule=0,IF(AND(AJ45&lt;&gt;"",AI69=G69,AL69=J69),IF(OR(AND((H69+K69)&gt;(I69+L69),(AJ69+AM69)&gt;(AK69+AN69)),AND((H69+K69)&lt;(I69+L69),(AJ69+AM69)&lt;(AK69+AN69))),Bonu15+Bonu6,Bonu6),0),IF(OR(AND((H69+K69)&gt;(I69+L69),(AJ69+AM69)&gt;(AK69+AN69)),AND((H69+K69)&lt;(I69+L69),(AJ69+AM69)&lt;(AK69+AN69))),Bonu15,0))</f>
        <v>0</v>
      </c>
      <c r="AR69" s="126" t="str">
        <f t="shared" ca="1" si="251"/>
        <v>Türkiye</v>
      </c>
      <c r="AS69" s="74" t="str">
        <f>IF(KOGameRule=1,G69,IF(AND(AT63&lt;&gt;"",AU63&lt;&gt;""),IF((AT63+AW63)&gt;(AU63+AX63),AS63,IF((AT63+AW63)&lt;(AU63+AX63),AV63,Matches!G52)),Matches!G52))</f>
        <v>Match 39 Winner</v>
      </c>
      <c r="AT69" s="75"/>
      <c r="AU69" s="75"/>
      <c r="AV69" s="76" t="str">
        <f>IF(KOGameRule=1,J69,IF(AND(AT61&lt;&gt;"",AU61&lt;&gt;""),IF((AT61+AW61)&gt;(AU61+AX61),AS61,IF((AT61+AW61)&lt;(AU61+AX61),AV61,Matches!J52)),Matches!J52))</f>
        <v>Match 37 Winner</v>
      </c>
      <c r="AW69" s="79"/>
      <c r="AX69" s="79"/>
      <c r="AY69" s="131">
        <f>IF(KOMatchRule=1,IF(AND(H69&lt;&gt;"",I69&lt;&gt;"",H69=I69,AZ69=Quar1+Pena1),1,IF(AZ69=Quar1,1,0)),IF(AZ69=Quar1,1,0))</f>
        <v>0</v>
      </c>
      <c r="AZ69" s="78">
        <f>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IF(KOGameRule=0,IF(AND(AT45&lt;&gt;"",AS69=G69,AV69=J69),IF(OR(AND((H69+K69)&gt;(I69+L69),(AT69+AW69)&gt;(AU69+AX69)),AND((H69+K69)&lt;(I69+L69),(AT69+AW69)&lt;(AU69+AX69))),Bonu15+Bonu6,Bonu6),0),IF(OR(AND((H69+K69)&gt;(I69+L69),(AT69+AW69)&gt;(AU69+AX69)),AND((H69+K69)&lt;(I69+L69),(AT69+AW69)&lt;(AU69+AX69))),Bonu15,0))</f>
        <v>0</v>
      </c>
      <c r="BB69" s="126" t="str">
        <f t="shared" ca="1" si="252"/>
        <v>Türkiye</v>
      </c>
      <c r="BC69" s="74" t="str">
        <f>IF(KOGameRule=1,G69,IF(AND(BD63&lt;&gt;"",BE63&lt;&gt;""),IF((BD63+BG63)&gt;(BE63+BH63),BC63,IF((BD63+BG63)&lt;(BE63+BH63),BF63,Matches!G52)),Matches!G52))</f>
        <v>Match 39 Winner</v>
      </c>
      <c r="BD69" s="75"/>
      <c r="BE69" s="75"/>
      <c r="BF69" s="76" t="str">
        <f>IF(KOGameRule=1,J69,IF(AND(BD61&lt;&gt;"",BE61&lt;&gt;""),IF((BD61+BG61)&gt;(BE61+BH61),BC61,IF((BD61+BG61)&lt;(BE61+BH61),BF61,Matches!J52)),Matches!J52))</f>
        <v>Match 37 Winner</v>
      </c>
      <c r="BG69" s="79"/>
      <c r="BH69" s="79"/>
      <c r="BI69" s="131">
        <f>IF(KOMatchRule=1,IF(AND(H69&lt;&gt;"",I69&lt;&gt;"",H69=I69,BJ69=Quar1+Pena1),1,IF(BJ69=Quar1,1,0)),IF(BJ69=Quar1,1,0))</f>
        <v>0</v>
      </c>
      <c r="BJ69" s="78">
        <f>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IF(KOGameRule=1,G69,IF(AND(BN63&lt;&gt;"",BO63&lt;&gt;""),IF((BN63+BQ63)&gt;(BO63+BR63),BM63,IF((BN63+BQ63)&lt;(BO63+BR63),BP63,Matches!G52)),Matches!G52))</f>
        <v>Match 39 Winner</v>
      </c>
      <c r="BN69" s="75"/>
      <c r="BO69" s="75"/>
      <c r="BP69" s="76" t="str">
        <f>IF(KOGameRule=1,J69,IF(AND(BN61&lt;&gt;"",BO61&lt;&gt;""),IF((BN61+BQ61)&gt;(BO61+BR61),BM61,IF((BN61+BQ61)&lt;(BO61+BR61),BP61,Matches!J52)),Matches!J52))</f>
        <v>Match 37 Winner</v>
      </c>
      <c r="BQ69" s="79"/>
      <c r="BR69" s="79"/>
      <c r="BS69" s="131">
        <f>IF(KOMatchRule=1,IF(AND(H69&lt;&gt;"",I69&lt;&gt;"",H69=I69,BT69=Quar1+Pena1),1,IF(BT69=Quar1,1,0)),IF(BT69=Quar1,1,0))</f>
        <v>0</v>
      </c>
      <c r="BT69" s="78">
        <f>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IF(KOGameRule=1,G69,IF(AND(BX63&lt;&gt;"",BY63&lt;&gt;""),IF((BX63+CA63)&gt;(BY63+CB63),BW63,IF((BX63+CA63)&lt;(BY63+CB63),BZ63,Matches!G52)),Matches!G52))</f>
        <v>Match 39 Winner</v>
      </c>
      <c r="BX69" s="75"/>
      <c r="BY69" s="75"/>
      <c r="BZ69" s="76" t="str">
        <f>IF(KOGameRule=1,J69,IF(AND(BX61&lt;&gt;"",BY61&lt;&gt;""),IF((BX61+CA61)&gt;(BY61+CB61),BW61,IF((BX61+CA61)&lt;(BY61+CB61),BZ61,Matches!J52)),Matches!J52))</f>
        <v>Match 37 Winner</v>
      </c>
      <c r="CA69" s="79"/>
      <c r="CB69" s="79"/>
      <c r="CC69" s="131">
        <f>IF(KOMatchRule=1,IF(AND(H69&lt;&gt;"",I69&lt;&gt;"",H69=I69,CD69=Quar1+Pena1),1,IF(CD69=Quar1,1,0)),IF(CD69=Quar1,1,0))</f>
        <v>0</v>
      </c>
      <c r="CD69" s="78">
        <f>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IF(KOGameRule=0,IF(AND(BX45&lt;&gt;"",BW69=G69,BZ69=J69),IF(OR(AND((H69+K69)&gt;(I69+L69),(BX69+CA69)&gt;(BY69+CB69)),AND((H69+K69)&lt;(I69+L69),(BX69+CA69)&lt;(BY69+CB69))),Bonu15+Bonu6,Bonu6),0),IF(OR(AND((H69+K69)&gt;(I69+L69),(BX69+CA69)&gt;(BY69+CB69)),AND((H69+K69)&lt;(I69+L69),(BX69+CA69)&lt;(BY69+CB69))),Bonu15,0))</f>
        <v>0</v>
      </c>
      <c r="CF69" s="126" t="str">
        <f t="shared" ca="1" si="255"/>
        <v>Türkiye</v>
      </c>
      <c r="CG69" s="74" t="str">
        <f>IF(KOGameRule=1,G69,IF(AND(CH63&lt;&gt;"",CI63&lt;&gt;""),IF((CH63+CK63)&gt;(CI63+CL63),CG63,IF((CH63+CK63)&lt;(CI63+CL63),CJ63,Matches!G52)),Matches!G52))</f>
        <v>Match 39 Winner</v>
      </c>
      <c r="CH69" s="75"/>
      <c r="CI69" s="75"/>
      <c r="CJ69" s="76" t="str">
        <f>IF(KOGameRule=1,J69,IF(AND(CH61&lt;&gt;"",CI61&lt;&gt;""),IF((CH61+CK61)&gt;(CI61+CL61),CG61,IF((CH61+CK61)&lt;(CI61+CL61),CJ61,Matches!J52)),Matches!J52))</f>
        <v>Match 37 Winner</v>
      </c>
      <c r="CK69" s="79"/>
      <c r="CL69" s="79"/>
      <c r="CM69" s="131">
        <f>IF(KOMatchRule=1,IF(AND(H69&lt;&gt;"",I69&lt;&gt;"",H69=I69,CN69=Quar1+Pena1),1,IF(CN69=Quar1,1,0)),IF(CN69=Quar1,1,0))</f>
        <v>0</v>
      </c>
      <c r="CN69" s="78">
        <f>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IF(KOGameRule=0,IF(AND(CH45&lt;&gt;"",CG69=G69,CJ69=J69),IF(OR(AND((H69+K69)&gt;(I69+L69),(CH69+CK69)&gt;(CI69+CL69)),AND((H69+K69)&lt;(I69+L69),(CH69+CK69)&lt;(CI69+CL69))),Bonu15+Bonu6,Bonu6),0),IF(OR(AND((H69+K69)&gt;(I69+L69),(CH69+CK69)&gt;(CI69+CL69)),AND((H69+K69)&lt;(I69+L69),(CH69+CK69)&lt;(CI69+CL69))),Bonu15,0))</f>
        <v>0</v>
      </c>
      <c r="CP69" s="126" t="str">
        <f t="shared" ca="1" si="256"/>
        <v>Türkiye</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5">
      <c r="A70" s="41">
        <v>67</v>
      </c>
      <c r="B70" s="65"/>
      <c r="C70" s="55">
        <v>46</v>
      </c>
      <c r="D70" s="20" t="s">
        <v>113</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Scotland</v>
      </c>
      <c r="O70" s="74" t="str">
        <f ca="1">IF(KOGameRule=1,G70,IF(AND(P65&lt;&gt;"",Q65&lt;&gt;""),IF((P65+S65)&gt;(Q65+T65),O65,IF((P65+S65)&lt;(Q65+T65),R65,Matches!G53)),Matches!G53))</f>
        <v>Croatia</v>
      </c>
      <c r="P70" s="75">
        <v>1</v>
      </c>
      <c r="Q70" s="75">
        <v>2</v>
      </c>
      <c r="R70" s="76" t="str">
        <f ca="1">IF(KOGameRule=1,J70,IF(AND(P66&lt;&gt;"",Q66&lt;&gt;""),IF((P66+S66)&gt;(Q66+T66),O66,IF((P66+S66)&lt;(Q66+T66),R66,Matches!J53)),Matches!J53))</f>
        <v>Netherlands</v>
      </c>
      <c r="S70" s="79"/>
      <c r="T70" s="79"/>
      <c r="U70" s="131">
        <f ca="1">IF(KOMatchRule=1,IF(AND(H70&lt;&gt;"",I70&lt;&gt;"",H70=I70,V70=Quar1+Pena1),1,IF(V70=Quar1,1,0)),IF(V70=Quar1,1,0))</f>
        <v>0</v>
      </c>
      <c r="V70" s="78">
        <f ca="1">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 ca="1">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Hungary</v>
      </c>
      <c r="Z70" s="339">
        <v>1</v>
      </c>
      <c r="AA70" s="340">
        <v>2</v>
      </c>
      <c r="AB70" s="76" t="str">
        <f ca="1">IF(KOGameRule=1,J70,IF(AND(Z66&lt;&gt;"",AA66&lt;&gt;""),IF((Z66+AC66)&gt;(AA66+AD66),Y66,IF((Z66+AC66)&lt;(AA66+AD66),AB66,Matches!J53)),Matches!J53))</f>
        <v>Poland</v>
      </c>
      <c r="AC70" s="337"/>
      <c r="AD70" s="338"/>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0</v>
      </c>
      <c r="AH70" s="126" t="str">
        <f t="shared" ref="AH70:AH75" ca="1" si="258">AM51</f>
        <v/>
      </c>
      <c r="AI70" s="74" t="str">
        <f>IF(KOGameRule=1,G70,IF(AND(AJ65&lt;&gt;"",AK65&lt;&gt;""),IF((AJ65+AM65)&gt;(AK65+AN65),AI65,IF((AJ65+AM65)&lt;(AK65+AN65),AL65,Matches!G53)),Matches!G53))</f>
        <v>Match 41 Winner</v>
      </c>
      <c r="AJ70" s="75"/>
      <c r="AK70" s="75"/>
      <c r="AL70" s="76" t="str">
        <f>IF(KOGameRule=1,J70,IF(AND(AJ66&lt;&gt;"",AK66&lt;&gt;""),IF((AJ66+AM66)&gt;(AK66+AN66),AI66,IF((AJ66+AM66)&lt;(AK66+AN66),AL66,Matches!J53)),Matches!J53))</f>
        <v>Match 42 Winner</v>
      </c>
      <c r="AM70" s="79"/>
      <c r="AN70" s="79"/>
      <c r="AO70" s="131">
        <f>IF(KOMatchRule=1,IF(AND(H70&lt;&gt;"",I70&lt;&gt;"",H70=I70,AP70=Quar1+Pena1),1,IF(AP70=Quar1,1,0)),IF(AP70=Quar1,1,0))</f>
        <v>0</v>
      </c>
      <c r="AP70" s="78">
        <f>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IF(KOGameRule=0,IF(AND(AJ45&lt;&gt;"",AI70=G70,AL70=J70),IF(OR(AND((H70+K70)&gt;(I70+L70),(AJ70+AM70)&gt;(AK70+AN70)),AND((H70+K70)&lt;(I70+L70),(AJ70+AM70)&lt;(AK70+AN70))),Bonu15+Bonu6,Bonu6),0),IF(OR(AND((H70+K70)&gt;(I70+L70),(AJ70+AM70)&gt;(AK70+AN70)),AND((H70+K70)&lt;(I70+L70),(AJ70+AM70)&lt;(AK70+AN70))),Bonu15,0))</f>
        <v>0</v>
      </c>
      <c r="AR70" s="126" t="str">
        <f t="shared" ref="AR70:AR75" ca="1" si="259">AW51</f>
        <v>Scotland</v>
      </c>
      <c r="AS70" s="74" t="str">
        <f>IF(KOGameRule=1,G70,IF(AND(AT65&lt;&gt;"",AU65&lt;&gt;""),IF((AT65+AW65)&gt;(AU65+AX65),AS65,IF((AT65+AW65)&lt;(AU65+AX65),AV65,Matches!G53)),Matches!G53))</f>
        <v>Match 41 Winner</v>
      </c>
      <c r="AT70" s="75"/>
      <c r="AU70" s="75"/>
      <c r="AV70" s="76" t="str">
        <f>IF(KOGameRule=1,J70,IF(AND(AT66&lt;&gt;"",AU66&lt;&gt;""),IF((AT66+AW66)&gt;(AU66+AX66),AS66,IF((AT66+AW66)&lt;(AU66+AX66),AV66,Matches!J53)),Matches!J53))</f>
        <v>Match 42 Winner</v>
      </c>
      <c r="AW70" s="79"/>
      <c r="AX70" s="79"/>
      <c r="AY70" s="131">
        <f>IF(KOMatchRule=1,IF(AND(H70&lt;&gt;"",I70&lt;&gt;"",H70=I70,AZ70=Quar1+Pena1),1,IF(AZ70=Quar1,1,0)),IF(AZ70=Quar1,1,0))</f>
        <v>0</v>
      </c>
      <c r="AZ70" s="78">
        <f>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IF(KOGameRule=0,IF(AND(AT45&lt;&gt;"",AS70=G70,AV70=J70),IF(OR(AND((H70+K70)&gt;(I70+L70),(AT70+AW70)&gt;(AU70+AX70)),AND((H70+K70)&lt;(I70+L70),(AT70+AW70)&lt;(AU70+AX70))),Bonu15+Bonu6,Bonu6),0),IF(OR(AND((H70+K70)&gt;(I70+L70),(AT70+AW70)&gt;(AU70+AX70)),AND((H70+K70)&lt;(I70+L70),(AT70+AW70)&lt;(AU70+AX70))),Bonu15,0))</f>
        <v>0</v>
      </c>
      <c r="BB70" s="126" t="str">
        <f t="shared" ref="BB70:BB75" ca="1" si="260">BG51</f>
        <v>Switzerland</v>
      </c>
      <c r="BC70" s="74" t="str">
        <f>IF(KOGameRule=1,G70,IF(AND(BD65&lt;&gt;"",BE65&lt;&gt;""),IF((BD65+BG65)&gt;(BE65+BH65),BC65,IF((BD65+BG65)&lt;(BE65+BH65),BF65,Matches!G53)),Matches!G53))</f>
        <v>Match 41 Winner</v>
      </c>
      <c r="BD70" s="75"/>
      <c r="BE70" s="75"/>
      <c r="BF70" s="76" t="str">
        <f>IF(KOGameRule=1,J70,IF(AND(BD66&lt;&gt;"",BE66&lt;&gt;""),IF((BD66+BG66)&gt;(BE66+BH66),BC66,IF((BD66+BG66)&lt;(BE66+BH66),BF66,Matches!J53)),Matches!J53))</f>
        <v>Match 42 Winner</v>
      </c>
      <c r="BG70" s="79"/>
      <c r="BH70" s="79"/>
      <c r="BI70" s="131">
        <f>IF(KOMatchRule=1,IF(AND(H70&lt;&gt;"",I70&lt;&gt;"",H70=I70,BJ70=Quar1+Pena1),1,IF(BJ70=Quar1,1,0)),IF(BJ70=Quar1,1,0))</f>
        <v>0</v>
      </c>
      <c r="BJ70" s="78">
        <f>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IF(KOGameRule=0,IF(AND(BD45&lt;&gt;"",BC70=G70,BF70=J70),IF(OR(AND((H70+K70)&gt;(I70+L70),(BD70+BG70)&gt;(BE70+BH70)),AND((H70+K70)&lt;(I70+L70),(BD70+BG70)&lt;(BE70+BH70))),Bonu15+Bonu6,Bonu6),0),IF(OR(AND((H70+K70)&gt;(I70+L70),(BD70+BG70)&gt;(BE70+BH70)),AND((H70+K70)&lt;(I70+L70),(BD70+BG70)&lt;(BE70+BH70))),Bonu15,0))</f>
        <v>0</v>
      </c>
      <c r="BL70" s="126" t="str">
        <f t="shared" ref="BL70:BL75" ca="1" si="261">BQ51</f>
        <v>Scotland</v>
      </c>
      <c r="BM70" s="74" t="str">
        <f>IF(KOGameRule=1,G70,IF(AND(BN65&lt;&gt;"",BO65&lt;&gt;""),IF((BN65+BQ65)&gt;(BO65+BR65),BM65,IF((BN65+BQ65)&lt;(BO65+BR65),BP65,Matches!G53)),Matches!G53))</f>
        <v>Match 41 Winner</v>
      </c>
      <c r="BN70" s="75"/>
      <c r="BO70" s="75"/>
      <c r="BP70" s="76" t="str">
        <f>IF(KOGameRule=1,J70,IF(AND(BN66&lt;&gt;"",BO66&lt;&gt;""),IF((BN66+BQ66)&gt;(BO66+BR66),BM66,IF((BN66+BQ66)&lt;(BO66+BR66),BP66,Matches!J53)),Matches!J53))</f>
        <v>Match 42 Winner</v>
      </c>
      <c r="BQ70" s="79"/>
      <c r="BR70" s="79"/>
      <c r="BS70" s="131">
        <f>IF(KOMatchRule=1,IF(AND(H70&lt;&gt;"",I70&lt;&gt;"",H70=I70,BT70=Quar1+Pena1),1,IF(BT70=Quar1,1,0)),IF(BT70=Quar1,1,0))</f>
        <v>0</v>
      </c>
      <c r="BT70" s="78">
        <f>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IF(KOGameRule=0,IF(AND(BN45&lt;&gt;"",BM70=G70,BP70=J70),IF(OR(AND((H70+K70)&gt;(I70+L70),(BN70+BQ70)&gt;(BO70+BR70)),AND((H70+K70)&lt;(I70+L70),(BN70+BQ70)&lt;(BO70+BR70))),Bonu15+Bonu6,Bonu6),0),IF(OR(AND((H70+K70)&gt;(I70+L70),(BN70+BQ70)&gt;(BO70+BR70)),AND((H70+K70)&lt;(I70+L70),(BN70+BQ70)&lt;(BO70+BR70))),Bonu15,0))</f>
        <v>0</v>
      </c>
      <c r="BV70" s="126" t="str">
        <f t="shared" ref="BV70:BV75" ca="1" si="262">CA51</f>
        <v>Scotland</v>
      </c>
      <c r="BW70" s="74" t="str">
        <f>IF(KOGameRule=1,G70,IF(AND(BX65&lt;&gt;"",BY65&lt;&gt;""),IF((BX65+CA65)&gt;(BY65+CB65),BW65,IF((BX65+CA65)&lt;(BY65+CB65),BZ65,Matches!G53)),Matches!G53))</f>
        <v>Match 41 Winner</v>
      </c>
      <c r="BX70" s="75"/>
      <c r="BY70" s="75"/>
      <c r="BZ70" s="76" t="str">
        <f>IF(KOGameRule=1,J70,IF(AND(BX66&lt;&gt;"",BY66&lt;&gt;""),IF((BX66+CA66)&gt;(BY66+CB66),BW66,IF((BX66+CA66)&lt;(BY66+CB66),BZ66,Matches!J53)),Matches!J53))</f>
        <v>Match 42 Winner</v>
      </c>
      <c r="CA70" s="79"/>
      <c r="CB70" s="79"/>
      <c r="CC70" s="131">
        <f>IF(KOMatchRule=1,IF(AND(H70&lt;&gt;"",I70&lt;&gt;"",H70=I70,CD70=Quar1+Pena1),1,IF(CD70=Quar1,1,0)),IF(CD70=Quar1,1,0))</f>
        <v>0</v>
      </c>
      <c r="CD70" s="78">
        <f>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IF(KOGameRule=0,IF(AND(BX45&lt;&gt;"",BW70=G70,BZ70=J70),IF(OR(AND((H70+K70)&gt;(I70+L70),(BX70+CA70)&gt;(BY70+CB70)),AND((H70+K70)&lt;(I70+L70),(BX70+CA70)&lt;(BY70+CB70))),Bonu15+Bonu6,Bonu6),0),IF(OR(AND((H70+K70)&gt;(I70+L70),(BX70+CA70)&gt;(BY70+CB70)),AND((H70+K70)&lt;(I70+L70),(BX70+CA70)&lt;(BY70+CB70))),Bonu15,0))</f>
        <v>0</v>
      </c>
      <c r="CF70" s="126" t="str">
        <f t="shared" ref="CF70:CF75" ca="1" si="263">CK51</f>
        <v>Scotland</v>
      </c>
      <c r="CG70" s="74" t="str">
        <f>IF(KOGameRule=1,G70,IF(AND(CH65&lt;&gt;"",CI65&lt;&gt;""),IF((CH65+CK65)&gt;(CI65+CL65),CG65,IF((CH65+CK65)&lt;(CI65+CL65),CJ65,Matches!G53)),Matches!G53))</f>
        <v>Match 41 Winner</v>
      </c>
      <c r="CH70" s="75"/>
      <c r="CI70" s="75"/>
      <c r="CJ70" s="76" t="str">
        <f>IF(KOGameRule=1,J70,IF(AND(CH66&lt;&gt;"",CI66&lt;&gt;""),IF((CH66+CK66)&gt;(CI66+CL66),CG66,IF((CH66+CK66)&lt;(CI66+CL66),CJ66,Matches!J53)),Matches!J53))</f>
        <v>Match 42 Winner</v>
      </c>
      <c r="CK70" s="79"/>
      <c r="CL70" s="79"/>
      <c r="CM70" s="131">
        <f>IF(KOMatchRule=1,IF(AND(H70&lt;&gt;"",I70&lt;&gt;"",H70=I70,CN70=Quar1+Pena1),1,IF(CN70=Quar1,1,0)),IF(CN70=Quar1,1,0))</f>
        <v>0</v>
      </c>
      <c r="CN70" s="78">
        <f>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Scotland</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5">
      <c r="A71" s="41">
        <v>68</v>
      </c>
      <c r="B71" s="65"/>
      <c r="C71" s="55">
        <v>47</v>
      </c>
      <c r="D71" s="20" t="s">
        <v>113</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Croatia</v>
      </c>
      <c r="O71" s="74" t="str">
        <f ca="1">IF(KOGameRule=1,G71,IF(AND(P67&lt;&gt;"",Q67&lt;&gt;""),IF((P67+S67)&gt;(Q67+T67),O67,IF((P67+S67)&lt;(Q67+T67),R67,Matches!G54)),Matches!G54))</f>
        <v>Scotland</v>
      </c>
      <c r="P71" s="75">
        <v>1</v>
      </c>
      <c r="Q71" s="75">
        <v>3</v>
      </c>
      <c r="R71" s="76" t="str">
        <f ca="1">IF(KOGameRule=1,J71,IF(AND(P68&lt;&gt;"",Q68&lt;&gt;""),IF((P68+S68)&gt;(Q68+T68),O68,IF((P68+S68)&lt;(Q68+T68),R68,Matches!J54)),Matches!J54))</f>
        <v>France</v>
      </c>
      <c r="S71" s="79"/>
      <c r="T71" s="79"/>
      <c r="U71" s="131">
        <f ca="1">IF(KOMatchRule=1,IF(AND(H71&lt;&gt;"",I71&lt;&gt;"",H71=I71,V71=Quar1+Pena1),1,IF(V71=Quar1,1,0)),IF(V71=Quar1,1,0))</f>
        <v>0</v>
      </c>
      <c r="V71" s="78">
        <f ca="1">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 ca="1">IF(KOGameRule=0,IF(AND(P45&lt;&gt;"",O71=G71,R71=J71),IF(OR(AND((H71+K71)&gt;(I71+L71),(P71+S71)&gt;(Q71+T71)),AND((H71+K71)&lt;(I71+L71),(P71+S71)&lt;(Q71+T71))),Bonu15+Bonu6,Bonu6),0),IF(OR(AND((H71+K71)&gt;(I71+L71),(P71+S71)&gt;(Q71+T71)),AND((H71+K71)&lt;(I71+L71),(P71+S71)&lt;(Q71+T71))),Bonu15,0))</f>
        <v>0</v>
      </c>
      <c r="X71" s="126" t="str">
        <f t="shared" ref="X71:X75" ca="1" si="267">AC52</f>
        <v>Croatia</v>
      </c>
      <c r="Y71" s="74" t="str">
        <f ca="1">IF(KOGameRule=1,G71,IF(AND(Z67&lt;&gt;"",AA67&lt;&gt;""),IF((Z67+AC67)&gt;(AA67+AD67),Y67,IF((Z67+AC67)&lt;(AA67+AD67),AB67,Matches!G54)),Matches!G54))</f>
        <v>Belgium</v>
      </c>
      <c r="Z71" s="339">
        <v>1</v>
      </c>
      <c r="AA71" s="340">
        <v>2</v>
      </c>
      <c r="AB71" s="76" t="str">
        <f ca="1">IF(KOGameRule=1,J71,IF(AND(Z68&lt;&gt;"",AA68&lt;&gt;""),IF((Z68+AC68)&gt;(AA68+AD68),Y68,IF((Z68+AC68)&lt;(AA68+AD68),AB68,Matches!J54)),Matches!J54))</f>
        <v>France</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IF(KOGameRule=1,G71,IF(AND(AJ67&lt;&gt;"",AK67&lt;&gt;""),IF((AJ67+AM67)&gt;(AK67+AN67),AI67,IF((AJ67+AM67)&lt;(AK67+AN67),AL67,Matches!G54)),Matches!G54))</f>
        <v>Match 43 Winner</v>
      </c>
      <c r="AJ71" s="75"/>
      <c r="AK71" s="75"/>
      <c r="AL71" s="76" t="str">
        <f>IF(KOGameRule=1,J71,IF(AND(AJ68&lt;&gt;"",AK68&lt;&gt;""),IF((AJ68+AM68)&gt;(AK68+AN68),AI68,IF((AJ68+AM68)&lt;(AK68+AN68),AL68,Matches!J54)),Matches!J54))</f>
        <v>Match 44 Winner</v>
      </c>
      <c r="AM71" s="79"/>
      <c r="AN71" s="79"/>
      <c r="AO71" s="131">
        <f>IF(KOMatchRule=1,IF(AND(H71&lt;&gt;"",I71&lt;&gt;"",H71=I71,AP71=Quar1+Pena1),1,IF(AP71=Quar1,1,0)),IF(AP71=Quar1,1,0))</f>
        <v>0</v>
      </c>
      <c r="AP71" s="78">
        <f>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IF(KOGameRule=0,IF(AND(AJ45&lt;&gt;"",AI71=G71,AL71=J71),IF(OR(AND((H71+K71)&gt;(I71+L71),(AJ71+AM71)&gt;(AK71+AN71)),AND((H71+K71)&lt;(I71+L71),(AJ71+AM71)&lt;(AK71+AN71))),Bonu15+Bonu6,Bonu6),0),IF(OR(AND((H71+K71)&gt;(I71+L71),(AJ71+AM71)&gt;(AK71+AN71)),AND((H71+K71)&lt;(I71+L71),(AJ71+AM71)&lt;(AK71+AN71))),Bonu15,0))</f>
        <v>0</v>
      </c>
      <c r="AR71" s="126" t="str">
        <f t="shared" ca="1" si="259"/>
        <v>Croatia</v>
      </c>
      <c r="AS71" s="74" t="str">
        <f>IF(KOGameRule=1,G71,IF(AND(AT67&lt;&gt;"",AU67&lt;&gt;""),IF((AT67+AW67)&gt;(AU67+AX67),AS67,IF((AT67+AW67)&lt;(AU67+AX67),AV67,Matches!G54)),Matches!G54))</f>
        <v>Match 43 Winner</v>
      </c>
      <c r="AT71" s="75"/>
      <c r="AU71" s="75"/>
      <c r="AV71" s="76" t="str">
        <f>IF(KOGameRule=1,J71,IF(AND(AT68&lt;&gt;"",AU68&lt;&gt;""),IF((AT68+AW68)&gt;(AU68+AX68),AS68,IF((AT68+AW68)&lt;(AU68+AX68),AV68,Matches!J54)),Matches!J54))</f>
        <v>Match 44 Winner</v>
      </c>
      <c r="AW71" s="79"/>
      <c r="AX71" s="79"/>
      <c r="AY71" s="131">
        <f>IF(KOMatchRule=1,IF(AND(H71&lt;&gt;"",I71&lt;&gt;"",H71=I71,AZ71=Quar1+Pena1),1,IF(AZ71=Quar1,1,0)),IF(AZ71=Quar1,1,0))</f>
        <v>0</v>
      </c>
      <c r="AZ71" s="78">
        <f>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IF(KOGameRule=0,IF(AND(AT45&lt;&gt;"",AS71=G71,AV71=J71),IF(OR(AND((H71+K71)&gt;(I71+L71),(AT71+AW71)&gt;(AU71+AX71)),AND((H71+K71)&lt;(I71+L71),(AT71+AW71)&lt;(AU71+AX71))),Bonu15+Bonu6,Bonu6),0),IF(OR(AND((H71+K71)&gt;(I71+L71),(AT71+AW71)&gt;(AU71+AX71)),AND((H71+K71)&lt;(I71+L71),(AT71+AW71)&lt;(AU71+AX71))),Bonu15,0))</f>
        <v>0</v>
      </c>
      <c r="BB71" s="126" t="str">
        <f t="shared" ca="1" si="260"/>
        <v>Spain</v>
      </c>
      <c r="BC71" s="74" t="str">
        <f>IF(KOGameRule=1,G71,IF(AND(BD67&lt;&gt;"",BE67&lt;&gt;""),IF((BD67+BG67)&gt;(BE67+BH67),BC67,IF((BD67+BG67)&lt;(BE67+BH67),BF67,Matches!G54)),Matches!G54))</f>
        <v>Match 43 Winner</v>
      </c>
      <c r="BD71" s="75"/>
      <c r="BE71" s="75"/>
      <c r="BF71" s="76" t="str">
        <f>IF(KOGameRule=1,J71,IF(AND(BD68&lt;&gt;"",BE68&lt;&gt;""),IF((BD68+BG68)&gt;(BE68+BH68),BC68,IF((BD68+BG68)&lt;(BE68+BH68),BF68,Matches!J54)),Matches!J54))</f>
        <v>Match 44 Winner</v>
      </c>
      <c r="BG71" s="79"/>
      <c r="BH71" s="79"/>
      <c r="BI71" s="131">
        <f>IF(KOMatchRule=1,IF(AND(H71&lt;&gt;"",I71&lt;&gt;"",H71=I71,BJ71=Quar1+Pena1),1,IF(BJ71=Quar1,1,0)),IF(BJ71=Quar1,1,0))</f>
        <v>0</v>
      </c>
      <c r="BJ71" s="78">
        <f>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IF(KOGameRule=0,IF(AND(BD45&lt;&gt;"",BC71=G71,BF71=J71),IF(OR(AND((H71+K71)&gt;(I71+L71),(BD71+BG71)&gt;(BE71+BH71)),AND((H71+K71)&lt;(I71+L71),(BD71+BG71)&lt;(BE71+BH71))),Bonu15+Bonu6,Bonu6),0),IF(OR(AND((H71+K71)&gt;(I71+L71),(BD71+BG71)&gt;(BE71+BH71)),AND((H71+K71)&lt;(I71+L71),(BD71+BG71)&lt;(BE71+BH71))),Bonu15,0))</f>
        <v>0</v>
      </c>
      <c r="BL71" s="126" t="str">
        <f t="shared" ca="1" si="261"/>
        <v>Croatia</v>
      </c>
      <c r="BM71" s="74" t="str">
        <f>IF(KOGameRule=1,G71,IF(AND(BN67&lt;&gt;"",BO67&lt;&gt;""),IF((BN67+BQ67)&gt;(BO67+BR67),BM67,IF((BN67+BQ67)&lt;(BO67+BR67),BP67,Matches!G54)),Matches!G54))</f>
        <v>Match 43 Winner</v>
      </c>
      <c r="BN71" s="75"/>
      <c r="BO71" s="75"/>
      <c r="BP71" s="76" t="str">
        <f>IF(KOGameRule=1,J71,IF(AND(BN68&lt;&gt;"",BO68&lt;&gt;""),IF((BN68+BQ68)&gt;(BO68+BR68),BM68,IF((BN68+BQ68)&lt;(BO68+BR68),BP68,Matches!J54)),Matches!J54))</f>
        <v>Match 44 Winner</v>
      </c>
      <c r="BQ71" s="79"/>
      <c r="BR71" s="79"/>
      <c r="BS71" s="131">
        <f>IF(KOMatchRule=1,IF(AND(H71&lt;&gt;"",I71&lt;&gt;"",H71=I71,BT71=Quar1+Pena1),1,IF(BT71=Quar1,1,0)),IF(BT71=Quar1,1,0))</f>
        <v>0</v>
      </c>
      <c r="BT71" s="78">
        <f>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IF(KOGameRule=1,G71,IF(AND(BX67&lt;&gt;"",BY67&lt;&gt;""),IF((BX67+CA67)&gt;(BY67+CB67),BW67,IF((BX67+CA67)&lt;(BY67+CB67),BZ67,Matches!G54)),Matches!G54))</f>
        <v>Match 43 Winner</v>
      </c>
      <c r="BX71" s="75"/>
      <c r="BY71" s="75"/>
      <c r="BZ71" s="76" t="str">
        <f>IF(KOGameRule=1,J71,IF(AND(BX68&lt;&gt;"",BY68&lt;&gt;""),IF((BX68+CA68)&gt;(BY68+CB68),BW68,IF((BX68+CA68)&lt;(BY68+CB68),BZ68,Matches!J54)),Matches!J54))</f>
        <v>Match 44 Winner</v>
      </c>
      <c r="CA71" s="79"/>
      <c r="CB71" s="79"/>
      <c r="CC71" s="131">
        <f>IF(KOMatchRule=1,IF(AND(H71&lt;&gt;"",I71&lt;&gt;"",H71=I71,CD71=Quar1+Pena1),1,IF(CD71=Quar1,1,0)),IF(CD71=Quar1,1,0))</f>
        <v>0</v>
      </c>
      <c r="CD71" s="78">
        <f>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c r="CI71" s="75"/>
      <c r="CJ71" s="76" t="str">
        <f>IF(KOGameRule=1,J71,IF(AND(CH68&lt;&gt;"",CI68&lt;&gt;""),IF((CH68+CK68)&gt;(CI68+CL68),CG68,IF((CH68+CK68)&lt;(CI68+CL68),CJ68,Matches!J54)),Matches!J54))</f>
        <v>Match 44 Winner</v>
      </c>
      <c r="CK71" s="79"/>
      <c r="CL71" s="79"/>
      <c r="CM71" s="131">
        <f>IF(KOMatchRule=1,IF(AND(H71&lt;&gt;"",I71&lt;&gt;"",H71=I71,CN71=Quar1+Pena1),1,IF(CN71=Quar1,1,0)),IF(CN71=Quar1,1,0))</f>
        <v>0</v>
      </c>
      <c r="CN71" s="78">
        <f>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x14ac:dyDescent="0.25">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
      </c>
      <c r="O72" s="113" t="str">
        <f ca="1">IF(KOGameRule=1,G72,IF(AND(P64&lt;&gt;"",Q64&lt;&gt;""),IF((P64+S64)&gt;(Q64+T64),O64,IF((P64+S64)&lt;(Q64+T64),R64,Matches!G55)),Matches!G55))</f>
        <v>Denmark</v>
      </c>
      <c r="P72" s="75">
        <v>2</v>
      </c>
      <c r="Q72" s="75">
        <v>2</v>
      </c>
      <c r="R72" s="114" t="str">
        <f ca="1">IF(KOGameRule=1,J72,IF(AND(P62&lt;&gt;"",Q62&lt;&gt;""),IF((P62+S62)&gt;(Q62+T62),O62,IF((P62+S62)&lt;(Q62+T62),R62,Matches!J55)),Matches!J55))</f>
        <v>Italy</v>
      </c>
      <c r="S72" s="100">
        <v>4</v>
      </c>
      <c r="T72" s="100">
        <v>3</v>
      </c>
      <c r="U72" s="131">
        <f ca="1">IF(KOMatchRule=1,IF(AND(H72&lt;&gt;"",I72&lt;&gt;"",H72=I72,V72=Quar1+Pena1),1,IF(V72=Quar1,1,0)),IF(V72=Quar1,1,0))</f>
        <v>0</v>
      </c>
      <c r="V72" s="78">
        <f ca="1">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 ca="1">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341">
        <v>1</v>
      </c>
      <c r="AA72" s="342">
        <v>0</v>
      </c>
      <c r="AB72" s="114" t="str">
        <f ca="1">IF(KOGameRule=1,J72,IF(AND(Z62&lt;&gt;"",AA62&lt;&gt;""),IF((Z62+AC62)&gt;(AA62+AD62),Y62,IF((Z62+AC62)&lt;(AA62+AD62),AB62,Matches!J55)),Matches!J55))</f>
        <v>Italy</v>
      </c>
      <c r="AC72" s="100"/>
      <c r="AD72" s="100"/>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Denmark</v>
      </c>
      <c r="AI72" s="113" t="str">
        <f>IF(KOGameRule=1,G72,IF(AND(AJ64&lt;&gt;"",AK64&lt;&gt;""),IF((AJ64+AM64)&gt;(AK64+AN64),AI64,IF((AJ64+AM64)&lt;(AK64+AN64),AL64,Matches!G55)),Matches!G55))</f>
        <v>Match 40 Winner</v>
      </c>
      <c r="AJ72" s="75"/>
      <c r="AK72" s="75"/>
      <c r="AL72" s="114" t="str">
        <f>IF(KOGameRule=1,J72,IF(AND(AJ62&lt;&gt;"",AK62&lt;&gt;""),IF((AJ62+AM62)&gt;(AK62+AN62),AI62,IF((AJ62+AM62)&lt;(AK62+AN62),AL62,Matches!J55)),Matches!J55))</f>
        <v>Match 38 Winner</v>
      </c>
      <c r="AM72" s="100"/>
      <c r="AN72" s="100"/>
      <c r="AO72" s="131">
        <f>IF(KOMatchRule=1,IF(AND(H72&lt;&gt;"",I72&lt;&gt;"",H72=I72,AP72=Quar1+Pena1),1,IF(AP72=Quar1,1,0)),IF(AP72=Quar1,1,0))</f>
        <v>0</v>
      </c>
      <c r="AP72" s="78">
        <f>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IF(KOGameRule=0,IF(AND(AJ45&lt;&gt;"",AI72=G72,AL72=J72),IF(OR(AND((H72+K72)&gt;(I72+L72),(AJ72+AM72)&gt;(AK72+AN72)),AND((H72+K72)&lt;(I72+L72),(AJ72+AM72)&lt;(AK72+AN72))),Bonu15+Bonu6,Bonu6),0),IF(OR(AND((H72+K72)&gt;(I72+L72),(AJ72+AM72)&gt;(AK72+AN72)),AND((H72+K72)&lt;(I72+L72),(AJ72+AM72)&lt;(AK72+AN72))),Bonu15,0))</f>
        <v>0</v>
      </c>
      <c r="AR72" s="126" t="str">
        <f t="shared" ca="1" si="259"/>
        <v/>
      </c>
      <c r="AS72" s="113" t="str">
        <f>IF(KOGameRule=1,G72,IF(AND(AT64&lt;&gt;"",AU64&lt;&gt;""),IF((AT64+AW64)&gt;(AU64+AX64),AS64,IF((AT64+AW64)&lt;(AU64+AX64),AV64,Matches!G55)),Matches!G55))</f>
        <v>Match 40 Winner</v>
      </c>
      <c r="AT72" s="75"/>
      <c r="AU72" s="75"/>
      <c r="AV72" s="114" t="str">
        <f>IF(KOGameRule=1,J72,IF(AND(AT62&lt;&gt;"",AU62&lt;&gt;""),IF((AT62+AW62)&gt;(AU62+AX62),AS62,IF((AT62+AW62)&lt;(AU62+AX62),AV62,Matches!J55)),Matches!J55))</f>
        <v>Match 38 Winner</v>
      </c>
      <c r="AW72" s="100"/>
      <c r="AX72" s="100"/>
      <c r="AY72" s="131">
        <f>IF(KOMatchRule=1,IF(AND(H72&lt;&gt;"",I72&lt;&gt;"",H72=I72,AZ72=Quar1+Pena1),1,IF(AZ72=Quar1,1,0)),IF(AZ72=Quar1,1,0))</f>
        <v>0</v>
      </c>
      <c r="AZ72" s="78">
        <f>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IF(KOGameRule=0,IF(AND(AT45&lt;&gt;"",AS72=G72,AV72=J72),IF(OR(AND((H72+K72)&gt;(I72+L72),(AT72+AW72)&gt;(AU72+AX72)),AND((H72+K72)&lt;(I72+L72),(AT72+AW72)&lt;(AU72+AX72))),Bonu15+Bonu6,Bonu6),0),IF(OR(AND((H72+K72)&gt;(I72+L72),(AT72+AW72)&gt;(AU72+AX72)),AND((H72+K72)&lt;(I72+L72),(AT72+AW72)&lt;(AU72+AX72))),Bonu15,0))</f>
        <v>0</v>
      </c>
      <c r="BB72" s="126" t="str">
        <f t="shared" ca="1" si="260"/>
        <v>Serbia</v>
      </c>
      <c r="BC72" s="113" t="str">
        <f>IF(KOGameRule=1,G72,IF(AND(BD64&lt;&gt;"",BE64&lt;&gt;""),IF((BD64+BG64)&gt;(BE64+BH64),BC64,IF((BD64+BG64)&lt;(BE64+BH64),BF64,Matches!G55)),Matches!G55))</f>
        <v>Match 40 Winner</v>
      </c>
      <c r="BD72" s="75"/>
      <c r="BE72" s="75"/>
      <c r="BF72" s="114" t="str">
        <f>IF(KOGameRule=1,J72,IF(AND(BD62&lt;&gt;"",BE62&lt;&gt;""),IF((BD62+BG62)&gt;(BE62+BH62),BC62,IF((BD62+BG62)&lt;(BE62+BH62),BF62,Matches!J55)),Matches!J55))</f>
        <v>Match 38 Winner</v>
      </c>
      <c r="BG72" s="100"/>
      <c r="BH72" s="100"/>
      <c r="BI72" s="131">
        <f>IF(KOMatchRule=1,IF(AND(H72&lt;&gt;"",I72&lt;&gt;"",H72=I72,BJ72=Quar1+Pena1),1,IF(BJ72=Quar1,1,0)),IF(BJ72=Quar1,1,0))</f>
        <v>0</v>
      </c>
      <c r="BJ72" s="78">
        <f>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IF(KOGameRule=0,IF(AND(BD45&lt;&gt;"",BC72=G72,BF72=J72),IF(OR(AND((H72+K72)&gt;(I72+L72),(BD72+BG72)&gt;(BE72+BH72)),AND((H72+K72)&lt;(I72+L72),(BD72+BG72)&lt;(BE72+BH72))),Bonu15+Bonu6,Bonu6),0),IF(OR(AND((H72+K72)&gt;(I72+L72),(BD72+BG72)&gt;(BE72+BH72)),AND((H72+K72)&lt;(I72+L72),(BD72+BG72)&lt;(BE72+BH72))),Bonu15,0))</f>
        <v>0</v>
      </c>
      <c r="BL72" s="126" t="str">
        <f t="shared" ca="1" si="261"/>
        <v>Serbia</v>
      </c>
      <c r="BM72" s="113" t="str">
        <f>IF(KOGameRule=1,G72,IF(AND(BN64&lt;&gt;"",BO64&lt;&gt;""),IF((BN64+BQ64)&gt;(BO64+BR64),BM64,IF((BN64+BQ64)&lt;(BO64+BR64),BP64,Matches!G55)),Matches!G55))</f>
        <v>Match 40 Winner</v>
      </c>
      <c r="BN72" s="75"/>
      <c r="BO72" s="75"/>
      <c r="BP72" s="114" t="str">
        <f>IF(KOGameRule=1,J72,IF(AND(BN62&lt;&gt;"",BO62&lt;&gt;""),IF((BN62+BQ62)&gt;(BO62+BR62),BM62,IF((BN62+BQ62)&lt;(BO62+BR62),BP62,Matches!J55)),Matches!J55))</f>
        <v>Match 38 Winner</v>
      </c>
      <c r="BQ72" s="100"/>
      <c r="BR72" s="100"/>
      <c r="BS72" s="131">
        <f>IF(KOMatchRule=1,IF(AND(H72&lt;&gt;"",I72&lt;&gt;"",H72=I72,BT72=Quar1+Pena1),1,IF(BT72=Quar1,1,0)),IF(BT72=Quar1,1,0))</f>
        <v>0</v>
      </c>
      <c r="BT72" s="78">
        <f>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IF(KOGameRule=1,G72,IF(AND(BX64&lt;&gt;"",BY64&lt;&gt;""),IF((BX64+CA64)&gt;(BY64+CB64),BW64,IF((BX64+CA64)&lt;(BY64+CB64),BZ64,Matches!G55)),Matches!G55))</f>
        <v>Match 40 Winner</v>
      </c>
      <c r="BX72" s="75"/>
      <c r="BY72" s="75"/>
      <c r="BZ72" s="114" t="str">
        <f>IF(KOGameRule=1,J72,IF(AND(BX62&lt;&gt;"",BY62&lt;&gt;""),IF((BX62+CA62)&gt;(BY62+CB62),BW62,IF((BX62+CA62)&lt;(BY62+CB62),BZ62,Matches!J55)),Matches!J55))</f>
        <v>Match 38 Winner</v>
      </c>
      <c r="CA72" s="100"/>
      <c r="CB72" s="100"/>
      <c r="CC72" s="131">
        <f>IF(KOMatchRule=1,IF(AND(H72&lt;&gt;"",I72&lt;&gt;"",H72=I72,CD72=Quar1+Pena1),1,IF(CD72=Quar1,1,0)),IF(CD72=Quar1,1,0))</f>
        <v>0</v>
      </c>
      <c r="CD72" s="78">
        <f>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IF(KOGameRule=0,IF(AND(BX45&lt;&gt;"",BW72=G72,BZ72=J72),IF(OR(AND((H72+K72)&gt;(I72+L72),(BX72+CA72)&gt;(BY72+CB72)),AND((H72+K72)&lt;(I72+L72),(BX72+CA72)&lt;(BY72+CB72))),Bonu15+Bonu6,Bonu6),0),IF(OR(AND((H72+K72)&gt;(I72+L72),(BX72+CA72)&gt;(BY72+CB72)),AND((H72+K72)&lt;(I72+L72),(BX72+CA72)&lt;(BY72+CB72))),Bonu15,0))</f>
        <v>0</v>
      </c>
      <c r="CF72" s="126" t="str">
        <f t="shared" ca="1" si="263"/>
        <v>Slovenia</v>
      </c>
      <c r="CG72" s="113" t="str">
        <f>IF(KOGameRule=1,G72,IF(AND(CH64&lt;&gt;"",CI64&lt;&gt;""),IF((CH64+CK64)&gt;(CI64+CL64),CG64,IF((CH64+CK64)&lt;(CI64+CL64),CJ64,Matches!G55)),Matches!G55))</f>
        <v>Match 40 Winner</v>
      </c>
      <c r="CH72" s="75"/>
      <c r="CI72" s="75"/>
      <c r="CJ72" s="114" t="str">
        <f>IF(KOGameRule=1,J72,IF(AND(CH62&lt;&gt;"",CI62&lt;&gt;""),IF((CH62+CK62)&gt;(CI62+CL62),CG62,IF((CH62+CK62)&lt;(CI62+CL62),CJ62,Matches!J55)),Matches!J55))</f>
        <v>Match 38 Winner</v>
      </c>
      <c r="CK72" s="100"/>
      <c r="CL72" s="100"/>
      <c r="CM72" s="131">
        <f>IF(KOMatchRule=1,IF(AND(H72&lt;&gt;"",I72&lt;&gt;"",H72=I72,CN72=Quar1+Pena1),1,IF(CN72=Quar1,1,0)),IF(CN72=Quar1,1,0))</f>
        <v>0</v>
      </c>
      <c r="CN72" s="78">
        <f>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IF(KOGameRule=0,IF(AND(CH45&lt;&gt;"",CG72=G72,CJ72=J72),IF(OR(AND((H72+K72)&gt;(I72+L72),(CH72+CK72)&gt;(CI72+CL72)),AND((H72+K72)&lt;(I72+L72),(CH72+CK72)&lt;(CI72+CL72))),Bonu15+Bonu6,Bonu6),0),IF(OR(AND((H72+K72)&gt;(I72+L72),(CH72+CK72)&gt;(CI72+CL72)),AND((H72+K72)&lt;(I72+L72),(CH72+CK72)&lt;(CI72+CL72))),Bonu15,0))</f>
        <v>0</v>
      </c>
      <c r="CP72" s="126" t="str">
        <f t="shared" ca="1" si="264"/>
        <v>Slovenia</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Slovenia</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5">
      <c r="A73" s="41">
        <v>70</v>
      </c>
      <c r="B73" s="65"/>
      <c r="C73" s="92">
        <v>49</v>
      </c>
      <c r="D73" s="95" t="s">
        <v>114</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Austria</v>
      </c>
      <c r="O73" s="74" t="str">
        <f ca="1">IF(KOGameRule=1,G73,IF(AND(P69&lt;&gt;"",Q69&lt;&gt;""),IF((P69+S69)&gt;(Q69+T69),O69,IF((P69+S69)&lt;(Q69+T69),R69,Matches!G56)),Matches!G56))</f>
        <v>Germany</v>
      </c>
      <c r="P73" s="75">
        <v>3</v>
      </c>
      <c r="Q73" s="75">
        <v>2</v>
      </c>
      <c r="R73" s="76" t="str">
        <f ca="1">IF(KOGameRule=1,J73,IF(AND(P70&lt;&gt;"",Q70&lt;&gt;""),IF((P70+S70)&gt;(Q70+T70),O70,IF((P70+S70)&lt;(Q70+T70),R70,Matches!J56)),Matches!J56))</f>
        <v>Netherlands</v>
      </c>
      <c r="S73" s="79"/>
      <c r="T73" s="79"/>
      <c r="U73" s="131">
        <f ca="1">IF(KOMatchRule=1,IF(AND(H73&lt;&gt;"",I73&lt;&gt;"",H73=I73,V73=Semi1+Pena1),1,IF(V73=Semi1,1,0)),IF(V73=Semi1,1,0))</f>
        <v>0</v>
      </c>
      <c r="V73" s="78">
        <f ca="1">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 ca="1">IF(KOGameRule=0,IF(AND(P45&lt;&gt;"",O73=G73,R73=J73),IF(OR(AND((H73+K73)&gt;(I73+L73),(P73+S73)&gt;(Q73+T73)),AND((H73+K73)&lt;(I73+L73),(P73+S73)&lt;(Q73+T73))),Bonu15+Bonu6,Bonu6),0),IF(OR(AND((H73+K73)&gt;(I73+L73),(P73+S73)&gt;(Q73+T73)),AND((H73+K73)&lt;(I73+L73),(P73+S73)&lt;(Q73+T73))),Bonu15,0))</f>
        <v>0</v>
      </c>
      <c r="X73" s="126" t="str">
        <f t="shared" ca="1" si="267"/>
        <v/>
      </c>
      <c r="Y73" s="74" t="str">
        <f ca="1">IF(KOGameRule=1,G73,IF(AND(Z69&lt;&gt;"",AA69&lt;&gt;""),IF((Z69+AC69)&gt;(AA69+AD69),Y69,IF((Z69+AC69)&lt;(AA69+AD69),AB69,Matches!G56)),Matches!G56))</f>
        <v>Germany</v>
      </c>
      <c r="Z73" s="333">
        <v>2</v>
      </c>
      <c r="AA73" s="334">
        <v>1</v>
      </c>
      <c r="AB73" s="76" t="str">
        <f ca="1">IF(KOGameRule=1,J73,IF(AND(Z70&lt;&gt;"",AA70&lt;&gt;""),IF((Z70+AC70)&gt;(AA70+AD70),Y70,IF((Z70+AC70)&lt;(AA70+AD70),AB70,Matches!J56)),Matches!J56))</f>
        <v>Poland</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
      </c>
      <c r="AI73" s="74" t="str">
        <f>IF(KOGameRule=1,G73,IF(AND(AJ69&lt;&gt;"",AK69&lt;&gt;""),IF((AJ69+AM69)&gt;(AK69+AN69),AI69,IF((AJ69+AM69)&lt;(AK69+AN69),AL69,Matches!G56)),Matches!G56))</f>
        <v>Match 45 Winner</v>
      </c>
      <c r="AJ73" s="75"/>
      <c r="AK73" s="75"/>
      <c r="AL73" s="76" t="str">
        <f>IF(KOGameRule=1,J73,IF(AND(AJ70&lt;&gt;"",AK70&lt;&gt;""),IF((AJ70+AM70)&gt;(AK70+AN70),AI70,IF((AJ70+AM70)&lt;(AK70+AN70),AL70,Matches!J56)),Matches!J56))</f>
        <v>Match 46 Winner</v>
      </c>
      <c r="AM73" s="79"/>
      <c r="AN73" s="79"/>
      <c r="AO73" s="131">
        <f>IF(KOMatchRule=1,IF(AND(H73&lt;&gt;"",I73&lt;&gt;"",H73=I73,AP73=Semi1+Pena1),1,IF(AP73=Semi1,1,0)),IF(AP73=Semi1,1,0))</f>
        <v>0</v>
      </c>
      <c r="AP73" s="78">
        <f>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IF(KOGameRule=0,IF(AND(AJ45&lt;&gt;"",AI73=G73,AL73=J73),IF(OR(AND((H73+K73)&gt;(I73+L73),(AJ73+AM73)&gt;(AK73+AN73)),AND((H73+K73)&lt;(I73+L73),(AJ73+AM73)&lt;(AK73+AN73))),Bonu15+Bonu6,Bonu6),0),IF(OR(AND((H73+K73)&gt;(I73+L73),(AJ73+AM73)&gt;(AK73+AN73)),AND((H73+K73)&lt;(I73+L73),(AJ73+AM73)&lt;(AK73+AN73))),Bonu15,0))</f>
        <v>0</v>
      </c>
      <c r="AR73" s="126" t="str">
        <f t="shared" ca="1" si="259"/>
        <v/>
      </c>
      <c r="AS73" s="74" t="str">
        <f>IF(KOGameRule=1,G73,IF(AND(AT69&lt;&gt;"",AU69&lt;&gt;""),IF((AT69+AW69)&gt;(AU69+AX69),AS69,IF((AT69+AW69)&lt;(AU69+AX69),AV69,Matches!G56)),Matches!G56))</f>
        <v>Match 45 Winner</v>
      </c>
      <c r="AT73" s="75"/>
      <c r="AU73" s="75"/>
      <c r="AV73" s="76" t="str">
        <f>IF(KOGameRule=1,J73,IF(AND(AT70&lt;&gt;"",AU70&lt;&gt;""),IF((AT70+AW70)&gt;(AU70+AX70),AS70,IF((AT70+AW70)&lt;(AU70+AX70),AV70,Matches!J56)),Matches!J56))</f>
        <v>Match 46 Winner</v>
      </c>
      <c r="AW73" s="79"/>
      <c r="AX73" s="79"/>
      <c r="AY73" s="131">
        <f>IF(KOMatchRule=1,IF(AND(H73&lt;&gt;"",I73&lt;&gt;"",H73=I73,AZ73=Semi1+Pena1),1,IF(AZ73=Semi1,1,0)),IF(AZ73=Semi1,1,0))</f>
        <v>0</v>
      </c>
      <c r="AZ73" s="78">
        <f>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IF(KOGameRule=0,IF(AND(AT45&lt;&gt;"",AS73=G73,AV73=J73),IF(OR(AND((H73+K73)&gt;(I73+L73),(AT73+AW73)&gt;(AU73+AX73)),AND((H73+K73)&lt;(I73+L73),(AT73+AW73)&lt;(AU73+AX73))),Bonu15+Bonu6,Bonu6),0),IF(OR(AND((H73+K73)&gt;(I73+L73),(AT73+AW73)&gt;(AU73+AX73)),AND((H73+K73)&lt;(I73+L73),(AT73+AW73)&lt;(AU73+AX73))),Bonu15,0))</f>
        <v>0</v>
      </c>
      <c r="BB73" s="126" t="str">
        <f t="shared" ca="1" si="260"/>
        <v>Austria</v>
      </c>
      <c r="BC73" s="74" t="str">
        <f>IF(KOGameRule=1,G73,IF(AND(BD69&lt;&gt;"",BE69&lt;&gt;""),IF((BD69+BG69)&gt;(BE69+BH69),BC69,IF((BD69+BG69)&lt;(BE69+BH69),BF69,Matches!G56)),Matches!G56))</f>
        <v>Match 45 Winner</v>
      </c>
      <c r="BD73" s="75"/>
      <c r="BE73" s="75"/>
      <c r="BF73" s="76" t="str">
        <f>IF(KOGameRule=1,J73,IF(AND(BD70&lt;&gt;"",BE70&lt;&gt;""),IF((BD70+BG70)&gt;(BE70+BH70),BC70,IF((BD70+BG70)&lt;(BE70+BH70),BF70,Matches!J56)),Matches!J56))</f>
        <v>Match 46 Winner</v>
      </c>
      <c r="BG73" s="79"/>
      <c r="BH73" s="79"/>
      <c r="BI73" s="131">
        <f>IF(KOMatchRule=1,IF(AND(H73&lt;&gt;"",I73&lt;&gt;"",H73=I73,BJ73=Semi1+Pena1),1,IF(BJ73=Semi1,1,0)),IF(BJ73=Semi1,1,0))</f>
        <v>0</v>
      </c>
      <c r="BJ73" s="78">
        <f>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IF(KOGameRule=0,IF(AND(BD45&lt;&gt;"",BC73=G73,BF73=J73),IF(OR(AND((H73+K73)&gt;(I73+L73),(BD73+BG73)&gt;(BE73+BH73)),AND((H73+K73)&lt;(I73+L73),(BD73+BG73)&lt;(BE73+BH73))),Bonu15+Bonu6,Bonu6),0),IF(OR(AND((H73+K73)&gt;(I73+L73),(BD73+BG73)&gt;(BE73+BH73)),AND((H73+K73)&lt;(I73+L73),(BD73+BG73)&lt;(BE73+BH73))),Bonu15,0))</f>
        <v>0</v>
      </c>
      <c r="BL73" s="126" t="str">
        <f t="shared" ca="1" si="261"/>
        <v/>
      </c>
      <c r="BM73" s="74" t="str">
        <f>IF(KOGameRule=1,G73,IF(AND(BN69&lt;&gt;"",BO69&lt;&gt;""),IF((BN69+BQ69)&gt;(BO69+BR69),BM69,IF((BN69+BQ69)&lt;(BO69+BR69),BP69,Matches!G56)),Matches!G56))</f>
        <v>Match 45 Winner</v>
      </c>
      <c r="BN73" s="75"/>
      <c r="BO73" s="75"/>
      <c r="BP73" s="76" t="str">
        <f>IF(KOGameRule=1,J73,IF(AND(BN70&lt;&gt;"",BO70&lt;&gt;""),IF((BN70+BQ70)&gt;(BO70+BR70),BM70,IF((BN70+BQ70)&lt;(BO70+BR70),BP70,Matches!J56)),Matches!J56))</f>
        <v>Match 46 Winner</v>
      </c>
      <c r="BQ73" s="79"/>
      <c r="BR73" s="79"/>
      <c r="BS73" s="131">
        <f>IF(KOMatchRule=1,IF(AND(H73&lt;&gt;"",I73&lt;&gt;"",H73=I73,BT73=Semi1+Pena1),1,IF(BT73=Semi1,1,0)),IF(BT73=Semi1,1,0))</f>
        <v>0</v>
      </c>
      <c r="BT73" s="78">
        <f>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IF(KOGameRule=1,G73,IF(AND(BX69&lt;&gt;"",BY69&lt;&gt;""),IF((BX69+CA69)&gt;(BY69+CB69),BW69,IF((BX69+CA69)&lt;(BY69+CB69),BZ69,Matches!G56)),Matches!G56))</f>
        <v>Match 45 Winner</v>
      </c>
      <c r="BX73" s="75"/>
      <c r="BY73" s="75"/>
      <c r="BZ73" s="76" t="str">
        <f>IF(KOGameRule=1,J73,IF(AND(BX70&lt;&gt;"",BY70&lt;&gt;""),IF((BX70+CA70)&gt;(BY70+CB70),BW70,IF((BX70+CA70)&lt;(BY70+CB70),BZ70,Matches!J56)),Matches!J56))</f>
        <v>Match 46 Winner</v>
      </c>
      <c r="CA73" s="79"/>
      <c r="CB73" s="79"/>
      <c r="CC73" s="131">
        <f>IF(KOMatchRule=1,IF(AND(H73&lt;&gt;"",I73&lt;&gt;"",H73=I73,CD73=Semi1+Pena1),1,IF(CD73=Semi1,1,0)),IF(CD73=Semi1,1,0))</f>
        <v>0</v>
      </c>
      <c r="CD73" s="78">
        <f>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IF(KOGameRule=0,IF(AND(BX45&lt;&gt;"",BW73=G73,BZ73=J73),IF(OR(AND((H73+K73)&gt;(I73+L73),(BX73+CA73)&gt;(BY73+CB73)),AND((H73+K73)&lt;(I73+L73),(BX73+CA73)&lt;(BY73+CB73))),Bonu15+Bonu6,Bonu6),0),IF(OR(AND((H73+K73)&gt;(I73+L73),(BX73+CA73)&gt;(BY73+CB73)),AND((H73+K73)&lt;(I73+L73),(BX73+CA73)&lt;(BY73+CB73))),Bonu15,0))</f>
        <v>0</v>
      </c>
      <c r="CF73" s="126" t="str">
        <f t="shared" ca="1" si="263"/>
        <v>Austria</v>
      </c>
      <c r="CG73" s="74" t="str">
        <f>IF(KOGameRule=1,G73,IF(AND(CH69&lt;&gt;"",CI69&lt;&gt;""),IF((CH69+CK69)&gt;(CI69+CL69),CG69,IF((CH69+CK69)&lt;(CI69+CL69),CJ69,Matches!G56)),Matches!G56))</f>
        <v>Match 45 Winner</v>
      </c>
      <c r="CH73" s="75"/>
      <c r="CI73" s="75"/>
      <c r="CJ73" s="76" t="str">
        <f>IF(KOGameRule=1,J73,IF(AND(CH70&lt;&gt;"",CI70&lt;&gt;""),IF((CH70+CK70)&gt;(CI70+CL70),CG70,IF((CH70+CK70)&lt;(CI70+CL70),CJ70,Matches!J56)),Matches!J56))</f>
        <v>Match 46 Winner</v>
      </c>
      <c r="CK73" s="79"/>
      <c r="CL73" s="79"/>
      <c r="CM73" s="131">
        <f>IF(KOMatchRule=1,IF(AND(H73&lt;&gt;"",I73&lt;&gt;"",H73=I73,CN73=Semi1+Pena1),1,IF(CN73=Semi1,1,0)),IF(CN73=Semi1,1,0))</f>
        <v>0</v>
      </c>
      <c r="CN73" s="78">
        <f>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IF(KOGameRule=0,IF(AND(CH45&lt;&gt;"",CG73=G73,CJ73=J73),IF(OR(AND((H73+K73)&gt;(I73+L73),(CH73+CK73)&gt;(CI73+CL73)),AND((H73+K73)&lt;(I73+L73),(CH73+CK73)&lt;(CI73+CL73))),Bonu15+Bonu6,Bonu6),0),IF(OR(AND((H73+K73)&gt;(I73+L73),(CH73+CK73)&gt;(CI73+CL73)),AND((H73+K73)&lt;(I73+L73),(CH73+CK73)&lt;(CI73+CL73))),Bonu15,0))</f>
        <v>0</v>
      </c>
      <c r="CP73" s="126" t="str">
        <f t="shared" ca="1" si="264"/>
        <v>Austria</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Austria</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x14ac:dyDescent="0.25">
      <c r="A74" s="41">
        <v>71</v>
      </c>
      <c r="B74" s="65"/>
      <c r="C74" s="96">
        <v>50</v>
      </c>
      <c r="D74" s="99" t="s">
        <v>114</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
      </c>
      <c r="O74" s="113" t="str">
        <f ca="1">IF(KOGameRule=1,G74,IF(AND(P71&lt;&gt;"",Q71&lt;&gt;""),IF((P71+S71)&gt;(Q71+T71),O71,IF((P71+S71)&lt;(Q71+T71),R71,Matches!G57)),Matches!G57))</f>
        <v>France</v>
      </c>
      <c r="P74" s="75">
        <v>2</v>
      </c>
      <c r="Q74" s="75">
        <v>0</v>
      </c>
      <c r="R74" s="114" t="str">
        <f ca="1">IF(KOGameRule=1,J74,IF(AND(P72&lt;&gt;"",Q72&lt;&gt;""),IF((P72+S72)&gt;(Q72+T72),O72,IF((P72+S72)&lt;(Q72+T72),R72,Matches!J57)),Matches!J57))</f>
        <v>Denmark</v>
      </c>
      <c r="S74" s="100"/>
      <c r="T74" s="100"/>
      <c r="U74" s="131">
        <f ca="1">IF(KOMatchRule=1,IF(AND(H74&lt;&gt;"",I74&lt;&gt;"",H74=I74,V74=Semi1+Pena1),1,IF(V74=Semi1,1,0)),IF(V74=Semi1,1,0))</f>
        <v>0</v>
      </c>
      <c r="V74" s="78">
        <f ca="1">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 ca="1">IF(KOGameRule=0,IF(AND(P45&lt;&gt;"",O74=G74,R74=J74),IF(OR(AND((H74+K74)&gt;(I74+L74),(P74+S74)&gt;(Q74+T74)),AND((H74+K74)&lt;(I74+L74),(P74+S74)&lt;(Q74+T74))),Bonu15+Bonu6,Bonu6),0),IF(OR(AND((H74+K74)&gt;(I74+L74),(P74+S74)&gt;(Q74+T74)),AND((H74+K74)&lt;(I74+L74),(P74+S74)&lt;(Q74+T74))),Bonu15,0))</f>
        <v>0</v>
      </c>
      <c r="X74" s="126" t="str">
        <f t="shared" ca="1" si="267"/>
        <v>Romania</v>
      </c>
      <c r="Y74" s="113" t="str">
        <f ca="1">IF(KOGameRule=1,G74,IF(AND(Z71&lt;&gt;"",AA71&lt;&gt;""),IF((Z71+AC71)&gt;(AA71+AD71),Y71,IF((Z71+AC71)&lt;(AA71+AD71),AB71,Matches!G57)),Matches!G57))</f>
        <v>France</v>
      </c>
      <c r="Z74" s="335">
        <v>1</v>
      </c>
      <c r="AA74" s="336">
        <v>1</v>
      </c>
      <c r="AB74" s="114" t="str">
        <f ca="1">IF(KOGameRule=1,J74,IF(AND(Z72&lt;&gt;"",AA72&lt;&gt;""),IF((Z72+AC72)&gt;(AA72+AD72),Y72,IF((Z72+AC72)&lt;(AA72+AD72),AB72,Matches!J57)),Matches!J57))</f>
        <v>England</v>
      </c>
      <c r="AC74" s="337">
        <v>2</v>
      </c>
      <c r="AD74" s="338">
        <v>3</v>
      </c>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Belgium</v>
      </c>
      <c r="AI74" s="113" t="str">
        <f>IF(KOGameRule=1,G74,IF(AND(AJ71&lt;&gt;"",AK71&lt;&gt;""),IF((AJ71+AM71)&gt;(AK71+AN71),AI71,IF((AJ71+AM71)&lt;(AK71+AN71),AL71,Matches!G57)),Matches!G57))</f>
        <v>Match 47 Winner</v>
      </c>
      <c r="AJ74" s="75"/>
      <c r="AK74" s="75"/>
      <c r="AL74" s="114" t="str">
        <f>IF(KOGameRule=1,J74,IF(AND(AJ72&lt;&gt;"",AK72&lt;&gt;""),IF((AJ72+AM72)&gt;(AK72+AN72),AI72,IF((AJ72+AM72)&lt;(AK72+AN72),AL72,Matches!J57)),Matches!J57))</f>
        <v>Match 48 Winner</v>
      </c>
      <c r="AM74" s="100"/>
      <c r="AN74" s="100"/>
      <c r="AO74" s="131">
        <f>IF(KOMatchRule=1,IF(AND(H74&lt;&gt;"",I74&lt;&gt;"",H74=I74,AP74=Semi1+Pena1),1,IF(AP74=Semi1,1,0)),IF(AP74=Semi1,1,0))</f>
        <v>0</v>
      </c>
      <c r="AP74" s="78">
        <f>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IF(KOGameRule=0,IF(AND(AJ45&lt;&gt;"",AI74=G74,AL74=J74),IF(OR(AND((H74+K74)&gt;(I74+L74),(AJ74+AM74)&gt;(AK74+AN74)),AND((H74+K74)&lt;(I74+L74),(AJ74+AM74)&lt;(AK74+AN74))),Bonu15+Bonu6,Bonu6),0),IF(OR(AND((H74+K74)&gt;(I74+L74),(AJ74+AM74)&gt;(AK74+AN74)),AND((H74+K74)&lt;(I74+L74),(AJ74+AM74)&lt;(AK74+AN74))),Bonu15,0))</f>
        <v>0</v>
      </c>
      <c r="AR74" s="126" t="str">
        <f t="shared" ca="1" si="259"/>
        <v>Ukraine</v>
      </c>
      <c r="AS74" s="113" t="str">
        <f>IF(KOGameRule=1,G74,IF(AND(AT71&lt;&gt;"",AU71&lt;&gt;""),IF((AT71+AW71)&gt;(AU71+AX71),AS71,IF((AT71+AW71)&lt;(AU71+AX71),AV71,Matches!G57)),Matches!G57))</f>
        <v>Match 47 Winner</v>
      </c>
      <c r="AT74" s="75"/>
      <c r="AU74" s="75"/>
      <c r="AV74" s="114" t="str">
        <f>IF(KOGameRule=1,J74,IF(AND(AT72&lt;&gt;"",AU72&lt;&gt;""),IF((AT72+AW72)&gt;(AU72+AX72),AS72,IF((AT72+AW72)&lt;(AU72+AX72),AV72,Matches!J57)),Matches!J57))</f>
        <v>Match 48 Winner</v>
      </c>
      <c r="AW74" s="100"/>
      <c r="AX74" s="100"/>
      <c r="AY74" s="131">
        <f>IF(KOMatchRule=1,IF(AND(H74&lt;&gt;"",I74&lt;&gt;"",H74=I74,AZ74=Semi1+Pena1),1,IF(AZ74=Semi1,1,0)),IF(AZ74=Semi1,1,0))</f>
        <v>0</v>
      </c>
      <c r="AZ74" s="78">
        <f>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IF(KOGameRule=0,IF(AND(AT45&lt;&gt;"",AS74=G74,AV74=J74),IF(OR(AND((H74+K74)&gt;(I74+L74),(AT74+AW74)&gt;(AU74+AX74)),AND((H74+K74)&lt;(I74+L74),(AT74+AW74)&lt;(AU74+AX74))),Bonu15+Bonu6,Bonu6),0),IF(OR(AND((H74+K74)&gt;(I74+L74),(AT74+AW74)&gt;(AU74+AX74)),AND((H74+K74)&lt;(I74+L74),(AT74+AW74)&lt;(AU74+AX74))),Bonu15,0))</f>
        <v>0</v>
      </c>
      <c r="BB74" s="126" t="str">
        <f t="shared" ca="1" si="260"/>
        <v/>
      </c>
      <c r="BC74" s="113" t="str">
        <f>IF(KOGameRule=1,G74,IF(AND(BD71&lt;&gt;"",BE71&lt;&gt;""),IF((BD71+BG71)&gt;(BE71+BH71),BC71,IF((BD71+BG71)&lt;(BE71+BH71),BF71,Matches!G57)),Matches!G57))</f>
        <v>Match 47 Winner</v>
      </c>
      <c r="BD74" s="75"/>
      <c r="BE74" s="75"/>
      <c r="BF74" s="114" t="str">
        <f>IF(KOGameRule=1,J74,IF(AND(BD72&lt;&gt;"",BE72&lt;&gt;""),IF((BD72+BG72)&gt;(BE72+BH72),BC72,IF((BD72+BG72)&lt;(BE72+BH72),BF72,Matches!J57)),Matches!J57))</f>
        <v>Match 48 Winner</v>
      </c>
      <c r="BG74" s="100"/>
      <c r="BH74" s="100"/>
      <c r="BI74" s="131">
        <f>IF(KOMatchRule=1,IF(AND(H74&lt;&gt;"",I74&lt;&gt;"",H74=I74,BJ74=Semi1+Pena1),1,IF(BJ74=Semi1,1,0)),IF(BJ74=Semi1,1,0))</f>
        <v>0</v>
      </c>
      <c r="BJ74" s="78">
        <f>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IF(KOGameRule=1,G74,IF(AND(BN71&lt;&gt;"",BO71&lt;&gt;""),IF((BN71+BQ71)&gt;(BO71+BR71),BM71,IF((BN71+BQ71)&lt;(BO71+BR71),BP71,Matches!G57)),Matches!G57))</f>
        <v>Match 47 Winner</v>
      </c>
      <c r="BN74" s="75"/>
      <c r="BO74" s="75"/>
      <c r="BP74" s="114" t="str">
        <f>IF(KOGameRule=1,J74,IF(AND(BN72&lt;&gt;"",BO72&lt;&gt;""),IF((BN72+BQ72)&gt;(BO72+BR72),BM72,IF((BN72+BQ72)&lt;(BO72+BR72),BP72,Matches!J57)),Matches!J57))</f>
        <v>Match 48 Winner</v>
      </c>
      <c r="BQ74" s="100"/>
      <c r="BR74" s="100"/>
      <c r="BS74" s="131">
        <f>IF(KOMatchRule=1,IF(AND(H74&lt;&gt;"",I74&lt;&gt;"",H74=I74,BT74=Semi1+Pena1),1,IF(BT74=Semi1,1,0)),IF(BT74=Semi1,1,0))</f>
        <v>0</v>
      </c>
      <c r="BT74" s="78">
        <f>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IF(KOGameRule=0,IF(AND(BN45&lt;&gt;"",BM74=G74,BP74=J74),IF(OR(AND((H74+K74)&gt;(I74+L74),(BN74+BQ74)&gt;(BO74+BR74)),AND((H74+K74)&lt;(I74+L74),(BN74+BQ74)&lt;(BO74+BR74))),Bonu15+Bonu6,Bonu6),0),IF(OR(AND((H74+K74)&gt;(I74+L74),(BN74+BQ74)&gt;(BO74+BR74)),AND((H74+K74)&lt;(I74+L74),(BN74+BQ74)&lt;(BO74+BR74))),Bonu15,0))</f>
        <v>0</v>
      </c>
      <c r="BV74" s="126" t="str">
        <f t="shared" ca="1" si="262"/>
        <v/>
      </c>
      <c r="BW74" s="113" t="str">
        <f>IF(KOGameRule=1,G74,IF(AND(BX71&lt;&gt;"",BY71&lt;&gt;""),IF((BX71+CA71)&gt;(BY71+CB71),BW71,IF((BX71+CA71)&lt;(BY71+CB71),BZ71,Matches!G57)),Matches!G57))</f>
        <v>Match 47 Winner</v>
      </c>
      <c r="BX74" s="75"/>
      <c r="BY74" s="75"/>
      <c r="BZ74" s="114" t="str">
        <f>IF(KOGameRule=1,J74,IF(AND(BX72&lt;&gt;"",BY72&lt;&gt;""),IF((BX72+CA72)&gt;(BY72+CB72),BW72,IF((BX72+CA72)&lt;(BY72+CB72),BZ72,Matches!J57)),Matches!J57))</f>
        <v>Match 48 Winner</v>
      </c>
      <c r="CA74" s="100"/>
      <c r="CB74" s="100"/>
      <c r="CC74" s="131">
        <f>IF(KOMatchRule=1,IF(AND(H74&lt;&gt;"",I74&lt;&gt;"",H74=I74,CD74=Semi1+Pena1),1,IF(CD74=Semi1,1,0)),IF(CD74=Semi1,1,0))</f>
        <v>0</v>
      </c>
      <c r="CD74" s="78">
        <f>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IF(KOGameRule=0,IF(AND(BX45&lt;&gt;"",BW74=G74,BZ74=J74),IF(OR(AND((H74+K74)&gt;(I74+L74),(BX74+CA74)&gt;(BY74+CB74)),AND((H74+K74)&lt;(I74+L74),(BX74+CA74)&lt;(BY74+CB74))),Bonu15+Bonu6,Bonu6),0),IF(OR(AND((H74+K74)&gt;(I74+L74),(BX74+CA74)&gt;(BY74+CB74)),AND((H74+K74)&lt;(I74+L74),(BX74+CA74)&lt;(BY74+CB74))),Bonu15,0))</f>
        <v>0</v>
      </c>
      <c r="CF74" s="126" t="str">
        <f t="shared" ca="1" si="263"/>
        <v/>
      </c>
      <c r="CG74" s="113" t="str">
        <f>IF(KOGameRule=1,G74,IF(AND(CH71&lt;&gt;"",CI71&lt;&gt;""),IF((CH71+CK71)&gt;(CI71+CL71),CG71,IF((CH71+CK71)&lt;(CI71+CL71),CJ71,Matches!G57)),Matches!G57))</f>
        <v>Match 47 Winner</v>
      </c>
      <c r="CH74" s="75"/>
      <c r="CI74" s="75"/>
      <c r="CJ74" s="114" t="str">
        <f>IF(KOGameRule=1,J74,IF(AND(CH72&lt;&gt;"",CI72&lt;&gt;""),IF((CH72+CK72)&gt;(CI72+CL72),CG72,IF((CH72+CK72)&lt;(CI72+CL72),CJ72,Matches!J57)),Matches!J57))</f>
        <v>Match 48 Winner</v>
      </c>
      <c r="CK74" s="100"/>
      <c r="CL74" s="100"/>
      <c r="CM74" s="131">
        <f>IF(KOMatchRule=1,IF(AND(H74&lt;&gt;"",I74&lt;&gt;"",H74=I74,CN74=Semi1+Pena1),1,IF(CN74=Semi1,1,0)),IF(CN74=Semi1,1,0))</f>
        <v>0</v>
      </c>
      <c r="CN74" s="78">
        <f>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IF(KOGameRule=0,IF(AND(CH45&lt;&gt;"",CG74=G74,CJ74=J74),IF(OR(AND((H74+K74)&gt;(I74+L74),(CH74+CK74)&gt;(CI74+CL74)),AND((H74+K74)&lt;(I74+L74),(CH74+CK74)&lt;(CI74+CL74))),Bonu15+Bonu6,Bonu6),0),IF(OR(AND((H74+K74)&gt;(I74+L74),(CH74+CK74)&gt;(CI74+CL74)),AND((H74+K74)&lt;(I74+L74),(CH74+CK74)&lt;(CI74+CL74))),Bonu15,0))</f>
        <v>0</v>
      </c>
      <c r="CP74" s="126" t="str">
        <f t="shared" ca="1" si="264"/>
        <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5">
      <c r="A75" s="41">
        <v>73</v>
      </c>
      <c r="B75" s="65"/>
      <c r="C75" s="101">
        <v>51</v>
      </c>
      <c r="D75" s="104" t="s">
        <v>106</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 ca="1">IF(KOGameRule=1,G75,IF(AND(P73&lt;&gt;"",Q73&lt;&gt;""),IF((P73+S73)&gt;(Q73+T73),O73,IF((P73+S73)&lt;(Q73+T73),R73,Matches!G58)),Matches!G58))</f>
        <v>Germany</v>
      </c>
      <c r="P75" s="75">
        <v>4</v>
      </c>
      <c r="Q75" s="75">
        <v>3</v>
      </c>
      <c r="R75" s="116" t="str">
        <f ca="1">IF(KOGameRule=1,J75,IF(AND(P74&lt;&gt;"",Q74&lt;&gt;""),IF((P74+S74)&gt;(Q74+T74),O74,IF((P74+S74)&lt;(Q74+T74),R74,Matches!J58)),Matches!J58))</f>
        <v>France</v>
      </c>
      <c r="S75" s="105"/>
      <c r="T75" s="105"/>
      <c r="U75" s="131">
        <f ca="1">IF(KOMatchRule=1,IF(AND(H75&lt;&gt;"",I75&lt;&gt;"",H75=I75,V75=Fina1+Pena1),1,IF(V75=Fina1,1,0)),IF(V75=Fina1,1,0))</f>
        <v>0</v>
      </c>
      <c r="V75" s="78">
        <f ca="1">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 ca="1">IF(KOGameRule=0,IF(AND(P45&lt;&gt;"",O75=G75,R75=J75),IF(OR(AND((H75+K75)&gt;(I75+L75),(P75+S75)&gt;(Q75+T75)),AND((H75+K75)&lt;(I75+L75),(P75+S75)&lt;(Q75+T75))),Bonu15+Bonu6,Bonu6),0),IF(OR(AND((H75+K75)&gt;(I75+L75),(P75+S75)&gt;(Q75+T75)),AND((H75+K75)&lt;(I75+L75),(P75+S75)&lt;(Q75+T75))),Bonu15,0))</f>
        <v>0</v>
      </c>
      <c r="X75" s="126" t="str">
        <f t="shared" ca="1" si="267"/>
        <v>Türkiye</v>
      </c>
      <c r="Y75" s="115" t="str">
        <f ca="1">IF(KOGameRule=1,G75,IF(AND(Z73&lt;&gt;"",AA73&lt;&gt;""),IF((Z73+AC73)&gt;(AA73+AD73),Y73,IF((Z73+AC73)&lt;(AA73+AD73),AB73,Matches!G58)),Matches!G58))</f>
        <v>Germany</v>
      </c>
      <c r="Z75" s="333">
        <v>0</v>
      </c>
      <c r="AA75" s="334">
        <v>0</v>
      </c>
      <c r="AB75" s="116" t="str">
        <f ca="1">IF(KOGameRule=1,J75,IF(AND(Z74&lt;&gt;"",AA74&lt;&gt;""),IF((Z74+AC74)&gt;(AA74+AD74),Y74,IF((Z74+AC74)&lt;(AA74+AD74),AB74,Matches!J58)),Matches!J58))</f>
        <v>England</v>
      </c>
      <c r="AC75" s="337">
        <v>10</v>
      </c>
      <c r="AD75" s="338">
        <v>9</v>
      </c>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Czechia</v>
      </c>
      <c r="AI75" s="115" t="str">
        <f>IF(KOGameRule=1,G75,IF(AND(AJ73&lt;&gt;"",AK73&lt;&gt;""),IF((AJ73+AM73)&gt;(AK73+AN73),AI73,IF((AJ73+AM73)&lt;(AK73+AN73),AL73,Matches!G58)),Matches!G58))</f>
        <v>Match 49 Winner</v>
      </c>
      <c r="AJ75" s="75"/>
      <c r="AK75" s="75"/>
      <c r="AL75" s="116" t="str">
        <f>IF(KOGameRule=1,J75,IF(AND(AJ74&lt;&gt;"",AK74&lt;&gt;""),IF((AJ74+AM74)&gt;(AK74+AN74),AI74,IF((AJ74+AM74)&lt;(AK74+AN74),AL74,Matches!J58)),Matches!J58))</f>
        <v>Match 50 Winner</v>
      </c>
      <c r="AM75" s="105"/>
      <c r="AN75" s="105"/>
      <c r="AO75" s="131">
        <f>IF(KOMatchRule=1,IF(AND(H75&lt;&gt;"",I75&lt;&gt;"",H75=I75,AP75=Fina1+Pena1),1,IF(AP75=Fina1,1,0)),IF(AP75=Fina1,1,0))</f>
        <v>0</v>
      </c>
      <c r="AP75" s="78">
        <f>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IF(KOGameRule=0,IF(AND(AJ45&lt;&gt;"",AI75=G75,AL75=J75),IF(OR(AND((H75+K75)&gt;(I75+L75),(AJ75+AM75)&gt;(AK75+AN75)),AND((H75+K75)&lt;(I75+L75),(AJ75+AM75)&lt;(AK75+AN75))),Bonu15+Bonu6,Bonu6),0),IF(OR(AND((H75+K75)&gt;(I75+L75),(AJ75+AM75)&gt;(AK75+AN75)),AND((H75+K75)&lt;(I75+L75),(AJ75+AM75)&lt;(AK75+AN75))),Bonu15,0))</f>
        <v>0</v>
      </c>
      <c r="AR75" s="126" t="str">
        <f t="shared" ca="1" si="259"/>
        <v>Czechia</v>
      </c>
      <c r="AS75" s="115" t="str">
        <f>IF(KOGameRule=1,G75,IF(AND(AT73&lt;&gt;"",AU73&lt;&gt;""),IF((AT73+AW73)&gt;(AU73+AX73),AS73,IF((AT73+AW73)&lt;(AU73+AX73),AV73,Matches!G58)),Matches!G58))</f>
        <v>Match 49 Winner</v>
      </c>
      <c r="AT75" s="75"/>
      <c r="AU75" s="75"/>
      <c r="AV75" s="116" t="str">
        <f>IF(KOGameRule=1,J75,IF(AND(AT74&lt;&gt;"",AU74&lt;&gt;""),IF((AT74+AW74)&gt;(AU74+AX74),AS74,IF((AT74+AW74)&lt;(AU74+AX74),AV74,Matches!J58)),Matches!J58))</f>
        <v>Match 50 Winner</v>
      </c>
      <c r="AW75" s="105"/>
      <c r="AX75" s="105"/>
      <c r="AY75" s="131">
        <f>IF(KOMatchRule=1,IF(AND(H75&lt;&gt;"",I75&lt;&gt;"",H75=I75,AZ75=Fina1+Pena1),1,IF(AZ75=Fina1,1,0)),IF(AZ75=Fina1,1,0))</f>
        <v>0</v>
      </c>
      <c r="AZ75" s="78">
        <f>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IF(KOGameRule=0,IF(AND(AT45&lt;&gt;"",AS75=G75,AV75=J75),IF(OR(AND((H75+K75)&gt;(I75+L75),(AT75+AW75)&gt;(AU75+AX75)),AND((H75+K75)&lt;(I75+L75),(AT75+AW75)&lt;(AU75+AX75))),Bonu15+Bonu6,Bonu6),0),IF(OR(AND((H75+K75)&gt;(I75+L75),(AT75+AW75)&gt;(AU75+AX75)),AND((H75+K75)&lt;(I75+L75),(AT75+AW75)&lt;(AU75+AX75))),Bonu15,0))</f>
        <v>0</v>
      </c>
      <c r="BB75" s="126" t="str">
        <f t="shared" ca="1" si="260"/>
        <v/>
      </c>
      <c r="BC75" s="115" t="str">
        <f>IF(KOGameRule=1,G75,IF(AND(BD73&lt;&gt;"",BE73&lt;&gt;""),IF((BD73+BG73)&gt;(BE73+BH73),BC73,IF((BD73+BG73)&lt;(BE73+BH73),BF73,Matches!G58)),Matches!G58))</f>
        <v>Match 49 Winner</v>
      </c>
      <c r="BD75" s="75"/>
      <c r="BE75" s="75"/>
      <c r="BF75" s="116" t="str">
        <f>IF(KOGameRule=1,J75,IF(AND(BD74&lt;&gt;"",BE74&lt;&gt;""),IF((BD74+BG74)&gt;(BE74+BH74),BC74,IF((BD74+BG74)&lt;(BE74+BH74),BF74,Matches!J58)),Matches!J58))</f>
        <v>Match 50 Winner</v>
      </c>
      <c r="BG75" s="105"/>
      <c r="BH75" s="105"/>
      <c r="BI75" s="131">
        <f>IF(KOMatchRule=1,IF(AND(H75&lt;&gt;"",I75&lt;&gt;"",H75=I75,BJ75=Fina1+Pena1),1,IF(BJ75=Fina1,1,0)),IF(BJ75=Fina1,1,0))</f>
        <v>0</v>
      </c>
      <c r="BJ75" s="78">
        <f>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IF(KOGameRule=0,IF(AND(BD45&lt;&gt;"",BC75=G75,BF75=J75),IF(OR(AND((H75+K75)&gt;(I75+L75),(BD75+BG75)&gt;(BE75+BH75)),AND((H75+K75)&lt;(I75+L75),(BD75+BG75)&lt;(BE75+BH75))),Bonu15+Bonu6,Bonu6),0),IF(OR(AND((H75+K75)&gt;(I75+L75),(BD75+BG75)&gt;(BE75+BH75)),AND((H75+K75)&lt;(I75+L75),(BD75+BG75)&lt;(BE75+BH75))),Bonu15,0))</f>
        <v>0</v>
      </c>
      <c r="BL75" s="126" t="str">
        <f t="shared" ca="1" si="261"/>
        <v>Türkiye</v>
      </c>
      <c r="BM75" s="115" t="str">
        <f>IF(KOGameRule=1,G75,IF(AND(BN73&lt;&gt;"",BO73&lt;&gt;""),IF((BN73+BQ73)&gt;(BO73+BR73),BM73,IF((BN73+BQ73)&lt;(BO73+BR73),BP73,Matches!G58)),Matches!G58))</f>
        <v>Match 49 Winner</v>
      </c>
      <c r="BN75" s="75"/>
      <c r="BO75" s="75"/>
      <c r="BP75" s="116" t="str">
        <f>IF(KOGameRule=1,J75,IF(AND(BN74&lt;&gt;"",BO74&lt;&gt;""),IF((BN74+BQ74)&gt;(BO74+BR74),BM74,IF((BN74+BQ74)&lt;(BO74+BR74),BP74,Matches!J58)),Matches!J58))</f>
        <v>Match 50 Winner</v>
      </c>
      <c r="BQ75" s="105"/>
      <c r="BR75" s="105"/>
      <c r="BS75" s="131">
        <f>IF(KOMatchRule=1,IF(AND(H75&lt;&gt;"",I75&lt;&gt;"",H75=I75,BT75=Fina1+Pena1),1,IF(BT75=Fina1,1,0)),IF(BT75=Fina1,1,0))</f>
        <v>0</v>
      </c>
      <c r="BT75" s="78">
        <f>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IF(KOGameRule=1,G75,IF(AND(BX73&lt;&gt;"",BY73&lt;&gt;""),IF((BX73+CA73)&gt;(BY73+CB73),BW73,IF((BX73+CA73)&lt;(BY73+CB73),BZ73,Matches!G58)),Matches!G58))</f>
        <v>Match 49 Winner</v>
      </c>
      <c r="BX75" s="75"/>
      <c r="BY75" s="75"/>
      <c r="BZ75" s="116" t="str">
        <f>IF(KOGameRule=1,J75,IF(AND(BX74&lt;&gt;"",BY74&lt;&gt;""),IF((BX74+CA74)&gt;(BY74+CB74),BW74,IF((BX74+CA74)&lt;(BY74+CB74),BZ74,Matches!J58)),Matches!J58))</f>
        <v>Match 50 Winner</v>
      </c>
      <c r="CA75" s="105"/>
      <c r="CB75" s="105"/>
      <c r="CC75" s="131">
        <f>IF(KOMatchRule=1,IF(AND(H75&lt;&gt;"",I75&lt;&gt;"",H75=I75,CD75=Fina1+Pena1),1,IF(CD75=Fina1,1,0)),IF(CD75=Fina1,1,0))</f>
        <v>0</v>
      </c>
      <c r="CD75" s="78">
        <f>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IF(KOGameRule=0,IF(AND(BX45&lt;&gt;"",BW75=G75,BZ75=J75),IF(OR(AND((H75+K75)&gt;(I75+L75),(BX75+CA75)&gt;(BY75+CB75)),AND((H75+K75)&lt;(I75+L75),(BX75+CA75)&lt;(BY75+CB75))),Bonu15+Bonu6,Bonu6),0),IF(OR(AND((H75+K75)&gt;(I75+L75),(BX75+CA75)&gt;(BY75+CB75)),AND((H75+K75)&lt;(I75+L75),(BX75+CA75)&lt;(BY75+CB75))),Bonu15,0))</f>
        <v>0</v>
      </c>
      <c r="CF75" s="126" t="str">
        <f t="shared" ca="1" si="263"/>
        <v/>
      </c>
      <c r="CG75" s="115" t="str">
        <f>IF(KOGameRule=1,G75,IF(AND(CH73&lt;&gt;"",CI73&lt;&gt;""),IF((CH73+CK73)&gt;(CI73+CL73),CG73,IF((CH73+CK73)&lt;(CI73+CL73),CJ73,Matches!G58)),Matches!G58))</f>
        <v>Match 49 Winner</v>
      </c>
      <c r="CH75" s="75"/>
      <c r="CI75" s="75"/>
      <c r="CJ75" s="116" t="str">
        <f>IF(KOGameRule=1,J75,IF(AND(CH74&lt;&gt;"",CI74&lt;&gt;""),IF((CH74+CK74)&gt;(CI74+CL74),CG74,IF((CH74+CK74)&lt;(CI74+CL74),CJ74,Matches!J58)),Matches!J58))</f>
        <v>Match 50 Winner</v>
      </c>
      <c r="CK75" s="105"/>
      <c r="CL75" s="105"/>
      <c r="CM75" s="131">
        <f>IF(KOMatchRule=1,IF(AND(H75&lt;&gt;"",I75&lt;&gt;"",H75=I75,CN75=Fina1+Pena1),1,IF(CN75=Fina1,1,0)),IF(CN75=Fina1,1,0))</f>
        <v>0</v>
      </c>
      <c r="CN75" s="78">
        <f>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5">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5">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5">
      <c r="A78" s="41"/>
      <c r="B78" s="65"/>
      <c r="C78" s="401" t="s">
        <v>115</v>
      </c>
      <c r="D78" s="402"/>
      <c r="E78" s="402"/>
      <c r="F78" s="402"/>
      <c r="G78" s="383" t="str">
        <f>UPPER(IF(AND(H75&lt;&gt;"",I75&lt;&gt;""),IF((H75+K75)&gt;(I75+L75),G75,IF((H75+K75)&lt;(I75+L75),J75,'Language Table'!C77)),'Language Table'!C77))</f>
        <v>MATCH 51 WINNER</v>
      </c>
      <c r="H78" s="383"/>
      <c r="I78" s="383"/>
      <c r="J78" s="383"/>
      <c r="K78" s="383"/>
      <c r="L78" s="384"/>
      <c r="M78" s="89"/>
      <c r="N78" s="193"/>
      <c r="O78" s="122" t="str">
        <f>C78</f>
        <v>CHAMPION</v>
      </c>
      <c r="P78" s="363" t="str">
        <f ca="1">UPPER(IF(KOGameRule=1,G78,IF(AND(P75&lt;&gt;"",Q75&lt;&gt;""),IF(P75&gt;Q75,O75,IF(P75&lt;Q75,R75,IF(S75&gt;T75,O75,IF(S75&lt;T75,R75,"Match 51 Winner")))),"Match 51 Winner")))</f>
        <v>GERMANY</v>
      </c>
      <c r="Q78" s="363"/>
      <c r="R78" s="363"/>
      <c r="S78" s="363"/>
      <c r="T78" s="363"/>
      <c r="U78" s="364"/>
      <c r="V78" s="368" t="s">
        <v>116</v>
      </c>
      <c r="W78" s="369"/>
      <c r="X78" s="273"/>
      <c r="Y78" s="122" t="str">
        <f>O78</f>
        <v>CHAMPION</v>
      </c>
      <c r="Z78" s="363" t="str">
        <f ca="1">UPPER(IF(KOGameRule=1,G78,IF(AND(Z75&lt;&gt;"",AA75&lt;&gt;""),IF(Z75&gt;AA75,Y75,IF(Z75&lt;AA75,AB75,IF(AC75&gt;AD75,Y75,IF(AC75&lt;AD75,AB75,"Match 51 Winner")))),"Match 51 Winner")))</f>
        <v>GERMANY</v>
      </c>
      <c r="AA78" s="363"/>
      <c r="AB78" s="363"/>
      <c r="AC78" s="363"/>
      <c r="AD78" s="363"/>
      <c r="AE78" s="363"/>
      <c r="AF78" s="368" t="s">
        <v>116</v>
      </c>
      <c r="AG78" s="369"/>
      <c r="AH78" s="193"/>
      <c r="AI78" s="122" t="str">
        <f t="shared" ref="AI78:AI81" si="269">Y78</f>
        <v>CHAMPION</v>
      </c>
      <c r="AJ78" s="363" t="str">
        <f>UPPER(IF(KOGameRule=1,G78,IF(AND(AJ75&lt;&gt;"",AK75&lt;&gt;""),IF(AJ75&gt;AK75,AI75,IF(AJ75&lt;AK75,AL75,IF(AM75&gt;AN75,AI75,IF(AM75&lt;AN75,AL75,"Match 51 Winner")))),"Match 51 Winner")))</f>
        <v>MATCH 51 WINNER</v>
      </c>
      <c r="AK78" s="363"/>
      <c r="AL78" s="363"/>
      <c r="AM78" s="363"/>
      <c r="AN78" s="363"/>
      <c r="AO78" s="363"/>
      <c r="AP78" s="368" t="s">
        <v>116</v>
      </c>
      <c r="AQ78" s="369"/>
      <c r="AR78" s="193"/>
      <c r="AS78" s="122" t="str">
        <f t="shared" ref="AS78:AS81" si="270">AI78</f>
        <v>CHAMPION</v>
      </c>
      <c r="AT78" s="363" t="str">
        <f>UPPER(IF(KOGameRule=1,G78,IF(AND(AT75&lt;&gt;"",AU75&lt;&gt;""),IF(AT75&gt;AU75,AS75,IF(AT75&lt;AU75,AV75,IF(AW75&gt;AX75,AS75,IF(AW75&lt;AX75,AV75,"Match 51 Winner")))),"Match 51 Winner")))</f>
        <v>MATCH 51 WINNER</v>
      </c>
      <c r="AU78" s="363"/>
      <c r="AV78" s="363"/>
      <c r="AW78" s="363"/>
      <c r="AX78" s="363"/>
      <c r="AY78" s="363"/>
      <c r="AZ78" s="368" t="s">
        <v>116</v>
      </c>
      <c r="BA78" s="369"/>
      <c r="BB78" s="193"/>
      <c r="BC78" s="122" t="str">
        <f t="shared" ref="BC78:BC81" si="271">AS78</f>
        <v>CHAMPION</v>
      </c>
      <c r="BD78" s="363" t="str">
        <f>UPPER(IF(KOGameRule=1,G78,IF(AND(BD75&lt;&gt;"",BE75&lt;&gt;""),IF(BD75&gt;BE75,BC75,IF(BD75&lt;BE75,BF75,IF(BG75&gt;BH75,BC75,IF(BG75&lt;BH75,BF75,"Match 51 Winner")))),"Match 51 Winner")))</f>
        <v>MATCH 51 WINNER</v>
      </c>
      <c r="BE78" s="363"/>
      <c r="BF78" s="363"/>
      <c r="BG78" s="363"/>
      <c r="BH78" s="363"/>
      <c r="BI78" s="363"/>
      <c r="BJ78" s="368" t="s">
        <v>116</v>
      </c>
      <c r="BK78" s="369"/>
      <c r="BL78" s="193"/>
      <c r="BM78" s="122" t="str">
        <f t="shared" ref="BM78:BM81" si="272">BC78</f>
        <v>CHAMPION</v>
      </c>
      <c r="BN78" s="363" t="str">
        <f>UPPER(IF(KOGameRule=1,G78,IF(AND(BN75&lt;&gt;"",BO75&lt;&gt;""),IF(BN75&gt;BO75,BM75,IF(BN75&lt;BO75,BP75,IF(BQ75&gt;BR75,BM75,IF(BQ75&lt;BR75,BP75,"Match 51 Winner")))),"Match 51 Winner")))</f>
        <v>MATCH 51 WINNER</v>
      </c>
      <c r="BO78" s="363"/>
      <c r="BP78" s="363"/>
      <c r="BQ78" s="363"/>
      <c r="BR78" s="363"/>
      <c r="BS78" s="363"/>
      <c r="BT78" s="368" t="s">
        <v>116</v>
      </c>
      <c r="BU78" s="369"/>
      <c r="BV78" s="193"/>
      <c r="BW78" s="122" t="str">
        <f t="shared" ref="BW78:BW81" si="273">BM78</f>
        <v>CHAMPION</v>
      </c>
      <c r="BX78" s="363" t="str">
        <f>UPPER(IF(KOGameRule=1,G78,IF(AND(BX75&lt;&gt;"",BY75&lt;&gt;""),IF(BX75&gt;BY75,BW75,IF(BX75&lt;BY75,BZ75,IF(CA75&gt;CB75,BW75,IF(CA75&lt;CB75,BZ75,"Match 51 Winner")))),"Match 51 Winner")))</f>
        <v>MATCH 51 WINNER</v>
      </c>
      <c r="BY78" s="363"/>
      <c r="BZ78" s="363"/>
      <c r="CA78" s="363"/>
      <c r="CB78" s="363"/>
      <c r="CC78" s="363"/>
      <c r="CD78" s="368" t="s">
        <v>116</v>
      </c>
      <c r="CE78" s="369"/>
      <c r="CF78" s="193"/>
      <c r="CG78" s="122" t="str">
        <f t="shared" ref="CG78:CG81" si="274">BW78</f>
        <v>CHAMPION</v>
      </c>
      <c r="CH78" s="363" t="str">
        <f>UPPER(IF(KOGameRule=1,G78,IF(AND(CH75&lt;&gt;"",CI75&lt;&gt;""),IF(CH75&gt;CI75,CG75,IF(CH75&lt;CI75,CJ75,IF(CK75&gt;CL75,CG75,IF(CK75&lt;CL75,CJ75,"Match 51 Winner")))),"Match 51 Winner")))</f>
        <v>MATCH 51 WINNER</v>
      </c>
      <c r="CI78" s="363"/>
      <c r="CJ78" s="363"/>
      <c r="CK78" s="363"/>
      <c r="CL78" s="363"/>
      <c r="CM78" s="363"/>
      <c r="CN78" s="368" t="s">
        <v>116</v>
      </c>
      <c r="CO78" s="369"/>
      <c r="CP78" s="193"/>
      <c r="CQ78" s="122" t="str">
        <f t="shared" ref="CQ78:CQ81" si="275">CG78</f>
        <v>CHAMPION</v>
      </c>
      <c r="CR78" s="363" t="str">
        <f>UPPER(IF(KOGameRule=1,G78,IF(AND(CR75&lt;&gt;"",CS75&lt;&gt;""),IF(CR75&gt;CS75,CQ75,IF(CR75&lt;CS75,CT75,IF(CU75&gt;CV75,CQ75,IF(CU75&lt;CV75,CT75,"Match 51 Winner")))),"Match 51 Winner")))</f>
        <v>MATCH 51 WINNER</v>
      </c>
      <c r="CS78" s="363"/>
      <c r="CT78" s="363"/>
      <c r="CU78" s="363"/>
      <c r="CV78" s="363"/>
      <c r="CW78" s="363"/>
      <c r="CX78" s="368" t="s">
        <v>116</v>
      </c>
      <c r="CY78" s="369"/>
      <c r="CZ78" s="193"/>
      <c r="DA78" s="122" t="str">
        <f t="shared" ref="DA78:DA81" si="276">CQ78</f>
        <v>CHAMPION</v>
      </c>
      <c r="DB78" s="363" t="str">
        <f>UPPER(IF(KOGameRule=1,G78,IF(AND(DB75&lt;&gt;"",DC75&lt;&gt;""),IF(DB75&gt;DC75,DA75,IF(DB75&lt;DC75,DD75,IF(DE75&gt;DF75,DA75,IF(DE75&lt;DF75,DD75,"Match 51 Winner")))),"Match 51 Winner")))</f>
        <v>MATCH 51 WINNER</v>
      </c>
      <c r="DC78" s="363"/>
      <c r="DD78" s="363"/>
      <c r="DE78" s="363"/>
      <c r="DF78" s="363"/>
      <c r="DG78" s="363"/>
      <c r="DH78" s="368" t="s">
        <v>116</v>
      </c>
      <c r="DI78" s="369"/>
    </row>
    <row r="79" spans="1:113" s="43" customFormat="1" ht="15" customHeight="1" x14ac:dyDescent="0.25">
      <c r="A79" s="41"/>
      <c r="B79" s="65"/>
      <c r="C79" s="392" t="s">
        <v>117</v>
      </c>
      <c r="D79" s="393"/>
      <c r="E79" s="393"/>
      <c r="F79" s="393"/>
      <c r="G79" s="383" t="str">
        <f>UPPER(IF(AND(H75&lt;&gt;"",I75&lt;&gt;""),IF((H75+K75)&gt;(I75+L75),J75,IF((H75+K75)&lt;(I75+L75),G75,"Match 51 Loser")),"Match 51 Loser"))</f>
        <v>MATCH 51 LOSER</v>
      </c>
      <c r="H79" s="383"/>
      <c r="I79" s="383"/>
      <c r="J79" s="383"/>
      <c r="K79" s="383"/>
      <c r="L79" s="384"/>
      <c r="M79" s="89"/>
      <c r="O79" s="122" t="str">
        <f t="shared" ref="O79:O81" si="277">C79</f>
        <v>RUNNER UP</v>
      </c>
      <c r="P79" s="374" t="str">
        <f ca="1">UPPER(IF(KOGameRule=1,G79,IF(AND(P75&lt;&gt;"",Q75&lt;&gt;""),IF(P75&gt;Q75,R75,IF(P75&lt;Q75,O75,IF(S75&gt;T75,R75,IF(S75&lt;T75,O75,"Match 51 Loser")))),"Match 51 Loser")))</f>
        <v>FRANCE</v>
      </c>
      <c r="Q79" s="374"/>
      <c r="R79" s="374"/>
      <c r="S79" s="374"/>
      <c r="T79" s="374"/>
      <c r="U79" s="400"/>
      <c r="V79" s="370"/>
      <c r="W79" s="371"/>
      <c r="Y79" s="122" t="str">
        <f t="shared" ref="Y79:Y81" si="278">O79</f>
        <v>RUNNER UP</v>
      </c>
      <c r="Z79" s="374" t="str">
        <f ca="1">UPPER(IF(KOGameRule=1,G79,IF(AND(Z75&lt;&gt;"",AA75&lt;&gt;""),IF(Z75&gt;AA75,AB75,IF(Z75&lt;AA75,Y75,IF(AC75&gt;AD75,AB75,IF(AC75&lt;AD75,Y75,"Match 51 Loser")))),"Match 51 Loser")))</f>
        <v>ENGLAND</v>
      </c>
      <c r="AA79" s="374"/>
      <c r="AB79" s="374"/>
      <c r="AC79" s="374"/>
      <c r="AD79" s="374"/>
      <c r="AE79" s="374"/>
      <c r="AF79" s="370"/>
      <c r="AG79" s="371"/>
      <c r="AI79" s="122" t="str">
        <f t="shared" si="269"/>
        <v>RUNNER UP</v>
      </c>
      <c r="AJ79" s="374" t="str">
        <f>UPPER(IF(KOGameRule=1,G79,IF(AND(AJ75&lt;&gt;"",AK75&lt;&gt;""),IF(AJ75&gt;AK75,AL75,IF(AJ75&lt;AK75,AI75,IF(AM75&gt;AN75,AL75,IF(AM75&lt;AN75,AI75,"Match 51 Loser")))),"Match 51 Loser")))</f>
        <v>MATCH 51 LOSER</v>
      </c>
      <c r="AK79" s="374"/>
      <c r="AL79" s="374"/>
      <c r="AM79" s="374"/>
      <c r="AN79" s="374"/>
      <c r="AO79" s="374"/>
      <c r="AP79" s="370"/>
      <c r="AQ79" s="371"/>
      <c r="AS79" s="122" t="str">
        <f t="shared" si="270"/>
        <v>RUNNER UP</v>
      </c>
      <c r="AT79" s="374" t="str">
        <f>UPPER(IF(KOGameRule=1,G79,IF(AND(AT75&lt;&gt;"",AU75&lt;&gt;""),IF(AT75&gt;AU75,AV75,IF(AT75&lt;AU75,AS75,IF(AW75&gt;AX75,AV75,IF(AW75&lt;AX75,AS75,"Match 51 Loser")))),"Match 51 Loser")))</f>
        <v>MATCH 51 LOSER</v>
      </c>
      <c r="AU79" s="374"/>
      <c r="AV79" s="374"/>
      <c r="AW79" s="374"/>
      <c r="AX79" s="374"/>
      <c r="AY79" s="374"/>
      <c r="AZ79" s="370"/>
      <c r="BA79" s="371"/>
      <c r="BC79" s="122" t="str">
        <f t="shared" si="271"/>
        <v>RUNNER UP</v>
      </c>
      <c r="BD79" s="374" t="str">
        <f>UPPER(IF(KOGameRule=1,G79,IF(AND(BD75&lt;&gt;"",BE75&lt;&gt;""),IF(BD75&gt;BE75,BF75,IF(BD75&lt;BE75,BC75,IF(BG75&gt;BH75,BF75,IF(BG75&lt;BH75,BC75,"Match 51 Loser")))),"Match 51 Loser")))</f>
        <v>MATCH 51 LOSER</v>
      </c>
      <c r="BE79" s="374"/>
      <c r="BF79" s="374"/>
      <c r="BG79" s="374"/>
      <c r="BH79" s="374"/>
      <c r="BI79" s="374"/>
      <c r="BJ79" s="370"/>
      <c r="BK79" s="371"/>
      <c r="BM79" s="122" t="str">
        <f t="shared" si="272"/>
        <v>RUNNER UP</v>
      </c>
      <c r="BN79" s="374" t="str">
        <f>UPPER(IF(KOGameRule=1,G79,IF(AND(BN75&lt;&gt;"",BO75&lt;&gt;""),IF(BN75&gt;BO75,BP75,IF(BN75&lt;BO75,BM75,IF(BQ75&gt;BR75,BP75,IF(BQ75&lt;BR75,BM75,"Match 51 Loser")))),"Match 51 Loser")))</f>
        <v>MATCH 51 LOSER</v>
      </c>
      <c r="BO79" s="374"/>
      <c r="BP79" s="374"/>
      <c r="BQ79" s="374"/>
      <c r="BR79" s="374"/>
      <c r="BS79" s="374"/>
      <c r="BT79" s="370"/>
      <c r="BU79" s="371"/>
      <c r="BW79" s="122" t="str">
        <f t="shared" si="273"/>
        <v>RUNNER UP</v>
      </c>
      <c r="BX79" s="374" t="str">
        <f>UPPER(IF(KOGameRule=1,G79,IF(AND(BX75&lt;&gt;"",BY75&lt;&gt;""),IF(BX75&gt;BY75,BZ75,IF(BX75&lt;BY75,BW75,IF(CA75&gt;CB75,BZ75,IF(CA75&lt;CB75,BW75,"Match 51 Loser")))),"Match 51 Loser")))</f>
        <v>MATCH 51 LOSER</v>
      </c>
      <c r="BY79" s="374"/>
      <c r="BZ79" s="374"/>
      <c r="CA79" s="374"/>
      <c r="CB79" s="374"/>
      <c r="CC79" s="374"/>
      <c r="CD79" s="370"/>
      <c r="CE79" s="371"/>
      <c r="CG79" s="122" t="str">
        <f t="shared" si="274"/>
        <v>RUNNER UP</v>
      </c>
      <c r="CH79" s="374" t="str">
        <f>UPPER(IF(KOGameRule=1,G79,IF(AND(CH75&lt;&gt;"",CI75&lt;&gt;""),IF(CH75&gt;CI75,CJ75,IF(CH75&lt;CI75,CG75,IF(CK75&gt;CL75,CJ75,IF(CK75&lt;CL75,CG75,"Match 51 Loser")))),"Match 51 Loser")))</f>
        <v>MATCH 51 LOSER</v>
      </c>
      <c r="CI79" s="374"/>
      <c r="CJ79" s="374"/>
      <c r="CK79" s="374"/>
      <c r="CL79" s="374"/>
      <c r="CM79" s="374"/>
      <c r="CN79" s="370"/>
      <c r="CO79" s="371"/>
      <c r="CQ79" s="122" t="str">
        <f t="shared" si="275"/>
        <v>RUNNER UP</v>
      </c>
      <c r="CR79" s="374" t="str">
        <f>UPPER(IF(KOGameRule=1,G79,IF(AND(CR75&lt;&gt;"",CS75&lt;&gt;""),IF(CR75&gt;CS75,CT75,IF(CR75&lt;CS75,CQ75,IF(CU75&gt;CV75,CT75,IF(CU75&lt;CV75,CQ75,"Match 51 Loser")))),"Match 51 Loser")))</f>
        <v>MATCH 51 LOSER</v>
      </c>
      <c r="CS79" s="374"/>
      <c r="CT79" s="374"/>
      <c r="CU79" s="374"/>
      <c r="CV79" s="374"/>
      <c r="CW79" s="374"/>
      <c r="CX79" s="370"/>
      <c r="CY79" s="371"/>
      <c r="DA79" s="122" t="str">
        <f t="shared" si="276"/>
        <v>RUNNER UP</v>
      </c>
      <c r="DB79" s="374" t="str">
        <f>UPPER(IF(KOGameRule=1,G79,IF(AND(DB75&lt;&gt;"",DC75&lt;&gt;""),IF(DB75&gt;DC75,DD75,IF(DB75&lt;DC75,DA75,IF(DE75&gt;DF75,DD75,IF(DE75&lt;DF75,DA75,"Match 51 Loser")))),"Match 51 Loser")))</f>
        <v>MATCH 51 LOSER</v>
      </c>
      <c r="DC79" s="374"/>
      <c r="DD79" s="374"/>
      <c r="DE79" s="374"/>
      <c r="DF79" s="374"/>
      <c r="DG79" s="374"/>
      <c r="DH79" s="370"/>
      <c r="DI79" s="371"/>
    </row>
    <row r="80" spans="1:113" s="43" customFormat="1" ht="15" customHeight="1" x14ac:dyDescent="0.25">
      <c r="A80" s="41"/>
      <c r="B80" s="65"/>
      <c r="C80" s="392" t="s">
        <v>118</v>
      </c>
      <c r="D80" s="393"/>
      <c r="E80" s="393"/>
      <c r="F80" s="393"/>
      <c r="G80" s="383" t="str">
        <f>IF(AND(H73&lt;&gt;"",I73&lt;&gt;""),IF((H73+K73)&gt;(I73+L73),J73,IF((H73+K73)&lt;(I73+L73),G73,"Match 49 Loser")),"Match 49 Loser")</f>
        <v>Match 49 Loser</v>
      </c>
      <c r="H80" s="383"/>
      <c r="I80" s="383"/>
      <c r="J80" s="383"/>
      <c r="K80" s="383"/>
      <c r="L80" s="384"/>
      <c r="M80" s="89"/>
      <c r="O80" s="122" t="str">
        <f t="shared" si="277"/>
        <v>SEMIFINALIST 1</v>
      </c>
      <c r="P80" s="374" t="str">
        <f ca="1">IF(KOGameRule=1,G80,IF(AND(P73&lt;&gt;"",Q73&lt;&gt;""),IF((P73+S73)&gt;(Q73+T73),R73,IF((P73+S73)&lt;(Q73+T73),O73,"Match 49 Loser")),"Match 49 Loser"))</f>
        <v>Netherlands</v>
      </c>
      <c r="Q80" s="374"/>
      <c r="R80" s="374"/>
      <c r="S80" s="374"/>
      <c r="T80" s="374"/>
      <c r="U80" s="400"/>
      <c r="V80" s="370"/>
      <c r="W80" s="371"/>
      <c r="Y80" s="122" t="str">
        <f t="shared" si="278"/>
        <v>SEMIFINALIST 1</v>
      </c>
      <c r="Z80" s="374" t="str">
        <f ca="1">IF(KOGameRule=1,G80,IF(AND(Z73&lt;&gt;"",AA73&lt;&gt;""),IF((Z73+AC73)&gt;(AA73+AD73),AB73,IF((Z73+AC73)&lt;(AA73+AD73),Y73,"Match 49 Loser")),"Match 49 Loser"))</f>
        <v>Poland</v>
      </c>
      <c r="AA80" s="374"/>
      <c r="AB80" s="374"/>
      <c r="AC80" s="374"/>
      <c r="AD80" s="374"/>
      <c r="AE80" s="374"/>
      <c r="AF80" s="370"/>
      <c r="AG80" s="371"/>
      <c r="AI80" s="122" t="str">
        <f t="shared" si="269"/>
        <v>SEMIFINALIST 1</v>
      </c>
      <c r="AJ80" s="374" t="str">
        <f>IF(KOGameRule=1,G80,IF(AND(AJ73&lt;&gt;"",AK73&lt;&gt;""),IF((AJ73+AM73)&gt;(AK73+AN73),AL73,IF((AJ73+AM73)&lt;(AK73+AN73),AI73,"Match 49 Loser")),"Match 49 Loser"))</f>
        <v>Match 49 Loser</v>
      </c>
      <c r="AK80" s="374"/>
      <c r="AL80" s="374"/>
      <c r="AM80" s="374"/>
      <c r="AN80" s="374"/>
      <c r="AO80" s="374"/>
      <c r="AP80" s="370"/>
      <c r="AQ80" s="371"/>
      <c r="AS80" s="122" t="str">
        <f t="shared" si="270"/>
        <v>SEMIFINALIST 1</v>
      </c>
      <c r="AT80" s="374" t="str">
        <f>IF(KOGameRule=1,G80,IF(AND(AT73&lt;&gt;"",AU73&lt;&gt;""),IF((AT73+AW73)&gt;(AU73+AX73),AV73,IF((AT73+AW73)&lt;(AU73+AX73),AS73,"Match 49 Loser")),"Match 49 Loser"))</f>
        <v>Match 49 Loser</v>
      </c>
      <c r="AU80" s="374"/>
      <c r="AV80" s="374"/>
      <c r="AW80" s="374"/>
      <c r="AX80" s="374"/>
      <c r="AY80" s="374"/>
      <c r="AZ80" s="370"/>
      <c r="BA80" s="371"/>
      <c r="BC80" s="122" t="str">
        <f t="shared" si="271"/>
        <v>SEMIFINALIST 1</v>
      </c>
      <c r="BD80" s="374" t="str">
        <f>IF(KOGameRule=1,G80,IF(AND(BD73&lt;&gt;"",BE73&lt;&gt;""),IF((BD73+BG73)&gt;(BE73+BH73),BF73,IF((BD73+BG73)&lt;(BE73+BH73),BC73,"Match 49 Loser")),"Match 49 Loser"))</f>
        <v>Match 49 Loser</v>
      </c>
      <c r="BE80" s="374"/>
      <c r="BF80" s="374"/>
      <c r="BG80" s="374"/>
      <c r="BH80" s="374"/>
      <c r="BI80" s="374"/>
      <c r="BJ80" s="370"/>
      <c r="BK80" s="371"/>
      <c r="BM80" s="122" t="str">
        <f t="shared" si="272"/>
        <v>SEMIFINALIST 1</v>
      </c>
      <c r="BN80" s="374" t="str">
        <f>IF(KOGameRule=1,G80,IF(AND(BN73&lt;&gt;"",BO73&lt;&gt;""),IF((BN73+BQ73)&gt;(BO73+BR73),BP73,IF((BN73+BQ73)&lt;(BO73+BR73),BM73,"Match 49 Loser")),"Match 49 Loser"))</f>
        <v>Match 49 Loser</v>
      </c>
      <c r="BO80" s="374"/>
      <c r="BP80" s="374"/>
      <c r="BQ80" s="374"/>
      <c r="BR80" s="374"/>
      <c r="BS80" s="374"/>
      <c r="BT80" s="370"/>
      <c r="BU80" s="371"/>
      <c r="BW80" s="122" t="str">
        <f t="shared" si="273"/>
        <v>SEMIFINALIST 1</v>
      </c>
      <c r="BX80" s="374" t="str">
        <f>IF(KOGameRule=1,G80,IF(AND(BX73&lt;&gt;"",BY73&lt;&gt;""),IF((BX73+CA73)&gt;(BY73+CB73),BZ73,IF((BX73+CA73)&lt;(BY73+CB73),BW73,"Match 49 Loser")),"Match 49 Loser"))</f>
        <v>Match 49 Loser</v>
      </c>
      <c r="BY80" s="374"/>
      <c r="BZ80" s="374"/>
      <c r="CA80" s="374"/>
      <c r="CB80" s="374"/>
      <c r="CC80" s="374"/>
      <c r="CD80" s="370"/>
      <c r="CE80" s="371"/>
      <c r="CG80" s="122" t="str">
        <f t="shared" si="274"/>
        <v>SEMIFINALIST 1</v>
      </c>
      <c r="CH80" s="374" t="str">
        <f>IF(KOGameRule=1,G80,IF(AND(CH73&lt;&gt;"",CI73&lt;&gt;""),IF((CH73+CK73)&gt;(CI73+CL73),CJ73,IF((CH73+CK73)&lt;(CI73+CL73),CG73,"Match 49 Loser")),"Match 49 Loser"))</f>
        <v>Match 49 Loser</v>
      </c>
      <c r="CI80" s="374"/>
      <c r="CJ80" s="374"/>
      <c r="CK80" s="374"/>
      <c r="CL80" s="374"/>
      <c r="CM80" s="374"/>
      <c r="CN80" s="370"/>
      <c r="CO80" s="371"/>
      <c r="CQ80" s="122" t="str">
        <f t="shared" si="275"/>
        <v>SEMIFINALIST 1</v>
      </c>
      <c r="CR80" s="374" t="str">
        <f>IF(KOGameRule=1,G80,IF(AND(CR73&lt;&gt;"",CS73&lt;&gt;""),IF((CR73+CU73)&gt;(CS73+CV73),CT73,IF((CR73+CU73)&lt;(CS73+CV73),CQ73,"Match 49 Loser")),"Match 49 Loser"))</f>
        <v>Match 49 Loser</v>
      </c>
      <c r="CS80" s="374"/>
      <c r="CT80" s="374"/>
      <c r="CU80" s="374"/>
      <c r="CV80" s="374"/>
      <c r="CW80" s="374"/>
      <c r="CX80" s="370"/>
      <c r="CY80" s="371"/>
      <c r="DA80" s="122" t="str">
        <f t="shared" si="276"/>
        <v>SEMIFINALIST 1</v>
      </c>
      <c r="DB80" s="374" t="str">
        <f>IF(KOGameRule=1,G80,IF(AND(DB73&lt;&gt;"",DC73&lt;&gt;""),IF((DB73+DE73)&gt;(DC73+DF73),DD73,IF((DB73+DE73)&lt;(DC73+DF73),DA73,"Match 49 Loser")),"Match 49 Loser"))</f>
        <v>Match 49 Loser</v>
      </c>
      <c r="DC80" s="374"/>
      <c r="DD80" s="374"/>
      <c r="DE80" s="374"/>
      <c r="DF80" s="374"/>
      <c r="DG80" s="374"/>
      <c r="DH80" s="370"/>
      <c r="DI80" s="371"/>
    </row>
    <row r="81" spans="1:113" s="43" customFormat="1" ht="15" customHeight="1" x14ac:dyDescent="0.25">
      <c r="A81" s="41"/>
      <c r="B81" s="65"/>
      <c r="C81" s="392" t="s">
        <v>119</v>
      </c>
      <c r="D81" s="393"/>
      <c r="E81" s="393"/>
      <c r="F81" s="393"/>
      <c r="G81" s="383" t="str">
        <f>IF(AND(H74&lt;&gt;"",I74&lt;&gt;""),IF((H74+K74)&gt;(I74+L74),J74,IF((H74+K74)&lt;(I74+L74),G74,"Match 50 Loser")),"Match 50 Loser")</f>
        <v>Match 50 Loser</v>
      </c>
      <c r="H81" s="383"/>
      <c r="I81" s="383"/>
      <c r="J81" s="383"/>
      <c r="K81" s="383"/>
      <c r="L81" s="384"/>
      <c r="M81" s="89"/>
      <c r="O81" s="122" t="str">
        <f t="shared" si="277"/>
        <v>SEMIFINALIST 2</v>
      </c>
      <c r="P81" s="374" t="str">
        <f ca="1">IF(KOGameRule=1,G81,IF(AND(P74&lt;&gt;"",Q74&lt;&gt;""),IF((P74+S74)&gt;(Q74+T74),R74,IF((P74+S74)&lt;(Q74+T74),O74,"Match 50 Loser")),"Match 50 Loser"))</f>
        <v>Denmark</v>
      </c>
      <c r="Q81" s="374"/>
      <c r="R81" s="374"/>
      <c r="S81" s="374"/>
      <c r="T81" s="374"/>
      <c r="U81" s="400"/>
      <c r="V81" s="370"/>
      <c r="W81" s="371"/>
      <c r="Y81" s="122" t="str">
        <f t="shared" si="278"/>
        <v>SEMIFINALIST 2</v>
      </c>
      <c r="Z81" s="374" t="str">
        <f ca="1">IF(KOGameRule=1,G81,IF(AND(Z74&lt;&gt;"",AA74&lt;&gt;""),IF((Z74+AC74)&gt;(AA74+AD74),AB74,IF((Z74+AC74)&lt;(AA74+AD74),Y74,"Match 50 Loser")),"Match 50 Loser"))</f>
        <v>France</v>
      </c>
      <c r="AA81" s="374"/>
      <c r="AB81" s="374"/>
      <c r="AC81" s="374"/>
      <c r="AD81" s="374"/>
      <c r="AE81" s="374"/>
      <c r="AF81" s="370"/>
      <c r="AG81" s="371"/>
      <c r="AI81" s="122" t="str">
        <f t="shared" si="269"/>
        <v>SEMIFINALIST 2</v>
      </c>
      <c r="AJ81" s="374" t="str">
        <f>IF(KOGameRule=1,G81,IF(AND(AJ74&lt;&gt;"",AK74&lt;&gt;""),IF((AJ74+AM74)&gt;(AK74+AN74),AL74,IF((AJ74+AM74)&lt;(AK74+AN74),AI74,"Match 50 Loser")),"Match 50 Loser"))</f>
        <v>Match 50 Loser</v>
      </c>
      <c r="AK81" s="374"/>
      <c r="AL81" s="374"/>
      <c r="AM81" s="374"/>
      <c r="AN81" s="374"/>
      <c r="AO81" s="374"/>
      <c r="AP81" s="370"/>
      <c r="AQ81" s="371"/>
      <c r="AS81" s="122" t="str">
        <f t="shared" si="270"/>
        <v>SEMIFINALIST 2</v>
      </c>
      <c r="AT81" s="374" t="str">
        <f>IF(KOGameRule=1,G81,IF(AND(AT74&lt;&gt;"",AU74&lt;&gt;""),IF((AT74+AW74)&gt;(AU74+AX74),AV74,IF((AT74+AW74)&lt;(AU74+AX74),AS74,"Match 50 Loser")),"Match 50 Loser"))</f>
        <v>Match 50 Loser</v>
      </c>
      <c r="AU81" s="374"/>
      <c r="AV81" s="374"/>
      <c r="AW81" s="374"/>
      <c r="AX81" s="374"/>
      <c r="AY81" s="374"/>
      <c r="AZ81" s="370"/>
      <c r="BA81" s="371"/>
      <c r="BC81" s="122" t="str">
        <f t="shared" si="271"/>
        <v>SEMIFINALIST 2</v>
      </c>
      <c r="BD81" s="374" t="str">
        <f>IF(KOGameRule=1,G81,IF(AND(BD74&lt;&gt;"",BE74&lt;&gt;""),IF((BD74+BG74)&gt;(BE74+BH74),BF74,IF((BD74+BG74)&lt;(BE74+BH74),BC74,"Match 50 Loser")),"Match 50 Loser"))</f>
        <v>Match 50 Loser</v>
      </c>
      <c r="BE81" s="374"/>
      <c r="BF81" s="374"/>
      <c r="BG81" s="374"/>
      <c r="BH81" s="374"/>
      <c r="BI81" s="374"/>
      <c r="BJ81" s="370"/>
      <c r="BK81" s="371"/>
      <c r="BM81" s="122" t="str">
        <f t="shared" si="272"/>
        <v>SEMIFINALIST 2</v>
      </c>
      <c r="BN81" s="374" t="str">
        <f>IF(KOGameRule=1,G81,IF(AND(BN74&lt;&gt;"",BO74&lt;&gt;""),IF((BN74+BQ74)&gt;(BO74+BR74),BP74,IF((BN74+BQ74)&lt;(BO74+BR74),BM74,"Match 50 Loser")),"Match 50 Loser"))</f>
        <v>Match 50 Loser</v>
      </c>
      <c r="BO81" s="374"/>
      <c r="BP81" s="374"/>
      <c r="BQ81" s="374"/>
      <c r="BR81" s="374"/>
      <c r="BS81" s="374"/>
      <c r="BT81" s="370"/>
      <c r="BU81" s="371"/>
      <c r="BW81" s="122" t="str">
        <f t="shared" si="273"/>
        <v>SEMIFINALIST 2</v>
      </c>
      <c r="BX81" s="374" t="str">
        <f>IF(KOGameRule=1,G81,IF(AND(BX74&lt;&gt;"",BY74&lt;&gt;""),IF((BX74+CA74)&gt;(BY74+CB74),BZ74,IF((BX74+CA74)&lt;(BY74+CB74),BW74,"Match 50 Loser")),"Match 50 Loser"))</f>
        <v>Match 50 Loser</v>
      </c>
      <c r="BY81" s="374"/>
      <c r="BZ81" s="374"/>
      <c r="CA81" s="374"/>
      <c r="CB81" s="374"/>
      <c r="CC81" s="374"/>
      <c r="CD81" s="370"/>
      <c r="CE81" s="371"/>
      <c r="CG81" s="122" t="str">
        <f t="shared" si="274"/>
        <v>SEMIFINALIST 2</v>
      </c>
      <c r="CH81" s="374" t="str">
        <f>IF(KOGameRule=1,G81,IF(AND(CH74&lt;&gt;"",CI74&lt;&gt;""),IF((CH74+CK74)&gt;(CI74+CL74),CJ74,IF((CH74+CK74)&lt;(CI74+CL74),CG74,"Match 50 Loser")),"Match 50 Loser"))</f>
        <v>Match 50 Loser</v>
      </c>
      <c r="CI81" s="374"/>
      <c r="CJ81" s="374"/>
      <c r="CK81" s="374"/>
      <c r="CL81" s="374"/>
      <c r="CM81" s="374"/>
      <c r="CN81" s="370"/>
      <c r="CO81" s="371"/>
      <c r="CQ81" s="122" t="str">
        <f t="shared" si="275"/>
        <v>SEMIFINALIST 2</v>
      </c>
      <c r="CR81" s="374" t="str">
        <f>IF(KOGameRule=1,G81,IF(AND(CR74&lt;&gt;"",CS74&lt;&gt;""),IF((CR74+CU74)&gt;(CS74+CV74),CT74,IF((CR74+CU74)&lt;(CS74+CV74),CQ74,"Match 50 Loser")),"Match 50 Loser"))</f>
        <v>Match 50 Loser</v>
      </c>
      <c r="CS81" s="374"/>
      <c r="CT81" s="374"/>
      <c r="CU81" s="374"/>
      <c r="CV81" s="374"/>
      <c r="CW81" s="374"/>
      <c r="CX81" s="370"/>
      <c r="CY81" s="371"/>
      <c r="DA81" s="122" t="str">
        <f t="shared" si="276"/>
        <v>SEMIFINALIST 2</v>
      </c>
      <c r="DB81" s="374" t="str">
        <f>IF(KOGameRule=1,G81,IF(AND(DB74&lt;&gt;"",DC74&lt;&gt;""),IF((DB74+DE74)&gt;(DC74+DF74),DD74,IF((DB74+DE74)&lt;(DC74+DF74),DA74,"Match 50 Loser")),"Match 50 Loser"))</f>
        <v>Match 50 Loser</v>
      </c>
      <c r="DC81" s="374"/>
      <c r="DD81" s="374"/>
      <c r="DE81" s="374"/>
      <c r="DF81" s="374"/>
      <c r="DG81" s="374"/>
      <c r="DH81" s="370"/>
      <c r="DI81" s="371"/>
    </row>
    <row r="82" spans="1:113" s="43" customFormat="1" ht="15" customHeight="1" x14ac:dyDescent="0.25">
      <c r="A82" s="41"/>
      <c r="B82" s="65"/>
      <c r="C82" s="66"/>
      <c r="D82" s="66"/>
      <c r="E82" s="66"/>
      <c r="F82" s="66"/>
      <c r="G82" s="66"/>
      <c r="H82" s="66"/>
      <c r="I82" s="66"/>
      <c r="J82" s="66"/>
      <c r="K82" s="66"/>
      <c r="L82" s="66"/>
      <c r="M82" s="89"/>
      <c r="V82" s="370"/>
      <c r="W82" s="371"/>
      <c r="AF82" s="370"/>
      <c r="AG82" s="371"/>
      <c r="AP82" s="370"/>
      <c r="AQ82" s="371"/>
      <c r="AZ82" s="370"/>
      <c r="BA82" s="371"/>
      <c r="BJ82" s="370"/>
      <c r="BK82" s="371"/>
      <c r="BT82" s="370"/>
      <c r="BU82" s="371"/>
      <c r="CD82" s="370"/>
      <c r="CE82" s="371"/>
      <c r="CN82" s="370"/>
      <c r="CO82" s="371"/>
      <c r="CX82" s="370"/>
      <c r="CY82" s="371"/>
      <c r="DH82" s="370"/>
      <c r="DI82" s="371"/>
    </row>
    <row r="83" spans="1:113" s="43" customFormat="1" ht="15" customHeight="1" x14ac:dyDescent="0.25">
      <c r="A83" s="41"/>
      <c r="B83" s="65"/>
      <c r="C83" s="66"/>
      <c r="D83" s="66"/>
      <c r="E83" s="66"/>
      <c r="F83" s="66"/>
      <c r="G83" s="66"/>
      <c r="H83" s="66"/>
      <c r="I83" s="66"/>
      <c r="J83" s="66"/>
      <c r="K83" s="66"/>
      <c r="L83" s="66"/>
      <c r="M83" s="89"/>
      <c r="O83" s="204" t="s">
        <v>120</v>
      </c>
      <c r="P83" s="44"/>
      <c r="Q83" s="44"/>
      <c r="R83" s="44"/>
      <c r="S83" s="396">
        <v>0</v>
      </c>
      <c r="T83" s="396"/>
      <c r="U83" s="397"/>
      <c r="V83" s="370"/>
      <c r="W83" s="371"/>
      <c r="Y83" s="204" t="s">
        <v>120</v>
      </c>
      <c r="Z83" s="44"/>
      <c r="AA83" s="44"/>
      <c r="AB83" s="44"/>
      <c r="AC83" s="396">
        <v>0</v>
      </c>
      <c r="AD83" s="396"/>
      <c r="AE83" s="397"/>
      <c r="AF83" s="370"/>
      <c r="AG83" s="371"/>
      <c r="AI83" s="204" t="s">
        <v>120</v>
      </c>
      <c r="AJ83" s="44"/>
      <c r="AK83" s="44"/>
      <c r="AL83" s="44"/>
      <c r="AM83" s="396">
        <v>0</v>
      </c>
      <c r="AN83" s="396"/>
      <c r="AO83" s="397"/>
      <c r="AP83" s="370"/>
      <c r="AQ83" s="371"/>
      <c r="AS83" s="204" t="s">
        <v>120</v>
      </c>
      <c r="AT83" s="44"/>
      <c r="AU83" s="44"/>
      <c r="AV83" s="44"/>
      <c r="AW83" s="396">
        <v>0</v>
      </c>
      <c r="AX83" s="396"/>
      <c r="AY83" s="397"/>
      <c r="AZ83" s="370"/>
      <c r="BA83" s="371"/>
      <c r="BC83" s="204" t="s">
        <v>120</v>
      </c>
      <c r="BD83" s="44"/>
      <c r="BE83" s="44"/>
      <c r="BF83" s="44"/>
      <c r="BG83" s="396">
        <v>0</v>
      </c>
      <c r="BH83" s="396"/>
      <c r="BI83" s="397"/>
      <c r="BJ83" s="370"/>
      <c r="BK83" s="371"/>
      <c r="BM83" s="204" t="s">
        <v>120</v>
      </c>
      <c r="BN83" s="44"/>
      <c r="BO83" s="44"/>
      <c r="BP83" s="44"/>
      <c r="BQ83" s="396">
        <v>0</v>
      </c>
      <c r="BR83" s="396"/>
      <c r="BS83" s="397"/>
      <c r="BT83" s="370"/>
      <c r="BU83" s="371"/>
      <c r="BW83" s="204" t="s">
        <v>120</v>
      </c>
      <c r="BX83" s="44"/>
      <c r="BY83" s="44"/>
      <c r="BZ83" s="44"/>
      <c r="CA83" s="396">
        <v>0</v>
      </c>
      <c r="CB83" s="396"/>
      <c r="CC83" s="397"/>
      <c r="CD83" s="370"/>
      <c r="CE83" s="371"/>
      <c r="CG83" s="204" t="s">
        <v>120</v>
      </c>
      <c r="CH83" s="44"/>
      <c r="CI83" s="44"/>
      <c r="CJ83" s="44"/>
      <c r="CK83" s="396">
        <v>0</v>
      </c>
      <c r="CL83" s="396"/>
      <c r="CM83" s="397"/>
      <c r="CN83" s="370"/>
      <c r="CO83" s="371"/>
      <c r="CQ83" s="204" t="s">
        <v>120</v>
      </c>
      <c r="CR83" s="44"/>
      <c r="CS83" s="44"/>
      <c r="CT83" s="44"/>
      <c r="CU83" s="396">
        <v>0</v>
      </c>
      <c r="CV83" s="396"/>
      <c r="CW83" s="397"/>
      <c r="CX83" s="370"/>
      <c r="CY83" s="371"/>
      <c r="DA83" s="204" t="s">
        <v>120</v>
      </c>
      <c r="DB83" s="44"/>
      <c r="DC83" s="44"/>
      <c r="DD83" s="44"/>
      <c r="DE83" s="396">
        <v>0</v>
      </c>
      <c r="DF83" s="396"/>
      <c r="DG83" s="397"/>
      <c r="DH83" s="370"/>
      <c r="DI83" s="371"/>
    </row>
    <row r="84" spans="1:113" s="43" customFormat="1" ht="15" customHeight="1" x14ac:dyDescent="0.25">
      <c r="A84" s="41"/>
      <c r="B84" s="65"/>
      <c r="C84" s="66"/>
      <c r="D84" s="66"/>
      <c r="E84" s="66"/>
      <c r="F84" s="66"/>
      <c r="G84" s="66"/>
      <c r="H84" s="66"/>
      <c r="I84" s="66"/>
      <c r="J84" s="66"/>
      <c r="K84" s="66"/>
      <c r="L84" s="66"/>
      <c r="M84" s="89"/>
      <c r="O84" s="204" t="s">
        <v>121</v>
      </c>
      <c r="P84" s="44"/>
      <c r="Q84" s="44"/>
      <c r="R84" s="44"/>
      <c r="S84" s="396">
        <v>0</v>
      </c>
      <c r="T84" s="396"/>
      <c r="U84" s="397"/>
      <c r="V84" s="370"/>
      <c r="W84" s="371"/>
      <c r="Y84" s="204" t="s">
        <v>121</v>
      </c>
      <c r="Z84" s="44"/>
      <c r="AA84" s="44"/>
      <c r="AB84" s="44"/>
      <c r="AC84" s="396">
        <v>0</v>
      </c>
      <c r="AD84" s="396"/>
      <c r="AE84" s="397"/>
      <c r="AF84" s="370"/>
      <c r="AG84" s="371"/>
      <c r="AI84" s="204" t="s">
        <v>121</v>
      </c>
      <c r="AJ84" s="44"/>
      <c r="AK84" s="44"/>
      <c r="AL84" s="44"/>
      <c r="AM84" s="396">
        <v>0</v>
      </c>
      <c r="AN84" s="396"/>
      <c r="AO84" s="397"/>
      <c r="AP84" s="370"/>
      <c r="AQ84" s="371"/>
      <c r="AS84" s="204" t="s">
        <v>121</v>
      </c>
      <c r="AT84" s="44"/>
      <c r="AU84" s="44"/>
      <c r="AV84" s="44"/>
      <c r="AW84" s="396">
        <v>0</v>
      </c>
      <c r="AX84" s="396"/>
      <c r="AY84" s="397"/>
      <c r="AZ84" s="370"/>
      <c r="BA84" s="371"/>
      <c r="BC84" s="204" t="s">
        <v>121</v>
      </c>
      <c r="BD84" s="44"/>
      <c r="BE84" s="44"/>
      <c r="BF84" s="44"/>
      <c r="BG84" s="396">
        <v>0</v>
      </c>
      <c r="BH84" s="396"/>
      <c r="BI84" s="397"/>
      <c r="BJ84" s="370"/>
      <c r="BK84" s="371"/>
      <c r="BM84" s="204" t="s">
        <v>121</v>
      </c>
      <c r="BN84" s="44"/>
      <c r="BO84" s="44"/>
      <c r="BP84" s="44"/>
      <c r="BQ84" s="396">
        <v>0</v>
      </c>
      <c r="BR84" s="396"/>
      <c r="BS84" s="397"/>
      <c r="BT84" s="370"/>
      <c r="BU84" s="371"/>
      <c r="BW84" s="204" t="s">
        <v>121</v>
      </c>
      <c r="BX84" s="44"/>
      <c r="BY84" s="44"/>
      <c r="BZ84" s="44"/>
      <c r="CA84" s="396">
        <v>0</v>
      </c>
      <c r="CB84" s="396"/>
      <c r="CC84" s="397"/>
      <c r="CD84" s="370"/>
      <c r="CE84" s="371"/>
      <c r="CG84" s="204" t="s">
        <v>121</v>
      </c>
      <c r="CH84" s="44"/>
      <c r="CI84" s="44"/>
      <c r="CJ84" s="44"/>
      <c r="CK84" s="396">
        <v>0</v>
      </c>
      <c r="CL84" s="396"/>
      <c r="CM84" s="397"/>
      <c r="CN84" s="370"/>
      <c r="CO84" s="371"/>
      <c r="CQ84" s="204" t="s">
        <v>121</v>
      </c>
      <c r="CR84" s="44"/>
      <c r="CS84" s="44"/>
      <c r="CT84" s="44"/>
      <c r="CU84" s="396">
        <v>0</v>
      </c>
      <c r="CV84" s="396"/>
      <c r="CW84" s="397"/>
      <c r="CX84" s="370"/>
      <c r="CY84" s="371"/>
      <c r="DA84" s="204" t="s">
        <v>121</v>
      </c>
      <c r="DB84" s="44"/>
      <c r="DC84" s="44"/>
      <c r="DD84" s="44"/>
      <c r="DE84" s="396">
        <v>0</v>
      </c>
      <c r="DF84" s="396"/>
      <c r="DG84" s="397"/>
      <c r="DH84" s="370"/>
      <c r="DI84" s="371"/>
    </row>
    <row r="85" spans="1:113" s="43" customFormat="1" ht="15" customHeight="1" x14ac:dyDescent="0.25">
      <c r="A85" s="41"/>
      <c r="B85" s="65"/>
      <c r="C85" s="66"/>
      <c r="D85" s="66"/>
      <c r="E85" s="66"/>
      <c r="F85" s="66"/>
      <c r="G85" s="66"/>
      <c r="H85" s="66"/>
      <c r="I85" s="66"/>
      <c r="J85" s="66"/>
      <c r="K85" s="66"/>
      <c r="L85" s="66"/>
      <c r="M85" s="89"/>
      <c r="O85" s="204" t="s">
        <v>122</v>
      </c>
      <c r="P85" s="44"/>
      <c r="Q85" s="44"/>
      <c r="R85" s="44"/>
      <c r="S85" s="396">
        <v>0</v>
      </c>
      <c r="T85" s="396"/>
      <c r="U85" s="397"/>
      <c r="V85" s="370"/>
      <c r="W85" s="371"/>
      <c r="Y85" s="204" t="s">
        <v>122</v>
      </c>
      <c r="Z85" s="44"/>
      <c r="AA85" s="44"/>
      <c r="AB85" s="44"/>
      <c r="AC85" s="396">
        <v>0</v>
      </c>
      <c r="AD85" s="396"/>
      <c r="AE85" s="397"/>
      <c r="AF85" s="370"/>
      <c r="AG85" s="371"/>
      <c r="AI85" s="204" t="s">
        <v>122</v>
      </c>
      <c r="AJ85" s="44"/>
      <c r="AK85" s="44"/>
      <c r="AL85" s="44"/>
      <c r="AM85" s="396">
        <v>0</v>
      </c>
      <c r="AN85" s="396"/>
      <c r="AO85" s="397"/>
      <c r="AP85" s="370"/>
      <c r="AQ85" s="371"/>
      <c r="AS85" s="204" t="s">
        <v>122</v>
      </c>
      <c r="AT85" s="44"/>
      <c r="AU85" s="44"/>
      <c r="AV85" s="44"/>
      <c r="AW85" s="396">
        <v>0</v>
      </c>
      <c r="AX85" s="396"/>
      <c r="AY85" s="397"/>
      <c r="AZ85" s="370"/>
      <c r="BA85" s="371"/>
      <c r="BC85" s="204" t="s">
        <v>122</v>
      </c>
      <c r="BD85" s="44"/>
      <c r="BE85" s="44"/>
      <c r="BF85" s="44"/>
      <c r="BG85" s="396">
        <v>0</v>
      </c>
      <c r="BH85" s="396"/>
      <c r="BI85" s="397"/>
      <c r="BJ85" s="370"/>
      <c r="BK85" s="371"/>
      <c r="BM85" s="204" t="s">
        <v>122</v>
      </c>
      <c r="BN85" s="44"/>
      <c r="BO85" s="44"/>
      <c r="BP85" s="44"/>
      <c r="BQ85" s="396">
        <v>0</v>
      </c>
      <c r="BR85" s="396"/>
      <c r="BS85" s="397"/>
      <c r="BT85" s="370"/>
      <c r="BU85" s="371"/>
      <c r="BW85" s="204" t="s">
        <v>122</v>
      </c>
      <c r="BX85" s="44"/>
      <c r="BY85" s="44"/>
      <c r="BZ85" s="44"/>
      <c r="CA85" s="396">
        <v>0</v>
      </c>
      <c r="CB85" s="396"/>
      <c r="CC85" s="397"/>
      <c r="CD85" s="370"/>
      <c r="CE85" s="371"/>
      <c r="CG85" s="204" t="s">
        <v>122</v>
      </c>
      <c r="CH85" s="44"/>
      <c r="CI85" s="44"/>
      <c r="CJ85" s="44"/>
      <c r="CK85" s="396">
        <v>0</v>
      </c>
      <c r="CL85" s="396"/>
      <c r="CM85" s="397"/>
      <c r="CN85" s="370"/>
      <c r="CO85" s="371"/>
      <c r="CQ85" s="204" t="s">
        <v>122</v>
      </c>
      <c r="CR85" s="44"/>
      <c r="CS85" s="44"/>
      <c r="CT85" s="44"/>
      <c r="CU85" s="396">
        <v>0</v>
      </c>
      <c r="CV85" s="396"/>
      <c r="CW85" s="397"/>
      <c r="CX85" s="370"/>
      <c r="CY85" s="371"/>
      <c r="DA85" s="204" t="s">
        <v>122</v>
      </c>
      <c r="DB85" s="44"/>
      <c r="DC85" s="44"/>
      <c r="DD85" s="44"/>
      <c r="DE85" s="396">
        <v>0</v>
      </c>
      <c r="DF85" s="396"/>
      <c r="DG85" s="397"/>
      <c r="DH85" s="370"/>
      <c r="DI85" s="371"/>
    </row>
    <row r="86" spans="1:113" s="43" customFormat="1" ht="15" customHeight="1" x14ac:dyDescent="0.25">
      <c r="A86" s="41"/>
      <c r="B86" s="65"/>
      <c r="C86" s="66"/>
      <c r="D86" s="66"/>
      <c r="E86" s="66"/>
      <c r="F86" s="66"/>
      <c r="G86" s="66"/>
      <c r="H86" s="66"/>
      <c r="I86" s="66"/>
      <c r="J86" s="66"/>
      <c r="K86" s="66"/>
      <c r="L86" s="66"/>
      <c r="M86" s="89"/>
      <c r="V86" s="370"/>
      <c r="W86" s="371"/>
      <c r="AF86" s="370"/>
      <c r="AG86" s="371"/>
      <c r="AP86" s="370"/>
      <c r="AQ86" s="371"/>
      <c r="AZ86" s="370"/>
      <c r="BA86" s="371"/>
      <c r="BJ86" s="370"/>
      <c r="BK86" s="371"/>
      <c r="BT86" s="370"/>
      <c r="BU86" s="371"/>
      <c r="CD86" s="370"/>
      <c r="CE86" s="371"/>
      <c r="CN86" s="370"/>
      <c r="CO86" s="371"/>
      <c r="CX86" s="370"/>
      <c r="CY86" s="371"/>
      <c r="DH86" s="370"/>
      <c r="DI86" s="371"/>
    </row>
    <row r="87" spans="1:113" s="43" customFormat="1" ht="15" customHeight="1" x14ac:dyDescent="0.25">
      <c r="A87" s="41"/>
      <c r="B87" s="65"/>
      <c r="C87" s="401" t="s">
        <v>123</v>
      </c>
      <c r="D87" s="402"/>
      <c r="E87" s="402"/>
      <c r="F87" s="402"/>
      <c r="G87" s="403"/>
      <c r="H87" s="403"/>
      <c r="I87" s="403"/>
      <c r="J87" s="403"/>
      <c r="K87" s="403"/>
      <c r="L87" s="404"/>
      <c r="M87" s="89"/>
      <c r="N87" s="41"/>
      <c r="O87" s="122" t="str">
        <f t="shared" ref="O87:O88" si="279">C87</f>
        <v>BEST PLAYER</v>
      </c>
      <c r="P87" s="360"/>
      <c r="Q87" s="360"/>
      <c r="R87" s="360"/>
      <c r="S87" s="360"/>
      <c r="T87" s="360"/>
      <c r="U87" s="361"/>
      <c r="V87" s="370"/>
      <c r="W87" s="371"/>
      <c r="X87" s="41"/>
      <c r="Y87" s="122" t="str">
        <f>O87</f>
        <v>BEST PLAYER</v>
      </c>
      <c r="Z87" s="360"/>
      <c r="AA87" s="360"/>
      <c r="AB87" s="360"/>
      <c r="AC87" s="360"/>
      <c r="AD87" s="360"/>
      <c r="AE87" s="361"/>
      <c r="AF87" s="370"/>
      <c r="AG87" s="371"/>
      <c r="AH87" s="41"/>
      <c r="AI87" s="122" t="str">
        <f t="shared" ref="AI87:AI88" si="280">Y87</f>
        <v>BEST PLAYER</v>
      </c>
      <c r="AJ87" s="360"/>
      <c r="AK87" s="360"/>
      <c r="AL87" s="360"/>
      <c r="AM87" s="360"/>
      <c r="AN87" s="360"/>
      <c r="AO87" s="361"/>
      <c r="AP87" s="370"/>
      <c r="AQ87" s="371"/>
      <c r="AR87" s="41"/>
      <c r="AS87" s="122" t="str">
        <f t="shared" ref="AS87:AS88" si="281">AI87</f>
        <v>BEST PLAYER</v>
      </c>
      <c r="AT87" s="360"/>
      <c r="AU87" s="360"/>
      <c r="AV87" s="360"/>
      <c r="AW87" s="360"/>
      <c r="AX87" s="360"/>
      <c r="AY87" s="361"/>
      <c r="AZ87" s="370"/>
      <c r="BA87" s="371"/>
      <c r="BB87" s="41"/>
      <c r="BC87" s="122" t="str">
        <f t="shared" ref="BC87:BC88" si="282">AS87</f>
        <v>BEST PLAYER</v>
      </c>
      <c r="BD87" s="360"/>
      <c r="BE87" s="360"/>
      <c r="BF87" s="360"/>
      <c r="BG87" s="360"/>
      <c r="BH87" s="360"/>
      <c r="BI87" s="361"/>
      <c r="BJ87" s="370"/>
      <c r="BK87" s="371"/>
      <c r="BL87" s="41"/>
      <c r="BM87" s="122" t="str">
        <f t="shared" ref="BM87:BM88" si="283">BC87</f>
        <v>BEST PLAYER</v>
      </c>
      <c r="BN87" s="360"/>
      <c r="BO87" s="360"/>
      <c r="BP87" s="360"/>
      <c r="BQ87" s="360"/>
      <c r="BR87" s="360"/>
      <c r="BS87" s="361"/>
      <c r="BT87" s="370"/>
      <c r="BU87" s="371"/>
      <c r="BV87" s="41"/>
      <c r="BW87" s="122" t="str">
        <f t="shared" ref="BW87:BW88" si="284">BM87</f>
        <v>BEST PLAYER</v>
      </c>
      <c r="BX87" s="360"/>
      <c r="BY87" s="360"/>
      <c r="BZ87" s="360"/>
      <c r="CA87" s="360"/>
      <c r="CB87" s="360"/>
      <c r="CC87" s="361"/>
      <c r="CD87" s="370"/>
      <c r="CE87" s="371"/>
      <c r="CF87" s="41"/>
      <c r="CG87" s="122" t="str">
        <f t="shared" ref="CG87:CG88" si="285">BW87</f>
        <v>BEST PLAYER</v>
      </c>
      <c r="CH87" s="360"/>
      <c r="CI87" s="360"/>
      <c r="CJ87" s="360"/>
      <c r="CK87" s="360"/>
      <c r="CL87" s="360"/>
      <c r="CM87" s="361"/>
      <c r="CN87" s="370"/>
      <c r="CO87" s="371"/>
      <c r="CP87" s="41"/>
      <c r="CQ87" s="122" t="str">
        <f t="shared" ref="CQ87:CQ88" si="286">CG87</f>
        <v>BEST PLAYER</v>
      </c>
      <c r="CR87" s="360"/>
      <c r="CS87" s="360"/>
      <c r="CT87" s="360"/>
      <c r="CU87" s="360"/>
      <c r="CV87" s="360"/>
      <c r="CW87" s="361"/>
      <c r="CX87" s="370"/>
      <c r="CY87" s="371"/>
      <c r="CZ87" s="41"/>
      <c r="DA87" s="122" t="str">
        <f t="shared" ref="DA87:DA88" si="287">CQ87</f>
        <v>BEST PLAYER</v>
      </c>
      <c r="DB87" s="360"/>
      <c r="DC87" s="360"/>
      <c r="DD87" s="360"/>
      <c r="DE87" s="360"/>
      <c r="DF87" s="360"/>
      <c r="DG87" s="361"/>
      <c r="DH87" s="370"/>
      <c r="DI87" s="371"/>
    </row>
    <row r="88" spans="1:113" s="43" customFormat="1" ht="15" customHeight="1" x14ac:dyDescent="0.25">
      <c r="A88" s="41"/>
      <c r="B88" s="65"/>
      <c r="C88" s="386" t="s">
        <v>124</v>
      </c>
      <c r="D88" s="387"/>
      <c r="E88" s="387"/>
      <c r="F88" s="387"/>
      <c r="G88" s="381"/>
      <c r="H88" s="381"/>
      <c r="I88" s="381"/>
      <c r="J88" s="381"/>
      <c r="K88" s="381"/>
      <c r="L88" s="382"/>
      <c r="M88" s="89"/>
      <c r="N88" s="41"/>
      <c r="O88" s="122" t="str">
        <f t="shared" si="279"/>
        <v>TOP SCORER</v>
      </c>
      <c r="P88" s="360"/>
      <c r="Q88" s="360"/>
      <c r="R88" s="360"/>
      <c r="S88" s="360"/>
      <c r="T88" s="360"/>
      <c r="U88" s="361"/>
      <c r="V88" s="372"/>
      <c r="W88" s="373"/>
      <c r="X88" s="41"/>
      <c r="Y88" s="122" t="str">
        <f>O88</f>
        <v>TOP SCORER</v>
      </c>
      <c r="Z88" s="360"/>
      <c r="AA88" s="360"/>
      <c r="AB88" s="360"/>
      <c r="AC88" s="360"/>
      <c r="AD88" s="360"/>
      <c r="AE88" s="361"/>
      <c r="AF88" s="372"/>
      <c r="AG88" s="373"/>
      <c r="AH88" s="41"/>
      <c r="AI88" s="122" t="str">
        <f t="shared" si="280"/>
        <v>TOP SCORER</v>
      </c>
      <c r="AJ88" s="360"/>
      <c r="AK88" s="360"/>
      <c r="AL88" s="360"/>
      <c r="AM88" s="360"/>
      <c r="AN88" s="360"/>
      <c r="AO88" s="361"/>
      <c r="AP88" s="372"/>
      <c r="AQ88" s="373"/>
      <c r="AR88" s="41"/>
      <c r="AS88" s="122" t="str">
        <f t="shared" si="281"/>
        <v>TOP SCORER</v>
      </c>
      <c r="AT88" s="360"/>
      <c r="AU88" s="360"/>
      <c r="AV88" s="360"/>
      <c r="AW88" s="360"/>
      <c r="AX88" s="360"/>
      <c r="AY88" s="361"/>
      <c r="AZ88" s="372"/>
      <c r="BA88" s="373"/>
      <c r="BB88" s="41"/>
      <c r="BC88" s="122" t="str">
        <f t="shared" si="282"/>
        <v>TOP SCORER</v>
      </c>
      <c r="BD88" s="360"/>
      <c r="BE88" s="360"/>
      <c r="BF88" s="360"/>
      <c r="BG88" s="360"/>
      <c r="BH88" s="360"/>
      <c r="BI88" s="361"/>
      <c r="BJ88" s="372"/>
      <c r="BK88" s="373"/>
      <c r="BL88" s="41"/>
      <c r="BM88" s="122" t="str">
        <f t="shared" si="283"/>
        <v>TOP SCORER</v>
      </c>
      <c r="BN88" s="360"/>
      <c r="BO88" s="360"/>
      <c r="BP88" s="360"/>
      <c r="BQ88" s="360"/>
      <c r="BR88" s="360"/>
      <c r="BS88" s="361"/>
      <c r="BT88" s="372"/>
      <c r="BU88" s="373"/>
      <c r="BV88" s="41"/>
      <c r="BW88" s="122" t="str">
        <f t="shared" si="284"/>
        <v>TOP SCORER</v>
      </c>
      <c r="BX88" s="360"/>
      <c r="BY88" s="360"/>
      <c r="BZ88" s="360"/>
      <c r="CA88" s="360"/>
      <c r="CB88" s="360"/>
      <c r="CC88" s="361"/>
      <c r="CD88" s="372"/>
      <c r="CE88" s="373"/>
      <c r="CF88" s="41"/>
      <c r="CG88" s="122" t="str">
        <f t="shared" si="285"/>
        <v>TOP SCORER</v>
      </c>
      <c r="CH88" s="360"/>
      <c r="CI88" s="360"/>
      <c r="CJ88" s="360"/>
      <c r="CK88" s="360"/>
      <c r="CL88" s="360"/>
      <c r="CM88" s="361"/>
      <c r="CN88" s="372"/>
      <c r="CO88" s="373"/>
      <c r="CP88" s="41"/>
      <c r="CQ88" s="122" t="str">
        <f t="shared" si="286"/>
        <v>TOP SCORER</v>
      </c>
      <c r="CR88" s="360"/>
      <c r="CS88" s="360"/>
      <c r="CT88" s="360"/>
      <c r="CU88" s="360"/>
      <c r="CV88" s="360"/>
      <c r="CW88" s="361"/>
      <c r="CX88" s="372"/>
      <c r="CY88" s="373"/>
      <c r="CZ88" s="41"/>
      <c r="DA88" s="122" t="str">
        <f t="shared" si="287"/>
        <v>TOP SCORER</v>
      </c>
      <c r="DB88" s="360"/>
      <c r="DC88" s="360"/>
      <c r="DD88" s="360"/>
      <c r="DE88" s="360"/>
      <c r="DF88" s="360"/>
      <c r="DG88" s="361"/>
      <c r="DH88" s="372"/>
      <c r="DI88" s="373"/>
    </row>
    <row r="89" spans="1:113" s="43" customFormat="1" ht="15" customHeight="1" x14ac:dyDescent="0.25">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5">
      <c r="A90" s="41"/>
      <c r="B90" s="237" t="s">
        <v>59</v>
      </c>
      <c r="W90" s="41"/>
      <c r="AG90" s="41"/>
      <c r="AQ90" s="41"/>
      <c r="BA90" s="41"/>
      <c r="BK90" s="41"/>
      <c r="BU90" s="41"/>
      <c r="CE90" s="41"/>
      <c r="CO90" s="41"/>
      <c r="CY90" s="41"/>
      <c r="DI90" s="41"/>
    </row>
    <row r="91" spans="1:113" s="43" customFormat="1" ht="15" customHeight="1" x14ac:dyDescent="0.25">
      <c r="A91" s="41"/>
      <c r="B91" s="84" t="s">
        <v>125</v>
      </c>
      <c r="N91" s="84" t="s">
        <v>126</v>
      </c>
      <c r="W91" s="41"/>
      <c r="AG91" s="41"/>
      <c r="AQ91" s="41"/>
      <c r="BA91" s="41"/>
      <c r="BK91" s="41"/>
      <c r="BU91" s="41"/>
      <c r="CE91" s="41"/>
      <c r="CO91" s="41"/>
      <c r="CY91" s="41"/>
      <c r="DI91" s="41"/>
    </row>
    <row r="92" spans="1:113" s="43" customFormat="1" ht="15" customHeight="1" x14ac:dyDescent="0.25">
      <c r="A92" s="41"/>
      <c r="B92" s="199" t="s">
        <v>127</v>
      </c>
      <c r="C92" s="43" t="s">
        <v>128</v>
      </c>
      <c r="N92" s="60" t="s">
        <v>129</v>
      </c>
      <c r="O92" s="125"/>
      <c r="P92" s="125"/>
      <c r="Q92" s="125"/>
      <c r="R92" s="125"/>
      <c r="W92" s="41"/>
      <c r="AG92" s="41"/>
      <c r="AQ92" s="41"/>
      <c r="BA92" s="41"/>
      <c r="BK92" s="41"/>
      <c r="BU92" s="41"/>
      <c r="CE92" s="41"/>
      <c r="CO92" s="41"/>
      <c r="CY92" s="41"/>
      <c r="DI92" s="41"/>
    </row>
    <row r="93" spans="1:113" s="43" customFormat="1" ht="15" customHeight="1" x14ac:dyDescent="0.25">
      <c r="A93" s="41"/>
      <c r="B93" s="199" t="s">
        <v>127</v>
      </c>
      <c r="C93" s="43" t="s">
        <v>130</v>
      </c>
      <c r="N93" s="199" t="s">
        <v>127</v>
      </c>
      <c r="O93" s="43" t="s">
        <v>131</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5">
      <c r="A94" s="41"/>
      <c r="B94" s="199" t="s">
        <v>127</v>
      </c>
      <c r="C94" s="43" t="s">
        <v>132</v>
      </c>
      <c r="N94" s="199" t="s">
        <v>127</v>
      </c>
      <c r="O94" s="399" t="s">
        <v>133</v>
      </c>
      <c r="P94" s="399"/>
      <c r="Q94" s="399"/>
      <c r="R94" s="399"/>
      <c r="S94" s="399"/>
      <c r="T94" s="399"/>
      <c r="U94" s="399"/>
      <c r="V94" s="399"/>
      <c r="W94" s="399"/>
      <c r="AG94" s="41"/>
      <c r="AQ94" s="41"/>
      <c r="BA94" s="41"/>
      <c r="BK94" s="41"/>
      <c r="BU94" s="41"/>
      <c r="CE94" s="41"/>
      <c r="CO94" s="41"/>
      <c r="CY94" s="41"/>
      <c r="DI94" s="41"/>
    </row>
    <row r="95" spans="1:113" s="43" customFormat="1" ht="15" customHeight="1" x14ac:dyDescent="0.25">
      <c r="A95" s="41"/>
      <c r="C95" s="198"/>
      <c r="O95" s="399"/>
      <c r="P95" s="399"/>
      <c r="Q95" s="399"/>
      <c r="R95" s="399"/>
      <c r="S95" s="399"/>
      <c r="T95" s="399"/>
      <c r="U95" s="399"/>
      <c r="V95" s="399"/>
      <c r="W95" s="399"/>
      <c r="AG95" s="41"/>
      <c r="AQ95" s="41"/>
      <c r="BA95" s="41"/>
      <c r="BK95" s="41"/>
      <c r="BU95" s="41"/>
      <c r="CE95" s="41"/>
      <c r="CO95" s="41"/>
      <c r="CY95" s="41"/>
      <c r="DI95" s="41"/>
    </row>
    <row r="96" spans="1:113" s="43" customFormat="1" ht="15" customHeight="1" x14ac:dyDescent="0.25">
      <c r="A96" s="41"/>
      <c r="N96" s="199" t="s">
        <v>127</v>
      </c>
      <c r="O96" s="43" t="s">
        <v>134</v>
      </c>
      <c r="W96" s="41"/>
      <c r="AG96" s="41"/>
      <c r="AQ96" s="41"/>
      <c r="BA96" s="41"/>
      <c r="BK96" s="41"/>
      <c r="BU96" s="41"/>
      <c r="CE96" s="41"/>
      <c r="CO96" s="41"/>
      <c r="CY96" s="41"/>
      <c r="DI96" s="41"/>
    </row>
    <row r="97" spans="1:113" s="43" customFormat="1" ht="15" customHeight="1" x14ac:dyDescent="0.25">
      <c r="A97" s="41"/>
      <c r="B97" s="199" t="s">
        <v>127</v>
      </c>
      <c r="C97" s="398" t="s">
        <v>135</v>
      </c>
      <c r="D97" s="398"/>
      <c r="E97" s="398"/>
      <c r="F97" s="398"/>
      <c r="G97" s="398"/>
      <c r="H97" s="398"/>
      <c r="I97" s="398"/>
      <c r="J97" s="398"/>
      <c r="K97" s="398"/>
      <c r="L97" s="398"/>
      <c r="N97" s="199" t="s">
        <v>127</v>
      </c>
      <c r="O97" s="43" t="s">
        <v>136</v>
      </c>
      <c r="W97" s="41"/>
      <c r="AG97" s="41"/>
      <c r="AQ97" s="41"/>
      <c r="BA97" s="41"/>
      <c r="BK97" s="41"/>
      <c r="BU97" s="41"/>
      <c r="CE97" s="41"/>
      <c r="CO97" s="41"/>
      <c r="CY97" s="41"/>
      <c r="DI97" s="41"/>
    </row>
    <row r="98" spans="1:113" s="43" customFormat="1" ht="15" customHeight="1" x14ac:dyDescent="0.25">
      <c r="A98" s="41"/>
      <c r="C98" s="398"/>
      <c r="D98" s="398"/>
      <c r="E98" s="398"/>
      <c r="F98" s="398"/>
      <c r="G98" s="398"/>
      <c r="H98" s="398"/>
      <c r="I98" s="398"/>
      <c r="J98" s="398"/>
      <c r="K98" s="398"/>
      <c r="L98" s="398"/>
      <c r="N98" s="204" t="s">
        <v>137</v>
      </c>
      <c r="O98" s="44"/>
      <c r="P98" s="44"/>
      <c r="Q98" s="44"/>
      <c r="R98" s="44"/>
      <c r="W98" s="41"/>
      <c r="AG98" s="41"/>
      <c r="AQ98" s="41"/>
      <c r="BA98" s="41"/>
      <c r="BK98" s="41"/>
      <c r="BU98" s="41"/>
      <c r="CE98" s="41"/>
      <c r="CO98" s="41"/>
      <c r="CY98" s="41"/>
      <c r="DI98" s="41"/>
    </row>
    <row r="99" spans="1:113" s="43" customFormat="1" ht="15" customHeight="1" x14ac:dyDescent="0.25">
      <c r="A99" s="41"/>
      <c r="N99" s="199" t="s">
        <v>127</v>
      </c>
      <c r="O99" s="43" t="s">
        <v>138</v>
      </c>
      <c r="W99" s="41"/>
      <c r="AG99" s="41"/>
      <c r="AQ99" s="41"/>
      <c r="BA99" s="41"/>
      <c r="BK99" s="41"/>
      <c r="BU99" s="41"/>
      <c r="CE99" s="41"/>
      <c r="CO99" s="41"/>
      <c r="CY99" s="41"/>
      <c r="DI99" s="41"/>
    </row>
    <row r="100" spans="1:113" s="43" customFormat="1" ht="15" customHeight="1" x14ac:dyDescent="0.25">
      <c r="A100" s="41"/>
      <c r="N100" s="199" t="s">
        <v>127</v>
      </c>
      <c r="O100" s="399" t="s">
        <v>139</v>
      </c>
      <c r="P100" s="399"/>
      <c r="Q100" s="399"/>
      <c r="R100" s="399"/>
      <c r="S100" s="399"/>
      <c r="T100" s="399"/>
      <c r="U100" s="399"/>
      <c r="V100" s="399"/>
      <c r="W100" s="399"/>
      <c r="AG100" s="41"/>
      <c r="AQ100" s="41"/>
      <c r="BA100" s="41"/>
      <c r="BK100" s="41"/>
      <c r="BU100" s="41"/>
      <c r="CE100" s="41"/>
      <c r="CO100" s="41"/>
      <c r="CY100" s="41"/>
      <c r="DI100" s="41"/>
    </row>
    <row r="101" spans="1:113" s="43" customFormat="1" ht="15" customHeight="1" x14ac:dyDescent="0.25">
      <c r="A101" s="41"/>
      <c r="O101" s="399"/>
      <c r="P101" s="399"/>
      <c r="Q101" s="399"/>
      <c r="R101" s="399"/>
      <c r="S101" s="399"/>
      <c r="T101" s="399"/>
      <c r="U101" s="399"/>
      <c r="V101" s="399"/>
      <c r="W101" s="399"/>
      <c r="AG101" s="41"/>
      <c r="AQ101" s="41"/>
      <c r="BA101" s="41"/>
      <c r="BK101" s="41"/>
      <c r="BU101" s="41"/>
      <c r="CE101" s="41"/>
      <c r="CO101" s="41"/>
      <c r="CY101" s="41"/>
      <c r="DI101" s="41"/>
    </row>
    <row r="102" spans="1:113" s="43" customFormat="1" ht="15" customHeight="1" x14ac:dyDescent="0.25">
      <c r="A102" s="41"/>
      <c r="N102" s="199" t="s">
        <v>127</v>
      </c>
      <c r="O102" s="43" t="s">
        <v>140</v>
      </c>
      <c r="W102" s="41"/>
      <c r="AG102" s="41"/>
      <c r="AQ102" s="41"/>
      <c r="BA102" s="41"/>
      <c r="BK102" s="41"/>
      <c r="BU102" s="41"/>
      <c r="CE102" s="41"/>
      <c r="CO102" s="41"/>
      <c r="CY102" s="41"/>
      <c r="DI102" s="41"/>
    </row>
    <row r="103" spans="1:113" s="43" customFormat="1" ht="15" customHeight="1" x14ac:dyDescent="0.25">
      <c r="A103" s="41"/>
      <c r="N103" s="199" t="s">
        <v>127</v>
      </c>
      <c r="O103" s="43" t="s">
        <v>141</v>
      </c>
      <c r="W103" s="41"/>
      <c r="AG103" s="41"/>
      <c r="AQ103" s="41"/>
      <c r="BA103" s="41"/>
      <c r="BK103" s="41"/>
      <c r="BU103" s="41"/>
      <c r="CE103" s="41"/>
      <c r="CO103" s="41"/>
      <c r="CY103" s="41"/>
      <c r="DI103" s="41"/>
    </row>
    <row r="104" spans="1:113" s="43" customFormat="1" ht="15.6" customHeight="1" x14ac:dyDescent="0.25">
      <c r="A104" s="41"/>
      <c r="W104" s="41"/>
      <c r="AG104" s="41"/>
      <c r="AQ104" s="41"/>
      <c r="BA104" s="41"/>
      <c r="BK104" s="41"/>
      <c r="BU104" s="41"/>
      <c r="CE104" s="41"/>
      <c r="CO104" s="41"/>
      <c r="CY104" s="41"/>
      <c r="DI104" s="41"/>
    </row>
    <row r="105" spans="1:113" s="43" customFormat="1" ht="15" customHeight="1" x14ac:dyDescent="0.25">
      <c r="A105" s="41"/>
      <c r="B105" s="201" t="s">
        <v>142</v>
      </c>
      <c r="N105" s="201" t="s">
        <v>142</v>
      </c>
      <c r="W105" s="41"/>
      <c r="AG105" s="41"/>
      <c r="AQ105" s="41"/>
      <c r="BA105" s="41"/>
      <c r="BK105" s="41"/>
      <c r="BU105" s="41"/>
      <c r="CE105" s="41"/>
      <c r="CO105" s="41"/>
      <c r="CY105" s="41"/>
      <c r="DI105" s="41"/>
    </row>
    <row r="106" spans="1:113" s="43" customFormat="1" ht="15" customHeight="1" x14ac:dyDescent="0.25">
      <c r="A106" s="41"/>
      <c r="B106" s="200" t="s">
        <v>143</v>
      </c>
      <c r="C106" s="43" t="s">
        <v>144</v>
      </c>
      <c r="N106" s="202" t="s">
        <v>143</v>
      </c>
      <c r="O106" s="43" t="s">
        <v>144</v>
      </c>
      <c r="W106" s="41"/>
      <c r="AG106" s="41"/>
      <c r="AQ106" s="41"/>
      <c r="BA106" s="41"/>
      <c r="BK106" s="41"/>
      <c r="BU106" s="41"/>
      <c r="CE106" s="41"/>
      <c r="CO106" s="41"/>
      <c r="CY106" s="41"/>
      <c r="DI106" s="41"/>
    </row>
    <row r="107" spans="1:113" s="43" customFormat="1" ht="15" customHeight="1" x14ac:dyDescent="0.25">
      <c r="A107" s="41"/>
      <c r="N107" s="170" t="s">
        <v>145</v>
      </c>
      <c r="O107" s="43" t="s">
        <v>146</v>
      </c>
      <c r="W107" s="41"/>
      <c r="AG107" s="41"/>
      <c r="AQ107" s="41"/>
      <c r="BA107" s="41"/>
      <c r="BK107" s="41"/>
      <c r="BU107" s="41"/>
      <c r="CE107" s="41"/>
      <c r="CO107" s="41"/>
      <c r="CY107" s="41"/>
      <c r="DI107" s="41"/>
    </row>
    <row r="108" spans="1:113" s="43" customFormat="1" ht="15" customHeight="1" x14ac:dyDescent="0.25">
      <c r="A108" s="41"/>
      <c r="N108" s="203" t="s">
        <v>145</v>
      </c>
      <c r="O108" s="43" t="s">
        <v>147</v>
      </c>
      <c r="W108" s="41"/>
      <c r="AG108" s="41"/>
      <c r="AQ108" s="41"/>
      <c r="BA108" s="41"/>
      <c r="BK108" s="41"/>
      <c r="BU108" s="41"/>
      <c r="CE108" s="41"/>
      <c r="CO108" s="41"/>
      <c r="CY108" s="41"/>
      <c r="DI108" s="41"/>
    </row>
    <row r="109" spans="1:113" s="43" customFormat="1" ht="15" customHeight="1" x14ac:dyDescent="0.25">
      <c r="A109" s="41"/>
      <c r="N109" s="170" t="s">
        <v>148</v>
      </c>
      <c r="O109" s="43" t="s">
        <v>149</v>
      </c>
      <c r="W109" s="41"/>
      <c r="AG109" s="41"/>
      <c r="AQ109" s="41"/>
      <c r="BA109" s="41"/>
      <c r="BK109" s="41"/>
      <c r="BU109" s="41"/>
      <c r="CE109" s="41"/>
      <c r="CO109" s="41"/>
      <c r="CY109" s="41"/>
      <c r="DI109" s="41"/>
    </row>
    <row r="110" spans="1:113" s="43" customFormat="1" ht="15" customHeight="1" x14ac:dyDescent="0.25">
      <c r="A110" s="41"/>
      <c r="W110" s="41"/>
      <c r="AG110" s="41"/>
      <c r="AQ110" s="41"/>
      <c r="BA110" s="41"/>
      <c r="BK110" s="41"/>
      <c r="BU110" s="41"/>
      <c r="CE110" s="41"/>
      <c r="CO110" s="41"/>
      <c r="CY110" s="41"/>
      <c r="DI110" s="41"/>
    </row>
    <row r="111" spans="1:113" s="43" customFormat="1" ht="15" customHeight="1" x14ac:dyDescent="0.25">
      <c r="A111" s="41"/>
      <c r="W111" s="41"/>
      <c r="AG111" s="41"/>
      <c r="AQ111" s="41"/>
      <c r="BA111" s="41"/>
      <c r="BK111" s="41"/>
      <c r="BU111" s="41"/>
      <c r="CE111" s="41"/>
      <c r="CO111" s="41"/>
      <c r="CY111" s="41"/>
      <c r="DI111" s="41"/>
    </row>
    <row r="112" spans="1:113" s="43" customFormat="1" ht="15" customHeight="1" x14ac:dyDescent="0.25">
      <c r="A112" s="41"/>
      <c r="W112" s="41"/>
      <c r="AG112" s="41"/>
      <c r="AQ112" s="41"/>
      <c r="BA112" s="41"/>
      <c r="BK112" s="41"/>
      <c r="BU112" s="41"/>
      <c r="CE112" s="41"/>
      <c r="CO112" s="41"/>
      <c r="CY112" s="41"/>
      <c r="DI112" s="41"/>
    </row>
    <row r="113" spans="1:113" s="43" customFormat="1" ht="15" customHeight="1" x14ac:dyDescent="0.25">
      <c r="A113" s="41"/>
      <c r="W113" s="41"/>
      <c r="AG113" s="41"/>
      <c r="AQ113" s="41"/>
      <c r="BA113" s="41"/>
      <c r="BK113" s="41"/>
      <c r="BU113" s="41"/>
      <c r="CE113" s="41"/>
      <c r="CO113" s="41"/>
      <c r="CY113" s="41"/>
      <c r="DI113" s="41"/>
    </row>
    <row r="114" spans="1:113" s="43" customFormat="1" ht="15" customHeight="1" x14ac:dyDescent="0.25">
      <c r="A114" s="41"/>
      <c r="W114" s="41"/>
      <c r="AG114" s="41"/>
      <c r="AQ114" s="41"/>
      <c r="BA114" s="41"/>
      <c r="BK114" s="41"/>
      <c r="BU114" s="41"/>
      <c r="CE114" s="41"/>
      <c r="CO114" s="41"/>
      <c r="CY114" s="41"/>
      <c r="DI114" s="41"/>
    </row>
    <row r="115" spans="1:113" s="43" customFormat="1" ht="15" customHeight="1" x14ac:dyDescent="0.25">
      <c r="A115" s="41"/>
      <c r="W115" s="41"/>
      <c r="AG115" s="41"/>
      <c r="AQ115" s="41"/>
      <c r="BA115" s="41"/>
      <c r="BK115" s="41"/>
      <c r="BU115" s="41"/>
      <c r="CE115" s="41"/>
      <c r="CO115" s="41"/>
      <c r="CY115" s="41"/>
      <c r="DI115" s="41"/>
    </row>
    <row r="116" spans="1:113" s="43" customFormat="1" ht="15" customHeight="1" x14ac:dyDescent="0.25">
      <c r="A116" s="41"/>
      <c r="W116" s="41"/>
      <c r="AG116" s="41"/>
      <c r="AQ116" s="41"/>
      <c r="BA116" s="41"/>
      <c r="BK116" s="41"/>
      <c r="BU116" s="41"/>
      <c r="CE116" s="41"/>
      <c r="CO116" s="41"/>
      <c r="CY116" s="41"/>
      <c r="DI116" s="41"/>
    </row>
    <row r="117" spans="1:113" s="43" customFormat="1" ht="15" customHeight="1" x14ac:dyDescent="0.25">
      <c r="A117" s="41"/>
      <c r="W117" s="41"/>
      <c r="AG117" s="41"/>
      <c r="AQ117" s="41"/>
      <c r="BA117" s="41"/>
      <c r="BK117" s="41"/>
      <c r="BU117" s="41"/>
      <c r="CE117" s="41"/>
      <c r="CO117" s="41"/>
      <c r="CY117" s="41"/>
      <c r="DI117" s="41"/>
    </row>
    <row r="118" spans="1:113" s="43" customFormat="1" ht="15" customHeight="1" x14ac:dyDescent="0.25">
      <c r="A118" s="41"/>
      <c r="W118" s="41"/>
      <c r="AG118" s="41"/>
      <c r="AQ118" s="41"/>
      <c r="BA118" s="41"/>
      <c r="BK118" s="41"/>
      <c r="BU118" s="41"/>
      <c r="CE118" s="41"/>
      <c r="CO118" s="41"/>
      <c r="CY118" s="41"/>
      <c r="DI118" s="41"/>
    </row>
    <row r="119" spans="1:113" s="43" customFormat="1" ht="15" customHeight="1" x14ac:dyDescent="0.25">
      <c r="A119" s="41"/>
      <c r="W119" s="41"/>
      <c r="AG119" s="41"/>
      <c r="AQ119" s="41"/>
      <c r="BA119" s="41"/>
      <c r="BK119" s="41"/>
      <c r="BU119" s="41"/>
      <c r="CE119" s="41"/>
      <c r="CO119" s="41"/>
      <c r="CY119" s="41"/>
      <c r="DI119" s="41"/>
    </row>
    <row r="120" spans="1:113" s="43" customFormat="1" ht="15" customHeight="1" x14ac:dyDescent="0.25">
      <c r="A120" s="41"/>
      <c r="W120" s="41"/>
      <c r="AG120" s="41"/>
      <c r="AQ120" s="41"/>
      <c r="BA120" s="41"/>
      <c r="BK120" s="41"/>
      <c r="BU120" s="41"/>
      <c r="CE120" s="41"/>
      <c r="CO120" s="41"/>
      <c r="CY120" s="41"/>
      <c r="DI120" s="41"/>
    </row>
    <row r="121" spans="1:113" s="43" customFormat="1" ht="15" customHeight="1" x14ac:dyDescent="0.25">
      <c r="A121" s="41"/>
      <c r="W121" s="41"/>
      <c r="AG121" s="41"/>
      <c r="AQ121" s="41"/>
      <c r="BA121" s="41"/>
      <c r="BK121" s="41"/>
      <c r="BU121" s="41"/>
      <c r="CE121" s="41"/>
      <c r="CO121" s="41"/>
      <c r="CY121" s="41"/>
      <c r="DI121" s="41"/>
    </row>
    <row r="122" spans="1:113" s="43" customFormat="1" ht="15" customHeight="1" x14ac:dyDescent="0.25">
      <c r="A122" s="41"/>
      <c r="W122" s="41"/>
      <c r="AG122" s="41"/>
      <c r="AQ122" s="41"/>
      <c r="BA122" s="41"/>
      <c r="BK122" s="41"/>
      <c r="BU122" s="41"/>
      <c r="CE122" s="41"/>
      <c r="CO122" s="41"/>
      <c r="CY122" s="41"/>
      <c r="DI122" s="41"/>
    </row>
    <row r="123" spans="1:113" s="43" customFormat="1" ht="15" customHeight="1" x14ac:dyDescent="0.25">
      <c r="A123" s="41"/>
      <c r="W123" s="41"/>
      <c r="AG123" s="41"/>
      <c r="AQ123" s="41"/>
      <c r="BA123" s="41"/>
      <c r="BK123" s="41"/>
      <c r="BU123" s="41"/>
      <c r="CE123" s="41"/>
      <c r="CO123" s="41"/>
      <c r="CY123" s="41"/>
      <c r="DI123" s="41"/>
    </row>
    <row r="124" spans="1:113" s="43" customFormat="1" ht="15" customHeight="1" x14ac:dyDescent="0.25">
      <c r="A124" s="41"/>
      <c r="W124" s="41"/>
      <c r="AG124" s="41"/>
      <c r="AQ124" s="41"/>
      <c r="BA124" s="41"/>
      <c r="BK124" s="41"/>
      <c r="BU124" s="41"/>
      <c r="CE124" s="41"/>
      <c r="CO124" s="41"/>
      <c r="CY124" s="41"/>
      <c r="DI124" s="41"/>
    </row>
    <row r="125" spans="1:113" s="43" customFormat="1" ht="15" customHeight="1" x14ac:dyDescent="0.25">
      <c r="A125" s="41"/>
      <c r="W125" s="41"/>
      <c r="AG125" s="41"/>
      <c r="AQ125" s="41"/>
      <c r="BA125" s="41"/>
      <c r="BK125" s="41"/>
      <c r="BU125" s="41"/>
      <c r="CE125" s="41"/>
      <c r="CO125" s="41"/>
      <c r="CY125" s="41"/>
      <c r="DI125" s="41"/>
    </row>
    <row r="126" spans="1:113" s="43" customFormat="1" ht="15" customHeight="1" x14ac:dyDescent="0.25">
      <c r="A126" s="41"/>
      <c r="W126" s="41"/>
      <c r="AG126" s="41"/>
      <c r="AQ126" s="41"/>
      <c r="BA126" s="41"/>
      <c r="BK126" s="41"/>
      <c r="BU126" s="41"/>
      <c r="CE126" s="41"/>
      <c r="CO126" s="41"/>
      <c r="CY126" s="41"/>
      <c r="DI126" s="41"/>
    </row>
    <row r="127" spans="1:113" s="43" customFormat="1" ht="15" customHeight="1" x14ac:dyDescent="0.25">
      <c r="A127" s="41"/>
      <c r="W127" s="41"/>
      <c r="AG127" s="41"/>
      <c r="AQ127" s="41"/>
      <c r="BA127" s="41"/>
      <c r="BK127" s="41"/>
      <c r="BU127" s="41"/>
      <c r="CE127" s="41"/>
      <c r="CO127" s="41"/>
      <c r="CY127" s="41"/>
      <c r="DI127" s="41"/>
    </row>
    <row r="128" spans="1:113" s="43" customFormat="1" ht="15" customHeight="1" x14ac:dyDescent="0.25">
      <c r="A128" s="41"/>
      <c r="W128" s="41"/>
      <c r="AG128" s="41"/>
      <c r="AQ128" s="41"/>
      <c r="BA128" s="41"/>
      <c r="BK128" s="41"/>
      <c r="BU128" s="41"/>
      <c r="CE128" s="41"/>
      <c r="CO128" s="41"/>
      <c r="CY128" s="41"/>
      <c r="DI128" s="41"/>
    </row>
    <row r="129" spans="1:113" s="43" customFormat="1" ht="15" customHeight="1" x14ac:dyDescent="0.25">
      <c r="A129" s="41"/>
      <c r="W129" s="41"/>
      <c r="AG129" s="41"/>
      <c r="AQ129" s="41"/>
      <c r="BA129" s="41"/>
      <c r="BK129" s="41"/>
      <c r="BU129" s="41"/>
      <c r="CE129" s="41"/>
      <c r="CO129" s="41"/>
      <c r="CY129" s="41"/>
      <c r="DI129" s="41"/>
    </row>
    <row r="130" spans="1:113" s="43" customFormat="1" ht="15" customHeight="1" x14ac:dyDescent="0.25">
      <c r="A130" s="41"/>
      <c r="W130" s="41"/>
      <c r="AG130" s="41"/>
      <c r="AQ130" s="41"/>
      <c r="BA130" s="41"/>
      <c r="BK130" s="41"/>
      <c r="BU130" s="41"/>
      <c r="CE130" s="41"/>
      <c r="CO130" s="41"/>
      <c r="CY130" s="41"/>
      <c r="DI130" s="41"/>
    </row>
    <row r="131" spans="1:113" s="43" customFormat="1" ht="15" customHeight="1" x14ac:dyDescent="0.25">
      <c r="A131" s="41"/>
      <c r="W131" s="41"/>
      <c r="AG131" s="41"/>
      <c r="AQ131" s="41"/>
      <c r="BA131" s="41"/>
      <c r="BK131" s="41"/>
      <c r="BU131" s="41"/>
      <c r="CE131" s="41"/>
      <c r="CO131" s="41"/>
      <c r="CY131" s="41"/>
      <c r="DI131" s="41"/>
    </row>
    <row r="132" spans="1:113" ht="26.4" customHeight="1" x14ac:dyDescent="0.3">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A51:DB51"/>
    <mergeCell ref="DC51:DD51"/>
    <mergeCell ref="DE51:DG51"/>
    <mergeCell ref="DA50:DB50"/>
    <mergeCell ref="DC50:DD50"/>
    <mergeCell ref="DE50:DG50"/>
    <mergeCell ref="DE52:DG52"/>
    <mergeCell ref="DE53:DG53"/>
    <mergeCell ref="DC52:DD52"/>
    <mergeCell ref="DA53:DB53"/>
    <mergeCell ref="DC53:DD53"/>
    <mergeCell ref="DA52:DB52"/>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AC50:AE50"/>
    <mergeCell ref="AC51:AE51"/>
    <mergeCell ref="AC52:AE52"/>
    <mergeCell ref="AC53:AE53"/>
    <mergeCell ref="AC54:AE54"/>
    <mergeCell ref="AC55:AE55"/>
    <mergeCell ref="AC56:AE56"/>
    <mergeCell ref="Y57:AB57"/>
    <mergeCell ref="AC57:AE57"/>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8">
      <formula>ISTEXT(K61)</formula>
    </cfRule>
    <cfRule type="expression" dxfId="100" priority="2197">
      <formula>AND(H61&lt;&gt;"",I61&lt;&gt;"",H61=I61)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96">
      <formula>AND(KOGameRule=0,O61=$G61,$J61=R61)</formula>
    </cfRule>
    <cfRule type="expression" dxfId="93" priority="2178">
      <formula>P61+S61&gt;Q61+T61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4">
      <formula>Z61+AC61&gt;AA61+AD61</formula>
    </cfRule>
    <cfRule type="expression" dxfId="74" priority="190">
      <formula>AND(KOGameRule=0,Y61=$G61,$J61=AB61)</formula>
    </cfRule>
    <cfRule type="expression" dxfId="73" priority="193">
      <formula>Z61+AC61&lt;AA61+AD61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2">
      <formula>Z10&gt;AA10</formula>
    </cfRule>
    <cfRule type="expression" dxfId="65" priority="2103">
      <formula>Z10&lt;AA10</formula>
    </cfRule>
  </conditionalFormatting>
  <conditionalFormatting sqref="AB61:AB75">
    <cfRule type="expression" dxfId="64" priority="192">
      <formula>Z61+AC61&lt;AA61+AD61</formula>
    </cfRule>
    <cfRule type="expression" dxfId="63" priority="191">
      <formula>Z61+AC61&gt;AA61+AD61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2">
      <formula>AND(KOGameRule=0,AI61=$G61,$J61=AL61)</formula>
    </cfRule>
    <cfRule type="expression" dxfId="53" priority="175">
      <formula>AJ61+AM61&lt;AK61+AN61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1">
      <formula>AJ61+AM61&lt;AK61+AN61</formula>
    </cfRule>
    <cfRule type="expression" dxfId="43" priority="110">
      <formula>AJ61+AM61&gt;AK61+AN61</formula>
    </cfRule>
    <cfRule type="expression" dxfId="42" priority="109">
      <formula>AND(KOGameRule=0,AI61=$G61,$J61=AL61)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7">
      <formula>AT61+AW61&gt;AU61+AX61</formula>
    </cfRule>
    <cfRule type="expression" dxfId="36" priority="16">
      <formula>AT61+AW61&lt;AU61+AX61</formula>
    </cfRule>
    <cfRule type="expression" dxfId="35" priority="15">
      <formula>AND(KOGameRule=0,AS61=$G61,$J61=AV61)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3">
      <formula>AT61+AW61&lt;AU61+AX61</formula>
    </cfRule>
    <cfRule type="expression" dxfId="30" priority="11">
      <formula>AND(KOGameRule=0,AS61=$G61,$J61=AV61)</formula>
    </cfRule>
    <cfRule type="expression" dxfId="29" priority="12">
      <formula>AT61+AW61&gt;AU61+AX61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09375" defaultRowHeight="14.4" x14ac:dyDescent="0.3"/>
  <cols>
    <col min="1" max="1" width="2.44140625" style="302" customWidth="1"/>
    <col min="2" max="2" width="3.88671875" style="302" customWidth="1"/>
    <col min="3" max="4" width="3.88671875" style="302" hidden="1" customWidth="1"/>
    <col min="5" max="5" width="6.88671875" style="303" hidden="1" customWidth="1"/>
    <col min="6" max="6" width="6.88671875" style="302" hidden="1" customWidth="1"/>
    <col min="7" max="7" width="21.88671875" style="302" customWidth="1"/>
    <col min="8" max="9" width="3.88671875" style="302" customWidth="1"/>
    <col min="10" max="10" width="21.88671875" style="302" customWidth="1"/>
    <col min="11" max="20" width="3.88671875" style="302" customWidth="1"/>
    <col min="21" max="21" width="3.88671875" style="304" customWidth="1"/>
    <col min="22" max="22" width="3.88671875" style="305" customWidth="1"/>
    <col min="23" max="24" width="3.88671875" style="302" customWidth="1"/>
    <col min="25" max="25" width="1.44140625" style="302" customWidth="1"/>
    <col min="26" max="28" width="3.88671875" style="302" customWidth="1"/>
    <col min="29" max="29" width="2.88671875" style="302" customWidth="1"/>
    <col min="30" max="31" width="3.88671875" style="302" customWidth="1"/>
    <col min="32" max="32" width="3" style="302" customWidth="1"/>
    <col min="33" max="97" width="9.109375" style="302" customWidth="1"/>
    <col min="98" max="16384" width="9.109375" style="302"/>
  </cols>
  <sheetData>
    <row r="1" spans="1:103" ht="14.4" customHeight="1" x14ac:dyDescent="0.3">
      <c r="A1" s="300"/>
      <c r="B1" s="301" t="s">
        <v>150</v>
      </c>
    </row>
    <row r="2" spans="1:103" ht="14.4" customHeight="1" x14ac:dyDescent="0.3"/>
    <row r="3" spans="1:103" ht="14.4" customHeight="1" x14ac:dyDescent="0.3">
      <c r="F3" s="306"/>
    </row>
    <row r="4" spans="1:103" s="300" customFormat="1" ht="14.4" customHeight="1" x14ac:dyDescent="0.3">
      <c r="L4" s="307"/>
      <c r="M4" s="307"/>
      <c r="AE4" s="302"/>
    </row>
    <row r="5" spans="1:103" s="300" customFormat="1" ht="14.4" customHeight="1" x14ac:dyDescent="0.3">
      <c r="E5" s="308"/>
      <c r="AC5" s="309"/>
      <c r="AE5" s="302"/>
    </row>
    <row r="6" spans="1:103" s="300" customFormat="1" ht="14.4" customHeight="1" x14ac:dyDescent="0.3">
      <c r="C6" s="307"/>
      <c r="D6" s="307"/>
      <c r="E6" s="310"/>
      <c r="F6" s="307"/>
      <c r="G6" s="311"/>
      <c r="J6" s="312"/>
      <c r="K6" s="307"/>
      <c r="L6" s="307"/>
      <c r="M6" s="307"/>
      <c r="T6" s="307" t="s">
        <v>151</v>
      </c>
      <c r="U6" s="307" t="s">
        <v>152</v>
      </c>
      <c r="V6" s="307" t="s">
        <v>104</v>
      </c>
      <c r="W6" s="307" t="s">
        <v>153</v>
      </c>
      <c r="X6" s="307" t="s">
        <v>106</v>
      </c>
      <c r="Y6" s="307"/>
      <c r="Z6" s="307" t="s">
        <v>101</v>
      </c>
      <c r="AA6" s="313" t="s">
        <v>154</v>
      </c>
      <c r="AB6" s="307" t="s">
        <v>155</v>
      </c>
      <c r="AE6" s="302"/>
      <c r="AH6" s="314" t="str">
        <f>Matches!G8</f>
        <v>Germany</v>
      </c>
      <c r="CY6" s="302"/>
    </row>
    <row r="7" spans="1:103" s="300" customFormat="1" ht="14.4" customHeight="1" x14ac:dyDescent="0.3">
      <c r="E7" s="308"/>
      <c r="P7" s="300" t="str">
        <f>VLOOKUP(1,'Dummy Table'!A4:B8,2,FALSE)</f>
        <v>Germany</v>
      </c>
      <c r="T7" s="307">
        <f>SUM(U7:W7)</f>
        <v>1</v>
      </c>
      <c r="U7" s="307">
        <f>VLOOKUP(P7,'Dummy Table'!B4:C40,2,FALSE)</f>
        <v>1</v>
      </c>
      <c r="V7" s="307">
        <f>VLOOKUP(P7,'Dummy Table'!B4:D40,3,FALSE)</f>
        <v>0</v>
      </c>
      <c r="W7" s="307">
        <f>VLOOKUP(P7,'Dummy Table'!B4:E40,4,FALSE)</f>
        <v>0</v>
      </c>
      <c r="X7" s="307">
        <f>VLOOKUP(P7,'Dummy Table'!B4:F40,5,FALSE)</f>
        <v>5</v>
      </c>
      <c r="Y7" s="313" t="s">
        <v>156</v>
      </c>
      <c r="Z7" s="307">
        <f>VLOOKUP(P7,'Dummy Table'!B4:G40,6,FALSE)</f>
        <v>1</v>
      </c>
      <c r="AA7" s="307">
        <f>X7-Z7</f>
        <v>4</v>
      </c>
      <c r="AB7" s="307">
        <f>U7*3+V7*1</f>
        <v>3</v>
      </c>
      <c r="AE7" s="302"/>
      <c r="AH7" s="314" t="str">
        <f>Matches!J8</f>
        <v>Scotland</v>
      </c>
      <c r="CY7" s="302"/>
    </row>
    <row r="8" spans="1:103" s="300" customFormat="1" ht="14.4" customHeight="1" x14ac:dyDescent="0.3">
      <c r="B8" s="300">
        <v>1</v>
      </c>
      <c r="C8" s="307">
        <v>1</v>
      </c>
      <c r="D8" s="307" t="s">
        <v>101</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1</v>
      </c>
      <c r="U8" s="307">
        <f>VLOOKUP(P8,'Dummy Table'!B4:C40,2,FALSE)</f>
        <v>1</v>
      </c>
      <c r="V8" s="307">
        <f>VLOOKUP(P8,'Dummy Table'!B4:D40,3,FALSE)</f>
        <v>0</v>
      </c>
      <c r="W8" s="307">
        <f>VLOOKUP(P8,'Dummy Table'!B4:E40,4,FALSE)</f>
        <v>0</v>
      </c>
      <c r="X8" s="307">
        <f>VLOOKUP(P8,'Dummy Table'!B4:F40,5,FALSE)</f>
        <v>3</v>
      </c>
      <c r="Y8" s="307" t="s">
        <v>156</v>
      </c>
      <c r="Z8" s="307">
        <f>VLOOKUP(P8,'Dummy Table'!B4:G40,6,FALSE)</f>
        <v>1</v>
      </c>
      <c r="AA8" s="307">
        <f t="shared" ref="AA8:AA10" si="1">X8-Z8</f>
        <v>2</v>
      </c>
      <c r="AB8" s="307">
        <f>U8*3+V8*1</f>
        <v>3</v>
      </c>
      <c r="AE8" s="302"/>
      <c r="AH8" s="314" t="str">
        <f>Matches!G9</f>
        <v>Hungary</v>
      </c>
      <c r="CY8" s="302"/>
    </row>
    <row r="9" spans="1:103" s="300" customFormat="1" ht="14.4" customHeight="1" x14ac:dyDescent="0.3">
      <c r="B9" s="300">
        <v>2</v>
      </c>
      <c r="C9" s="307">
        <v>2</v>
      </c>
      <c r="D9" s="307" t="s">
        <v>101</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Hungary</v>
      </c>
      <c r="T9" s="307">
        <f t="shared" si="0"/>
        <v>1</v>
      </c>
      <c r="U9" s="307">
        <f>VLOOKUP(P9,'Dummy Table'!B4:C40,2,FALSE)</f>
        <v>0</v>
      </c>
      <c r="V9" s="307">
        <f>VLOOKUP(P9,'Dummy Table'!B4:D40,3,FALSE)</f>
        <v>0</v>
      </c>
      <c r="W9" s="307">
        <f>VLOOKUP(P9,'Dummy Table'!B4:E40,4,FALSE)</f>
        <v>1</v>
      </c>
      <c r="X9" s="307">
        <f>VLOOKUP(P9,'Dummy Table'!B4:F40,5,FALSE)</f>
        <v>1</v>
      </c>
      <c r="Y9" s="307" t="s">
        <v>156</v>
      </c>
      <c r="Z9" s="307">
        <f>VLOOKUP(P9,'Dummy Table'!B4:G40,6,FALSE)</f>
        <v>3</v>
      </c>
      <c r="AA9" s="307">
        <f t="shared" si="1"/>
        <v>-2</v>
      </c>
      <c r="AB9" s="307">
        <f>U9*3+V9*1</f>
        <v>0</v>
      </c>
      <c r="AE9" s="302"/>
      <c r="AH9" s="314" t="str">
        <f>Matches!J9</f>
        <v>Switzerland</v>
      </c>
      <c r="CY9" s="302"/>
    </row>
    <row r="10" spans="1:103" s="300" customFormat="1" ht="14.4" customHeight="1" x14ac:dyDescent="0.3">
      <c r="B10" s="300">
        <v>3</v>
      </c>
      <c r="C10" s="307">
        <v>3</v>
      </c>
      <c r="D10" s="307" t="s">
        <v>102</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Scotland</v>
      </c>
      <c r="T10" s="307">
        <f t="shared" si="0"/>
        <v>1</v>
      </c>
      <c r="U10" s="307">
        <f>VLOOKUP(P10,'Dummy Table'!B4:C40,2,FALSE)</f>
        <v>0</v>
      </c>
      <c r="V10" s="307">
        <f>VLOOKUP(P10,'Dummy Table'!B4:D40,3,FALSE)</f>
        <v>0</v>
      </c>
      <c r="W10" s="307">
        <f>VLOOKUP(P10,'Dummy Table'!B4:E40,4,FALSE)</f>
        <v>1</v>
      </c>
      <c r="X10" s="307">
        <f>VLOOKUP(P10,'Dummy Table'!B4:F40,5,FALSE)</f>
        <v>1</v>
      </c>
      <c r="Y10" s="307" t="s">
        <v>156</v>
      </c>
      <c r="Z10" s="307">
        <f>VLOOKUP(P10,'Dummy Table'!B4:G40,6,FALSE)</f>
        <v>5</v>
      </c>
      <c r="AA10" s="307">
        <f t="shared" si="1"/>
        <v>-4</v>
      </c>
      <c r="AB10" s="307">
        <f>U10*3+V10*1</f>
        <v>0</v>
      </c>
      <c r="AE10" s="302"/>
      <c r="AH10" s="314" t="str">
        <f>Matches!G11</f>
        <v>Italy</v>
      </c>
      <c r="CY10" s="302"/>
    </row>
    <row r="11" spans="1:103" s="300" customFormat="1" ht="14.4" customHeight="1" x14ac:dyDescent="0.3">
      <c r="B11" s="300">
        <v>4</v>
      </c>
      <c r="C11" s="307">
        <v>4</v>
      </c>
      <c r="D11" s="307" t="s">
        <v>102</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151</v>
      </c>
      <c r="U11" s="307" t="s">
        <v>152</v>
      </c>
      <c r="V11" s="307" t="s">
        <v>104</v>
      </c>
      <c r="W11" s="307" t="s">
        <v>153</v>
      </c>
      <c r="X11" s="307" t="s">
        <v>106</v>
      </c>
      <c r="Y11" s="307"/>
      <c r="Z11" s="307" t="s">
        <v>101</v>
      </c>
      <c r="AA11" s="307" t="s">
        <v>154</v>
      </c>
      <c r="AB11" s="307" t="s">
        <v>155</v>
      </c>
      <c r="AE11" s="302"/>
      <c r="AH11" s="314" t="str">
        <f>Matches!J11</f>
        <v>Albania</v>
      </c>
      <c r="CY11" s="302"/>
    </row>
    <row r="12" spans="1:103" s="300" customFormat="1" ht="14.4" customHeight="1" x14ac:dyDescent="0.3">
      <c r="B12" s="300">
        <v>5</v>
      </c>
      <c r="C12" s="307">
        <v>5</v>
      </c>
      <c r="D12" s="307" t="s">
        <v>104</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1</v>
      </c>
      <c r="U12" s="307">
        <f>VLOOKUP(P12,'Dummy Table'!B4:C40,2,FALSE)</f>
        <v>1</v>
      </c>
      <c r="V12" s="307">
        <f>VLOOKUP(P12,'Dummy Table'!B4:D40,3,FALSE)</f>
        <v>0</v>
      </c>
      <c r="W12" s="307">
        <f>VLOOKUP(P12,'Dummy Table'!B4:E40,4,FALSE)</f>
        <v>0</v>
      </c>
      <c r="X12" s="307">
        <f>VLOOKUP(P12,'Dummy Table'!B4:F40,5,FALSE)</f>
        <v>3</v>
      </c>
      <c r="Y12" s="307" t="s">
        <v>156</v>
      </c>
      <c r="Z12" s="307">
        <f>VLOOKUP(P12,'Dummy Table'!B4:G40,6,FALSE)</f>
        <v>0</v>
      </c>
      <c r="AA12" s="307">
        <f>X12-Z12</f>
        <v>3</v>
      </c>
      <c r="AB12" s="307">
        <f>U12*3+V12*1</f>
        <v>3</v>
      </c>
      <c r="AE12" s="302"/>
      <c r="AH12" s="314" t="str">
        <f>Matches!G10</f>
        <v>Spain</v>
      </c>
      <c r="CY12" s="302"/>
    </row>
    <row r="13" spans="1:103" s="300" customFormat="1" ht="14.4" customHeight="1" x14ac:dyDescent="0.3">
      <c r="B13" s="300">
        <v>6</v>
      </c>
      <c r="C13" s="307">
        <v>6</v>
      </c>
      <c r="D13" s="307" t="s">
        <v>103</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1</v>
      </c>
      <c r="U13" s="307">
        <f>VLOOKUP(P13,'Dummy Table'!B4:C40,2,FALSE)</f>
        <v>1</v>
      </c>
      <c r="V13" s="307">
        <f>VLOOKUP(P13,'Dummy Table'!B4:D40,3,FALSE)</f>
        <v>0</v>
      </c>
      <c r="W13" s="307">
        <f>VLOOKUP(P13,'Dummy Table'!B4:E40,4,FALSE)</f>
        <v>0</v>
      </c>
      <c r="X13" s="307">
        <f>VLOOKUP(P13,'Dummy Table'!B4:F40,5,FALSE)</f>
        <v>2</v>
      </c>
      <c r="Y13" s="307" t="s">
        <v>156</v>
      </c>
      <c r="Z13" s="307">
        <f>VLOOKUP(P13,'Dummy Table'!B4:G40,6,FALSE)</f>
        <v>1</v>
      </c>
      <c r="AA13" s="307">
        <f t="shared" ref="AA13:AA15" si="4">X13-Z13</f>
        <v>1</v>
      </c>
      <c r="AB13" s="307">
        <f>U13*3+V13*1</f>
        <v>3</v>
      </c>
      <c r="AE13" s="302"/>
      <c r="AH13" s="314" t="str">
        <f>Matches!J10</f>
        <v>Croatia</v>
      </c>
      <c r="CY13" s="302"/>
    </row>
    <row r="14" spans="1:103" s="300" customFormat="1" ht="14.4" customHeight="1" x14ac:dyDescent="0.3">
      <c r="B14" s="300">
        <v>7</v>
      </c>
      <c r="C14" s="307">
        <v>7</v>
      </c>
      <c r="D14" s="307" t="s">
        <v>103</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Albania</v>
      </c>
      <c r="T14" s="307">
        <f t="shared" si="3"/>
        <v>1</v>
      </c>
      <c r="U14" s="307">
        <f>VLOOKUP(P14,'Dummy Table'!B4:C40,2,FALSE)</f>
        <v>0</v>
      </c>
      <c r="V14" s="307">
        <f>VLOOKUP(P14,'Dummy Table'!B4:D40,3,FALSE)</f>
        <v>0</v>
      </c>
      <c r="W14" s="307">
        <f>VLOOKUP(P14,'Dummy Table'!B4:E40,4,FALSE)</f>
        <v>1</v>
      </c>
      <c r="X14" s="307">
        <f>VLOOKUP(P14,'Dummy Table'!B4:F40,5,FALSE)</f>
        <v>1</v>
      </c>
      <c r="Y14" s="307" t="s">
        <v>156</v>
      </c>
      <c r="Z14" s="307">
        <f>VLOOKUP(P14,'Dummy Table'!B4:G40,6,FALSE)</f>
        <v>2</v>
      </c>
      <c r="AA14" s="307">
        <f t="shared" si="4"/>
        <v>-1</v>
      </c>
      <c r="AB14" s="307">
        <f>U14*3+V14*1</f>
        <v>0</v>
      </c>
      <c r="AE14" s="302"/>
      <c r="AH14" s="314" t="str">
        <f>Matches!G14</f>
        <v>Poland</v>
      </c>
      <c r="CY14" s="302"/>
    </row>
    <row r="15" spans="1:103" s="300" customFormat="1" ht="14.4" customHeight="1" x14ac:dyDescent="0.3">
      <c r="B15" s="300">
        <v>8</v>
      </c>
      <c r="C15" s="307">
        <v>8</v>
      </c>
      <c r="D15" s="307" t="s">
        <v>104</v>
      </c>
      <c r="E15" s="317">
        <f t="shared" si="2"/>
        <v>44361.625</v>
      </c>
      <c r="F15" s="316">
        <v>44361.625</v>
      </c>
      <c r="G15" s="311" t="str">
        <f>'Language Table'!C7</f>
        <v>Austria</v>
      </c>
      <c r="H15" s="307">
        <f>IF('Player Game Board'!H17&lt;&gt;"",'Player Game Board'!H17,"")</f>
        <v>0</v>
      </c>
      <c r="I15" s="307">
        <f>IF('Player Game Board'!I17&lt;&gt;"",'Player Game Board'!I17,"")</f>
        <v>1</v>
      </c>
      <c r="J15" s="300" t="str">
        <f>'Language Table'!C13</f>
        <v>France</v>
      </c>
      <c r="P15" s="300" t="str">
        <f>VLOOKUP(4,'Dummy Table'!A11:B15,2,FALSE)</f>
        <v>Croatia</v>
      </c>
      <c r="T15" s="307">
        <f t="shared" si="3"/>
        <v>1</v>
      </c>
      <c r="U15" s="307">
        <f>VLOOKUP(P15,'Dummy Table'!B4:C40,2,FALSE)</f>
        <v>0</v>
      </c>
      <c r="V15" s="307">
        <f>VLOOKUP(P15,'Dummy Table'!B4:D40,3,FALSE)</f>
        <v>0</v>
      </c>
      <c r="W15" s="307">
        <f>VLOOKUP(P15,'Dummy Table'!B4:E40,4,FALSE)</f>
        <v>1</v>
      </c>
      <c r="X15" s="307">
        <f>VLOOKUP(P15,'Dummy Table'!B4:F40,5,FALSE)</f>
        <v>0</v>
      </c>
      <c r="Y15" s="307" t="s">
        <v>156</v>
      </c>
      <c r="Z15" s="307">
        <f>VLOOKUP(P15,'Dummy Table'!B4:G40,6,FALSE)</f>
        <v>3</v>
      </c>
      <c r="AA15" s="307">
        <f t="shared" si="4"/>
        <v>-3</v>
      </c>
      <c r="AB15" s="307">
        <f>U15*3+V15*1</f>
        <v>0</v>
      </c>
      <c r="AE15" s="302"/>
      <c r="AH15" s="314" t="str">
        <f>Matches!J14</f>
        <v>Netherlands</v>
      </c>
      <c r="CY15" s="302"/>
    </row>
    <row r="16" spans="1:103" s="300" customFormat="1" ht="14.4" customHeight="1" x14ac:dyDescent="0.3">
      <c r="B16" s="300">
        <v>9</v>
      </c>
      <c r="C16" s="307">
        <v>9</v>
      </c>
      <c r="D16" s="307" t="s">
        <v>105</v>
      </c>
      <c r="E16" s="317">
        <f t="shared" si="2"/>
        <v>44361.75</v>
      </c>
      <c r="F16" s="316">
        <v>44361.75</v>
      </c>
      <c r="G16" s="311" t="str">
        <f>'Language Table'!C8</f>
        <v>Belgium</v>
      </c>
      <c r="H16" s="307">
        <f>IF('Player Game Board'!H18&lt;&gt;"",'Player Game Board'!H18,"")</f>
        <v>0</v>
      </c>
      <c r="I16" s="307">
        <f>IF('Player Game Board'!I18&lt;&gt;"",'Player Game Board'!I18,"")</f>
        <v>1</v>
      </c>
      <c r="J16" s="300" t="str">
        <f>'Language Table'!C22</f>
        <v>Slovakia</v>
      </c>
      <c r="T16" s="307" t="s">
        <v>151</v>
      </c>
      <c r="U16" s="307" t="s">
        <v>152</v>
      </c>
      <c r="V16" s="307" t="s">
        <v>104</v>
      </c>
      <c r="W16" s="307" t="s">
        <v>153</v>
      </c>
      <c r="X16" s="307" t="s">
        <v>106</v>
      </c>
      <c r="Y16" s="307"/>
      <c r="Z16" s="307" t="s">
        <v>101</v>
      </c>
      <c r="AA16" s="307" t="s">
        <v>154</v>
      </c>
      <c r="AB16" s="307" t="s">
        <v>155</v>
      </c>
      <c r="AE16" s="302"/>
      <c r="AH16" s="314" t="str">
        <f>Matches!G13</f>
        <v>Slovenia</v>
      </c>
      <c r="CY16" s="302"/>
    </row>
    <row r="17" spans="2:103" s="300" customFormat="1" ht="14.4" customHeight="1" x14ac:dyDescent="0.3">
      <c r="B17" s="300">
        <v>10</v>
      </c>
      <c r="C17" s="307">
        <v>10</v>
      </c>
      <c r="D17" s="307" t="s">
        <v>105</v>
      </c>
      <c r="E17" s="317">
        <f t="shared" si="2"/>
        <v>44361.875</v>
      </c>
      <c r="F17" s="316">
        <v>44361.875</v>
      </c>
      <c r="G17" s="311" t="str">
        <f>'Language Table'!C19</f>
        <v>Romania</v>
      </c>
      <c r="H17" s="307">
        <f>IF('Player Game Board'!H19&lt;&gt;"",'Player Game Board'!H19,"")</f>
        <v>3</v>
      </c>
      <c r="I17" s="307">
        <f>IF('Player Game Board'!I19&lt;&gt;"",'Player Game Board'!I19,"")</f>
        <v>0</v>
      </c>
      <c r="J17" s="300" t="str">
        <f>'Language Table'!C28</f>
        <v>Ukraine</v>
      </c>
      <c r="P17" s="300" t="str">
        <f>VLOOKUP(1,'Dummy Table'!A18:B22,2,FALSE)</f>
        <v>England</v>
      </c>
      <c r="T17" s="307">
        <f>SUM(U17:W17)</f>
        <v>1</v>
      </c>
      <c r="U17" s="307">
        <f>VLOOKUP(P17,'Dummy Table'!B4:C40,2,FALSE)</f>
        <v>1</v>
      </c>
      <c r="V17" s="307">
        <f>VLOOKUP(P17,'Dummy Table'!B4:D40,3,FALSE)</f>
        <v>0</v>
      </c>
      <c r="W17" s="307">
        <f>VLOOKUP(P17,'Dummy Table'!B4:E40,4,FALSE)</f>
        <v>0</v>
      </c>
      <c r="X17" s="307">
        <f>VLOOKUP(P17,'Dummy Table'!B4:F40,5,FALSE)</f>
        <v>1</v>
      </c>
      <c r="Y17" s="307" t="s">
        <v>156</v>
      </c>
      <c r="Z17" s="307">
        <f>VLOOKUP(P17,'Dummy Table'!B4:G40,6,FALSE)</f>
        <v>0</v>
      </c>
      <c r="AA17" s="307">
        <f>X17-Z17</f>
        <v>1</v>
      </c>
      <c r="AB17" s="307">
        <f>U17*3+V17*1</f>
        <v>3</v>
      </c>
      <c r="AE17" s="302"/>
      <c r="AH17" s="314" t="str">
        <f>Matches!J13</f>
        <v>Denmark</v>
      </c>
      <c r="CY17" s="302"/>
    </row>
    <row r="18" spans="2:103" s="300" customFormat="1" ht="14.4" customHeight="1" x14ac:dyDescent="0.3">
      <c r="B18" s="300">
        <v>11</v>
      </c>
      <c r="C18" s="307">
        <v>11</v>
      </c>
      <c r="D18" s="307" t="s">
        <v>106</v>
      </c>
      <c r="E18" s="317">
        <f t="shared" si="2"/>
        <v>44362.75</v>
      </c>
      <c r="F18" s="316">
        <v>44362.75</v>
      </c>
      <c r="G18" s="311" t="str">
        <f>'Language Table'!C26</f>
        <v>Türkiye</v>
      </c>
      <c r="H18" s="307">
        <f>IF('Player Game Board'!H20&lt;&gt;"",'Player Game Board'!H20,"")</f>
        <v>3</v>
      </c>
      <c r="I18" s="307">
        <f>IF('Player Game Board'!I20&lt;&gt;"",'Player Game Board'!I20,"")</f>
        <v>1</v>
      </c>
      <c r="J18" s="300" t="str">
        <f>'Language Table'!C29</f>
        <v>Georgia</v>
      </c>
      <c r="P18" s="300" t="str">
        <f>VLOOKUP(2,'Dummy Table'!A18:B22,2,FALSE)</f>
        <v>Denmark</v>
      </c>
      <c r="T18" s="307">
        <f t="shared" ref="T18:T20" si="5">SUM(U18:W18)</f>
        <v>1</v>
      </c>
      <c r="U18" s="307">
        <f>VLOOKUP(P18,'Dummy Table'!B4:C40,2,FALSE)</f>
        <v>0</v>
      </c>
      <c r="V18" s="307">
        <f>VLOOKUP(P18,'Dummy Table'!B4:D40,3,FALSE)</f>
        <v>1</v>
      </c>
      <c r="W18" s="307">
        <f>VLOOKUP(P18,'Dummy Table'!B4:E40,4,FALSE)</f>
        <v>0</v>
      </c>
      <c r="X18" s="307">
        <f>VLOOKUP(P18,'Dummy Table'!B4:F40,5,FALSE)</f>
        <v>1</v>
      </c>
      <c r="Y18" s="307" t="s">
        <v>156</v>
      </c>
      <c r="Z18" s="307">
        <f>VLOOKUP(P18,'Dummy Table'!B4:G40,6,FALSE)</f>
        <v>1</v>
      </c>
      <c r="AA18" s="307">
        <f t="shared" ref="AA18:AA20" si="6">X18-Z18</f>
        <v>0</v>
      </c>
      <c r="AB18" s="307">
        <f>U18*3+V18*1</f>
        <v>1</v>
      </c>
      <c r="AE18" s="302"/>
      <c r="AH18" s="314" t="str">
        <f>Matches!G15</f>
        <v>Austria</v>
      </c>
      <c r="CY18" s="302"/>
    </row>
    <row r="19" spans="2:103" s="300" customFormat="1" ht="14.4" customHeight="1" x14ac:dyDescent="0.3">
      <c r="B19" s="300">
        <v>12</v>
      </c>
      <c r="C19" s="307">
        <v>12</v>
      </c>
      <c r="D19" s="307" t="s">
        <v>106</v>
      </c>
      <c r="E19" s="317">
        <f t="shared" si="2"/>
        <v>44362.875</v>
      </c>
      <c r="F19" s="316">
        <v>44362.875</v>
      </c>
      <c r="G19" s="311" t="str">
        <f>'Language Table'!C18</f>
        <v>Portugal</v>
      </c>
      <c r="H19" s="307">
        <f>IF('Player Game Board'!H21&lt;&gt;"",'Player Game Board'!H21,"")</f>
        <v>2</v>
      </c>
      <c r="I19" s="307">
        <f>IF('Player Game Board'!I21&lt;&gt;"",'Player Game Board'!I21,"")</f>
        <v>1</v>
      </c>
      <c r="J19" s="300" t="str">
        <f>'Language Table'!C10</f>
        <v>Czechia</v>
      </c>
      <c r="P19" s="300" t="str">
        <f>VLOOKUP(3,'Dummy Table'!A18:B22,2,FALSE)</f>
        <v>Slovenia</v>
      </c>
      <c r="T19" s="307">
        <f t="shared" si="5"/>
        <v>1</v>
      </c>
      <c r="U19" s="307">
        <f>VLOOKUP(P19,'Dummy Table'!B4:C40,2,FALSE)</f>
        <v>0</v>
      </c>
      <c r="V19" s="307">
        <f>VLOOKUP(P19,'Dummy Table'!B4:D40,3,FALSE)</f>
        <v>1</v>
      </c>
      <c r="W19" s="307">
        <f>VLOOKUP(P19,'Dummy Table'!B4:E40,4,FALSE)</f>
        <v>0</v>
      </c>
      <c r="X19" s="307">
        <f>VLOOKUP(P19,'Dummy Table'!B4:F40,5,FALSE)</f>
        <v>1</v>
      </c>
      <c r="Y19" s="307" t="s">
        <v>156</v>
      </c>
      <c r="Z19" s="307">
        <f>VLOOKUP(P19,'Dummy Table'!B4:G40,6,FALSE)</f>
        <v>1</v>
      </c>
      <c r="AA19" s="307">
        <f t="shared" si="6"/>
        <v>0</v>
      </c>
      <c r="AB19" s="307">
        <f>U19*3+V19*1</f>
        <v>1</v>
      </c>
      <c r="AE19" s="302"/>
      <c r="AH19" s="314" t="str">
        <f>Matches!J15</f>
        <v>France</v>
      </c>
      <c r="CY19" s="302"/>
    </row>
    <row r="20" spans="2:103" s="300" customFormat="1" ht="14.4" customHeight="1" x14ac:dyDescent="0.3">
      <c r="B20" s="300">
        <v>13</v>
      </c>
      <c r="C20" s="307">
        <v>13</v>
      </c>
      <c r="D20" s="307" t="s">
        <v>102</v>
      </c>
      <c r="E20" s="317">
        <f t="shared" si="2"/>
        <v>44363.625</v>
      </c>
      <c r="F20" s="316">
        <v>44363.625</v>
      </c>
      <c r="G20" s="311" t="str">
        <f>J8</f>
        <v>Scotland</v>
      </c>
      <c r="H20" s="307" t="str">
        <f>IF('Player Game Board'!H22&lt;&gt;"",'Player Game Board'!H22,"")</f>
        <v/>
      </c>
      <c r="I20" s="307" t="str">
        <f>IF('Player Game Board'!I22&lt;&gt;"",'Player Game Board'!I22,"")</f>
        <v/>
      </c>
      <c r="J20" s="300" t="str">
        <f>J9</f>
        <v>Switzerland</v>
      </c>
      <c r="P20" s="300" t="str">
        <f>VLOOKUP(4,'Dummy Table'!A18:B22,2,FALSE)</f>
        <v>Serbia</v>
      </c>
      <c r="T20" s="307">
        <f t="shared" si="5"/>
        <v>1</v>
      </c>
      <c r="U20" s="307">
        <f>VLOOKUP(P20,'Dummy Table'!B4:C40,2,FALSE)</f>
        <v>0</v>
      </c>
      <c r="V20" s="307">
        <f>VLOOKUP(P20,'Dummy Table'!B4:D40,3,FALSE)</f>
        <v>0</v>
      </c>
      <c r="W20" s="307">
        <f>VLOOKUP(P20,'Dummy Table'!B4:E40,4,FALSE)</f>
        <v>1</v>
      </c>
      <c r="X20" s="307">
        <f>VLOOKUP(P20,'Dummy Table'!B4:F40,5,FALSE)</f>
        <v>0</v>
      </c>
      <c r="Y20" s="307" t="s">
        <v>156</v>
      </c>
      <c r="Z20" s="307">
        <f>VLOOKUP(P20,'Dummy Table'!B4:G40,6,FALSE)</f>
        <v>1</v>
      </c>
      <c r="AA20" s="307">
        <f t="shared" si="6"/>
        <v>-1</v>
      </c>
      <c r="AB20" s="307">
        <f>U20*3+V20*1</f>
        <v>0</v>
      </c>
      <c r="AE20" s="302"/>
      <c r="AH20" s="314" t="str">
        <f>Matches!G12</f>
        <v>Serbia</v>
      </c>
      <c r="CY20" s="302"/>
    </row>
    <row r="21" spans="2:103" s="300" customFormat="1" ht="14.4" customHeight="1" x14ac:dyDescent="0.3">
      <c r="B21" s="300">
        <v>14</v>
      </c>
      <c r="C21" s="307">
        <v>14</v>
      </c>
      <c r="D21" s="307" t="s">
        <v>101</v>
      </c>
      <c r="E21" s="317">
        <f t="shared" si="2"/>
        <v>44363.75</v>
      </c>
      <c r="F21" s="316">
        <v>44363.75</v>
      </c>
      <c r="G21" s="311" t="str">
        <f>G8</f>
        <v>Germany</v>
      </c>
      <c r="H21" s="307" t="str">
        <f>IF('Player Game Board'!H23&lt;&gt;"",'Player Game Board'!H23,"")</f>
        <v/>
      </c>
      <c r="I21" s="307" t="str">
        <f>IF('Player Game Board'!I23&lt;&gt;"",'Player Game Board'!I23,"")</f>
        <v/>
      </c>
      <c r="J21" s="300" t="str">
        <f>G9</f>
        <v>Hungary</v>
      </c>
      <c r="T21" s="307" t="s">
        <v>151</v>
      </c>
      <c r="U21" s="307" t="s">
        <v>152</v>
      </c>
      <c r="V21" s="307" t="s">
        <v>104</v>
      </c>
      <c r="W21" s="307" t="s">
        <v>153</v>
      </c>
      <c r="X21" s="307" t="s">
        <v>106</v>
      </c>
      <c r="Y21" s="307"/>
      <c r="Z21" s="307" t="s">
        <v>101</v>
      </c>
      <c r="AA21" s="307" t="s">
        <v>154</v>
      </c>
      <c r="AB21" s="307" t="s">
        <v>155</v>
      </c>
      <c r="AE21" s="302"/>
      <c r="AH21" s="314" t="str">
        <f>Matches!J12</f>
        <v>England</v>
      </c>
      <c r="CY21" s="302"/>
    </row>
    <row r="22" spans="2:103" s="300" customFormat="1" ht="14.4" customHeight="1" x14ac:dyDescent="0.3">
      <c r="B22" s="300">
        <v>15</v>
      </c>
      <c r="C22" s="307">
        <v>15</v>
      </c>
      <c r="D22" s="307" t="s">
        <v>101</v>
      </c>
      <c r="E22" s="317">
        <f t="shared" si="2"/>
        <v>44363.875</v>
      </c>
      <c r="F22" s="316">
        <v>44363.875</v>
      </c>
      <c r="G22" s="311" t="str">
        <f>J10</f>
        <v>Croatia</v>
      </c>
      <c r="H22" s="307" t="str">
        <f>IF('Player Game Board'!H24&lt;&gt;"",'Player Game Board'!H24,"")</f>
        <v/>
      </c>
      <c r="I22" s="307" t="str">
        <f>IF('Player Game Board'!I24&lt;&gt;"",'Player Game Board'!I24,"")</f>
        <v/>
      </c>
      <c r="J22" s="300" t="str">
        <f>J11</f>
        <v>Albania</v>
      </c>
      <c r="P22" s="300" t="str">
        <f>VLOOKUP(1,'Dummy Table'!A25:B29,2,FALSE)</f>
        <v>Netherlands</v>
      </c>
      <c r="T22" s="307">
        <f>SUM(U22:W22)</f>
        <v>1</v>
      </c>
      <c r="U22" s="307">
        <f>VLOOKUP(P22,'Dummy Table'!B4:C40,2,FALSE)</f>
        <v>1</v>
      </c>
      <c r="V22" s="307">
        <f>VLOOKUP(P22,'Dummy Table'!B4:D40,3,FALSE)</f>
        <v>0</v>
      </c>
      <c r="W22" s="307">
        <f>VLOOKUP(P22,'Dummy Table'!B4:E40,4,FALSE)</f>
        <v>0</v>
      </c>
      <c r="X22" s="307">
        <f>VLOOKUP(P22,'Dummy Table'!B4:F40,5,FALSE)</f>
        <v>2</v>
      </c>
      <c r="Y22" s="307" t="s">
        <v>156</v>
      </c>
      <c r="Z22" s="307">
        <f>VLOOKUP(P22,'Dummy Table'!B4:G40,6,FALSE)</f>
        <v>1</v>
      </c>
      <c r="AA22" s="307">
        <f>X22-Z22</f>
        <v>1</v>
      </c>
      <c r="AB22" s="307">
        <f>U22*3+V22*1</f>
        <v>3</v>
      </c>
      <c r="AE22" s="302"/>
      <c r="AH22" s="314" t="str">
        <f>Matches!G17</f>
        <v>Romania</v>
      </c>
      <c r="CY22" s="302"/>
    </row>
    <row r="23" spans="2:103" s="300" customFormat="1" ht="14.4" customHeight="1" x14ac:dyDescent="0.3">
      <c r="B23" s="300">
        <v>16</v>
      </c>
      <c r="C23" s="307">
        <v>16</v>
      </c>
      <c r="D23" s="307" t="s">
        <v>103</v>
      </c>
      <c r="E23" s="317">
        <f t="shared" si="2"/>
        <v>44364.625</v>
      </c>
      <c r="F23" s="316">
        <v>44364.625</v>
      </c>
      <c r="G23" s="311" t="str">
        <f>G10</f>
        <v>Spain</v>
      </c>
      <c r="H23" s="307" t="str">
        <f>IF('Player Game Board'!H25&lt;&gt;"",'Player Game Board'!H25,"")</f>
        <v/>
      </c>
      <c r="I23" s="307" t="str">
        <f>IF('Player Game Board'!I25&lt;&gt;"",'Player Game Board'!I25,"")</f>
        <v/>
      </c>
      <c r="J23" s="300" t="str">
        <f>G11</f>
        <v>Italy</v>
      </c>
      <c r="P23" s="300" t="str">
        <f>VLOOKUP(2,'Dummy Table'!A25:B29,2,FALSE)</f>
        <v>France</v>
      </c>
      <c r="T23" s="307">
        <f t="shared" ref="T23:T25" si="7">SUM(U23:W23)</f>
        <v>1</v>
      </c>
      <c r="U23" s="307">
        <f>VLOOKUP(P23,'Dummy Table'!B4:C40,2,FALSE)</f>
        <v>1</v>
      </c>
      <c r="V23" s="307">
        <f>VLOOKUP(P23,'Dummy Table'!B4:D40,3,FALSE)</f>
        <v>0</v>
      </c>
      <c r="W23" s="307">
        <f>VLOOKUP(P23,'Dummy Table'!B4:E40,4,FALSE)</f>
        <v>0</v>
      </c>
      <c r="X23" s="307">
        <f>VLOOKUP(P23,'Dummy Table'!B4:F40,5,FALSE)</f>
        <v>1</v>
      </c>
      <c r="Y23" s="307" t="s">
        <v>156</v>
      </c>
      <c r="Z23" s="307">
        <f>VLOOKUP(P23,'Dummy Table'!B4:G40,6,FALSE)</f>
        <v>0</v>
      </c>
      <c r="AA23" s="307">
        <f t="shared" ref="AA23:AA25" si="8">X23-Z23</f>
        <v>1</v>
      </c>
      <c r="AB23" s="307">
        <f>U23*3+V23*1</f>
        <v>3</v>
      </c>
      <c r="AE23" s="302"/>
      <c r="AH23" s="314" t="str">
        <f>Matches!J17</f>
        <v>Ukraine</v>
      </c>
      <c r="CY23" s="302"/>
    </row>
    <row r="24" spans="2:103" s="300" customFormat="1" ht="14.4" customHeight="1" x14ac:dyDescent="0.3">
      <c r="B24" s="300">
        <v>17</v>
      </c>
      <c r="C24" s="307">
        <v>17</v>
      </c>
      <c r="D24" s="307" t="s">
        <v>102</v>
      </c>
      <c r="E24" s="317">
        <f t="shared" si="2"/>
        <v>44364.75</v>
      </c>
      <c r="F24" s="316">
        <v>44364.75</v>
      </c>
      <c r="G24" s="311" t="str">
        <f>J13</f>
        <v>Denmark</v>
      </c>
      <c r="H24" s="307" t="str">
        <f>IF('Player Game Board'!H26&lt;&gt;"",'Player Game Board'!H26,"")</f>
        <v/>
      </c>
      <c r="I24" s="307" t="str">
        <f>IF('Player Game Board'!I26&lt;&gt;"",'Player Game Board'!I26,"")</f>
        <v/>
      </c>
      <c r="J24" s="300" t="str">
        <f>J12</f>
        <v>England</v>
      </c>
      <c r="P24" s="300" t="str">
        <f>VLOOKUP(3,'Dummy Table'!A25:B29,2,FALSE)</f>
        <v>Poland</v>
      </c>
      <c r="T24" s="307">
        <f t="shared" si="7"/>
        <v>1</v>
      </c>
      <c r="U24" s="307">
        <f>VLOOKUP(P24,'Dummy Table'!B4:C40,2,FALSE)</f>
        <v>0</v>
      </c>
      <c r="V24" s="307">
        <f>VLOOKUP(P24,'Dummy Table'!B4:D40,3,FALSE)</f>
        <v>0</v>
      </c>
      <c r="W24" s="307">
        <f>VLOOKUP(P24,'Dummy Table'!B4:E40,4,FALSE)</f>
        <v>1</v>
      </c>
      <c r="X24" s="307">
        <f>VLOOKUP(P24,'Dummy Table'!B4:F40,5,FALSE)</f>
        <v>1</v>
      </c>
      <c r="Y24" s="307" t="s">
        <v>156</v>
      </c>
      <c r="Z24" s="307">
        <f>VLOOKUP(P24,'Dummy Table'!B4:G40,6,FALSE)</f>
        <v>2</v>
      </c>
      <c r="AA24" s="307">
        <f t="shared" si="8"/>
        <v>-1</v>
      </c>
      <c r="AB24" s="307">
        <f>U24*3+V24*1</f>
        <v>0</v>
      </c>
      <c r="AE24" s="302"/>
      <c r="AH24" s="314" t="str">
        <f>Matches!G16</f>
        <v>Belgium</v>
      </c>
      <c r="CY24" s="302"/>
    </row>
    <row r="25" spans="2:103" s="300" customFormat="1" ht="14.4" customHeight="1" x14ac:dyDescent="0.3">
      <c r="B25" s="300">
        <v>18</v>
      </c>
      <c r="C25" s="307">
        <v>18</v>
      </c>
      <c r="D25" s="307" t="s">
        <v>103</v>
      </c>
      <c r="E25" s="317">
        <f t="shared" si="2"/>
        <v>44364.875</v>
      </c>
      <c r="F25" s="316">
        <v>44364.875</v>
      </c>
      <c r="G25" s="311" t="str">
        <f>G13</f>
        <v>Slovenia</v>
      </c>
      <c r="H25" s="307" t="str">
        <f>IF('Player Game Board'!H27&lt;&gt;"",'Player Game Board'!H27,"")</f>
        <v/>
      </c>
      <c r="I25" s="307" t="str">
        <f>IF('Player Game Board'!I27&lt;&gt;"",'Player Game Board'!I27,"")</f>
        <v/>
      </c>
      <c r="J25" s="300" t="str">
        <f>G12</f>
        <v>Serbia</v>
      </c>
      <c r="P25" s="300" t="str">
        <f>VLOOKUP(4,'Dummy Table'!A25:B29,2,FALSE)</f>
        <v>Austria</v>
      </c>
      <c r="T25" s="307">
        <f t="shared" si="7"/>
        <v>1</v>
      </c>
      <c r="U25" s="307">
        <f>VLOOKUP(P25,'Dummy Table'!B4:C40,2,FALSE)</f>
        <v>0</v>
      </c>
      <c r="V25" s="307">
        <f>VLOOKUP(P25,'Dummy Table'!B4:D40,3,FALSE)</f>
        <v>0</v>
      </c>
      <c r="W25" s="307">
        <f>VLOOKUP(P25,'Dummy Table'!B4:E40,4,FALSE)</f>
        <v>1</v>
      </c>
      <c r="X25" s="307">
        <f>VLOOKUP(P25,'Dummy Table'!B4:F40,5,FALSE)</f>
        <v>0</v>
      </c>
      <c r="Y25" s="307" t="s">
        <v>156</v>
      </c>
      <c r="Z25" s="307">
        <f>VLOOKUP(P25,'Dummy Table'!B4:G40,6,FALSE)</f>
        <v>1</v>
      </c>
      <c r="AA25" s="307">
        <f t="shared" si="8"/>
        <v>-1</v>
      </c>
      <c r="AB25" s="307">
        <f>U25*3+V25*1</f>
        <v>0</v>
      </c>
      <c r="AE25" s="302"/>
      <c r="AH25" s="314" t="str">
        <f>Matches!J16</f>
        <v>Slovakia</v>
      </c>
      <c r="CY25" s="302"/>
    </row>
    <row r="26" spans="2:103" s="300" customFormat="1" ht="14.4" customHeight="1" x14ac:dyDescent="0.3">
      <c r="B26" s="300">
        <v>19</v>
      </c>
      <c r="C26" s="307">
        <v>19</v>
      </c>
      <c r="D26" s="307" t="s">
        <v>105</v>
      </c>
      <c r="E26" s="317">
        <f t="shared" si="2"/>
        <v>44365.625</v>
      </c>
      <c r="F26" s="316">
        <v>44365.625</v>
      </c>
      <c r="G26" s="311" t="str">
        <f>G14</f>
        <v>Poland</v>
      </c>
      <c r="H26" s="307" t="str">
        <f>IF('Player Game Board'!H28&lt;&gt;"",'Player Game Board'!H28,"")</f>
        <v/>
      </c>
      <c r="I26" s="307" t="str">
        <f>IF('Player Game Board'!I28&lt;&gt;"",'Player Game Board'!I28,"")</f>
        <v/>
      </c>
      <c r="J26" s="300" t="str">
        <f>G15</f>
        <v>Austria</v>
      </c>
      <c r="T26" s="307" t="s">
        <v>151</v>
      </c>
      <c r="U26" s="307" t="s">
        <v>152</v>
      </c>
      <c r="V26" s="307" t="s">
        <v>104</v>
      </c>
      <c r="W26" s="307" t="s">
        <v>153</v>
      </c>
      <c r="X26" s="307" t="s">
        <v>106</v>
      </c>
      <c r="Y26" s="307"/>
      <c r="Z26" s="307" t="s">
        <v>101</v>
      </c>
      <c r="AA26" s="307" t="s">
        <v>154</v>
      </c>
      <c r="AB26" s="307" t="s">
        <v>155</v>
      </c>
      <c r="AE26" s="302"/>
      <c r="AH26" s="314" t="str">
        <f>Matches!G19</f>
        <v>Portugal</v>
      </c>
      <c r="CY26" s="302"/>
    </row>
    <row r="27" spans="2:103" s="300" customFormat="1" ht="14.4" customHeight="1" x14ac:dyDescent="0.3">
      <c r="B27" s="300">
        <v>20</v>
      </c>
      <c r="C27" s="307">
        <v>20</v>
      </c>
      <c r="D27" s="307" t="s">
        <v>104</v>
      </c>
      <c r="E27" s="317">
        <f t="shared" si="2"/>
        <v>44365.75</v>
      </c>
      <c r="F27" s="316">
        <v>44365.75</v>
      </c>
      <c r="G27" s="311" t="str">
        <f>J14</f>
        <v>Netherlands</v>
      </c>
      <c r="H27" s="307" t="str">
        <f>IF('Player Game Board'!H29&lt;&gt;"",'Player Game Board'!H29,"")</f>
        <v/>
      </c>
      <c r="I27" s="307" t="str">
        <f>IF('Player Game Board'!I29&lt;&gt;"",'Player Game Board'!I29,"")</f>
        <v/>
      </c>
      <c r="J27" s="300" t="str">
        <f>J15</f>
        <v>France</v>
      </c>
      <c r="P27" s="300" t="str">
        <f>VLOOKUP(1,'Dummy Table'!A31:B35,2,FALSE)</f>
        <v>Romania</v>
      </c>
      <c r="T27" s="307">
        <f>SUM(U27:W27)</f>
        <v>1</v>
      </c>
      <c r="U27" s="307">
        <f>VLOOKUP(P27,'Dummy Table'!B4:C40,2,FALSE)</f>
        <v>1</v>
      </c>
      <c r="V27" s="307">
        <f>VLOOKUP(P27,'Dummy Table'!B4:D40,3,FALSE)</f>
        <v>0</v>
      </c>
      <c r="W27" s="307">
        <f>VLOOKUP(P27,'Dummy Table'!B4:E40,4,FALSE)</f>
        <v>0</v>
      </c>
      <c r="X27" s="307">
        <f>VLOOKUP(P27,'Dummy Table'!B4:F40,5,FALSE)</f>
        <v>3</v>
      </c>
      <c r="Y27" s="307" t="s">
        <v>156</v>
      </c>
      <c r="Z27" s="307">
        <f>VLOOKUP(P27,'Dummy Table'!B4:G40,6,FALSE)</f>
        <v>0</v>
      </c>
      <c r="AA27" s="307">
        <f>X27-Z27</f>
        <v>3</v>
      </c>
      <c r="AB27" s="307">
        <f>U27*3+V27*1</f>
        <v>3</v>
      </c>
      <c r="AE27" s="302"/>
      <c r="AH27" s="314" t="str">
        <f>Matches!J19</f>
        <v>Czechia</v>
      </c>
      <c r="CY27" s="302"/>
    </row>
    <row r="28" spans="2:103" s="300" customFormat="1" ht="14.4" customHeight="1" x14ac:dyDescent="0.3">
      <c r="B28" s="300">
        <v>21</v>
      </c>
      <c r="C28" s="307">
        <v>21</v>
      </c>
      <c r="D28" s="307" t="s">
        <v>104</v>
      </c>
      <c r="E28" s="317">
        <f t="shared" si="2"/>
        <v>44365.875</v>
      </c>
      <c r="F28" s="316">
        <v>44365.875</v>
      </c>
      <c r="G28" s="311" t="str">
        <f>J16</f>
        <v>Slovakia</v>
      </c>
      <c r="H28" s="307" t="str">
        <f>IF('Player Game Board'!H30&lt;&gt;"",'Player Game Board'!H30,"")</f>
        <v/>
      </c>
      <c r="I28" s="307" t="str">
        <f>IF('Player Game Board'!I30&lt;&gt;"",'Player Game Board'!I30,"")</f>
        <v/>
      </c>
      <c r="J28" s="300" t="str">
        <f>J17</f>
        <v>Ukraine</v>
      </c>
      <c r="P28" s="300" t="str">
        <f>VLOOKUP(2,'Dummy Table'!A31:B35,2,FALSE)</f>
        <v>Slovakia</v>
      </c>
      <c r="T28" s="307">
        <f t="shared" ref="T28:T30" si="9">SUM(U28:W28)</f>
        <v>1</v>
      </c>
      <c r="U28" s="307">
        <f>VLOOKUP(P28,'Dummy Table'!B4:C40,2,FALSE)</f>
        <v>1</v>
      </c>
      <c r="V28" s="307">
        <f>VLOOKUP(P28,'Dummy Table'!B4:D40,3,FALSE)</f>
        <v>0</v>
      </c>
      <c r="W28" s="307">
        <f>VLOOKUP(P28,'Dummy Table'!B4:E40,4,FALSE)</f>
        <v>0</v>
      </c>
      <c r="X28" s="307">
        <f>VLOOKUP(P28,'Dummy Table'!B4:F40,5,FALSE)</f>
        <v>1</v>
      </c>
      <c r="Y28" s="307" t="s">
        <v>156</v>
      </c>
      <c r="Z28" s="307">
        <f>VLOOKUP(P28,'Dummy Table'!B4:G40,6,FALSE)</f>
        <v>0</v>
      </c>
      <c r="AA28" s="307">
        <f t="shared" ref="AA28:AA30" si="10">X28-Z28</f>
        <v>1</v>
      </c>
      <c r="AB28" s="307">
        <f>U28*3+V28*1</f>
        <v>3</v>
      </c>
      <c r="AE28" s="302"/>
      <c r="AH28" s="314" t="str">
        <f>Matches!G18</f>
        <v>Türkiye</v>
      </c>
      <c r="CY28" s="302"/>
    </row>
    <row r="29" spans="2:103" s="300" customFormat="1" ht="14.4" customHeight="1" x14ac:dyDescent="0.3">
      <c r="B29" s="300">
        <v>22</v>
      </c>
      <c r="C29" s="307">
        <v>22</v>
      </c>
      <c r="D29" s="307" t="s">
        <v>106</v>
      </c>
      <c r="E29" s="317">
        <f t="shared" si="2"/>
        <v>44366.625</v>
      </c>
      <c r="F29" s="316">
        <v>44366.625</v>
      </c>
      <c r="G29" s="311" t="str">
        <f>G16</f>
        <v>Belgium</v>
      </c>
      <c r="H29" s="307" t="str">
        <f>IF('Player Game Board'!H31&lt;&gt;"",'Player Game Board'!H31,"")</f>
        <v/>
      </c>
      <c r="I29" s="307" t="str">
        <f>IF('Player Game Board'!I31&lt;&gt;"",'Player Game Board'!I31,"")</f>
        <v/>
      </c>
      <c r="J29" s="300" t="str">
        <f>G17</f>
        <v>Romania</v>
      </c>
      <c r="P29" s="300" t="str">
        <f>VLOOKUP(3,'Dummy Table'!A31:B35,2,FALSE)</f>
        <v>Belgium</v>
      </c>
      <c r="T29" s="307">
        <f t="shared" si="9"/>
        <v>1</v>
      </c>
      <c r="U29" s="307">
        <f>VLOOKUP(P29,'Dummy Table'!B4:C40,2,FALSE)</f>
        <v>0</v>
      </c>
      <c r="V29" s="307">
        <f>VLOOKUP(P29,'Dummy Table'!B4:D40,3,FALSE)</f>
        <v>0</v>
      </c>
      <c r="W29" s="307">
        <f>VLOOKUP(P29,'Dummy Table'!B4:E40,4,FALSE)</f>
        <v>1</v>
      </c>
      <c r="X29" s="307">
        <f>VLOOKUP(P29,'Dummy Table'!B4:F40,5,FALSE)</f>
        <v>0</v>
      </c>
      <c r="Y29" s="307" t="s">
        <v>156</v>
      </c>
      <c r="Z29" s="307">
        <f>VLOOKUP(P29,'Dummy Table'!B4:G40,6,FALSE)</f>
        <v>1</v>
      </c>
      <c r="AA29" s="307">
        <f t="shared" si="10"/>
        <v>-1</v>
      </c>
      <c r="AB29" s="307">
        <f>U29*3+V29*1</f>
        <v>0</v>
      </c>
      <c r="AE29" s="302"/>
      <c r="AH29" s="314" t="str">
        <f>Matches!J18</f>
        <v>Georgia</v>
      </c>
      <c r="CY29" s="302"/>
    </row>
    <row r="30" spans="2:103" s="300" customFormat="1" ht="14.4" customHeight="1" x14ac:dyDescent="0.3">
      <c r="B30" s="300">
        <v>23</v>
      </c>
      <c r="C30" s="307">
        <v>23</v>
      </c>
      <c r="D30" s="307" t="s">
        <v>106</v>
      </c>
      <c r="E30" s="317">
        <f t="shared" si="2"/>
        <v>44366.75</v>
      </c>
      <c r="F30" s="316">
        <v>44366.75</v>
      </c>
      <c r="G30" s="311" t="str">
        <f>G18</f>
        <v>Türkiye</v>
      </c>
      <c r="H30" s="307" t="str">
        <f>IF('Player Game Board'!H32&lt;&gt;"",'Player Game Board'!H32,"")</f>
        <v/>
      </c>
      <c r="I30" s="307" t="str">
        <f>IF('Player Game Board'!I32&lt;&gt;"",'Player Game Board'!I32,"")</f>
        <v/>
      </c>
      <c r="J30" s="300" t="str">
        <f>G19</f>
        <v>Portugal</v>
      </c>
      <c r="P30" s="300" t="str">
        <f>VLOOKUP(4,'Dummy Table'!A31:B35,2,FALSE)</f>
        <v>Ukraine</v>
      </c>
      <c r="T30" s="307">
        <f t="shared" si="9"/>
        <v>1</v>
      </c>
      <c r="U30" s="307">
        <f>VLOOKUP(P30,'Dummy Table'!B4:C40,2,FALSE)</f>
        <v>0</v>
      </c>
      <c r="V30" s="307">
        <f>VLOOKUP(P30,'Dummy Table'!B4:D40,3,FALSE)</f>
        <v>0</v>
      </c>
      <c r="W30" s="307">
        <f>VLOOKUP(P30,'Dummy Table'!B4:E40,4,FALSE)</f>
        <v>1</v>
      </c>
      <c r="X30" s="307">
        <f>VLOOKUP(P30,'Dummy Table'!B4:F40,5,FALSE)</f>
        <v>0</v>
      </c>
      <c r="Y30" s="307" t="s">
        <v>156</v>
      </c>
      <c r="Z30" s="307">
        <f>VLOOKUP(P30,'Dummy Table'!B4:G40,6,FALSE)</f>
        <v>3</v>
      </c>
      <c r="AA30" s="307">
        <f t="shared" si="10"/>
        <v>-3</v>
      </c>
      <c r="AB30" s="307">
        <f>U30*3+V30*1</f>
        <v>0</v>
      </c>
      <c r="AE30" s="302"/>
      <c r="CY30" s="302"/>
    </row>
    <row r="31" spans="2:103" s="300" customFormat="1" ht="14.4" customHeight="1" x14ac:dyDescent="0.3">
      <c r="B31" s="300">
        <v>24</v>
      </c>
      <c r="C31" s="307">
        <v>24</v>
      </c>
      <c r="D31" s="307" t="s">
        <v>105</v>
      </c>
      <c r="E31" s="317">
        <f t="shared" si="2"/>
        <v>44366.875</v>
      </c>
      <c r="F31" s="316">
        <v>44366.875</v>
      </c>
      <c r="G31" s="311" t="str">
        <f>J18</f>
        <v>Georgia</v>
      </c>
      <c r="H31" s="307" t="str">
        <f>IF('Player Game Board'!H33&lt;&gt;"",'Player Game Board'!H33,"")</f>
        <v/>
      </c>
      <c r="I31" s="307" t="str">
        <f>IF('Player Game Board'!I33&lt;&gt;"",'Player Game Board'!I33,"")</f>
        <v/>
      </c>
      <c r="J31" s="300" t="str">
        <f>J19</f>
        <v>Czechia</v>
      </c>
      <c r="T31" s="307" t="s">
        <v>151</v>
      </c>
      <c r="U31" s="307" t="s">
        <v>152</v>
      </c>
      <c r="V31" s="307" t="s">
        <v>104</v>
      </c>
      <c r="W31" s="307" t="s">
        <v>153</v>
      </c>
      <c r="X31" s="307" t="s">
        <v>106</v>
      </c>
      <c r="Y31" s="307"/>
      <c r="Z31" s="307" t="s">
        <v>101</v>
      </c>
      <c r="AA31" s="307" t="s">
        <v>154</v>
      </c>
      <c r="AB31" s="307" t="s">
        <v>155</v>
      </c>
      <c r="AE31" s="302"/>
      <c r="CY31" s="302"/>
    </row>
    <row r="32" spans="2:103" s="300" customFormat="1" ht="14.4" customHeight="1" x14ac:dyDescent="0.3">
      <c r="B32" s="300">
        <v>25</v>
      </c>
      <c r="C32" s="307">
        <v>25</v>
      </c>
      <c r="D32" s="307" t="s">
        <v>101</v>
      </c>
      <c r="E32" s="317">
        <f t="shared" si="2"/>
        <v>44367.75</v>
      </c>
      <c r="F32" s="316">
        <v>44367.75</v>
      </c>
      <c r="G32" s="311" t="str">
        <f>J9</f>
        <v>Switzerland</v>
      </c>
      <c r="H32" s="307" t="str">
        <f>IF('Player Game Board'!H34&lt;&gt;"",'Player Game Board'!H34,"")</f>
        <v/>
      </c>
      <c r="I32" s="307" t="str">
        <f>IF('Player Game Board'!I34&lt;&gt;"",'Player Game Board'!I34,"")</f>
        <v/>
      </c>
      <c r="J32" s="300" t="str">
        <f>G8</f>
        <v>Germany</v>
      </c>
      <c r="P32" s="300" t="str">
        <f>VLOOKUP(1,'Dummy Table'!A37:B41,2,FALSE)</f>
        <v>Türkiye</v>
      </c>
      <c r="T32" s="307">
        <f>SUM(U32:W32)</f>
        <v>1</v>
      </c>
      <c r="U32" s="307">
        <f>VLOOKUP(P32,'Dummy Table'!B4:C40,2,FALSE)</f>
        <v>1</v>
      </c>
      <c r="V32" s="307">
        <f>VLOOKUP(P32,'Dummy Table'!B4:D40,3,FALSE)</f>
        <v>0</v>
      </c>
      <c r="W32" s="307">
        <f>VLOOKUP(P32,'Dummy Table'!B4:E40,4,FALSE)</f>
        <v>0</v>
      </c>
      <c r="X32" s="307">
        <f>VLOOKUP(P32,'Dummy Table'!B4:F40,5,FALSE)</f>
        <v>3</v>
      </c>
      <c r="Y32" s="307" t="s">
        <v>156</v>
      </c>
      <c r="Z32" s="307">
        <f>VLOOKUP(P32,'Dummy Table'!B4:G40,6,FALSE)</f>
        <v>1</v>
      </c>
      <c r="AA32" s="307">
        <f>X32-Z32</f>
        <v>2</v>
      </c>
      <c r="AB32" s="307">
        <f>U32*3+V32*1</f>
        <v>3</v>
      </c>
      <c r="AE32" s="302"/>
      <c r="CY32" s="302"/>
    </row>
    <row r="33" spans="2:103" s="300" customFormat="1" ht="14.4" customHeight="1" x14ac:dyDescent="0.3">
      <c r="B33" s="300">
        <v>26</v>
      </c>
      <c r="C33" s="307">
        <v>26</v>
      </c>
      <c r="D33" s="307" t="s">
        <v>101</v>
      </c>
      <c r="E33" s="317">
        <f t="shared" si="2"/>
        <v>44367.75</v>
      </c>
      <c r="F33" s="316">
        <v>44367.75</v>
      </c>
      <c r="G33" s="311" t="str">
        <f>J8</f>
        <v>Scotland</v>
      </c>
      <c r="H33" s="307" t="str">
        <f>IF('Player Game Board'!H35&lt;&gt;"",'Player Game Board'!H35,"")</f>
        <v/>
      </c>
      <c r="I33" s="307" t="str">
        <f>IF('Player Game Board'!I35&lt;&gt;"",'Player Game Board'!I35,"")</f>
        <v/>
      </c>
      <c r="J33" s="300" t="str">
        <f>G9</f>
        <v>Hungary</v>
      </c>
      <c r="P33" s="300" t="str">
        <f>VLOOKUP(2,'Dummy Table'!A37:B41,2,FALSE)</f>
        <v>Portugal</v>
      </c>
      <c r="T33" s="307">
        <f t="shared" ref="T33:T35" si="11">SUM(U33:W33)</f>
        <v>1</v>
      </c>
      <c r="U33" s="307">
        <f>VLOOKUP(P33,'Dummy Table'!B4:C40,2,FALSE)</f>
        <v>1</v>
      </c>
      <c r="V33" s="307">
        <f>VLOOKUP(P33,'Dummy Table'!B4:D40,3,FALSE)</f>
        <v>0</v>
      </c>
      <c r="W33" s="307">
        <f>VLOOKUP(P33,'Dummy Table'!B4:E40,4,FALSE)</f>
        <v>0</v>
      </c>
      <c r="X33" s="307">
        <f>VLOOKUP(P33,'Dummy Table'!B4:F40,5,FALSE)</f>
        <v>2</v>
      </c>
      <c r="Y33" s="307" t="s">
        <v>156</v>
      </c>
      <c r="Z33" s="307">
        <f>VLOOKUP(P33,'Dummy Table'!B4:G40,6,FALSE)</f>
        <v>1</v>
      </c>
      <c r="AA33" s="307">
        <f t="shared" ref="AA33:AA35" si="12">X33-Z33</f>
        <v>1</v>
      </c>
      <c r="AB33" s="307">
        <f>U33*3+V33*1</f>
        <v>3</v>
      </c>
      <c r="AE33" s="302"/>
      <c r="CY33" s="302"/>
    </row>
    <row r="34" spans="2:103" s="300" customFormat="1" ht="14.4" customHeight="1" x14ac:dyDescent="0.3">
      <c r="B34" s="300">
        <v>27</v>
      </c>
      <c r="C34" s="307">
        <v>27</v>
      </c>
      <c r="D34" s="307" t="s">
        <v>103</v>
      </c>
      <c r="E34" s="317">
        <f t="shared" si="2"/>
        <v>44368.75</v>
      </c>
      <c r="F34" s="316">
        <v>44368.75</v>
      </c>
      <c r="G34" s="311" t="str">
        <f>J11</f>
        <v>Albania</v>
      </c>
      <c r="H34" s="307" t="str">
        <f>IF('Player Game Board'!H36&lt;&gt;"",'Player Game Board'!H36,"")</f>
        <v/>
      </c>
      <c r="I34" s="307" t="str">
        <f>IF('Player Game Board'!I36&lt;&gt;"",'Player Game Board'!I36,"")</f>
        <v/>
      </c>
      <c r="J34" s="300" t="str">
        <f>G10</f>
        <v>Spain</v>
      </c>
      <c r="P34" s="300" t="str">
        <f>VLOOKUP(3,'Dummy Table'!A37:B41,2,FALSE)</f>
        <v>Czechia</v>
      </c>
      <c r="T34" s="307">
        <f t="shared" si="11"/>
        <v>1</v>
      </c>
      <c r="U34" s="307">
        <f>VLOOKUP(P34,'Dummy Table'!B4:C40,2,FALSE)</f>
        <v>0</v>
      </c>
      <c r="V34" s="307">
        <f>VLOOKUP(P34,'Dummy Table'!B4:D40,3,FALSE)</f>
        <v>0</v>
      </c>
      <c r="W34" s="307">
        <f>VLOOKUP(P34,'Dummy Table'!B4:E40,4,FALSE)</f>
        <v>1</v>
      </c>
      <c r="X34" s="307">
        <f>VLOOKUP(P34,'Dummy Table'!B4:F40,5,FALSE)</f>
        <v>1</v>
      </c>
      <c r="Y34" s="307" t="s">
        <v>156</v>
      </c>
      <c r="Z34" s="307">
        <f>VLOOKUP(P34,'Dummy Table'!B4:G40,6,FALSE)</f>
        <v>2</v>
      </c>
      <c r="AA34" s="307">
        <f t="shared" si="12"/>
        <v>-1</v>
      </c>
      <c r="AB34" s="307">
        <f>U34*3+V34*1</f>
        <v>0</v>
      </c>
      <c r="AE34" s="302"/>
      <c r="CY34" s="302"/>
    </row>
    <row r="35" spans="2:103" s="300" customFormat="1" ht="14.4" customHeight="1" x14ac:dyDescent="0.3">
      <c r="B35" s="300">
        <v>28</v>
      </c>
      <c r="C35" s="307">
        <v>28</v>
      </c>
      <c r="D35" s="307" t="s">
        <v>103</v>
      </c>
      <c r="E35" s="317">
        <f t="shared" si="2"/>
        <v>44368.75</v>
      </c>
      <c r="F35" s="316">
        <v>44368.75</v>
      </c>
      <c r="G35" s="311" t="str">
        <f>J10</f>
        <v>Croatia</v>
      </c>
      <c r="H35" s="307" t="str">
        <f>IF('Player Game Board'!H37&lt;&gt;"",'Player Game Board'!H37,"")</f>
        <v/>
      </c>
      <c r="I35" s="307" t="str">
        <f>IF('Player Game Board'!I37&lt;&gt;"",'Player Game Board'!I37,"")</f>
        <v/>
      </c>
      <c r="J35" s="300" t="str">
        <f>G11</f>
        <v>Italy</v>
      </c>
      <c r="P35" s="300" t="str">
        <f>VLOOKUP(4,'Dummy Table'!A37:B41,2,FALSE)</f>
        <v>Georgia</v>
      </c>
      <c r="T35" s="307">
        <f t="shared" si="11"/>
        <v>1</v>
      </c>
      <c r="U35" s="307">
        <f>VLOOKUP(P35,'Dummy Table'!B4:C40,2,FALSE)</f>
        <v>0</v>
      </c>
      <c r="V35" s="307">
        <f>VLOOKUP(P35,'Dummy Table'!B4:D40,3,FALSE)</f>
        <v>0</v>
      </c>
      <c r="W35" s="307">
        <f>VLOOKUP(P35,'Dummy Table'!B4:E40,4,FALSE)</f>
        <v>1</v>
      </c>
      <c r="X35" s="307">
        <f>VLOOKUP(P35,'Dummy Table'!B4:F40,5,FALSE)</f>
        <v>1</v>
      </c>
      <c r="Y35" s="307" t="s">
        <v>156</v>
      </c>
      <c r="Z35" s="307">
        <f>VLOOKUP(P35,'Dummy Table'!B4:G40,6,FALSE)</f>
        <v>3</v>
      </c>
      <c r="AA35" s="307">
        <f t="shared" si="12"/>
        <v>-2</v>
      </c>
      <c r="AB35" s="307">
        <f>U35*3+V35*1</f>
        <v>0</v>
      </c>
      <c r="AE35" s="302"/>
      <c r="CY35" s="302"/>
    </row>
    <row r="36" spans="2:103" s="300" customFormat="1" ht="14.4" customHeight="1" x14ac:dyDescent="0.3">
      <c r="B36" s="300">
        <v>29</v>
      </c>
      <c r="C36" s="307">
        <v>29</v>
      </c>
      <c r="D36" s="307" t="s">
        <v>102</v>
      </c>
      <c r="E36" s="317">
        <f t="shared" si="2"/>
        <v>44368.875</v>
      </c>
      <c r="F36" s="316">
        <v>44368.875</v>
      </c>
      <c r="G36" s="311" t="str">
        <f t="shared" ref="G36:G43" si="13">J12</f>
        <v>England</v>
      </c>
      <c r="H36" s="307" t="str">
        <f>IF('Player Game Board'!H38&lt;&gt;"",'Player Game Board'!H38,"")</f>
        <v/>
      </c>
      <c r="I36" s="307" t="str">
        <f>IF('Player Game Board'!I38&lt;&gt;"",'Player Game Board'!I38,"")</f>
        <v/>
      </c>
      <c r="J36" s="300" t="str">
        <f>G13</f>
        <v>Slovenia</v>
      </c>
      <c r="AE36" s="302"/>
      <c r="CY36" s="302"/>
    </row>
    <row r="37" spans="2:103" s="300" customFormat="1" ht="14.4" customHeight="1" x14ac:dyDescent="0.3">
      <c r="B37" s="300">
        <v>30</v>
      </c>
      <c r="C37" s="307">
        <v>30</v>
      </c>
      <c r="D37" s="307" t="s">
        <v>102</v>
      </c>
      <c r="E37" s="317">
        <f t="shared" si="2"/>
        <v>44368.875</v>
      </c>
      <c r="F37" s="316">
        <v>44368.875</v>
      </c>
      <c r="G37" s="311" t="str">
        <f t="shared" si="13"/>
        <v>Denmark</v>
      </c>
      <c r="H37" s="307" t="str">
        <f>IF('Player Game Board'!H39&lt;&gt;"",'Player Game Board'!H39,"")</f>
        <v/>
      </c>
      <c r="I37" s="307" t="str">
        <f>IF('Player Game Board'!I39&lt;&gt;"",'Player Game Board'!I39,"")</f>
        <v/>
      </c>
      <c r="J37" s="300" t="str">
        <f>G12</f>
        <v>Serbia</v>
      </c>
      <c r="O37" s="312"/>
      <c r="U37" s="307"/>
      <c r="AC37" s="309"/>
      <c r="AE37" s="302"/>
      <c r="CY37" s="302"/>
    </row>
    <row r="38" spans="2:103" s="300" customFormat="1" ht="14.4" customHeight="1" x14ac:dyDescent="0.3">
      <c r="B38" s="300">
        <v>31</v>
      </c>
      <c r="C38" s="307">
        <v>31</v>
      </c>
      <c r="D38" s="307" t="s">
        <v>104</v>
      </c>
      <c r="E38" s="317">
        <f t="shared" si="2"/>
        <v>44369.875</v>
      </c>
      <c r="F38" s="316">
        <v>44369.875</v>
      </c>
      <c r="G38" s="311" t="str">
        <f t="shared" si="13"/>
        <v>Netherlands</v>
      </c>
      <c r="H38" s="307" t="str">
        <f>IF('Player Game Board'!H40&lt;&gt;"",'Player Game Board'!H40,"")</f>
        <v/>
      </c>
      <c r="I38" s="307" t="str">
        <f>IF('Player Game Board'!I40&lt;&gt;"",'Player Game Board'!I40,"")</f>
        <v/>
      </c>
      <c r="J38" s="300" t="str">
        <f>G15</f>
        <v>Austria</v>
      </c>
      <c r="T38" s="307" t="s">
        <v>151</v>
      </c>
      <c r="U38" s="307" t="s">
        <v>152</v>
      </c>
      <c r="V38" s="307" t="s">
        <v>104</v>
      </c>
      <c r="W38" s="307" t="s">
        <v>153</v>
      </c>
      <c r="X38" s="307" t="s">
        <v>106</v>
      </c>
      <c r="Y38" s="307"/>
      <c r="Z38" s="307" t="s">
        <v>101</v>
      </c>
      <c r="AA38" s="307" t="s">
        <v>154</v>
      </c>
      <c r="AB38" s="307" t="s">
        <v>155</v>
      </c>
      <c r="AC38" s="307" t="s">
        <v>157</v>
      </c>
      <c r="AE38" s="302"/>
      <c r="CY38" s="302"/>
    </row>
    <row r="39" spans="2:103" s="300" customFormat="1" ht="14.4" customHeight="1" x14ac:dyDescent="0.3">
      <c r="B39" s="300">
        <v>32</v>
      </c>
      <c r="C39" s="307">
        <v>32</v>
      </c>
      <c r="D39" s="307" t="s">
        <v>104</v>
      </c>
      <c r="E39" s="317">
        <f t="shared" si="2"/>
        <v>44369.875</v>
      </c>
      <c r="F39" s="316">
        <v>44369.875</v>
      </c>
      <c r="G39" s="311" t="str">
        <f t="shared" si="13"/>
        <v>France</v>
      </c>
      <c r="H39" s="307" t="str">
        <f>IF('Player Game Board'!H41&lt;&gt;"",'Player Game Board'!H41,"")</f>
        <v/>
      </c>
      <c r="I39" s="307" t="str">
        <f>IF('Player Game Board'!I41&lt;&gt;"",'Player Game Board'!I41,"")</f>
        <v/>
      </c>
      <c r="J39" s="300" t="str">
        <f>G14</f>
        <v>Poland</v>
      </c>
      <c r="O39" s="307">
        <v>1</v>
      </c>
      <c r="P39" s="312" t="str">
        <f>INDEX('Dummy Table'!DH3:DH8,MATCH(Matches!O39,'Dummy Table'!DU3:DU8,0),0)</f>
        <v>Slovenia</v>
      </c>
      <c r="Q39" s="312"/>
      <c r="R39" s="312"/>
      <c r="S39" s="312"/>
      <c r="T39" s="307">
        <f>VLOOKUP(P39,P7:AB35,5,FALSE)</f>
        <v>1</v>
      </c>
      <c r="U39" s="307">
        <f>VLOOKUP(P39,P7:AB35,6,FALSE)</f>
        <v>0</v>
      </c>
      <c r="V39" s="307">
        <f>VLOOKUP(P39,P7:AB35,7,FALSE)</f>
        <v>1</v>
      </c>
      <c r="W39" s="307">
        <f>VLOOKUP(P39,P7:AB35,8,FALSE)</f>
        <v>0</v>
      </c>
      <c r="X39" s="307">
        <f>VLOOKUP(P39,P7:AB35,9,FALSE)</f>
        <v>1</v>
      </c>
      <c r="Y39" s="307" t="s">
        <v>156</v>
      </c>
      <c r="Z39" s="307">
        <f>VLOOKUP(P39,P7:AB35,11,FALSE)</f>
        <v>1</v>
      </c>
      <c r="AA39" s="307">
        <f>VLOOKUP(P39,P7:AB35,12,FALSE)</f>
        <v>0</v>
      </c>
      <c r="AB39" s="307">
        <f>VLOOKUP(P39,P7:AB35,13,FALSE)</f>
        <v>1</v>
      </c>
      <c r="AC39" s="307" t="str">
        <f>INDEX('Dummy Table'!DV3:DV8,MATCH(Matches!O39,'Dummy Table'!DU3:DU8,0),0)</f>
        <v>C</v>
      </c>
      <c r="AE39" s="302"/>
      <c r="CY39" s="302"/>
    </row>
    <row r="40" spans="2:103" s="300" customFormat="1" ht="14.4" customHeight="1" x14ac:dyDescent="0.3">
      <c r="B40" s="300">
        <v>33</v>
      </c>
      <c r="C40" s="307">
        <v>33</v>
      </c>
      <c r="D40" s="307" t="s">
        <v>105</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Albania</v>
      </c>
      <c r="Q40" s="312"/>
      <c r="R40" s="312"/>
      <c r="S40" s="312"/>
      <c r="T40" s="307">
        <f>VLOOKUP(P40,P7:AB35,5,FALSE)</f>
        <v>1</v>
      </c>
      <c r="U40" s="307">
        <f>VLOOKUP(P40,P7:AB35,6,FALSE)</f>
        <v>0</v>
      </c>
      <c r="V40" s="307">
        <f>VLOOKUP(P40,P7:AB35,7,FALSE)</f>
        <v>0</v>
      </c>
      <c r="W40" s="307">
        <f>VLOOKUP(P40,P7:AB35,8,FALSE)</f>
        <v>1</v>
      </c>
      <c r="X40" s="307">
        <f>VLOOKUP(P40,P7:AB35,9,FALSE)</f>
        <v>1</v>
      </c>
      <c r="Y40" s="307" t="s">
        <v>156</v>
      </c>
      <c r="Z40" s="307">
        <f>VLOOKUP(P40,P7:AB35,11,FALSE)</f>
        <v>2</v>
      </c>
      <c r="AA40" s="307">
        <f>VLOOKUP(P40,P7:AB35,12,FALSE)</f>
        <v>-1</v>
      </c>
      <c r="AB40" s="307">
        <f>VLOOKUP(P40,P7:AB35,13,FALSE)</f>
        <v>0</v>
      </c>
      <c r="AC40" s="307" t="str">
        <f>INDEX('Dummy Table'!DV3:DV8,MATCH(Matches!O40,'Dummy Table'!DU3:DU8,0),0)</f>
        <v>B</v>
      </c>
      <c r="AE40" s="302"/>
      <c r="CY40" s="302"/>
    </row>
    <row r="41" spans="2:103" s="300" customFormat="1" ht="14.4" customHeight="1" x14ac:dyDescent="0.3">
      <c r="B41" s="300">
        <v>34</v>
      </c>
      <c r="C41" s="307">
        <v>34</v>
      </c>
      <c r="D41" s="307" t="s">
        <v>105</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Czechia</v>
      </c>
      <c r="Q41" s="312"/>
      <c r="R41" s="312"/>
      <c r="S41" s="312"/>
      <c r="T41" s="307">
        <f>VLOOKUP(P41,P7:AB35,5,FALSE)</f>
        <v>1</v>
      </c>
      <c r="U41" s="307">
        <f>VLOOKUP(P41,P7:AB35,6,FALSE)</f>
        <v>0</v>
      </c>
      <c r="V41" s="307">
        <f>VLOOKUP(P41,P7:AB35,7,FALSE)</f>
        <v>0</v>
      </c>
      <c r="W41" s="307">
        <f>VLOOKUP(P41,P7:AB35,8,FALSE)</f>
        <v>1</v>
      </c>
      <c r="X41" s="307">
        <f>VLOOKUP(P41,P7:AB35,9,FALSE)</f>
        <v>1</v>
      </c>
      <c r="Y41" s="307" t="s">
        <v>156</v>
      </c>
      <c r="Z41" s="307">
        <f>VLOOKUP(P41,P7:AB35,11,FALSE)</f>
        <v>2</v>
      </c>
      <c r="AA41" s="307">
        <f>VLOOKUP(P41,P7:AB35,12,FALSE)</f>
        <v>-1</v>
      </c>
      <c r="AB41" s="307">
        <f>VLOOKUP(P41,P7:AB35,13,FALSE)</f>
        <v>0</v>
      </c>
      <c r="AC41" s="307" t="str">
        <f>INDEX('Dummy Table'!DV3:DV8,MATCH(Matches!O41,'Dummy Table'!DU3:DU8,0),0)</f>
        <v>F</v>
      </c>
      <c r="AE41" s="302"/>
      <c r="CY41" s="302"/>
    </row>
    <row r="42" spans="2:103" s="300" customFormat="1" ht="14.4" customHeight="1" x14ac:dyDescent="0.3">
      <c r="B42" s="300">
        <v>35</v>
      </c>
      <c r="C42" s="307">
        <v>35</v>
      </c>
      <c r="D42" s="307" t="s">
        <v>106</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Poland</v>
      </c>
      <c r="Q42" s="312"/>
      <c r="R42" s="312"/>
      <c r="S42" s="312"/>
      <c r="T42" s="307">
        <f>VLOOKUP(P42,P7:AB35,5,FALSE)</f>
        <v>1</v>
      </c>
      <c r="U42" s="307">
        <f>VLOOKUP(P42,P7:AB35,6,FALSE)</f>
        <v>0</v>
      </c>
      <c r="V42" s="307">
        <f>VLOOKUP(P42,P7:AB35,7,FALSE)</f>
        <v>0</v>
      </c>
      <c r="W42" s="307">
        <f>VLOOKUP(P42,P7:AB35,8,FALSE)</f>
        <v>1</v>
      </c>
      <c r="X42" s="307">
        <f>VLOOKUP(P42,P7:AB35,9,FALSE)</f>
        <v>1</v>
      </c>
      <c r="Y42" s="307" t="s">
        <v>156</v>
      </c>
      <c r="Z42" s="307">
        <f>VLOOKUP(P42,P7:AB35,11,FALSE)</f>
        <v>2</v>
      </c>
      <c r="AA42" s="307">
        <f>VLOOKUP(P42,P7:AB35,12,FALSE)</f>
        <v>-1</v>
      </c>
      <c r="AB42" s="307">
        <f>VLOOKUP(P42,P7:AB35,13,FALSE)</f>
        <v>0</v>
      </c>
      <c r="AC42" s="307" t="str">
        <f>INDEX('Dummy Table'!DV3:DV8,MATCH(Matches!O42,'Dummy Table'!DU3:DU8,0),0)</f>
        <v>D</v>
      </c>
      <c r="AE42" s="302"/>
      <c r="CY42" s="302"/>
    </row>
    <row r="43" spans="2:103" s="300" customFormat="1" ht="14.4" customHeight="1" x14ac:dyDescent="0.3">
      <c r="B43" s="300">
        <v>36</v>
      </c>
      <c r="C43" s="307">
        <v>36</v>
      </c>
      <c r="D43" s="307" t="s">
        <v>106</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Belgium</v>
      </c>
      <c r="Q43" s="312"/>
      <c r="R43" s="312"/>
      <c r="S43" s="312"/>
      <c r="T43" s="307">
        <f>VLOOKUP(P43,P7:AB35,5,FALSE)</f>
        <v>1</v>
      </c>
      <c r="U43" s="307">
        <f>VLOOKUP(P43,P7:AB35,6,FALSE)</f>
        <v>0</v>
      </c>
      <c r="V43" s="307">
        <f>VLOOKUP(P43,P7:AB35,7,FALSE)</f>
        <v>0</v>
      </c>
      <c r="W43" s="307">
        <f>VLOOKUP(P43,P7:AB35,8,FALSE)</f>
        <v>1</v>
      </c>
      <c r="X43" s="307">
        <f>VLOOKUP(P43,P7:AB35,9,FALSE)</f>
        <v>0</v>
      </c>
      <c r="Y43" s="307" t="s">
        <v>156</v>
      </c>
      <c r="Z43" s="307">
        <f>VLOOKUP(P43,P7:AB35,11,FALSE)</f>
        <v>1</v>
      </c>
      <c r="AA43" s="307">
        <f>VLOOKUP(P43,P7:AB35,12,FALSE)</f>
        <v>-1</v>
      </c>
      <c r="AB43" s="307">
        <f>VLOOKUP(P43,P7:AB35,13,FALSE)</f>
        <v>0</v>
      </c>
      <c r="AC43" s="307" t="str">
        <f>INDEX('Dummy Table'!DV3:DV8,MATCH(Matches!O43,'Dummy Table'!DU3:DU8,0),0)</f>
        <v>E</v>
      </c>
      <c r="AE43" s="302"/>
      <c r="CY43" s="302"/>
    </row>
    <row r="44" spans="2:103" s="300" customFormat="1" ht="14.4" customHeight="1" x14ac:dyDescent="0.3">
      <c r="B44" s="300">
        <v>37</v>
      </c>
      <c r="E44" s="317">
        <f t="shared" ref="E44" si="14">F44</f>
        <v>44373.75</v>
      </c>
      <c r="F44" s="316">
        <v>44373.75</v>
      </c>
      <c r="G44" s="311" t="str">
        <f>IF(SUM(T7:T10)=12,P7,'Language Table'!C51)</f>
        <v>Group A Winner</v>
      </c>
      <c r="H44" s="307" t="str">
        <f>IF('Player Game Board'!H61&lt;&gt;"",'Player Game Board'!H61,"")</f>
        <v/>
      </c>
      <c r="I44" s="307" t="str">
        <f>IF('Player Game Board'!I61&lt;&gt;"",'Player Game Board'!I61,"")</f>
        <v/>
      </c>
      <c r="J44" s="300" t="str">
        <f>IF(SUM(T17:T20)=12,P18,'Language Table'!C59)</f>
        <v>Group C Runner Up</v>
      </c>
      <c r="O44" s="307">
        <v>6</v>
      </c>
      <c r="P44" s="300" t="str">
        <f>INDEX('Dummy Table'!DH3:DH8,MATCH(Matches!O44,'Dummy Table'!DU3:DU8,0),0)</f>
        <v>Hungary</v>
      </c>
      <c r="T44" s="307">
        <f>VLOOKUP(P44,P7:AB35,5,FALSE)</f>
        <v>1</v>
      </c>
      <c r="U44" s="307">
        <f>VLOOKUP(P44,P7:AB35,6,FALSE)</f>
        <v>0</v>
      </c>
      <c r="V44" s="307">
        <f>VLOOKUP(P44,P7:AB35,7,FALSE)</f>
        <v>0</v>
      </c>
      <c r="W44" s="307">
        <f>VLOOKUP(P44,P7:AB35,8,FALSE)</f>
        <v>1</v>
      </c>
      <c r="X44" s="307">
        <f>VLOOKUP(P44,P7:AB35,9,FALSE)</f>
        <v>1</v>
      </c>
      <c r="Y44" s="307" t="s">
        <v>156</v>
      </c>
      <c r="Z44" s="307">
        <f>VLOOKUP(P44,P7:AB35,11,FALSE)</f>
        <v>3</v>
      </c>
      <c r="AA44" s="307">
        <f>VLOOKUP(P44,P7:AB35,12,FALSE)</f>
        <v>-2</v>
      </c>
      <c r="AB44" s="307">
        <f>VLOOKUP(P44,P7:AB35,13,FALSE)</f>
        <v>0</v>
      </c>
      <c r="AC44" s="307" t="str">
        <f>INDEX('Dummy Table'!DV3:DV8,MATCH(Matches!O44,'Dummy Table'!DU3:DU8,0),0)</f>
        <v>A</v>
      </c>
      <c r="AE44" s="302"/>
      <c r="CY44" s="302"/>
    </row>
    <row r="45" spans="2:103" s="300" customFormat="1" ht="14.4" customHeight="1" x14ac:dyDescent="0.3">
      <c r="B45" s="300">
        <v>38</v>
      </c>
      <c r="E45" s="317">
        <f t="shared" ref="E45:E58" si="15">F45</f>
        <v>44373.875</v>
      </c>
      <c r="F45" s="316">
        <v>44373.875</v>
      </c>
      <c r="G45" s="311" t="str">
        <f>IF(SUM(T7:T10)=12,P8,'Language Table'!C57)</f>
        <v>Group A Runner Up</v>
      </c>
      <c r="H45" s="307" t="str">
        <f>IF('Player Game Board'!H62&lt;&gt;"",'Player Game Board'!H62,"")</f>
        <v/>
      </c>
      <c r="I45" s="307" t="str">
        <f>IF('Player Game Board'!I62&lt;&gt;"",'Player Game Board'!I62,"")</f>
        <v/>
      </c>
      <c r="J45" s="300" t="str">
        <f>IF(SUM(T12:T15)=12,P13,'Language Table'!C58)</f>
        <v>Group B Runner Up</v>
      </c>
      <c r="AC45" s="309"/>
      <c r="AE45" s="302"/>
      <c r="CV45" s="302"/>
    </row>
    <row r="46" spans="2:103" s="300" customFormat="1" ht="14.4" customHeight="1" x14ac:dyDescent="0.3">
      <c r="B46" s="300">
        <v>39</v>
      </c>
      <c r="E46" s="317">
        <f t="shared" si="15"/>
        <v>44374.75</v>
      </c>
      <c r="F46" s="316">
        <v>44374.75</v>
      </c>
      <c r="G46" s="311" t="str">
        <f>IF(SUM(T12:T15)=12,P12,'Language Table'!C52)</f>
        <v>Group B Winner</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4" customHeight="1" x14ac:dyDescent="0.3">
      <c r="B47" s="300">
        <v>40</v>
      </c>
      <c r="E47" s="317">
        <f t="shared" si="15"/>
        <v>44374.875</v>
      </c>
      <c r="F47" s="316">
        <v>44374.875</v>
      </c>
      <c r="G47" s="318" t="str">
        <f>IF(SUM(T17:T20)=12,P17,'Language Table'!C53)</f>
        <v>Group C Winner</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4" customHeight="1" x14ac:dyDescent="0.3">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4" customHeight="1" x14ac:dyDescent="0.3">
      <c r="B49" s="300">
        <v>42</v>
      </c>
      <c r="E49" s="317">
        <f t="shared" si="15"/>
        <v>44375.875</v>
      </c>
      <c r="F49" s="316">
        <v>44375.875</v>
      </c>
      <c r="G49" s="318" t="str">
        <f>IF(SUM(T22:T25)=12,P23,'Language Table'!C60)</f>
        <v>Group D Runner Up</v>
      </c>
      <c r="H49" s="307" t="str">
        <f>IF('Player Game Board'!H66&lt;&gt;"",'Player Game Board'!H66,"")</f>
        <v/>
      </c>
      <c r="I49" s="307" t="str">
        <f>IF('Player Game Board'!I66&lt;&gt;"",'Player Game Board'!I66,"")</f>
        <v/>
      </c>
      <c r="J49" s="302" t="str">
        <f>IF(SUM(T27:T30)=12,P28,'Language Table'!C61)</f>
        <v>Group E Runner Up</v>
      </c>
      <c r="V49" s="306"/>
    </row>
    <row r="50" spans="2:22" ht="14.4" customHeight="1" x14ac:dyDescent="0.3">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4" customHeight="1" x14ac:dyDescent="0.3">
      <c r="B51" s="300">
        <v>44</v>
      </c>
      <c r="E51" s="317">
        <f t="shared" si="15"/>
        <v>44376.875</v>
      </c>
      <c r="F51" s="316">
        <v>44376.875</v>
      </c>
      <c r="G51" s="318" t="str">
        <f>IF(SUM(T22:T25)=12,P22,'Language Table'!C54)</f>
        <v>Group D Winner</v>
      </c>
      <c r="H51" s="307" t="str">
        <f>IF('Player Game Board'!H68&lt;&gt;"",'Player Game Board'!H68,"")</f>
        <v/>
      </c>
      <c r="I51" s="307" t="str">
        <f>IF('Player Game Board'!I68&lt;&gt;"",'Player Game Board'!I68,"")</f>
        <v/>
      </c>
      <c r="J51" s="302" t="str">
        <f>IF(SUM(T32:T35)=12,P33,'Language Table'!C62)</f>
        <v>Group F Runner Up</v>
      </c>
      <c r="V51" s="306"/>
    </row>
    <row r="52" spans="2:22" ht="14.4" customHeight="1" x14ac:dyDescent="0.3">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4" customHeight="1" x14ac:dyDescent="0.3">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4" customHeight="1" x14ac:dyDescent="0.3">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4" customHeight="1" x14ac:dyDescent="0.3">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4" customHeight="1" x14ac:dyDescent="0.3">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4" customHeight="1" x14ac:dyDescent="0.3">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4" customHeight="1" x14ac:dyDescent="0.3">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4" customHeight="1" x14ac:dyDescent="0.3"/>
    <row r="60" spans="2:22" x14ac:dyDescent="0.3">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5"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O8" sqref="O8"/>
    </sheetView>
  </sheetViews>
  <sheetFormatPr defaultColWidth="9.109375" defaultRowHeight="13.8" x14ac:dyDescent="0.3"/>
  <cols>
    <col min="1" max="1" width="1.44140625" style="133" customWidth="1"/>
    <col min="2" max="2" width="3.44140625" style="7" customWidth="1"/>
    <col min="3" max="3" width="23.44140625" style="7" customWidth="1"/>
    <col min="4" max="4" width="10.88671875" style="8" bestFit="1" customWidth="1"/>
    <col min="5" max="11" width="10.88671875" style="7" customWidth="1"/>
    <col min="12" max="12" width="9.109375" style="7" customWidth="1"/>
    <col min="13" max="13" width="17.88671875" style="7" customWidth="1"/>
    <col min="14" max="14" width="10.88671875" style="7" customWidth="1"/>
    <col min="15" max="65" width="9.109375" style="7" customWidth="1"/>
    <col min="66" max="66" width="2.44140625" style="7" customWidth="1"/>
    <col min="67" max="67" width="9.109375" style="7" customWidth="1"/>
    <col min="68" max="16384" width="9.109375" style="7"/>
  </cols>
  <sheetData>
    <row r="1" spans="1:65" s="25" customFormat="1" ht="5.0999999999999996" customHeight="1" x14ac:dyDescent="0.3">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3">
      <c r="A2" s="133"/>
      <c r="D2" s="28"/>
    </row>
    <row r="3" spans="1:65" ht="30" customHeight="1" x14ac:dyDescent="0.3">
      <c r="B3" s="18" t="s">
        <v>158</v>
      </c>
      <c r="C3" s="16"/>
      <c r="D3" s="16"/>
      <c r="E3" s="16"/>
      <c r="F3" s="16"/>
      <c r="G3" s="16"/>
      <c r="H3" s="16"/>
      <c r="I3" s="16"/>
      <c r="J3" s="16"/>
      <c r="K3" s="16"/>
      <c r="L3" s="16"/>
      <c r="M3" s="16"/>
      <c r="N3" s="16"/>
    </row>
    <row r="4" spans="1:65" ht="5.0999999999999996" customHeight="1" x14ac:dyDescent="0.3">
      <c r="B4" s="16"/>
      <c r="C4" s="16"/>
      <c r="D4" s="16"/>
      <c r="E4" s="16"/>
      <c r="F4" s="16"/>
      <c r="G4" s="16"/>
      <c r="H4" s="16"/>
      <c r="I4" s="16"/>
      <c r="J4" s="16"/>
      <c r="K4" s="16"/>
      <c r="L4" s="16"/>
      <c r="M4" s="16"/>
      <c r="N4" s="16"/>
    </row>
    <row r="5" spans="1:65" ht="15" customHeight="1" x14ac:dyDescent="0.3">
      <c r="B5" s="117"/>
      <c r="C5" s="117"/>
      <c r="D5" s="118"/>
      <c r="E5" s="117"/>
      <c r="F5" s="117"/>
      <c r="G5" s="117"/>
      <c r="H5" s="117"/>
      <c r="I5" s="117"/>
      <c r="J5" s="117"/>
      <c r="K5" s="117"/>
      <c r="L5" s="119"/>
      <c r="M5" s="117"/>
      <c r="N5" s="117"/>
      <c r="O5" s="411" t="s">
        <v>159</v>
      </c>
      <c r="P5" s="411"/>
      <c r="Q5" s="411"/>
      <c r="R5" s="411"/>
      <c r="S5" s="411"/>
      <c r="T5" s="411"/>
      <c r="U5" s="411"/>
      <c r="V5" s="411"/>
      <c r="W5" s="411"/>
      <c r="X5" s="411"/>
      <c r="Y5" s="411"/>
      <c r="Z5" s="411"/>
      <c r="AA5" s="411"/>
      <c r="AB5" s="411"/>
      <c r="AC5" s="411"/>
      <c r="AD5" s="411"/>
      <c r="AE5" s="411"/>
      <c r="AF5" s="411"/>
      <c r="AG5" s="411"/>
      <c r="AH5" s="411"/>
      <c r="AI5" s="411"/>
      <c r="AJ5" s="411"/>
      <c r="AK5" s="411"/>
      <c r="AL5" s="411"/>
      <c r="AM5" s="411"/>
      <c r="AN5" s="411"/>
      <c r="AO5" s="411"/>
      <c r="AP5" s="411"/>
      <c r="AQ5" s="411"/>
      <c r="AR5" s="411"/>
      <c r="AS5" s="411"/>
      <c r="AT5" s="411"/>
      <c r="AU5" s="411"/>
      <c r="AV5" s="411"/>
      <c r="AW5" s="411"/>
      <c r="AX5" s="411"/>
      <c r="AY5" s="407" t="s">
        <v>160</v>
      </c>
      <c r="AZ5" s="407"/>
      <c r="BA5" s="407"/>
      <c r="BB5" s="407"/>
      <c r="BC5" s="407"/>
      <c r="BD5" s="407"/>
      <c r="BE5" s="407"/>
      <c r="BF5" s="407"/>
      <c r="BG5" s="407" t="s">
        <v>161</v>
      </c>
      <c r="BH5" s="407"/>
      <c r="BI5" s="407"/>
      <c r="BJ5" s="407"/>
      <c r="BK5" s="407" t="s">
        <v>162</v>
      </c>
      <c r="BL5" s="407"/>
      <c r="BM5" s="120" t="s">
        <v>24</v>
      </c>
    </row>
    <row r="6" spans="1:65" ht="15" customHeight="1" x14ac:dyDescent="0.3">
      <c r="B6" s="406" t="s">
        <v>67</v>
      </c>
      <c r="C6" s="409" t="s">
        <v>68</v>
      </c>
      <c r="D6" s="405" t="s">
        <v>163</v>
      </c>
      <c r="E6" s="405" t="s">
        <v>164</v>
      </c>
      <c r="F6" s="405" t="s">
        <v>165</v>
      </c>
      <c r="G6" s="405" t="s">
        <v>69</v>
      </c>
      <c r="H6" s="405" t="s">
        <v>166</v>
      </c>
      <c r="I6" s="406" t="s">
        <v>167</v>
      </c>
      <c r="J6" s="406"/>
      <c r="K6" s="405" t="s">
        <v>168</v>
      </c>
      <c r="L6" s="406" t="s">
        <v>169</v>
      </c>
      <c r="M6" s="406"/>
      <c r="N6" s="406"/>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3">
      <c r="B7" s="406"/>
      <c r="C7" s="409"/>
      <c r="D7" s="405"/>
      <c r="E7" s="405"/>
      <c r="F7" s="405"/>
      <c r="G7" s="405"/>
      <c r="H7" s="405"/>
      <c r="I7" s="405" t="s">
        <v>164</v>
      </c>
      <c r="J7" s="408" t="s">
        <v>166</v>
      </c>
      <c r="K7" s="405"/>
      <c r="L7" s="405" t="s">
        <v>164</v>
      </c>
      <c r="M7" s="405" t="s">
        <v>170</v>
      </c>
      <c r="N7" s="405" t="s">
        <v>166</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3">
      <c r="B8" s="406"/>
      <c r="C8" s="409"/>
      <c r="D8" s="405"/>
      <c r="E8" s="405"/>
      <c r="F8" s="405"/>
      <c r="G8" s="405"/>
      <c r="H8" s="405"/>
      <c r="I8" s="405"/>
      <c r="J8" s="408"/>
      <c r="K8" s="405"/>
      <c r="L8" s="405"/>
      <c r="M8" s="405"/>
      <c r="N8" s="405"/>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Gro - Gro</v>
      </c>
      <c r="AZ8" s="120" t="str">
        <f ca="1">LEFT(OFFSET(Matches!G8,AZ6-1,0),3)&amp;" - "&amp;LEFT(OFFSET(Matches!J8,AZ6-1,0),3)</f>
        <v>Gro - Gro</v>
      </c>
      <c r="BA8" s="120" t="str">
        <f ca="1">LEFT(OFFSET(Matches!G8,BA6-1,0),3)&amp;" - "&amp;LEFT(OFFSET(Matches!J8,BA6-1,0),3)</f>
        <v>Gro - Gro</v>
      </c>
      <c r="BB8" s="120" t="str">
        <f ca="1">LEFT(OFFSET(Matches!G8,BB6-1,0),3)&amp;" - "&amp;LEFT(OFFSET(Matches!J8,BB6-1,0),3)</f>
        <v>Gro - Gro</v>
      </c>
      <c r="BC8" s="120" t="str">
        <f ca="1">LEFT(OFFSET(Matches!G8,BC6-1,0),3)&amp;" - "&amp;LEFT(OFFSET(Matches!J8,BC6-1,0),3)</f>
        <v>Gro - Gro</v>
      </c>
      <c r="BD8" s="120" t="str">
        <f ca="1">LEFT(OFFSET(Matches!G8,BD6-1,0),3)&amp;" - "&amp;LEFT(OFFSET(Matches!J8,BD6-1,0),3)</f>
        <v>Gro - Gro</v>
      </c>
      <c r="BE8" s="120" t="str">
        <f ca="1">LEFT(OFFSET(Matches!G8,BE6-1,0),3)&amp;" - "&amp;LEFT(OFFSET(Matches!J8,BE6-1,0),3)</f>
        <v>Gro - Gro</v>
      </c>
      <c r="BF8" s="120" t="str">
        <f ca="1">LEFT(OFFSET(Matches!G8,BF6-1,0),3)&amp;" - "&amp;LEFT(OFFSET(Matches!J8,BF6-1,0),3)</f>
        <v>Gro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3">
      <c r="B9" s="406"/>
      <c r="C9" s="410"/>
      <c r="D9" s="405"/>
      <c r="E9" s="405"/>
      <c r="F9" s="405"/>
      <c r="G9" s="405"/>
      <c r="H9" s="405"/>
      <c r="I9" s="405"/>
      <c r="J9" s="408"/>
      <c r="K9" s="405"/>
      <c r="L9" s="405"/>
      <c r="M9" s="405"/>
      <c r="N9" s="405"/>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 xml:space="preserve"> - </v>
      </c>
      <c r="AB9" s="120" t="str">
        <f ca="1">LEFT(OFFSET(Matches!H8,AB6-1,0),3)&amp;" - "&amp;LEFT(OFFSET(Matches!I8,AB6-1,0),3)</f>
        <v xml:space="preserve"> - </v>
      </c>
      <c r="AC9" s="120" t="str">
        <f ca="1">LEFT(OFFSET(Matches!H8,AC6-1,0),3)&amp;" - "&amp;LEFT(OFFSET(Matches!I8,AC6-1,0),3)</f>
        <v xml:space="preserve"> - </v>
      </c>
      <c r="AD9" s="120" t="str">
        <f ca="1">LEFT(OFFSET(Matches!H8,AD6-1,0),3)&amp;" - "&amp;LEFT(OFFSET(Matches!I8,AD6-1,0),3)</f>
        <v xml:space="preserve"> - </v>
      </c>
      <c r="AE9" s="120" t="str">
        <f ca="1">LEFT(OFFSET(Matches!H8,AE6-1,0),3)&amp;" - "&amp;LEFT(OFFSET(Matches!I8,AE6-1,0),3)</f>
        <v xml:space="preserve"> - </v>
      </c>
      <c r="AF9" s="120" t="str">
        <f ca="1">LEFT(OFFSET(Matches!H8,AF6-1,0),3)&amp;" - "&amp;LEFT(OFFSET(Matches!I8,AF6-1,0),3)</f>
        <v xml:space="preserve"> - </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3">
      <c r="A10" s="133">
        <v>0</v>
      </c>
      <c r="B10" s="29">
        <v>1</v>
      </c>
      <c r="C10" s="272" t="str">
        <f>IF('Player Setup'!C6&lt;&gt;"",'Player Setup'!C6,"")</f>
        <v>Magnus (TRAC)</v>
      </c>
      <c r="D10" s="30">
        <f ca="1">IFERROR(E10+F10+G10,"")</f>
        <v>28</v>
      </c>
      <c r="E10" s="23">
        <f t="shared" ref="E10" ca="1" si="3">IFERROR(I10+L10,"")</f>
        <v>28</v>
      </c>
      <c r="F10" s="23">
        <f ca="1">IFERROR(K10+M10,"")</f>
        <v>0</v>
      </c>
      <c r="G10" s="23">
        <f>IF(C10&lt;&gt;"",IF('Player Setup'!D6&lt;&gt;"",'Player Setup'!D6,0),"")</f>
        <v>0</v>
      </c>
      <c r="H10" s="23">
        <f t="shared" ref="H10" ca="1" si="4">IFERROR(J10+N10,"")</f>
        <v>2</v>
      </c>
      <c r="I10" s="24">
        <f ca="1">SUM(O10:AX10)</f>
        <v>28</v>
      </c>
      <c r="J10" s="22">
        <f ca="1">IF(C10&lt;&gt;"",OFFSET('Player Game Board'!N9,O6-1,A10),0)</f>
        <v>2</v>
      </c>
      <c r="K10" s="23">
        <f ca="1">IF(C10&lt;&gt;"",OFFSET('Player Game Board'!N50,O6-1,A10),0)</f>
        <v>0</v>
      </c>
      <c r="L10" s="24">
        <f ca="1">SUM(AY10:BM10)</f>
        <v>0</v>
      </c>
      <c r="M10" s="22">
        <f ca="1">IF(C10&lt;&gt;"",OFFSET('Player Game Board'!N53,O6-1,A10),0)</f>
        <v>0</v>
      </c>
      <c r="N10" s="22">
        <f ca="1">IF(C10&lt;&gt;"",OFFSET('Player Game Board'!N52,O6-1,A10),0)</f>
        <v>0</v>
      </c>
      <c r="O10" s="24">
        <f ca="1">IF(C10&lt;&gt;"",OFFSET('Player Game Board'!V10,O6-1,A10),"")</f>
        <v>2</v>
      </c>
      <c r="P10" s="24">
        <f ca="1">IF(C10&lt;&gt;"",OFFSET('Player Game Board'!V10,P6-1,A10),"")</f>
        <v>2</v>
      </c>
      <c r="Q10" s="24">
        <f ca="1">IF(C10&lt;&gt;"",OFFSET('Player Game Board'!V10,Q6-1,A10),"")</f>
        <v>6</v>
      </c>
      <c r="R10" s="24">
        <f ca="1">IF(C10&lt;&gt;"",OFFSET('Player Game Board'!V10,R6-1,A10),"")</f>
        <v>2</v>
      </c>
      <c r="S10" s="24">
        <f ca="1">IF(C10&lt;&gt;"",OFFSET('Player Game Board'!V10,S6-1,A10),"")</f>
        <v>4</v>
      </c>
      <c r="T10" s="24">
        <f ca="1">IF(C10&lt;&gt;"",OFFSET('Player Game Board'!V10,T6-1,A10),"")</f>
        <v>6</v>
      </c>
      <c r="U10" s="24">
        <f ca="1">IF(C10&lt;&gt;"",OFFSET('Player Game Board'!V10,U6-1,A10),"")</f>
        <v>2</v>
      </c>
      <c r="V10" s="24">
        <f ca="1">IF(C10&lt;&gt;"",OFFSET('Player Game Board'!V10,V6-1,A10),"")</f>
        <v>0</v>
      </c>
      <c r="W10" s="24">
        <f ca="1">IF(C10&lt;&gt;"",OFFSET('Player Game Board'!V10,W6-1,A10),"")</f>
        <v>0</v>
      </c>
      <c r="X10" s="24">
        <f ca="1">IF(C10&lt;&gt;"",OFFSET('Player Game Board'!V10,X6-1,A10),"")</f>
        <v>0</v>
      </c>
      <c r="Y10" s="24">
        <f ca="1">IF(C10&lt;&gt;"",OFFSET('Player Game Board'!V10,Y6-1,A10),"")</f>
        <v>2</v>
      </c>
      <c r="Z10" s="24">
        <f ca="1">IF(C10&lt;&gt;"",OFFSET('Player Game Board'!V10,Z6-1,A10),"")</f>
        <v>2</v>
      </c>
      <c r="AA10" s="24" t="str">
        <f ca="1">IF(C10&lt;&gt;"",OFFSET('Player Game Board'!V10,AA6-1,A10),"")</f>
        <v/>
      </c>
      <c r="AB10" s="24" t="str">
        <f ca="1">IF(C10&lt;&gt;"",OFFSET('Player Game Board'!V10,AB6-1,A10),"")</f>
        <v/>
      </c>
      <c r="AC10" s="24" t="str">
        <f ca="1">IF(C10&lt;&gt;"",OFFSET('Player Game Board'!V10,AC6-1,A10),"")</f>
        <v/>
      </c>
      <c r="AD10" s="24" t="str">
        <f ca="1">IF(C10&lt;&gt;"",OFFSET('Player Game Board'!V10,AD6-1,A10),"")</f>
        <v/>
      </c>
      <c r="AE10" s="24" t="str">
        <f ca="1">IF(C10&lt;&gt;"",OFFSET('Player Game Board'!V10,AE6-1,A10),"")</f>
        <v/>
      </c>
      <c r="AF10" s="24" t="str">
        <f ca="1">IF(C10&lt;&gt;"",OFFSET('Player Game Board'!V10,AF6-1,A10),"")</f>
        <v/>
      </c>
      <c r="AG10" s="24" t="str">
        <f ca="1">IF(C10&lt;&gt;"",OFFSET('Player Game Board'!V10,AG6-1,A10),"")</f>
        <v/>
      </c>
      <c r="AH10" s="24" t="str">
        <f ca="1">IF(C10&lt;&gt;"",OFFSET('Player Game Board'!V10,AH6-1,A10),"")</f>
        <v/>
      </c>
      <c r="AI10" s="24" t="str">
        <f ca="1">IF(C10&lt;&gt;"",OFFSET('Player Game Board'!V10,AI6-1,A10),"")</f>
        <v/>
      </c>
      <c r="AJ10" s="24" t="str">
        <f ca="1">IF(C10&lt;&gt;"",OFFSET('Player Game Board'!V10,AJ6-1,A10),"")</f>
        <v/>
      </c>
      <c r="AK10" s="24" t="str">
        <f ca="1">IF(C10&lt;&gt;"",OFFSET('Player Game Board'!V10,AK6-1,A10),"")</f>
        <v/>
      </c>
      <c r="AL10" s="24" t="str">
        <f ca="1">IF(C10&lt;&gt;"",OFFSET('Player Game Board'!V10,AL6-1,A10),"")</f>
        <v/>
      </c>
      <c r="AM10" s="24" t="str">
        <f ca="1">IF(C10&lt;&gt;"",OFFSET('Player Game Board'!V10,AM6-1,A10),"")</f>
        <v/>
      </c>
      <c r="AN10" s="24" t="str">
        <f ca="1">IF(C10&lt;&gt;"",OFFSET('Player Game Board'!V10,AN6-1,A10),"")</f>
        <v/>
      </c>
      <c r="AO10" s="24" t="str">
        <f ca="1">IF(C10&lt;&gt;"",OFFSET('Player Game Board'!V10,AO6-1,A10),"")</f>
        <v/>
      </c>
      <c r="AP10" s="24" t="str">
        <f ca="1">IF(C10&lt;&gt;"",OFFSET('Player Game Board'!V10,AP6-1,A10),"")</f>
        <v/>
      </c>
      <c r="AQ10" s="24" t="str">
        <f ca="1">IF(C10&lt;&gt;"",OFFSET('Player Game Board'!V10,AQ6-1,A10),"")</f>
        <v/>
      </c>
      <c r="AR10" s="24" t="str">
        <f ca="1">IF(C10&lt;&gt;"",OFFSET('Player Game Board'!V10,AR6-1,A10),"")</f>
        <v/>
      </c>
      <c r="AS10" s="24" t="str">
        <f ca="1">IF(C10&lt;&gt;"",OFFSET('Player Game Board'!V10,AS6-1,A10),"")</f>
        <v/>
      </c>
      <c r="AT10" s="24" t="str">
        <f ca="1">IF(C10&lt;&gt;"",OFFSET('Player Game Board'!V10,AT6-1,A10),"")</f>
        <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3">
      <c r="A11" s="133">
        <f>A10+10</f>
        <v>10</v>
      </c>
      <c r="B11" s="29">
        <v>2</v>
      </c>
      <c r="C11" s="272" t="str">
        <f>IF('Player Setup'!C7&lt;&gt;"",'Player Setup'!C7,"")</f>
        <v>Steve (TRAC)</v>
      </c>
      <c r="D11" s="30">
        <f t="shared" ref="D11:D19" ca="1" si="5">IFERROR(E11+F11+G11,"")</f>
        <v>20</v>
      </c>
      <c r="E11" s="23">
        <f t="shared" ref="E11:E19" ca="1" si="6">IFERROR(I11+L11,"")</f>
        <v>20</v>
      </c>
      <c r="F11" s="23">
        <f t="shared" ref="F11:F19" ca="1" si="7">IFERROR(K11+M11,"")</f>
        <v>0</v>
      </c>
      <c r="G11" s="23">
        <f>IF(C11&lt;&gt;"",IF('Player Setup'!D7&lt;&gt;"",'Player Setup'!D7,0),"")</f>
        <v>0</v>
      </c>
      <c r="H11" s="22">
        <f t="shared" ref="H11:H19" ca="1" si="8">IFERROR(J11+N11,"")</f>
        <v>2</v>
      </c>
      <c r="I11" s="23">
        <f t="shared" ref="I11:I19" ca="1" si="9">SUM(O11:AX11)</f>
        <v>20</v>
      </c>
      <c r="J11" s="22">
        <f ca="1">IF(C11&lt;&gt;"",OFFSET('Player Game Board'!N9,O6-1,A11),0)</f>
        <v>2</v>
      </c>
      <c r="K11" s="23">
        <f ca="1">IF(C11&lt;&gt;"",OFFSET('Player Game Board'!N50,O6-1,A11),0)</f>
        <v>0</v>
      </c>
      <c r="L11" s="22">
        <f t="shared" ref="L11:L19" ca="1" si="10">SUM(AY11:BM11)</f>
        <v>0</v>
      </c>
      <c r="M11" s="23">
        <f ca="1">IF(C11&lt;&gt;"",OFFSET('Player Game Board'!N53,O6-1,A11),0)</f>
        <v>0</v>
      </c>
      <c r="N11" s="22">
        <f ca="1">IF(C11&lt;&gt;"",OFFSET('Player Game Board'!N52,O6-1,A11),0)</f>
        <v>0</v>
      </c>
      <c r="O11" s="22">
        <f ca="1">IF(C11&lt;&gt;"",OFFSET('Player Game Board'!V10,O6-1,A11),"")</f>
        <v>2</v>
      </c>
      <c r="P11" s="22">
        <f ca="1">IF(C11&lt;&gt;"",OFFSET('Player Game Board'!V10,P6-1,A11),"")</f>
        <v>0</v>
      </c>
      <c r="Q11" s="22">
        <f ca="1">IF(C11&lt;&gt;"",OFFSET('Player Game Board'!V10,Q6-1,A11),"")</f>
        <v>2</v>
      </c>
      <c r="R11" s="22">
        <f ca="1">IF(C11&lt;&gt;"",OFFSET('Player Game Board'!V10,R6-1,A11),"")</f>
        <v>2</v>
      </c>
      <c r="S11" s="22">
        <f ca="1">IF(C11&lt;&gt;"",OFFSET('Player Game Board'!V10,S6-1,A11),"")</f>
        <v>6</v>
      </c>
      <c r="T11" s="22">
        <f ca="1">IF(C11&lt;&gt;"",OFFSET('Player Game Board'!V10,T6-1,A11),"")</f>
        <v>6</v>
      </c>
      <c r="U11" s="22">
        <f ca="1">IF(C11&lt;&gt;"",OFFSET('Player Game Board'!V10,U6-1,A11),"")</f>
        <v>0</v>
      </c>
      <c r="V11" s="22">
        <f ca="1">IF(C11&lt;&gt;"",OFFSET('Player Game Board'!V10,V6-1,A11),"")</f>
        <v>2</v>
      </c>
      <c r="W11" s="22">
        <f ca="1">IF(C11&lt;&gt;"",OFFSET('Player Game Board'!V10,W6-1,A11),"")</f>
        <v>0</v>
      </c>
      <c r="X11" s="22">
        <f ca="1">IF(C11&lt;&gt;"",OFFSET('Player Game Board'!V10,X6-1,A11),"")</f>
        <v>0</v>
      </c>
      <c r="Y11" s="22">
        <f ca="1">IF(C11&lt;&gt;"",OFFSET('Player Game Board'!V10,Y6-1,A11),"")</f>
        <v>0</v>
      </c>
      <c r="Z11" s="22">
        <f ca="1">IF(C11&lt;&gt;"",OFFSET('Player Game Board'!V10,Z6-1,A11),"")</f>
        <v>0</v>
      </c>
      <c r="AA11" s="22" t="str">
        <f ca="1">IF(C11&lt;&gt;"",OFFSET('Player Game Board'!V10,AA6-1,A11),"")</f>
        <v/>
      </c>
      <c r="AB11" s="22" t="str">
        <f ca="1">IF(C11&lt;&gt;"",OFFSET('Player Game Board'!V10,AB6-1,A11),"")</f>
        <v/>
      </c>
      <c r="AC11" s="22" t="str">
        <f ca="1">IF(C11&lt;&gt;"",OFFSET('Player Game Board'!V10,AC6-1,A11),"")</f>
        <v/>
      </c>
      <c r="AD11" s="22" t="str">
        <f ca="1">IF(C11&lt;&gt;"",OFFSET('Player Game Board'!V10,AD6-1,A11),"")</f>
        <v/>
      </c>
      <c r="AE11" s="22" t="str">
        <f ca="1">IF(C11&lt;&gt;"",OFFSET('Player Game Board'!V10,AE6-1,A11),"")</f>
        <v/>
      </c>
      <c r="AF11" s="22" t="str">
        <f ca="1">IF(C11&lt;&gt;"",OFFSET('Player Game Board'!V10,AF6-1,A11),"")</f>
        <v/>
      </c>
      <c r="AG11" s="22" t="str">
        <f ca="1">IF(C11&lt;&gt;"",OFFSET('Player Game Board'!V10,AG6-1,A11),"")</f>
        <v/>
      </c>
      <c r="AH11" s="22" t="str">
        <f ca="1">IF(C11&lt;&gt;"",OFFSET('Player Game Board'!V10,AH6-1,A11),"")</f>
        <v/>
      </c>
      <c r="AI11" s="22" t="str">
        <f ca="1">IF(C11&lt;&gt;"",OFFSET('Player Game Board'!V10,AI6-1,A11),"")</f>
        <v/>
      </c>
      <c r="AJ11" s="22" t="str">
        <f ca="1">IF(C11&lt;&gt;"",OFFSET('Player Game Board'!V10,AJ6-1,A11),"")</f>
        <v/>
      </c>
      <c r="AK11" s="22" t="str">
        <f ca="1">IF(C11&lt;&gt;"",OFFSET('Player Game Board'!V10,AK6-1,A11),"")</f>
        <v/>
      </c>
      <c r="AL11" s="22" t="str">
        <f ca="1">IF(C11&lt;&gt;"",OFFSET('Player Game Board'!V10,AL6-1,A11),"")</f>
        <v/>
      </c>
      <c r="AM11" s="22" t="str">
        <f ca="1">IF(C11&lt;&gt;"",OFFSET('Player Game Board'!V10,AM6-1,A11),"")</f>
        <v/>
      </c>
      <c r="AN11" s="22" t="str">
        <f ca="1">IF(C11&lt;&gt;"",OFFSET('Player Game Board'!V10,AN6-1,A11),"")</f>
        <v/>
      </c>
      <c r="AO11" s="22" t="str">
        <f ca="1">IF(C11&lt;&gt;"",OFFSET('Player Game Board'!V10,AO6-1,A11),"")</f>
        <v/>
      </c>
      <c r="AP11" s="22" t="str">
        <f ca="1">IF(C11&lt;&gt;"",OFFSET('Player Game Board'!V10,AP6-1,A11),"")</f>
        <v/>
      </c>
      <c r="AQ11" s="22" t="str">
        <f ca="1">IF(C11&lt;&gt;"",OFFSET('Player Game Board'!V10,AQ6-1,A11),"")</f>
        <v/>
      </c>
      <c r="AR11" s="22" t="str">
        <f ca="1">IF(C11&lt;&gt;"",OFFSET('Player Game Board'!V10,AR6-1,A11),"")</f>
        <v/>
      </c>
      <c r="AS11" s="22" t="str">
        <f ca="1">IF(C11&lt;&gt;"",OFFSET('Player Game Board'!V10,AS6-1,A11),"")</f>
        <v/>
      </c>
      <c r="AT11" s="22" t="str">
        <f ca="1">IF(C11&lt;&gt;"",OFFSET('Player Game Board'!V10,AT6-1,A11),"")</f>
        <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3">
      <c r="A12" s="133">
        <f t="shared" ref="A12:A19" si="11">A11+10</f>
        <v>20</v>
      </c>
      <c r="B12" s="29">
        <v>3</v>
      </c>
      <c r="C12" s="272" t="str">
        <f>IF('Player Setup'!C8&lt;&gt;"",'Player Setup'!C8,"")</f>
        <v>Mateo (Virksomhet)</v>
      </c>
      <c r="D12" s="30">
        <f t="shared" ca="1" si="5"/>
        <v>24</v>
      </c>
      <c r="E12" s="23">
        <f t="shared" ca="1" si="6"/>
        <v>24</v>
      </c>
      <c r="F12" s="23">
        <f t="shared" ca="1" si="7"/>
        <v>0</v>
      </c>
      <c r="G12" s="23">
        <f>IF(C12&lt;&gt;"",IF('Player Setup'!D8&lt;&gt;"",'Player Setup'!D8,0),"")</f>
        <v>0</v>
      </c>
      <c r="H12" s="22">
        <f t="shared" ca="1" si="8"/>
        <v>1</v>
      </c>
      <c r="I12" s="23">
        <f t="shared" ca="1" si="9"/>
        <v>24</v>
      </c>
      <c r="J12" s="22">
        <f ca="1">IF(C12&lt;&gt;"",OFFSET('Player Game Board'!N9,O6-1,A12),0)</f>
        <v>1</v>
      </c>
      <c r="K12" s="23">
        <f ca="1">IF(C12&lt;&gt;"",OFFSET('Player Game Board'!N50,O6-1,A12),0)</f>
        <v>0</v>
      </c>
      <c r="L12" s="22">
        <f t="shared" ca="1" si="10"/>
        <v>0</v>
      </c>
      <c r="M12" s="23">
        <f ca="1">IF(C12&lt;&gt;"",OFFSET('Player Game Board'!N53,O6-1,A12),0)</f>
        <v>0</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2</v>
      </c>
      <c r="W12" s="22">
        <f ca="1">IF(C12&lt;&gt;"",OFFSET('Player Game Board'!V10,W6-1,A12),"")</f>
        <v>0</v>
      </c>
      <c r="X12" s="22">
        <f ca="1">IF(C12&lt;&gt;"",OFFSET('Player Game Board'!V10,X6-1,A12),"")</f>
        <v>0</v>
      </c>
      <c r="Y12" s="22">
        <f ca="1">IF(C12&lt;&gt;"",OFFSET('Player Game Board'!V10,Y6-1,A12),"")</f>
        <v>4</v>
      </c>
      <c r="Z12" s="22">
        <f ca="1">IF(C12&lt;&gt;"",OFFSET('Player Game Board'!V10,Z6-1,A12),"")</f>
        <v>2</v>
      </c>
      <c r="AA12" s="22" t="str">
        <f ca="1">IF(C12&lt;&gt;"",OFFSET('Player Game Board'!V10,AA6-1,A12),"")</f>
        <v/>
      </c>
      <c r="AB12" s="22" t="str">
        <f ca="1">IF(C12&lt;&gt;"",OFFSET('Player Game Board'!V10,AB6-1,A12),"")</f>
        <v/>
      </c>
      <c r="AC12" s="22" t="str">
        <f ca="1">IF(C12&lt;&gt;"",OFFSET('Player Game Board'!V10,AC6-1,A12),"")</f>
        <v/>
      </c>
      <c r="AD12" s="22" t="str">
        <f ca="1">IF(C12&lt;&gt;"",OFFSET('Player Game Board'!V10,AD6-1,A12),"")</f>
        <v/>
      </c>
      <c r="AE12" s="22" t="str">
        <f ca="1">IF(C12&lt;&gt;"",OFFSET('Player Game Board'!V10,AE6-1,A12),"")</f>
        <v/>
      </c>
      <c r="AF12" s="22" t="str">
        <f ca="1">IF(C12&lt;&gt;"",OFFSET('Player Game Board'!V10,AF6-1,A12),"")</f>
        <v/>
      </c>
      <c r="AG12" s="22" t="str">
        <f ca="1">IF(C12&lt;&gt;"",OFFSET('Player Game Board'!V10,AG6-1,A12),"")</f>
        <v/>
      </c>
      <c r="AH12" s="22" t="str">
        <f ca="1">IF(C12&lt;&gt;"",OFFSET('Player Game Board'!V10,AH6-1,A12),"")</f>
        <v/>
      </c>
      <c r="AI12" s="22" t="str">
        <f ca="1">IF(C12&lt;&gt;"",OFFSET('Player Game Board'!V10,AI6-1,A12),"")</f>
        <v/>
      </c>
      <c r="AJ12" s="22" t="str">
        <f ca="1">IF(C12&lt;&gt;"",OFFSET('Player Game Board'!V10,AJ6-1,A12),"")</f>
        <v/>
      </c>
      <c r="AK12" s="22" t="str">
        <f ca="1">IF(C12&lt;&gt;"",OFFSET('Player Game Board'!V10,AK6-1,A12),"")</f>
        <v/>
      </c>
      <c r="AL12" s="22" t="str">
        <f ca="1">IF(C12&lt;&gt;"",OFFSET('Player Game Board'!V10,AL6-1,A12),"")</f>
        <v/>
      </c>
      <c r="AM12" s="22" t="str">
        <f ca="1">IF(C12&lt;&gt;"",OFFSET('Player Game Board'!V10,AM6-1,A12),"")</f>
        <v/>
      </c>
      <c r="AN12" s="22" t="str">
        <f ca="1">IF(C12&lt;&gt;"",OFFSET('Player Game Board'!V10,AN6-1,A12),"")</f>
        <v/>
      </c>
      <c r="AO12" s="22" t="str">
        <f ca="1">IF(C12&lt;&gt;"",OFFSET('Player Game Board'!V10,AO6-1,A12),"")</f>
        <v/>
      </c>
      <c r="AP12" s="22" t="str">
        <f ca="1">IF(C12&lt;&gt;"",OFFSET('Player Game Board'!V10,AP6-1,A12),"")</f>
        <v/>
      </c>
      <c r="AQ12" s="22" t="str">
        <f ca="1">IF(C12&lt;&gt;"",OFFSET('Player Game Board'!V10,AQ6-1,A12),"")</f>
        <v/>
      </c>
      <c r="AR12" s="22" t="str">
        <f ca="1">IF(C12&lt;&gt;"",OFFSET('Player Game Board'!V10,AR6-1,A12),"")</f>
        <v/>
      </c>
      <c r="AS12" s="22" t="str">
        <f ca="1">IF(C12&lt;&gt;"",OFFSET('Player Game Board'!V10,AS6-1,A12),"")</f>
        <v/>
      </c>
      <c r="AT12" s="22" t="str">
        <f ca="1">IF(C12&lt;&gt;"",OFFSET('Player Game Board'!V10,AT6-1,A12),"")</f>
        <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3">
      <c r="A13" s="133">
        <f t="shared" si="11"/>
        <v>30</v>
      </c>
      <c r="B13" s="29">
        <v>4</v>
      </c>
      <c r="C13" s="272" t="str">
        <f>IF('Player Setup'!C9&lt;&gt;"",'Player Setup'!C9,"")</f>
        <v>Flemming (IFA)</v>
      </c>
      <c r="D13" s="30">
        <f t="shared" ca="1" si="5"/>
        <v>18</v>
      </c>
      <c r="E13" s="23">
        <f t="shared" ca="1" si="6"/>
        <v>18</v>
      </c>
      <c r="F13" s="23">
        <f t="shared" ca="1" si="7"/>
        <v>0</v>
      </c>
      <c r="G13" s="23">
        <f>IF(C13&lt;&gt;"",IF('Player Setup'!D9&lt;&gt;"",'Player Setup'!D9,0),"")</f>
        <v>0</v>
      </c>
      <c r="H13" s="22">
        <f t="shared" ca="1" si="8"/>
        <v>0</v>
      </c>
      <c r="I13" s="23">
        <f t="shared" ca="1" si="9"/>
        <v>18</v>
      </c>
      <c r="J13" s="22">
        <f ca="1">IF(C13&lt;&gt;"",OFFSET('Player Game Board'!N9,O6-1,A13),0)</f>
        <v>0</v>
      </c>
      <c r="K13" s="23">
        <f ca="1">IF(C13&lt;&gt;"",OFFSET('Player Game Board'!N50,O6-1,A13),0)</f>
        <v>0</v>
      </c>
      <c r="L13" s="22">
        <f t="shared" ca="1" si="10"/>
        <v>0</v>
      </c>
      <c r="M13" s="23">
        <f ca="1">IF(C13&lt;&gt;"",OFFSET('Player Game Board'!N53,O6-1,A13),0)</f>
        <v>0</v>
      </c>
      <c r="N13" s="22">
        <f ca="1">IF(C13&lt;&gt;"",OFFSET('Player Game Board'!N52,O6-1,A13),0)</f>
        <v>0</v>
      </c>
      <c r="O13" s="22">
        <f ca="1">IF(C13&lt;&gt;"",OFFSET('Player Game Board'!V10,O6-1,A13),"")</f>
        <v>2</v>
      </c>
      <c r="P13" s="22">
        <f ca="1">IF(C13&lt;&gt;"",OFFSET('Player Game Board'!V10,P6-1,A13),"")</f>
        <v>0</v>
      </c>
      <c r="Q13" s="22">
        <f ca="1">IF(C13&lt;&gt;"",OFFSET('Player Game Board'!V10,Q6-1,A13),"")</f>
        <v>2</v>
      </c>
      <c r="R13" s="22">
        <f ca="1">IF(C13&lt;&gt;"",OFFSET('Player Game Board'!V10,R6-1,A13),"")</f>
        <v>2</v>
      </c>
      <c r="S13" s="22">
        <f ca="1">IF(C13&lt;&gt;"",OFFSET('Player Game Board'!V10,S6-1,A13),"")</f>
        <v>2</v>
      </c>
      <c r="T13" s="22">
        <f ca="1">IF(C13&lt;&gt;"",OFFSET('Player Game Board'!V10,T6-1,A13),"")</f>
        <v>0</v>
      </c>
      <c r="U13" s="22">
        <f ca="1">IF(C13&lt;&gt;"",OFFSET('Player Game Board'!V10,U6-1,A13),"")</f>
        <v>0</v>
      </c>
      <c r="V13" s="22">
        <f ca="1">IF(C13&lt;&gt;"",OFFSET('Player Game Board'!V10,V6-1,A13),"")</f>
        <v>2</v>
      </c>
      <c r="W13" s="22">
        <f ca="1">IF(C13&lt;&gt;"",OFFSET('Player Game Board'!V10,W6-1,A13),"")</f>
        <v>0</v>
      </c>
      <c r="X13" s="22">
        <f ca="1">IF(C13&lt;&gt;"",OFFSET('Player Game Board'!V10,X6-1,A13),"")</f>
        <v>0</v>
      </c>
      <c r="Y13" s="22">
        <f ca="1">IF(C13&lt;&gt;"",OFFSET('Player Game Board'!V10,Y6-1,A13),"")</f>
        <v>4</v>
      </c>
      <c r="Z13" s="22">
        <f ca="1">IF(C13&lt;&gt;"",OFFSET('Player Game Board'!V10,Z6-1,A13),"")</f>
        <v>4</v>
      </c>
      <c r="AA13" s="22" t="str">
        <f ca="1">IF(C13&lt;&gt;"",OFFSET('Player Game Board'!V10,AA6-1,A13),"")</f>
        <v/>
      </c>
      <c r="AB13" s="22" t="str">
        <f ca="1">IF(C13&lt;&gt;"",OFFSET('Player Game Board'!V10,AB6-1,A13),"")</f>
        <v/>
      </c>
      <c r="AC13" s="22" t="str">
        <f ca="1">IF(C13&lt;&gt;"",OFFSET('Player Game Board'!V10,AC6-1,A13),"")</f>
        <v/>
      </c>
      <c r="AD13" s="22" t="str">
        <f ca="1">IF(C13&lt;&gt;"",OFFSET('Player Game Board'!V10,AD6-1,A13),"")</f>
        <v/>
      </c>
      <c r="AE13" s="22" t="str">
        <f ca="1">IF(C13&lt;&gt;"",OFFSET('Player Game Board'!V10,AE6-1,A13),"")</f>
        <v/>
      </c>
      <c r="AF13" s="22" t="str">
        <f ca="1">IF(C13&lt;&gt;"",OFFSET('Player Game Board'!V10,AF6-1,A13),"")</f>
        <v/>
      </c>
      <c r="AG13" s="22" t="str">
        <f ca="1">IF(C13&lt;&gt;"",OFFSET('Player Game Board'!V10,AG6-1,A13),"")</f>
        <v/>
      </c>
      <c r="AH13" s="22" t="str">
        <f ca="1">IF(C13&lt;&gt;"",OFFSET('Player Game Board'!V10,AH6-1,A13),"")</f>
        <v/>
      </c>
      <c r="AI13" s="22" t="str">
        <f ca="1">IF(C13&lt;&gt;"",OFFSET('Player Game Board'!V10,AI6-1,A13),"")</f>
        <v/>
      </c>
      <c r="AJ13" s="22" t="str">
        <f ca="1">IF(C13&lt;&gt;"",OFFSET('Player Game Board'!V10,AJ6-1,A13),"")</f>
        <v/>
      </c>
      <c r="AK13" s="22" t="str">
        <f ca="1">IF(C13&lt;&gt;"",OFFSET('Player Game Board'!V10,AK6-1,A13),"")</f>
        <v/>
      </c>
      <c r="AL13" s="22" t="str">
        <f ca="1">IF(C13&lt;&gt;"",OFFSET('Player Game Board'!V10,AL6-1,A13),"")</f>
        <v/>
      </c>
      <c r="AM13" s="22" t="str">
        <f ca="1">IF(C13&lt;&gt;"",OFFSET('Player Game Board'!V10,AM6-1,A13),"")</f>
        <v/>
      </c>
      <c r="AN13" s="22" t="str">
        <f ca="1">IF(C13&lt;&gt;"",OFFSET('Player Game Board'!V10,AN6-1,A13),"")</f>
        <v/>
      </c>
      <c r="AO13" s="22" t="str">
        <f ca="1">IF(C13&lt;&gt;"",OFFSET('Player Game Board'!V10,AO6-1,A13),"")</f>
        <v/>
      </c>
      <c r="AP13" s="22" t="str">
        <f ca="1">IF(C13&lt;&gt;"",OFFSET('Player Game Board'!V10,AP6-1,A13),"")</f>
        <v/>
      </c>
      <c r="AQ13" s="22" t="str">
        <f ca="1">IF(C13&lt;&gt;"",OFFSET('Player Game Board'!V10,AQ6-1,A13),"")</f>
        <v/>
      </c>
      <c r="AR13" s="22" t="str">
        <f ca="1">IF(C13&lt;&gt;"",OFFSET('Player Game Board'!V10,AR6-1,A13),"")</f>
        <v/>
      </c>
      <c r="AS13" s="22" t="str">
        <f ca="1">IF(C13&lt;&gt;"",OFFSET('Player Game Board'!V10,AS6-1,A13),"")</f>
        <v/>
      </c>
      <c r="AT13" s="22" t="str">
        <f ca="1">IF(C13&lt;&gt;"",OFFSET('Player Game Board'!V10,AT6-1,A13),"")</f>
        <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3">
      <c r="A14" s="133">
        <f t="shared" si="11"/>
        <v>40</v>
      </c>
      <c r="B14" s="29">
        <v>5</v>
      </c>
      <c r="C14" s="272" t="str">
        <f>IF('Player Setup'!C10&lt;&gt;"",'Player Setup'!C10,"")</f>
        <v>Stian (Virksomhet)</v>
      </c>
      <c r="D14" s="30">
        <f t="shared" ca="1" si="5"/>
        <v>14</v>
      </c>
      <c r="E14" s="23">
        <f t="shared" ca="1" si="6"/>
        <v>14</v>
      </c>
      <c r="F14" s="23">
        <f t="shared" ca="1" si="7"/>
        <v>0</v>
      </c>
      <c r="G14" s="23">
        <f>IF(C14&lt;&gt;"",IF('Player Setup'!D10&lt;&gt;"",'Player Setup'!D10,0),"")</f>
        <v>0</v>
      </c>
      <c r="H14" s="22">
        <f t="shared" ca="1" si="8"/>
        <v>0</v>
      </c>
      <c r="I14" s="23">
        <f t="shared" ca="1" si="9"/>
        <v>14</v>
      </c>
      <c r="J14" s="22">
        <f ca="1">IF(C14&lt;&gt;"",OFFSET('Player Game Board'!N9,O6-1,A14),0)</f>
        <v>0</v>
      </c>
      <c r="K14" s="23">
        <f ca="1">IF(C14&lt;&gt;"",OFFSET('Player Game Board'!N50,O6-1,A14),0)</f>
        <v>0</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0</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4</v>
      </c>
      <c r="Z14" s="22">
        <f ca="1">IF(C14&lt;&gt;"",OFFSET('Player Game Board'!V10,Z6-1,A14),"")</f>
        <v>2</v>
      </c>
      <c r="AA14" s="22" t="str">
        <f ca="1">IF(C14&lt;&gt;"",OFFSET('Player Game Board'!V10,AA6-1,A14),"")</f>
        <v/>
      </c>
      <c r="AB14" s="22" t="str">
        <f ca="1">IF(C14&lt;&gt;"",OFFSET('Player Game Board'!V10,AB6-1,A14),"")</f>
        <v/>
      </c>
      <c r="AC14" s="22" t="str">
        <f ca="1">IF(C14&lt;&gt;"",OFFSET('Player Game Board'!V10,AC6-1,A14),"")</f>
        <v/>
      </c>
      <c r="AD14" s="22" t="str">
        <f ca="1">IF(C14&lt;&gt;"",OFFSET('Player Game Board'!V10,AD6-1,A14),"")</f>
        <v/>
      </c>
      <c r="AE14" s="22" t="str">
        <f ca="1">IF(C14&lt;&gt;"",OFFSET('Player Game Board'!V10,AE6-1,A14),"")</f>
        <v/>
      </c>
      <c r="AF14" s="22" t="str">
        <f ca="1">IF(C14&lt;&gt;"",OFFSET('Player Game Board'!V10,AF6-1,A14),"")</f>
        <v/>
      </c>
      <c r="AG14" s="22" t="str">
        <f ca="1">IF(C14&lt;&gt;"",OFFSET('Player Game Board'!V10,AG6-1,A14),"")</f>
        <v/>
      </c>
      <c r="AH14" s="22" t="str">
        <f ca="1">IF(C14&lt;&gt;"",OFFSET('Player Game Board'!V10,AH6-1,A14),"")</f>
        <v/>
      </c>
      <c r="AI14" s="22" t="str">
        <f ca="1">IF(C14&lt;&gt;"",OFFSET('Player Game Board'!V10,AI6-1,A14),"")</f>
        <v/>
      </c>
      <c r="AJ14" s="22" t="str">
        <f ca="1">IF(C14&lt;&gt;"",OFFSET('Player Game Board'!V10,AJ6-1,A14),"")</f>
        <v/>
      </c>
      <c r="AK14" s="22" t="str">
        <f ca="1">IF(C14&lt;&gt;"",OFFSET('Player Game Board'!V10,AK6-1,A14),"")</f>
        <v/>
      </c>
      <c r="AL14" s="22" t="str">
        <f ca="1">IF(C14&lt;&gt;"",OFFSET('Player Game Board'!V10,AL6-1,A14),"")</f>
        <v/>
      </c>
      <c r="AM14" s="22" t="str">
        <f ca="1">IF(C14&lt;&gt;"",OFFSET('Player Game Board'!V10,AM6-1,A14),"")</f>
        <v/>
      </c>
      <c r="AN14" s="22" t="str">
        <f ca="1">IF(C14&lt;&gt;"",OFFSET('Player Game Board'!V10,AN6-1,A14),"")</f>
        <v/>
      </c>
      <c r="AO14" s="22" t="str">
        <f ca="1">IF(C14&lt;&gt;"",OFFSET('Player Game Board'!V10,AO6-1,A14),"")</f>
        <v/>
      </c>
      <c r="AP14" s="22" t="str">
        <f ca="1">IF(C14&lt;&gt;"",OFFSET('Player Game Board'!V10,AP6-1,A14),"")</f>
        <v/>
      </c>
      <c r="AQ14" s="22" t="str">
        <f ca="1">IF(C14&lt;&gt;"",OFFSET('Player Game Board'!V10,AQ6-1,A14),"")</f>
        <v/>
      </c>
      <c r="AR14" s="22" t="str">
        <f ca="1">IF(C14&lt;&gt;"",OFFSET('Player Game Board'!V10,AR6-1,A14),"")</f>
        <v/>
      </c>
      <c r="AS14" s="22" t="str">
        <f ca="1">IF(C14&lt;&gt;"",OFFSET('Player Game Board'!V10,AS6-1,A14),"")</f>
        <v/>
      </c>
      <c r="AT14" s="22" t="str">
        <f ca="1">IF(C14&lt;&gt;"",OFFSET('Player Game Board'!V10,AT6-1,A14),"")</f>
        <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3">
      <c r="A15" s="133">
        <f t="shared" si="11"/>
        <v>50</v>
      </c>
      <c r="B15" s="29">
        <v>6</v>
      </c>
      <c r="C15" s="272" t="str">
        <f>IF('Player Setup'!C11&lt;&gt;"",'Player Setup'!C11,"")</f>
        <v>Hanne Maren (TRAC)</v>
      </c>
      <c r="D15" s="30">
        <f t="shared" ca="1" si="5"/>
        <v>24</v>
      </c>
      <c r="E15" s="23">
        <f t="shared" ca="1" si="6"/>
        <v>24</v>
      </c>
      <c r="F15" s="23">
        <f t="shared" ca="1" si="7"/>
        <v>0</v>
      </c>
      <c r="G15" s="23">
        <f>IF(C15&lt;&gt;"",IF('Player Setup'!D11&lt;&gt;"",'Player Setup'!D11,0),"")</f>
        <v>0</v>
      </c>
      <c r="H15" s="22">
        <f t="shared" ca="1" si="8"/>
        <v>1</v>
      </c>
      <c r="I15" s="23">
        <f t="shared" ca="1" si="9"/>
        <v>24</v>
      </c>
      <c r="J15" s="22">
        <f ca="1">IF(C15&lt;&gt;"",OFFSET('Player Game Board'!N9,O6-1,A15),0)</f>
        <v>1</v>
      </c>
      <c r="K15" s="23">
        <f ca="1">IF(C15&lt;&gt;"",OFFSET('Player Game Board'!N50,O6-1,A15),0)</f>
        <v>0</v>
      </c>
      <c r="L15" s="22">
        <f t="shared" ca="1" si="10"/>
        <v>0</v>
      </c>
      <c r="M15" s="23">
        <f ca="1">IF(C15&lt;&gt;"",OFFSET('Player Game Board'!N53,O6-1,A15),0)</f>
        <v>0</v>
      </c>
      <c r="N15" s="22">
        <f ca="1">IF(C15&lt;&gt;"",OFFSET('Player Game Board'!N52,O6-1,A15),0)</f>
        <v>0</v>
      </c>
      <c r="O15" s="22">
        <f ca="1">IF(C15&lt;&gt;"",OFFSET('Player Game Board'!V10,O6-1,A15),"")</f>
        <v>2</v>
      </c>
      <c r="P15" s="22">
        <f ca="1">IF(C15&lt;&gt;"",OFFSET('Player Game Board'!V10,P6-1,A15),"")</f>
        <v>2</v>
      </c>
      <c r="Q15" s="22">
        <f ca="1">IF(C15&lt;&gt;"",OFFSET('Player Game Board'!V10,Q6-1,A15),"")</f>
        <v>2</v>
      </c>
      <c r="R15" s="22">
        <f ca="1">IF(C15&lt;&gt;"",OFFSET('Player Game Board'!V10,R6-1,A15),"")</f>
        <v>2</v>
      </c>
      <c r="S15" s="22">
        <f ca="1">IF(C15&lt;&gt;"",OFFSET('Player Game Board'!V10,S6-1,A15),"")</f>
        <v>2</v>
      </c>
      <c r="T15" s="22">
        <f ca="1">IF(C15&lt;&gt;"",OFFSET('Player Game Board'!V10,T6-1,A15),"")</f>
        <v>0</v>
      </c>
      <c r="U15" s="22">
        <f ca="1">IF(C15&lt;&gt;"",OFFSET('Player Game Board'!V10,U6-1,A15),"")</f>
        <v>6</v>
      </c>
      <c r="V15" s="22">
        <f ca="1">IF(C15&lt;&gt;"",OFFSET('Player Game Board'!V10,V6-1,A15),"")</f>
        <v>2</v>
      </c>
      <c r="W15" s="22">
        <f ca="1">IF(C15&lt;&gt;"",OFFSET('Player Game Board'!V10,W6-1,A15),"")</f>
        <v>0</v>
      </c>
      <c r="X15" s="22">
        <f ca="1">IF(C15&lt;&gt;"",OFFSET('Player Game Board'!V10,X6-1,A15),"")</f>
        <v>0</v>
      </c>
      <c r="Y15" s="22">
        <f ca="1">IF(C15&lt;&gt;"",OFFSET('Player Game Board'!V10,Y6-1,A15),"")</f>
        <v>2</v>
      </c>
      <c r="Z15" s="22">
        <f ca="1">IF(C15&lt;&gt;"",OFFSET('Player Game Board'!V10,Z6-1,A15),"")</f>
        <v>4</v>
      </c>
      <c r="AA15" s="22" t="str">
        <f ca="1">IF(C15&lt;&gt;"",OFFSET('Player Game Board'!V10,AA6-1,A15),"")</f>
        <v/>
      </c>
      <c r="AB15" s="22" t="str">
        <f ca="1">IF(C15&lt;&gt;"",OFFSET('Player Game Board'!V10,AB6-1,A15),"")</f>
        <v/>
      </c>
      <c r="AC15" s="22" t="str">
        <f ca="1">IF(C15&lt;&gt;"",OFFSET('Player Game Board'!V10,AC6-1,A15),"")</f>
        <v/>
      </c>
      <c r="AD15" s="22" t="str">
        <f ca="1">IF(C15&lt;&gt;"",OFFSET('Player Game Board'!V10,AD6-1,A15),"")</f>
        <v/>
      </c>
      <c r="AE15" s="22" t="str">
        <f ca="1">IF(C15&lt;&gt;"",OFFSET('Player Game Board'!V10,AE6-1,A15),"")</f>
        <v/>
      </c>
      <c r="AF15" s="22" t="str">
        <f ca="1">IF(C15&lt;&gt;"",OFFSET('Player Game Board'!V10,AF6-1,A15),"")</f>
        <v/>
      </c>
      <c r="AG15" s="22" t="str">
        <f ca="1">IF(C15&lt;&gt;"",OFFSET('Player Game Board'!V10,AG6-1,A15),"")</f>
        <v/>
      </c>
      <c r="AH15" s="22" t="str">
        <f ca="1">IF(C15&lt;&gt;"",OFFSET('Player Game Board'!V10,AH6-1,A15),"")</f>
        <v/>
      </c>
      <c r="AI15" s="22" t="str">
        <f ca="1">IF(C15&lt;&gt;"",OFFSET('Player Game Board'!V10,AI6-1,A15),"")</f>
        <v/>
      </c>
      <c r="AJ15" s="22" t="str">
        <f ca="1">IF(C15&lt;&gt;"",OFFSET('Player Game Board'!V10,AJ6-1,A15),"")</f>
        <v/>
      </c>
      <c r="AK15" s="22" t="str">
        <f ca="1">IF(C15&lt;&gt;"",OFFSET('Player Game Board'!V10,AK6-1,A15),"")</f>
        <v/>
      </c>
      <c r="AL15" s="22" t="str">
        <f ca="1">IF(C15&lt;&gt;"",OFFSET('Player Game Board'!V10,AL6-1,A15),"")</f>
        <v/>
      </c>
      <c r="AM15" s="22" t="str">
        <f ca="1">IF(C15&lt;&gt;"",OFFSET('Player Game Board'!V10,AM6-1,A15),"")</f>
        <v/>
      </c>
      <c r="AN15" s="22" t="str">
        <f ca="1">IF(C15&lt;&gt;"",OFFSET('Player Game Board'!V10,AN6-1,A15),"")</f>
        <v/>
      </c>
      <c r="AO15" s="22" t="str">
        <f ca="1">IF(C15&lt;&gt;"",OFFSET('Player Game Board'!V10,AO6-1,A15),"")</f>
        <v/>
      </c>
      <c r="AP15" s="22" t="str">
        <f ca="1">IF(C15&lt;&gt;"",OFFSET('Player Game Board'!V10,AP6-1,A15),"")</f>
        <v/>
      </c>
      <c r="AQ15" s="22" t="str">
        <f ca="1">IF(C15&lt;&gt;"",OFFSET('Player Game Board'!V10,AQ6-1,A15),"")</f>
        <v/>
      </c>
      <c r="AR15" s="22" t="str">
        <f ca="1">IF(C15&lt;&gt;"",OFFSET('Player Game Board'!V10,AR6-1,A15),"")</f>
        <v/>
      </c>
      <c r="AS15" s="22" t="str">
        <f ca="1">IF(C15&lt;&gt;"",OFFSET('Player Game Board'!V10,AS6-1,A15),"")</f>
        <v/>
      </c>
      <c r="AT15" s="22" t="str">
        <f ca="1">IF(C15&lt;&gt;"",OFFSET('Player Game Board'!V10,AT6-1,A15),"")</f>
        <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3">
      <c r="A16" s="133">
        <f t="shared" si="11"/>
        <v>60</v>
      </c>
      <c r="B16" s="29">
        <v>7</v>
      </c>
      <c r="C16" s="272" t="str">
        <f>IF('Player Setup'!C12&lt;&gt;"",'Player Setup'!C12,"")</f>
        <v/>
      </c>
      <c r="D16" s="30" t="str">
        <f t="shared" ca="1" si="5"/>
        <v/>
      </c>
      <c r="E16" s="23">
        <f t="shared" ca="1" si="6"/>
        <v>0</v>
      </c>
      <c r="F16" s="23">
        <f t="shared" ca="1" si="7"/>
        <v>0</v>
      </c>
      <c r="G16" s="23" t="str">
        <f>IF(C16&lt;&gt;"",IF('Player Setup'!D12&lt;&gt;"",'Player Setup'!D12,0),"")</f>
        <v/>
      </c>
      <c r="H16" s="22">
        <f t="shared" ca="1" si="8"/>
        <v>0</v>
      </c>
      <c r="I16" s="23">
        <f t="shared" ca="1" si="9"/>
        <v>0</v>
      </c>
      <c r="J16" s="22">
        <f ca="1">IF(C16&lt;&gt;"",OFFSET('Player Game Board'!N9,O6-1,A16),0)</f>
        <v>0</v>
      </c>
      <c r="K16" s="23">
        <f ca="1">IF(C16&lt;&gt;"",OFFSET('Player Game Board'!N50,O6-1,A16),0)</f>
        <v>0</v>
      </c>
      <c r="L16" s="22">
        <f t="shared" ca="1" si="10"/>
        <v>0</v>
      </c>
      <c r="M16" s="23">
        <f ca="1">IF(C16&lt;&gt;"",OFFSET('Player Game Board'!N53,O6-1,A16),0)</f>
        <v>0</v>
      </c>
      <c r="N16" s="22">
        <f ca="1">IF(C16&lt;&gt;"",OFFSET('Player Game Board'!N52,O6-1,A16),0)</f>
        <v>0</v>
      </c>
      <c r="O16" s="22" t="str">
        <f ca="1">IF(C16&lt;&gt;"",OFFSET('Player Game Board'!V10,O6-1,A16),"")</f>
        <v/>
      </c>
      <c r="P16" s="22" t="str">
        <f ca="1">IF(C16&lt;&gt;"",OFFSET('Player Game Board'!V10,P6-1,A16),"")</f>
        <v/>
      </c>
      <c r="Q16" s="22" t="str">
        <f ca="1">IF(C16&lt;&gt;"",OFFSET('Player Game Board'!V10,Q6-1,A16),"")</f>
        <v/>
      </c>
      <c r="R16" s="22" t="str">
        <f ca="1">IF(C16&lt;&gt;"",OFFSET('Player Game Board'!V10,R6-1,A16),"")</f>
        <v/>
      </c>
      <c r="S16" s="22" t="str">
        <f ca="1">IF(C16&lt;&gt;"",OFFSET('Player Game Board'!V10,S6-1,A16),"")</f>
        <v/>
      </c>
      <c r="T16" s="22" t="str">
        <f ca="1">IF(C16&lt;&gt;"",OFFSET('Player Game Board'!V10,T6-1,A16),"")</f>
        <v/>
      </c>
      <c r="U16" s="22" t="str">
        <f ca="1">IF(C16&lt;&gt;"",OFFSET('Player Game Board'!V10,U6-1,A16),"")</f>
        <v/>
      </c>
      <c r="V16" s="22" t="str">
        <f ca="1">IF(C16&lt;&gt;"",OFFSET('Player Game Board'!V10,V6-1,A16),"")</f>
        <v/>
      </c>
      <c r="W16" s="22" t="str">
        <f ca="1">IF(C16&lt;&gt;"",OFFSET('Player Game Board'!V10,W6-1,A16),"")</f>
        <v/>
      </c>
      <c r="X16" s="22" t="str">
        <f ca="1">IF(C16&lt;&gt;"",OFFSET('Player Game Board'!V10,X6-1,A16),"")</f>
        <v/>
      </c>
      <c r="Y16" s="22" t="str">
        <f ca="1">IF(C16&lt;&gt;"",OFFSET('Player Game Board'!V10,Y6-1,A16),"")</f>
        <v/>
      </c>
      <c r="Z16" s="22" t="str">
        <f ca="1">IF(C16&lt;&gt;"",OFFSET('Player Game Board'!V10,Z6-1,A16),"")</f>
        <v/>
      </c>
      <c r="AA16" s="22" t="str">
        <f ca="1">IF(C16&lt;&gt;"",OFFSET('Player Game Board'!V10,AA6-1,A16),"")</f>
        <v/>
      </c>
      <c r="AB16" s="22" t="str">
        <f ca="1">IF(C16&lt;&gt;"",OFFSET('Player Game Board'!V10,AB6-1,A16),"")</f>
        <v/>
      </c>
      <c r="AC16" s="22" t="str">
        <f ca="1">IF(C16&lt;&gt;"",OFFSET('Player Game Board'!V10,AC6-1,A16),"")</f>
        <v/>
      </c>
      <c r="AD16" s="22" t="str">
        <f ca="1">IF(C16&lt;&gt;"",OFFSET('Player Game Board'!V10,AD6-1,A16),"")</f>
        <v/>
      </c>
      <c r="AE16" s="22" t="str">
        <f ca="1">IF(C16&lt;&gt;"",OFFSET('Player Game Board'!V10,AE6-1,A16),"")</f>
        <v/>
      </c>
      <c r="AF16" s="22" t="str">
        <f ca="1">IF(C16&lt;&gt;"",OFFSET('Player Game Board'!V10,AF6-1,A16),"")</f>
        <v/>
      </c>
      <c r="AG16" s="22" t="str">
        <f ca="1">IF(C16&lt;&gt;"",OFFSET('Player Game Board'!V10,AG6-1,A16),"")</f>
        <v/>
      </c>
      <c r="AH16" s="22" t="str">
        <f ca="1">IF(C16&lt;&gt;"",OFFSET('Player Game Board'!V10,AH6-1,A16),"")</f>
        <v/>
      </c>
      <c r="AI16" s="22" t="str">
        <f ca="1">IF(C16&lt;&gt;"",OFFSET('Player Game Board'!V10,AI6-1,A16),"")</f>
        <v/>
      </c>
      <c r="AJ16" s="22" t="str">
        <f ca="1">IF(C16&lt;&gt;"",OFFSET('Player Game Board'!V10,AJ6-1,A16),"")</f>
        <v/>
      </c>
      <c r="AK16" s="22" t="str">
        <f ca="1">IF(C16&lt;&gt;"",OFFSET('Player Game Board'!V10,AK6-1,A16),"")</f>
        <v/>
      </c>
      <c r="AL16" s="22" t="str">
        <f ca="1">IF(C16&lt;&gt;"",OFFSET('Player Game Board'!V10,AL6-1,A16),"")</f>
        <v/>
      </c>
      <c r="AM16" s="22" t="str">
        <f ca="1">IF(C16&lt;&gt;"",OFFSET('Player Game Board'!V10,AM6-1,A16),"")</f>
        <v/>
      </c>
      <c r="AN16" s="22" t="str">
        <f ca="1">IF(C16&lt;&gt;"",OFFSET('Player Game Board'!V10,AN6-1,A16),"")</f>
        <v/>
      </c>
      <c r="AO16" s="22" t="str">
        <f ca="1">IF(C16&lt;&gt;"",OFFSET('Player Game Board'!V10,AO6-1,A16),"")</f>
        <v/>
      </c>
      <c r="AP16" s="22" t="str">
        <f ca="1">IF(C16&lt;&gt;"",OFFSET('Player Game Board'!V10,AP6-1,A16),"")</f>
        <v/>
      </c>
      <c r="AQ16" s="22" t="str">
        <f ca="1">IF(C16&lt;&gt;"",OFFSET('Player Game Board'!V10,AQ6-1,A16),"")</f>
        <v/>
      </c>
      <c r="AR16" s="22" t="str">
        <f ca="1">IF(C16&lt;&gt;"",OFFSET('Player Game Board'!V10,AR6-1,A16),"")</f>
        <v/>
      </c>
      <c r="AS16" s="22" t="str">
        <f ca="1">IF(C16&lt;&gt;"",OFFSET('Player Game Board'!V10,AS6-1,A16),"")</f>
        <v/>
      </c>
      <c r="AT16" s="22" t="str">
        <f ca="1">IF(C16&lt;&gt;"",OFFSET('Player Game Board'!V10,AT6-1,A16),"")</f>
        <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t="str">
        <f ca="1">IF(C16&lt;&gt;"",OFFSET('Player Game Board'!V10,AY6+14,A16),"")</f>
        <v/>
      </c>
      <c r="AZ16" s="22" t="str">
        <f ca="1">IF(C16&lt;&gt;"",OFFSET('Player Game Board'!V10,AZ6+14,A16),"")</f>
        <v/>
      </c>
      <c r="BA16" s="22" t="str">
        <f ca="1">IF(C16&lt;&gt;"",OFFSET('Player Game Board'!V10,BA6+14,A16),"")</f>
        <v/>
      </c>
      <c r="BB16" s="22" t="str">
        <f ca="1">IF(C16&lt;&gt;"",OFFSET('Player Game Board'!V10,BB6+14,A16),"")</f>
        <v/>
      </c>
      <c r="BC16" s="22" t="str">
        <f ca="1">IF(C16&lt;&gt;"",OFFSET('Player Game Board'!V10,BC6+14,A16),"")</f>
        <v/>
      </c>
      <c r="BD16" s="22" t="str">
        <f ca="1">IF(C16&lt;&gt;"",OFFSET('Player Game Board'!V10,BD6+14,A16),"")</f>
        <v/>
      </c>
      <c r="BE16" s="22" t="str">
        <f ca="1">IF(C16&lt;&gt;"",OFFSET('Player Game Board'!V10,BE6+14,A16),"")</f>
        <v/>
      </c>
      <c r="BF16" s="22" t="str">
        <f ca="1">IF(C16&lt;&gt;"",OFFSET('Player Game Board'!V10,BF6+14,A16),"")</f>
        <v/>
      </c>
      <c r="BG16" s="22" t="str">
        <f ca="1">IF(C16&lt;&gt;"",OFFSET('Player Game Board'!V10,BG6+14,A16),"")</f>
        <v/>
      </c>
      <c r="BH16" s="22" t="str">
        <f ca="1">IF(C16&lt;&gt;"",OFFSET('Player Game Board'!V10,BH6+14,A16),"")</f>
        <v/>
      </c>
      <c r="BI16" s="22" t="str">
        <f ca="1">IF(C16&lt;&gt;"",OFFSET('Player Game Board'!V10,BI6+14,A16),"")</f>
        <v/>
      </c>
      <c r="BJ16" s="22" t="str">
        <f ca="1">IF(C16&lt;&gt;"",OFFSET('Player Game Board'!V10,BJ6+14,A16),"")</f>
        <v/>
      </c>
      <c r="BK16" s="22" t="str">
        <f ca="1">IF(C16&lt;&gt;"",OFFSET('Player Game Board'!V10,BK6+14,A16),"")</f>
        <v/>
      </c>
      <c r="BL16" s="22" t="str">
        <f ca="1">IF(C16&lt;&gt;"",OFFSET('Player Game Board'!V10,BL6+14,A16),"")</f>
        <v/>
      </c>
      <c r="BM16" s="22" t="str">
        <f ca="1">IF(C16&lt;&gt;"",OFFSET('Player Game Board'!V10,BM6+14,A16),"")</f>
        <v/>
      </c>
    </row>
    <row r="17" spans="1:65" ht="15" customHeight="1" x14ac:dyDescent="0.3">
      <c r="A17" s="133">
        <f t="shared" si="11"/>
        <v>70</v>
      </c>
      <c r="B17" s="29">
        <v>8</v>
      </c>
      <c r="C17" s="272" t="str">
        <f>IF('Player Setup'!C13&lt;&gt;"",'Player Setup'!C13,"")</f>
        <v/>
      </c>
      <c r="D17" s="30" t="str">
        <f t="shared" ca="1" si="5"/>
        <v/>
      </c>
      <c r="E17" s="23">
        <f t="shared" ca="1" si="6"/>
        <v>0</v>
      </c>
      <c r="F17" s="23">
        <f t="shared" ca="1" si="7"/>
        <v>0</v>
      </c>
      <c r="G17" s="23" t="str">
        <f>IF(C17&lt;&gt;"",IF('Player Setup'!D13&lt;&gt;"",'Player Setup'!D13,0),"")</f>
        <v/>
      </c>
      <c r="H17" s="22">
        <f t="shared" ca="1" si="8"/>
        <v>0</v>
      </c>
      <c r="I17" s="23">
        <f t="shared" ca="1" si="9"/>
        <v>0</v>
      </c>
      <c r="J17" s="22">
        <f ca="1">IF(C17&lt;&gt;"",OFFSET('Player Game Board'!N9,O6-1,A17),0)</f>
        <v>0</v>
      </c>
      <c r="K17" s="23">
        <f ca="1">IF(C17&lt;&gt;"",OFFSET('Player Game Board'!N50,O6-1,A17),0)</f>
        <v>0</v>
      </c>
      <c r="L17" s="22">
        <f t="shared" ca="1" si="10"/>
        <v>0</v>
      </c>
      <c r="M17" s="23">
        <f ca="1">IF(C17&lt;&gt;"",OFFSET('Player Game Board'!N53,O6-1,A17),0)</f>
        <v>0</v>
      </c>
      <c r="N17" s="22">
        <f ca="1">IF(C17&lt;&gt;"",OFFSET('Player Game Board'!N52,O6-1,A17),0)</f>
        <v>0</v>
      </c>
      <c r="O17" s="22" t="str">
        <f ca="1">IF(C17&lt;&gt;"",OFFSET('Player Game Board'!V10,O6-1,A17),"")</f>
        <v/>
      </c>
      <c r="P17" s="22" t="str">
        <f ca="1">IF(C17&lt;&gt;"",OFFSET('Player Game Board'!V10,P6-1,A17),"")</f>
        <v/>
      </c>
      <c r="Q17" s="22" t="str">
        <f ca="1">IF(C17&lt;&gt;"",OFFSET('Player Game Board'!V10,Q6-1,A17),"")</f>
        <v/>
      </c>
      <c r="R17" s="22" t="str">
        <f ca="1">IF(C17&lt;&gt;"",OFFSET('Player Game Board'!V10,R6-1,A17),"")</f>
        <v/>
      </c>
      <c r="S17" s="22" t="str">
        <f ca="1">IF(C17&lt;&gt;"",OFFSET('Player Game Board'!V10,S6-1,A17),"")</f>
        <v/>
      </c>
      <c r="T17" s="22" t="str">
        <f ca="1">IF(C17&lt;&gt;"",OFFSET('Player Game Board'!V10,T6-1,A17),"")</f>
        <v/>
      </c>
      <c r="U17" s="22" t="str">
        <f ca="1">IF(C17&lt;&gt;"",OFFSET('Player Game Board'!V10,U6-1,A17),"")</f>
        <v/>
      </c>
      <c r="V17" s="22" t="str">
        <f ca="1">IF(C17&lt;&gt;"",OFFSET('Player Game Board'!V10,V6-1,A17),"")</f>
        <v/>
      </c>
      <c r="W17" s="22" t="str">
        <f ca="1">IF(C17&lt;&gt;"",OFFSET('Player Game Board'!V10,W6-1,A17),"")</f>
        <v/>
      </c>
      <c r="X17" s="22" t="str">
        <f ca="1">IF(C17&lt;&gt;"",OFFSET('Player Game Board'!V10,X6-1,A17),"")</f>
        <v/>
      </c>
      <c r="Y17" s="22" t="str">
        <f ca="1">IF(C17&lt;&gt;"",OFFSET('Player Game Board'!V10,Y6-1,A17),"")</f>
        <v/>
      </c>
      <c r="Z17" s="22" t="str">
        <f ca="1">IF(C17&lt;&gt;"",OFFSET('Player Game Board'!V10,Z6-1,A17),"")</f>
        <v/>
      </c>
      <c r="AA17" s="22" t="str">
        <f ca="1">IF(C17&lt;&gt;"",OFFSET('Player Game Board'!V10,AA6-1,A17),"")</f>
        <v/>
      </c>
      <c r="AB17" s="22" t="str">
        <f ca="1">IF(C17&lt;&gt;"",OFFSET('Player Game Board'!V10,AB6-1,A17),"")</f>
        <v/>
      </c>
      <c r="AC17" s="22" t="str">
        <f ca="1">IF(C17&lt;&gt;"",OFFSET('Player Game Board'!V10,AC6-1,A17),"")</f>
        <v/>
      </c>
      <c r="AD17" s="22" t="str">
        <f ca="1">IF(C17&lt;&gt;"",OFFSET('Player Game Board'!V10,AD6-1,A17),"")</f>
        <v/>
      </c>
      <c r="AE17" s="22" t="str">
        <f ca="1">IF(C17&lt;&gt;"",OFFSET('Player Game Board'!V10,AE6-1,A17),"")</f>
        <v/>
      </c>
      <c r="AF17" s="22" t="str">
        <f ca="1">IF(C17&lt;&gt;"",OFFSET('Player Game Board'!V10,AF6-1,A17),"")</f>
        <v/>
      </c>
      <c r="AG17" s="22" t="str">
        <f ca="1">IF(C17&lt;&gt;"",OFFSET('Player Game Board'!V10,AG6-1,A17),"")</f>
        <v/>
      </c>
      <c r="AH17" s="22" t="str">
        <f ca="1">IF(C17&lt;&gt;"",OFFSET('Player Game Board'!V10,AH6-1,A17),"")</f>
        <v/>
      </c>
      <c r="AI17" s="22" t="str">
        <f ca="1">IF(C17&lt;&gt;"",OFFSET('Player Game Board'!V10,AI6-1,A17),"")</f>
        <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t="str">
        <f ca="1">IF(C17&lt;&gt;"",OFFSET('Player Game Board'!V10,AY6+14,A17),"")</f>
        <v/>
      </c>
      <c r="AZ17" s="22" t="str">
        <f ca="1">IF(C17&lt;&gt;"",OFFSET('Player Game Board'!V10,AZ6+14,A17),"")</f>
        <v/>
      </c>
      <c r="BA17" s="22" t="str">
        <f ca="1">IF(C17&lt;&gt;"",OFFSET('Player Game Board'!V10,BA6+14,A17),"")</f>
        <v/>
      </c>
      <c r="BB17" s="22" t="str">
        <f ca="1">IF(C17&lt;&gt;"",OFFSET('Player Game Board'!V10,BB6+14,A17),"")</f>
        <v/>
      </c>
      <c r="BC17" s="22" t="str">
        <f ca="1">IF(C17&lt;&gt;"",OFFSET('Player Game Board'!V10,BC6+14,A17),"")</f>
        <v/>
      </c>
      <c r="BD17" s="22" t="str">
        <f ca="1">IF(C17&lt;&gt;"",OFFSET('Player Game Board'!V10,BD6+14,A17),"")</f>
        <v/>
      </c>
      <c r="BE17" s="22" t="str">
        <f ca="1">IF(C17&lt;&gt;"",OFFSET('Player Game Board'!V10,BE6+14,A17),"")</f>
        <v/>
      </c>
      <c r="BF17" s="22" t="str">
        <f ca="1">IF(C17&lt;&gt;"",OFFSET('Player Game Board'!V10,BF6+14,A17),"")</f>
        <v/>
      </c>
      <c r="BG17" s="22" t="str">
        <f ca="1">IF(C17&lt;&gt;"",OFFSET('Player Game Board'!V10,BG6+14,A17),"")</f>
        <v/>
      </c>
      <c r="BH17" s="22" t="str">
        <f ca="1">IF(C17&lt;&gt;"",OFFSET('Player Game Board'!V10,BH6+14,A17),"")</f>
        <v/>
      </c>
      <c r="BI17" s="22" t="str">
        <f ca="1">IF(C17&lt;&gt;"",OFFSET('Player Game Board'!V10,BI6+14,A17),"")</f>
        <v/>
      </c>
      <c r="BJ17" s="22" t="str">
        <f ca="1">IF(C17&lt;&gt;"",OFFSET('Player Game Board'!V10,BJ6+14,A17),"")</f>
        <v/>
      </c>
      <c r="BK17" s="22" t="str">
        <f ca="1">IF(C17&lt;&gt;"",OFFSET('Player Game Board'!V10,BK6+14,A17),"")</f>
        <v/>
      </c>
      <c r="BL17" s="22" t="str">
        <f ca="1">IF(C17&lt;&gt;"",OFFSET('Player Game Board'!V10,BL6+14,A17),"")</f>
        <v/>
      </c>
      <c r="BM17" s="22" t="str">
        <f ca="1">IF(C17&lt;&gt;"",OFFSET('Player Game Board'!V10,BM6+14,A17),"")</f>
        <v/>
      </c>
    </row>
    <row r="18" spans="1:65" ht="15" customHeight="1" x14ac:dyDescent="0.3">
      <c r="A18" s="133">
        <f t="shared" si="11"/>
        <v>80</v>
      </c>
      <c r="B18" s="29">
        <v>9</v>
      </c>
      <c r="C18" s="272" t="str">
        <f>IF('Player Setup'!C14&lt;&gt;"",'Player Setup'!C14,"")</f>
        <v/>
      </c>
      <c r="D18" s="30" t="str">
        <f t="shared" ca="1" si="5"/>
        <v/>
      </c>
      <c r="E18" s="23">
        <f t="shared" ca="1" si="6"/>
        <v>0</v>
      </c>
      <c r="F18" s="23">
        <f t="shared" ca="1" si="7"/>
        <v>0</v>
      </c>
      <c r="G18" s="23" t="str">
        <f>IF(C18&lt;&gt;"",IF('Player Setup'!D14&lt;&gt;"",'Player Setup'!D14,0),"")</f>
        <v/>
      </c>
      <c r="H18" s="22">
        <f t="shared" ca="1" si="8"/>
        <v>0</v>
      </c>
      <c r="I18" s="23">
        <f t="shared" ca="1" si="9"/>
        <v>0</v>
      </c>
      <c r="J18" s="22">
        <f ca="1">IF(C18&lt;&gt;"",OFFSET('Player Game Board'!N9,O6-1,A18),0)</f>
        <v>0</v>
      </c>
      <c r="K18" s="23">
        <f ca="1">IF(C18&lt;&gt;"",OFFSET('Player Game Board'!N50,O6-1,A18),0)</f>
        <v>0</v>
      </c>
      <c r="L18" s="22">
        <f t="shared" ca="1" si="10"/>
        <v>0</v>
      </c>
      <c r="M18" s="23">
        <f ca="1">IF(C18&lt;&gt;"",OFFSET('Player Game Board'!N53,O6-1,A18),0)</f>
        <v>0</v>
      </c>
      <c r="N18" s="22">
        <f ca="1">IF(C18&lt;&gt;"",OFFSET('Player Game Board'!N52,O6-1,A18),0)</f>
        <v>0</v>
      </c>
      <c r="O18" s="22" t="str">
        <f ca="1">IF(C18&lt;&gt;"",OFFSET('Player Game Board'!V10,O6-1,A18),"")</f>
        <v/>
      </c>
      <c r="P18" s="22" t="str">
        <f ca="1">IF(C18&lt;&gt;"",OFFSET('Player Game Board'!V10,P6-1,A18),"")</f>
        <v/>
      </c>
      <c r="Q18" s="22" t="str">
        <f ca="1">IF(C18&lt;&gt;"",OFFSET('Player Game Board'!V10,Q6-1,A18),"")</f>
        <v/>
      </c>
      <c r="R18" s="22" t="str">
        <f ca="1">IF(C18&lt;&gt;"",OFFSET('Player Game Board'!V10,R6-1,A18),"")</f>
        <v/>
      </c>
      <c r="S18" s="22" t="str">
        <f ca="1">IF(C18&lt;&gt;"",OFFSET('Player Game Board'!V10,S6-1,A18),"")</f>
        <v/>
      </c>
      <c r="T18" s="22" t="str">
        <f ca="1">IF(C18&lt;&gt;"",OFFSET('Player Game Board'!V10,T6-1,A18),"")</f>
        <v/>
      </c>
      <c r="U18" s="22" t="str">
        <f ca="1">IF(C18&lt;&gt;"",OFFSET('Player Game Board'!V10,U6-1,A18),"")</f>
        <v/>
      </c>
      <c r="V18" s="22" t="str">
        <f ca="1">IF(C18&lt;&gt;"",OFFSET('Player Game Board'!V10,V6-1,A18),"")</f>
        <v/>
      </c>
      <c r="W18" s="22" t="str">
        <f ca="1">IF(C18&lt;&gt;"",OFFSET('Player Game Board'!V10,W6-1,A18),"")</f>
        <v/>
      </c>
      <c r="X18" s="22" t="str">
        <f ca="1">IF(C18&lt;&gt;"",OFFSET('Player Game Board'!V10,X6-1,A18),"")</f>
        <v/>
      </c>
      <c r="Y18" s="22" t="str">
        <f ca="1">IF(C18&lt;&gt;"",OFFSET('Player Game Board'!V10,Y6-1,A18),"")</f>
        <v/>
      </c>
      <c r="Z18" s="22" t="str">
        <f ca="1">IF(C18&lt;&gt;"",OFFSET('Player Game Board'!V10,Z6-1,A18),"")</f>
        <v/>
      </c>
      <c r="AA18" s="22" t="str">
        <f ca="1">IF(C18&lt;&gt;"",OFFSET('Player Game Board'!V10,AA6-1,A18),"")</f>
        <v/>
      </c>
      <c r="AB18" s="22" t="str">
        <f ca="1">IF(C18&lt;&gt;"",OFFSET('Player Game Board'!V10,AB6-1,A18),"")</f>
        <v/>
      </c>
      <c r="AC18" s="22" t="str">
        <f ca="1">IF(C18&lt;&gt;"",OFFSET('Player Game Board'!V10,AC6-1,A18),"")</f>
        <v/>
      </c>
      <c r="AD18" s="22" t="str">
        <f ca="1">IF(C18&lt;&gt;"",OFFSET('Player Game Board'!V10,AD6-1,A18),"")</f>
        <v/>
      </c>
      <c r="AE18" s="22" t="str">
        <f ca="1">IF(C18&lt;&gt;"",OFFSET('Player Game Board'!V10,AE6-1,A18),"")</f>
        <v/>
      </c>
      <c r="AF18" s="22" t="str">
        <f ca="1">IF(C18&lt;&gt;"",OFFSET('Player Game Board'!V10,AF6-1,A18),"")</f>
        <v/>
      </c>
      <c r="AG18" s="22" t="str">
        <f ca="1">IF(C18&lt;&gt;"",OFFSET('Player Game Board'!V10,AG6-1,A18),"")</f>
        <v/>
      </c>
      <c r="AH18" s="22" t="str">
        <f ca="1">IF(C18&lt;&gt;"",OFFSET('Player Game Board'!V10,AH6-1,A18),"")</f>
        <v/>
      </c>
      <c r="AI18" s="22" t="str">
        <f ca="1">IF(C18&lt;&gt;"",OFFSET('Player Game Board'!V10,AI6-1,A18),"")</f>
        <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t="str">
        <f ca="1">IF(C18&lt;&gt;"",OFFSET('Player Game Board'!V10,AY6+14,A18),"")</f>
        <v/>
      </c>
      <c r="AZ18" s="22" t="str">
        <f ca="1">IF(C18&lt;&gt;"",OFFSET('Player Game Board'!V10,AZ6+14,A18),"")</f>
        <v/>
      </c>
      <c r="BA18" s="22" t="str">
        <f ca="1">IF(C18&lt;&gt;"",OFFSET('Player Game Board'!V10,BA6+14,A18),"")</f>
        <v/>
      </c>
      <c r="BB18" s="22" t="str">
        <f ca="1">IF(C18&lt;&gt;"",OFFSET('Player Game Board'!V10,BB6+14,A18),"")</f>
        <v/>
      </c>
      <c r="BC18" s="22" t="str">
        <f ca="1">IF(C18&lt;&gt;"",OFFSET('Player Game Board'!V10,BC6+14,A18),"")</f>
        <v/>
      </c>
      <c r="BD18" s="22" t="str">
        <f ca="1">IF(C18&lt;&gt;"",OFFSET('Player Game Board'!V10,BD6+14,A18),"")</f>
        <v/>
      </c>
      <c r="BE18" s="22" t="str">
        <f ca="1">IF(C18&lt;&gt;"",OFFSET('Player Game Board'!V10,BE6+14,A18),"")</f>
        <v/>
      </c>
      <c r="BF18" s="22" t="str">
        <f ca="1">IF(C18&lt;&gt;"",OFFSET('Player Game Board'!V10,BF6+14,A18),"")</f>
        <v/>
      </c>
      <c r="BG18" s="22" t="str">
        <f ca="1">IF(C18&lt;&gt;"",OFFSET('Player Game Board'!V10,BG6+14,A18),"")</f>
        <v/>
      </c>
      <c r="BH18" s="22" t="str">
        <f ca="1">IF(C18&lt;&gt;"",OFFSET('Player Game Board'!V10,BH6+14,A18),"")</f>
        <v/>
      </c>
      <c r="BI18" s="22" t="str">
        <f ca="1">IF(C18&lt;&gt;"",OFFSET('Player Game Board'!V10,BI6+14,A18),"")</f>
        <v/>
      </c>
      <c r="BJ18" s="22" t="str">
        <f ca="1">IF(C18&lt;&gt;"",OFFSET('Player Game Board'!V10,BJ6+14,A18),"")</f>
        <v/>
      </c>
      <c r="BK18" s="22" t="str">
        <f ca="1">IF(C18&lt;&gt;"",OFFSET('Player Game Board'!V10,BK6+14,A18),"")</f>
        <v/>
      </c>
      <c r="BL18" s="22" t="str">
        <f ca="1">IF(C18&lt;&gt;"",OFFSET('Player Game Board'!V10,BL6+14,A18),"")</f>
        <v/>
      </c>
      <c r="BM18" s="22" t="str">
        <f ca="1">IF(C18&lt;&gt;"",OFFSET('Player Game Board'!V10,BM6+14,A18),"")</f>
        <v/>
      </c>
    </row>
    <row r="19" spans="1:65" ht="15" customHeight="1" x14ac:dyDescent="0.3">
      <c r="A19" s="133">
        <f t="shared" si="11"/>
        <v>90</v>
      </c>
      <c r="B19" s="29">
        <v>10</v>
      </c>
      <c r="C19" s="272" t="str">
        <f>IF('Player Setup'!C15&lt;&gt;"",'Player Setup'!C15,"")</f>
        <v/>
      </c>
      <c r="D19" s="30" t="str">
        <f t="shared" ca="1" si="5"/>
        <v/>
      </c>
      <c r="E19" s="23">
        <f t="shared" ca="1" si="6"/>
        <v>0</v>
      </c>
      <c r="F19" s="23">
        <f t="shared" ca="1" si="7"/>
        <v>0</v>
      </c>
      <c r="G19" s="23" t="str">
        <f>IF(C19&lt;&gt;"",IF('Player Setup'!D15&lt;&gt;"",'Player Setup'!D15,0),"")</f>
        <v/>
      </c>
      <c r="H19" s="22">
        <f t="shared" ca="1" si="8"/>
        <v>0</v>
      </c>
      <c r="I19" s="23">
        <f t="shared" ca="1" si="9"/>
        <v>0</v>
      </c>
      <c r="J19" s="22">
        <f ca="1">IF(C19&lt;&gt;"",OFFSET('Player Game Board'!N9,O6-1,A19),0)</f>
        <v>0</v>
      </c>
      <c r="K19" s="23">
        <f ca="1">IF(C19&lt;&gt;"",OFFSET('Player Game Board'!N50,O6-1,A19),0)</f>
        <v>0</v>
      </c>
      <c r="L19" s="22">
        <f t="shared" ca="1" si="10"/>
        <v>0</v>
      </c>
      <c r="M19" s="23">
        <f ca="1">IF(C19&lt;&gt;"",OFFSET('Player Game Board'!N53,O6-1,A19),0)</f>
        <v>0</v>
      </c>
      <c r="N19" s="22">
        <f ca="1">IF(C19&lt;&gt;"",OFFSET('Player Game Board'!N52,O6-1,A19),0)</f>
        <v>0</v>
      </c>
      <c r="O19" s="22" t="str">
        <f ca="1">IF(C19&lt;&gt;"",OFFSET('Player Game Board'!V10,O6-1,A19),"")</f>
        <v/>
      </c>
      <c r="P19" s="22" t="str">
        <f ca="1">IF(C19&lt;&gt;"",OFFSET('Player Game Board'!V10,P6-1,A19),"")</f>
        <v/>
      </c>
      <c r="Q19" s="22" t="str">
        <f ca="1">IF(C19&lt;&gt;"",OFFSET('Player Game Board'!V10,Q6-1,A19),"")</f>
        <v/>
      </c>
      <c r="R19" s="22" t="str">
        <f ca="1">IF(C19&lt;&gt;"",OFFSET('Player Game Board'!V10,R6-1,A19),"")</f>
        <v/>
      </c>
      <c r="S19" s="22" t="str">
        <f ca="1">IF(C19&lt;&gt;"",OFFSET('Player Game Board'!V10,S6-1,A19),"")</f>
        <v/>
      </c>
      <c r="T19" s="22" t="str">
        <f ca="1">IF(C19&lt;&gt;"",OFFSET('Player Game Board'!V10,T6-1,A19),"")</f>
        <v/>
      </c>
      <c r="U19" s="22" t="str">
        <f ca="1">IF(C19&lt;&gt;"",OFFSET('Player Game Board'!V10,U6-1,A19),"")</f>
        <v/>
      </c>
      <c r="V19" s="22" t="str">
        <f ca="1">IF(C19&lt;&gt;"",OFFSET('Player Game Board'!V10,V6-1,A19),"")</f>
        <v/>
      </c>
      <c r="W19" s="22" t="str">
        <f ca="1">IF(C19&lt;&gt;"",OFFSET('Player Game Board'!V10,W6-1,A19),"")</f>
        <v/>
      </c>
      <c r="X19" s="22" t="str">
        <f ca="1">IF(C19&lt;&gt;"",OFFSET('Player Game Board'!V10,X6-1,A19),"")</f>
        <v/>
      </c>
      <c r="Y19" s="22" t="str">
        <f ca="1">IF(C19&lt;&gt;"",OFFSET('Player Game Board'!V10,Y6-1,A19),"")</f>
        <v/>
      </c>
      <c r="Z19" s="22" t="str">
        <f ca="1">IF(C19&lt;&gt;"",OFFSET('Player Game Board'!V10,Z6-1,A19),"")</f>
        <v/>
      </c>
      <c r="AA19" s="22" t="str">
        <f ca="1">IF(C19&lt;&gt;"",OFFSET('Player Game Board'!V10,AA6-1,A19),"")</f>
        <v/>
      </c>
      <c r="AB19" s="22" t="str">
        <f ca="1">IF(C19&lt;&gt;"",OFFSET('Player Game Board'!V10,AB6-1,A19),"")</f>
        <v/>
      </c>
      <c r="AC19" s="22" t="str">
        <f ca="1">IF(C19&lt;&gt;"",OFFSET('Player Game Board'!V10,AC6-1,A19),"")</f>
        <v/>
      </c>
      <c r="AD19" s="22" t="str">
        <f ca="1">IF(C19&lt;&gt;"",OFFSET('Player Game Board'!V10,AD6-1,A19),"")</f>
        <v/>
      </c>
      <c r="AE19" s="22" t="str">
        <f ca="1">IF(C19&lt;&gt;"",OFFSET('Player Game Board'!V10,AE6-1,A19),"")</f>
        <v/>
      </c>
      <c r="AF19" s="22" t="str">
        <f ca="1">IF(C19&lt;&gt;"",OFFSET('Player Game Board'!V10,AF6-1,A19),"")</f>
        <v/>
      </c>
      <c r="AG19" s="22" t="str">
        <f ca="1">IF(C19&lt;&gt;"",OFFSET('Player Game Board'!V10,AG6-1,A19),"")</f>
        <v/>
      </c>
      <c r="AH19" s="22" t="str">
        <f ca="1">IF(C19&lt;&gt;"",OFFSET('Player Game Board'!V10,AH6-1,A19),"")</f>
        <v/>
      </c>
      <c r="AI19" s="22" t="str">
        <f ca="1">IF(C19&lt;&gt;"",OFFSET('Player Game Board'!V10,AI6-1,A19),"")</f>
        <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t="str">
        <f ca="1">IF(C19&lt;&gt;"",OFFSET('Player Game Board'!V10,AY6+14,A19),"")</f>
        <v/>
      </c>
      <c r="AZ19" s="22" t="str">
        <f ca="1">IF(C19&lt;&gt;"",OFFSET('Player Game Board'!V10,AZ6+14,A19),"")</f>
        <v/>
      </c>
      <c r="BA19" s="22" t="str">
        <f ca="1">IF(C19&lt;&gt;"",OFFSET('Player Game Board'!V10,BA6+14,A19),"")</f>
        <v/>
      </c>
      <c r="BB19" s="22" t="str">
        <f ca="1">IF(C19&lt;&gt;"",OFFSET('Player Game Board'!V10,BB6+14,A19),"")</f>
        <v/>
      </c>
      <c r="BC19" s="22" t="str">
        <f ca="1">IF(C19&lt;&gt;"",OFFSET('Player Game Board'!V10,BC6+14,A19),"")</f>
        <v/>
      </c>
      <c r="BD19" s="22" t="str">
        <f ca="1">IF(C19&lt;&gt;"",OFFSET('Player Game Board'!V10,BD6+14,A19),"")</f>
        <v/>
      </c>
      <c r="BE19" s="22" t="str">
        <f ca="1">IF(C19&lt;&gt;"",OFFSET('Player Game Board'!V10,BE6+14,A19),"")</f>
        <v/>
      </c>
      <c r="BF19" s="22" t="str">
        <f ca="1">IF(C19&lt;&gt;"",OFFSET('Player Game Board'!V10,BF6+14,A19),"")</f>
        <v/>
      </c>
      <c r="BG19" s="22" t="str">
        <f ca="1">IF(C19&lt;&gt;"",OFFSET('Player Game Board'!V10,BG6+14,A19),"")</f>
        <v/>
      </c>
      <c r="BH19" s="22" t="str">
        <f ca="1">IF(C19&lt;&gt;"",OFFSET('Player Game Board'!V10,BH6+14,A19),"")</f>
        <v/>
      </c>
      <c r="BI19" s="22" t="str">
        <f ca="1">IF(C19&lt;&gt;"",OFFSET('Player Game Board'!V10,BI6+14,A19),"")</f>
        <v/>
      </c>
      <c r="BJ19" s="22" t="str">
        <f ca="1">IF(C19&lt;&gt;"",OFFSET('Player Game Board'!V10,BJ6+14,A19),"")</f>
        <v/>
      </c>
      <c r="BK19" s="22" t="str">
        <f ca="1">IF(C19&lt;&gt;"",OFFSET('Player Game Board'!V10,BK6+14,A19),"")</f>
        <v/>
      </c>
      <c r="BL19" s="22" t="str">
        <f ca="1">IF(C19&lt;&gt;"",OFFSET('Player Game Board'!V10,BL6+14,A19),"")</f>
        <v/>
      </c>
      <c r="BM19" s="22" t="str">
        <f ca="1">IF(C19&lt;&gt;"",OFFSET('Player Game Board'!V10,BM6+14,A19),"")</f>
        <v/>
      </c>
    </row>
    <row r="20" spans="1:65" ht="15" customHeight="1" x14ac:dyDescent="0.3">
      <c r="B20" s="9" t="s">
        <v>59</v>
      </c>
    </row>
    <row r="21" spans="1:65" ht="15" customHeight="1" x14ac:dyDescent="0.3">
      <c r="B21" s="9"/>
    </row>
    <row r="22" spans="1:65" ht="15" customHeight="1" x14ac:dyDescent="0.3"/>
  </sheetData>
  <sheetProtection algorithmName="SHA-512" hashValue="/wFw5wKzfYf3tCDxIL0gQZtvPDF5WI1De5SbSh21rni01hDOq3ndBoM1G5jCrnwC4cPnnDKPG81LbbRDX1yjKw==" saltValue="lBD+J+6wBXA7Nl1s0zjrXw==" spinCount="100000" sheet="1" objects="1" scenarios="1"/>
  <mergeCells count="19">
    <mergeCell ref="BG5:BJ5"/>
    <mergeCell ref="BK5:BL5"/>
    <mergeCell ref="G6:G9"/>
    <mergeCell ref="B6:B9"/>
    <mergeCell ref="C6:C9"/>
    <mergeCell ref="D6:D9"/>
    <mergeCell ref="E6:E9"/>
    <mergeCell ref="F6:F9"/>
    <mergeCell ref="H6:H9"/>
    <mergeCell ref="I6:J6"/>
    <mergeCell ref="AY5:BF5"/>
    <mergeCell ref="K6:K9"/>
    <mergeCell ref="L6:N6"/>
    <mergeCell ref="I7:I9"/>
    <mergeCell ref="J7:J9"/>
    <mergeCell ref="L7:L9"/>
    <mergeCell ref="M7:M9"/>
    <mergeCell ref="N7:N9"/>
    <mergeCell ref="O5:AX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defaultColWidth="9.109375" defaultRowHeight="12.6" x14ac:dyDescent="0.2"/>
  <cols>
    <col min="1" max="1" width="1.44140625" style="7" customWidth="1"/>
    <col min="2" max="2" width="3.44140625" style="7" customWidth="1"/>
    <col min="3" max="3" width="23.44140625" style="7" customWidth="1"/>
    <col min="4" max="8" width="13.44140625" style="7" customWidth="1"/>
    <col min="9" max="10" width="13.44140625" style="11" customWidth="1"/>
    <col min="11" max="13" width="13.44140625" style="7" customWidth="1"/>
    <col min="14" max="14" width="3.44140625" style="7" customWidth="1"/>
    <col min="15" max="16384" width="9.109375" style="7"/>
  </cols>
  <sheetData>
    <row r="1" spans="2:13" s="31" customFormat="1" ht="5.0999999999999996" customHeight="1" x14ac:dyDescent="0.2">
      <c r="I1" s="32"/>
      <c r="J1" s="32"/>
    </row>
    <row r="2" spans="2:13" ht="5.0999999999999996" customHeight="1" x14ac:dyDescent="0.2"/>
    <row r="3" spans="2:13" ht="30" customHeight="1" x14ac:dyDescent="0.2">
      <c r="B3" s="18" t="s">
        <v>171</v>
      </c>
      <c r="C3" s="33"/>
      <c r="D3" s="33"/>
      <c r="E3" s="33"/>
      <c r="F3" s="33"/>
      <c r="G3" s="33"/>
      <c r="H3" s="33"/>
      <c r="I3" s="33"/>
      <c r="J3" s="33"/>
      <c r="K3" s="33"/>
      <c r="L3" s="33"/>
      <c r="M3" s="33"/>
    </row>
    <row r="4" spans="2:13" ht="5.0999999999999996" customHeight="1" x14ac:dyDescent="0.2">
      <c r="I4" s="34"/>
    </row>
    <row r="5" spans="2:13" ht="15" customHeight="1" x14ac:dyDescent="0.2">
      <c r="B5" s="406" t="s">
        <v>67</v>
      </c>
      <c r="C5" s="406" t="s">
        <v>68</v>
      </c>
      <c r="D5" s="405" t="s">
        <v>163</v>
      </c>
      <c r="E5" s="405" t="s">
        <v>164</v>
      </c>
      <c r="F5" s="405" t="s">
        <v>165</v>
      </c>
      <c r="G5" s="405" t="s">
        <v>166</v>
      </c>
      <c r="H5" s="406" t="s">
        <v>167</v>
      </c>
      <c r="I5" s="406"/>
      <c r="J5" s="405" t="s">
        <v>172</v>
      </c>
      <c r="K5" s="406" t="s">
        <v>169</v>
      </c>
      <c r="L5" s="406"/>
      <c r="M5" s="406"/>
    </row>
    <row r="6" spans="2:13" ht="15" customHeight="1" x14ac:dyDescent="0.2">
      <c r="B6" s="406"/>
      <c r="C6" s="406"/>
      <c r="D6" s="405"/>
      <c r="E6" s="405"/>
      <c r="F6" s="405"/>
      <c r="G6" s="405"/>
      <c r="H6" s="405" t="s">
        <v>164</v>
      </c>
      <c r="I6" s="408" t="s">
        <v>166</v>
      </c>
      <c r="J6" s="405"/>
      <c r="K6" s="405" t="s">
        <v>164</v>
      </c>
      <c r="L6" s="405" t="s">
        <v>173</v>
      </c>
      <c r="M6" s="405" t="s">
        <v>166</v>
      </c>
    </row>
    <row r="7" spans="2:13" ht="15" customHeight="1" x14ac:dyDescent="0.2">
      <c r="B7" s="406"/>
      <c r="C7" s="406"/>
      <c r="D7" s="405"/>
      <c r="E7" s="405"/>
      <c r="F7" s="405"/>
      <c r="G7" s="405"/>
      <c r="H7" s="405"/>
      <c r="I7" s="408"/>
      <c r="J7" s="405"/>
      <c r="K7" s="405"/>
      <c r="L7" s="405"/>
      <c r="M7" s="405"/>
    </row>
    <row r="8" spans="2:13" ht="15" customHeight="1" x14ac:dyDescent="0.2">
      <c r="B8" s="406"/>
      <c r="C8" s="406"/>
      <c r="D8" s="405"/>
      <c r="E8" s="405"/>
      <c r="F8" s="405"/>
      <c r="G8" s="405"/>
      <c r="H8" s="405"/>
      <c r="I8" s="408"/>
      <c r="J8" s="405"/>
      <c r="K8" s="405"/>
      <c r="L8" s="405"/>
      <c r="M8" s="405"/>
    </row>
    <row r="9" spans="2:13" ht="15" customHeight="1" x14ac:dyDescent="0.2">
      <c r="B9" s="22">
        <v>1</v>
      </c>
      <c r="C9" s="35" t="str">
        <f ca="1">IFERROR(INDEX('Dummy Rank'!F7:F16,MATCH('Player Leaderboard'!B9,'Dummy Rank'!E7:E16,0),0),"")</f>
        <v>Magnus (TRAC)</v>
      </c>
      <c r="D9" s="23">
        <f ca="1">IFERROR(VLOOKUP(C9,'Player Scoreboard'!C10:N19,2,FALSE),"")</f>
        <v>28</v>
      </c>
      <c r="E9" s="23">
        <f ca="1">IFERROR(VLOOKUP(C9,'Player Scoreboard'!C10:N19,3,FALSE),"")</f>
        <v>28</v>
      </c>
      <c r="F9" s="23">
        <f ca="1">IFERROR(VLOOKUP(C9,'Player Scoreboard'!C10:N19,4,FALSE),"")</f>
        <v>0</v>
      </c>
      <c r="G9" s="23">
        <f ca="1">IFERROR(VLOOKUP(C9,'Player Scoreboard'!C$10:N$19,6,FALSE),"")</f>
        <v>2</v>
      </c>
      <c r="H9" s="23">
        <f ca="1">IFERROR(VLOOKUP(C9,'Player Scoreboard'!C$10:N$19,7,FALSE),"")</f>
        <v>28</v>
      </c>
      <c r="I9" s="23">
        <f ca="1">IFERROR(VLOOKUP(C9,'Player Scoreboard'!C$10:N$19,8,FALSE),"")</f>
        <v>2</v>
      </c>
      <c r="J9" s="23">
        <f ca="1">IFERROR(VLOOKUP(C9,'Player Scoreboard'!C$10:N$19,9,FALSE),"")</f>
        <v>0</v>
      </c>
      <c r="K9" s="23">
        <f ca="1">IFERROR(VLOOKUP(C9,'Player Scoreboard'!C$10:N$19,10,FALSE),"")</f>
        <v>0</v>
      </c>
      <c r="L9" s="23">
        <f ca="1">IFERROR(VLOOKUP(C9,'Player Scoreboard'!C$10:N$19,11,FALSE),"")</f>
        <v>0</v>
      </c>
      <c r="M9" s="23">
        <f ca="1">IFERROR(VLOOKUP(C9,'Player Scoreboard'!C$10:N$19,12,FALSE),"")</f>
        <v>0</v>
      </c>
    </row>
    <row r="10" spans="2:13" ht="15" customHeight="1" x14ac:dyDescent="0.2">
      <c r="B10" s="22">
        <v>2</v>
      </c>
      <c r="C10" s="35" t="str">
        <f ca="1">IFERROR(INDEX('Dummy Rank'!F7:F16,MATCH('Player Leaderboard'!B10,'Dummy Rank'!E7:E16,0),0),"")</f>
        <v>Mateo (Virksomhet)</v>
      </c>
      <c r="D10" s="23">
        <f ca="1">IFERROR(VLOOKUP(C10,'Player Scoreboard'!C10:N19,2,FALSE),"")</f>
        <v>24</v>
      </c>
      <c r="E10" s="23">
        <f ca="1">IFERROR(VLOOKUP(C10,'Player Scoreboard'!C10:N19,3,FALSE),"")</f>
        <v>24</v>
      </c>
      <c r="F10" s="23">
        <f ca="1">IFERROR(VLOOKUP(C10,'Player Scoreboard'!C10:N19,4,FALSE),"")</f>
        <v>0</v>
      </c>
      <c r="G10" s="22">
        <f ca="1">IFERROR(VLOOKUP(C10,'Player Scoreboard'!C$10:N$19,6,FALSE),"")</f>
        <v>1</v>
      </c>
      <c r="H10" s="23">
        <f ca="1">IFERROR(VLOOKUP(C10,'Player Scoreboard'!C$10:N$19,7,FALSE),"")</f>
        <v>24</v>
      </c>
      <c r="I10" s="23">
        <f ca="1">IFERROR(VLOOKUP(C10,'Player Scoreboard'!C$10:N$19,8,FALSE),"")</f>
        <v>1</v>
      </c>
      <c r="J10" s="23">
        <f ca="1">IFERROR(VLOOKUP(C10,'Player Scoreboard'!C$10:N$19,9,FALSE),"")</f>
        <v>0</v>
      </c>
      <c r="K10" s="23">
        <f ca="1">IFERROR(VLOOKUP(C10,'Player Scoreboard'!C$10:N$19,10,FALSE),"")</f>
        <v>0</v>
      </c>
      <c r="L10" s="23">
        <f ca="1">IFERROR(VLOOKUP(C10,'Player Scoreboard'!C$10:N$19,11,FALSE),"")</f>
        <v>0</v>
      </c>
      <c r="M10" s="23">
        <f ca="1">IFERROR(VLOOKUP(C10,'Player Scoreboard'!C$10:N$19,12,FALSE),"")</f>
        <v>0</v>
      </c>
    </row>
    <row r="11" spans="2:13" ht="15" customHeight="1" x14ac:dyDescent="0.2">
      <c r="B11" s="22">
        <v>3</v>
      </c>
      <c r="C11" s="35" t="str">
        <f ca="1">IFERROR(INDEX('Dummy Rank'!F7:F16,MATCH('Player Leaderboard'!B11,'Dummy Rank'!E7:E16,0),0),"")</f>
        <v>Hanne Maren (TRAC)</v>
      </c>
      <c r="D11" s="23">
        <f ca="1">IFERROR(VLOOKUP(C11,'Player Scoreboard'!C10:N19,2,FALSE),"")</f>
        <v>24</v>
      </c>
      <c r="E11" s="23">
        <f ca="1">IFERROR(VLOOKUP(C11,'Player Scoreboard'!C10:N19,3,FALSE),"")</f>
        <v>24</v>
      </c>
      <c r="F11" s="23">
        <f ca="1">IFERROR(VLOOKUP(C11,'Player Scoreboard'!C10:N19,4,FALSE),"")</f>
        <v>0</v>
      </c>
      <c r="G11" s="23">
        <f ca="1">IFERROR(VLOOKUP(C11,'Player Scoreboard'!C$10:N$19,6,FALSE),"")</f>
        <v>1</v>
      </c>
      <c r="H11" s="23">
        <f ca="1">IFERROR(VLOOKUP(C11,'Player Scoreboard'!C$10:N$19,7,FALSE),"")</f>
        <v>24</v>
      </c>
      <c r="I11" s="23">
        <f ca="1">IFERROR(VLOOKUP(C11,'Player Scoreboard'!C$10:N$19,8,FALSE),"")</f>
        <v>1</v>
      </c>
      <c r="J11" s="23">
        <f ca="1">IFERROR(VLOOKUP(C11,'Player Scoreboard'!C$10:N$19,9,FALSE),"")</f>
        <v>0</v>
      </c>
      <c r="K11" s="23">
        <f ca="1">IFERROR(VLOOKUP(C11,'Player Scoreboard'!C$10:N$19,10,FALSE),"")</f>
        <v>0</v>
      </c>
      <c r="L11" s="23">
        <f ca="1">IFERROR(VLOOKUP(C11,'Player Scoreboard'!C$10:N$19,11,FALSE),"")</f>
        <v>0</v>
      </c>
      <c r="M11" s="23">
        <f ca="1">IFERROR(VLOOKUP(C11,'Player Scoreboard'!C$10:N$19,12,FALSE),"")</f>
        <v>0</v>
      </c>
    </row>
    <row r="12" spans="2:13" ht="15" customHeight="1" x14ac:dyDescent="0.2">
      <c r="B12" s="22">
        <v>4</v>
      </c>
      <c r="C12" s="35" t="str">
        <f ca="1">IFERROR(INDEX('Dummy Rank'!F7:F16,MATCH('Player Leaderboard'!B12,'Dummy Rank'!E7:E16,0),0),"")</f>
        <v>Steve (TRAC)</v>
      </c>
      <c r="D12" s="23">
        <f ca="1">IFERROR(VLOOKUP(C12,'Player Scoreboard'!C10:N19,2,FALSE),"")</f>
        <v>20</v>
      </c>
      <c r="E12" s="23">
        <f ca="1">IFERROR(VLOOKUP(C12,'Player Scoreboard'!C10:N19,3,FALSE),"")</f>
        <v>20</v>
      </c>
      <c r="F12" s="23">
        <f ca="1">IFERROR(VLOOKUP(C12,'Player Scoreboard'!C10:N19,4,FALSE),"")</f>
        <v>0</v>
      </c>
      <c r="G12" s="22">
        <f ca="1">IFERROR(VLOOKUP(C12,'Player Scoreboard'!C$10:N$19,6,FALSE),"")</f>
        <v>2</v>
      </c>
      <c r="H12" s="23">
        <f ca="1">IFERROR(VLOOKUP(C12,'Player Scoreboard'!C$10:N$19,7,FALSE),"")</f>
        <v>20</v>
      </c>
      <c r="I12" s="23">
        <f ca="1">IFERROR(VLOOKUP(C12,'Player Scoreboard'!C$10:N$19,8,FALSE),"")</f>
        <v>2</v>
      </c>
      <c r="J12" s="23">
        <f ca="1">IFERROR(VLOOKUP(C12,'Player Scoreboard'!C$10:N$19,9,FALSE),"")</f>
        <v>0</v>
      </c>
      <c r="K12" s="23">
        <f ca="1">IFERROR(VLOOKUP(C12,'Player Scoreboard'!C$10:N$19,10,FALSE),"")</f>
        <v>0</v>
      </c>
      <c r="L12" s="23">
        <f ca="1">IFERROR(VLOOKUP(C12,'Player Scoreboard'!C$10:N$19,11,FALSE),"")</f>
        <v>0</v>
      </c>
      <c r="M12" s="23">
        <f ca="1">IFERROR(VLOOKUP(C12,'Player Scoreboard'!C$10:N$19,12,FALSE),"")</f>
        <v>0</v>
      </c>
    </row>
    <row r="13" spans="2:13" ht="15" customHeight="1" x14ac:dyDescent="0.2">
      <c r="B13" s="22">
        <v>5</v>
      </c>
      <c r="C13" s="35" t="str">
        <f ca="1">IFERROR(INDEX('Dummy Rank'!F7:F16,MATCH('Player Leaderboard'!B13,'Dummy Rank'!E7:E16,0),0),"")</f>
        <v>Flemming (IFA)</v>
      </c>
      <c r="D13" s="23">
        <f ca="1">IFERROR(VLOOKUP(C13,'Player Scoreboard'!C10:N19,2,FALSE),"")</f>
        <v>18</v>
      </c>
      <c r="E13" s="23">
        <f ca="1">IFERROR(VLOOKUP(C13,'Player Scoreboard'!C10:N19,3,FALSE),"")</f>
        <v>18</v>
      </c>
      <c r="F13" s="23">
        <f ca="1">IFERROR(VLOOKUP(C13,'Player Scoreboard'!C10:N19,4,FALSE),"")</f>
        <v>0</v>
      </c>
      <c r="G13" s="23">
        <f ca="1">IFERROR(VLOOKUP(C13,'Player Scoreboard'!C$10:N$19,6,FALSE),"")</f>
        <v>0</v>
      </c>
      <c r="H13" s="23">
        <f ca="1">IFERROR(VLOOKUP(C13,'Player Scoreboard'!C$10:N$19,7,FALSE),"")</f>
        <v>18</v>
      </c>
      <c r="I13" s="23">
        <f ca="1">IFERROR(VLOOKUP(C13,'Player Scoreboard'!C$10:N$19,8,FALSE),"")</f>
        <v>0</v>
      </c>
      <c r="J13" s="23">
        <f ca="1">IFERROR(VLOOKUP(C13,'Player Scoreboard'!C$10:N$19,9,FALSE),"")</f>
        <v>0</v>
      </c>
      <c r="K13" s="23">
        <f ca="1">IFERROR(VLOOKUP(C13,'Player Scoreboard'!C$10:N$19,10,FALSE),"")</f>
        <v>0</v>
      </c>
      <c r="L13" s="23">
        <f ca="1">IFERROR(VLOOKUP(C13,'Player Scoreboard'!C$10:N$19,11,FALSE),"")</f>
        <v>0</v>
      </c>
      <c r="M13" s="23">
        <f ca="1">IFERROR(VLOOKUP(C13,'Player Scoreboard'!C$10:N$19,12,FALSE),"")</f>
        <v>0</v>
      </c>
    </row>
    <row r="14" spans="2:13" ht="15" customHeight="1" x14ac:dyDescent="0.2">
      <c r="B14" s="22">
        <v>6</v>
      </c>
      <c r="C14" s="35" t="str">
        <f ca="1">IFERROR(INDEX('Dummy Rank'!F7:F16,MATCH('Player Leaderboard'!B14,'Dummy Rank'!E7:E16,0),0),"")</f>
        <v>Stian (Virksomhet)</v>
      </c>
      <c r="D14" s="23">
        <f ca="1">IFERROR(VLOOKUP(C14,'Player Scoreboard'!C10:N19,2,FALSE),"")</f>
        <v>14</v>
      </c>
      <c r="E14" s="23">
        <f ca="1">IFERROR(VLOOKUP(C14,'Player Scoreboard'!C10:N19,3,FALSE),"")</f>
        <v>14</v>
      </c>
      <c r="F14" s="23">
        <f ca="1">IFERROR(VLOOKUP(C14,'Player Scoreboard'!C10:N19,4,FALSE),"")</f>
        <v>0</v>
      </c>
      <c r="G14" s="22">
        <f ca="1">IFERROR(VLOOKUP(C14,'Player Scoreboard'!C$10:N$19,6,FALSE),"")</f>
        <v>0</v>
      </c>
      <c r="H14" s="23">
        <f ca="1">IFERROR(VLOOKUP(C14,'Player Scoreboard'!C$10:N$19,7,FALSE),"")</f>
        <v>14</v>
      </c>
      <c r="I14" s="23">
        <f ca="1">IFERROR(VLOOKUP(C14,'Player Scoreboard'!C$10:N$19,8,FALSE),"")</f>
        <v>0</v>
      </c>
      <c r="J14" s="23">
        <f ca="1">IFERROR(VLOOKUP(C14,'Player Scoreboard'!C$10:N$19,9,FALSE),"")</f>
        <v>0</v>
      </c>
      <c r="K14" s="23">
        <f ca="1">IFERROR(VLOOKUP(C14,'Player Scoreboard'!C$10:N$19,10,FALSE),"")</f>
        <v>0</v>
      </c>
      <c r="L14" s="23">
        <f ca="1">IFERROR(VLOOKUP(C14,'Player Scoreboard'!C$10:N$19,11,FALSE),"")</f>
        <v>0</v>
      </c>
      <c r="M14" s="23">
        <f ca="1">IFERROR(VLOOKUP(C14,'Player Scoreboard'!C$10:N$19,12,FALSE),"")</f>
        <v>0</v>
      </c>
    </row>
    <row r="15" spans="2:13" ht="15" customHeight="1" x14ac:dyDescent="0.2">
      <c r="B15" s="22">
        <v>7</v>
      </c>
      <c r="C15" s="35" t="str">
        <f ca="1">IFERROR(INDEX('Dummy Rank'!F7:F16,MATCH('Player Leaderboard'!B15,'Dummy Rank'!E7:E16,0),0),"")</f>
        <v/>
      </c>
      <c r="D15" s="23" t="str">
        <f ca="1">IFERROR(VLOOKUP(C15,'Player Scoreboard'!C10:N19,2,FALSE),"")</f>
        <v/>
      </c>
      <c r="E15" s="23">
        <f ca="1">IFERROR(VLOOKUP(C15,'Player Scoreboard'!C10:N19,3,FALSE),"")</f>
        <v>0</v>
      </c>
      <c r="F15" s="23">
        <f ca="1">IFERROR(VLOOKUP(C15,'Player Scoreboard'!C10:N19,4,FALSE),"")</f>
        <v>0</v>
      </c>
      <c r="G15" s="23">
        <f ca="1">IFERROR(VLOOKUP(C15,'Player Scoreboard'!C$10:N$19,6,FALSE),"")</f>
        <v>0</v>
      </c>
      <c r="H15" s="23">
        <f ca="1">IFERROR(VLOOKUP(C15,'Player Scoreboard'!C$10:N$19,7,FALSE),"")</f>
        <v>0</v>
      </c>
      <c r="I15" s="23">
        <f ca="1">IFERROR(VLOOKUP(C15,'Player Scoreboard'!C$10:N$19,8,FALSE),"")</f>
        <v>0</v>
      </c>
      <c r="J15" s="23">
        <f ca="1">IFERROR(VLOOKUP(C15,'Player Scoreboard'!C$10:N$19,9,FALSE),"")</f>
        <v>0</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
      </c>
      <c r="D16" s="23" t="str">
        <f ca="1">IFERROR(VLOOKUP(C16,'Player Scoreboard'!C10:N19,2,FALSE),"")</f>
        <v/>
      </c>
      <c r="E16" s="23">
        <f ca="1">IFERROR(VLOOKUP(C16,'Player Scoreboard'!C10:N19,3,FALSE),"")</f>
        <v>0</v>
      </c>
      <c r="F16" s="23">
        <f ca="1">IFERROR(VLOOKUP(C16,'Player Scoreboard'!C10:N19,4,FALSE),"")</f>
        <v>0</v>
      </c>
      <c r="G16" s="22">
        <f ca="1">IFERROR(VLOOKUP(C16,'Player Scoreboard'!C$10:N$19,6,FALSE),"")</f>
        <v>0</v>
      </c>
      <c r="H16" s="23">
        <f ca="1">IFERROR(VLOOKUP(C16,'Player Scoreboard'!C$10:N$19,7,FALSE),"")</f>
        <v>0</v>
      </c>
      <c r="I16" s="23">
        <f ca="1">IFERROR(VLOOKUP(C16,'Player Scoreboard'!C$10:N$19,8,FALSE),"")</f>
        <v>0</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
      </c>
      <c r="D17" s="23" t="str">
        <f ca="1">IFERROR(VLOOKUP(C17,'Player Scoreboard'!C10:N19,2,FALSE),"")</f>
        <v/>
      </c>
      <c r="E17" s="23">
        <f ca="1">IFERROR(VLOOKUP(C17,'Player Scoreboard'!C10:N19,3,FALSE),"")</f>
        <v>0</v>
      </c>
      <c r="F17" s="23">
        <f ca="1">IFERROR(VLOOKUP(C17,'Player Scoreboard'!C10:N19,4,FALSE),"")</f>
        <v>0</v>
      </c>
      <c r="G17" s="23">
        <f ca="1">IFERROR(VLOOKUP(C17,'Player Scoreboard'!C$10:N$19,6,FALSE),"")</f>
        <v>0</v>
      </c>
      <c r="H17" s="23">
        <f ca="1">IFERROR(VLOOKUP(C17,'Player Scoreboard'!C$10:N$19,7,FALSE),"")</f>
        <v>0</v>
      </c>
      <c r="I17" s="23">
        <f ca="1">IFERROR(VLOOKUP(C17,'Player Scoreboard'!C$10:N$19,8,FALSE),"")</f>
        <v>0</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
      </c>
      <c r="D18" s="23" t="str">
        <f ca="1">IFERROR(VLOOKUP(C18,'Player Scoreboard'!C10:N19,2,FALSE),"")</f>
        <v/>
      </c>
      <c r="E18" s="23">
        <f ca="1">IFERROR(VLOOKUP(C18,'Player Scoreboard'!C10:N19,3,FALSE),"")</f>
        <v>0</v>
      </c>
      <c r="F18" s="23">
        <f ca="1">IFERROR(VLOOKUP(C18,'Player Scoreboard'!C10:N19,4,FALSE),"")</f>
        <v>0</v>
      </c>
      <c r="G18" s="22">
        <f ca="1">IFERROR(VLOOKUP(C18,'Player Scoreboard'!C$10:N$19,6,FALSE),"")</f>
        <v>0</v>
      </c>
      <c r="H18" s="23">
        <f ca="1">IFERROR(VLOOKUP(C18,'Player Scoreboard'!C$10:N$19,7,FALSE),"")</f>
        <v>0</v>
      </c>
      <c r="I18" s="23">
        <f ca="1">IFERROR(VLOOKUP(C18,'Player Scoreboard'!C$10:N$19,8,FALSE),"")</f>
        <v>0</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3">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G5:G8"/>
    <mergeCell ref="H5:I5"/>
    <mergeCell ref="J5:J8"/>
    <mergeCell ref="K5:M5"/>
    <mergeCell ref="H6:H8"/>
    <mergeCell ref="I6:I8"/>
    <mergeCell ref="K6:K8"/>
    <mergeCell ref="L6:L8"/>
    <mergeCell ref="M6:M8"/>
    <mergeCell ref="B5:B8"/>
    <mergeCell ref="C5:C8"/>
    <mergeCell ref="D5:D8"/>
    <mergeCell ref="E5:E8"/>
    <mergeCell ref="F5:F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defaultColWidth="8.88671875" defaultRowHeight="13.8" x14ac:dyDescent="0.3"/>
  <cols>
    <col min="1" max="1" width="1.44140625" style="133" customWidth="1"/>
    <col min="2" max="2" width="3.44140625" style="7" customWidth="1"/>
    <col min="3" max="3" width="23.44140625" style="7" customWidth="1"/>
    <col min="4" max="4" width="9.109375" style="7"/>
    <col min="5" max="5" width="17.88671875" style="7" customWidth="1"/>
    <col min="6" max="6" width="10.88671875" style="7" customWidth="1"/>
    <col min="7" max="57" width="9.109375" style="7"/>
  </cols>
  <sheetData>
    <row r="1" spans="1:57" s="25" customFormat="1" ht="5.0999999999999996" customHeight="1" x14ac:dyDescent="0.3">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3">
      <c r="A2" s="133"/>
    </row>
    <row r="3" spans="1:57" s="7" customFormat="1" ht="30" customHeight="1" x14ac:dyDescent="0.3">
      <c r="A3" s="133"/>
      <c r="B3" s="18" t="s">
        <v>174</v>
      </c>
      <c r="C3" s="16"/>
      <c r="D3" s="16"/>
      <c r="E3" s="16"/>
      <c r="F3" s="16"/>
    </row>
    <row r="4" spans="1:57" s="7" customFormat="1" ht="5.0999999999999996" customHeight="1" x14ac:dyDescent="0.3">
      <c r="A4" s="133"/>
      <c r="B4" s="16"/>
      <c r="C4" s="16"/>
      <c r="D4" s="16"/>
      <c r="E4" s="16"/>
      <c r="F4" s="16"/>
    </row>
    <row r="5" spans="1:57" s="7" customFormat="1" ht="15" customHeight="1" x14ac:dyDescent="0.3">
      <c r="A5" s="133"/>
      <c r="B5" s="117"/>
      <c r="C5" s="117"/>
      <c r="D5" s="119"/>
      <c r="E5" s="117"/>
      <c r="F5" s="117"/>
      <c r="G5" s="411" t="s">
        <v>159</v>
      </c>
      <c r="H5" s="411"/>
      <c r="I5" s="411"/>
      <c r="J5" s="411"/>
      <c r="K5" s="411"/>
      <c r="L5" s="411"/>
      <c r="M5" s="411"/>
      <c r="N5" s="411"/>
      <c r="O5" s="411"/>
      <c r="P5" s="411"/>
      <c r="Q5" s="411"/>
      <c r="R5" s="411"/>
      <c r="S5" s="411"/>
      <c r="T5" s="411"/>
      <c r="U5" s="411"/>
      <c r="V5" s="411"/>
      <c r="W5" s="411"/>
      <c r="X5" s="411"/>
      <c r="Y5" s="411"/>
      <c r="Z5" s="411"/>
      <c r="AA5" s="411"/>
      <c r="AB5" s="411"/>
      <c r="AC5" s="411"/>
      <c r="AD5" s="411"/>
      <c r="AE5" s="411"/>
      <c r="AF5" s="411"/>
      <c r="AG5" s="411"/>
      <c r="AH5" s="411"/>
      <c r="AI5" s="411"/>
      <c r="AJ5" s="411"/>
      <c r="AK5" s="411"/>
      <c r="AL5" s="411"/>
      <c r="AM5" s="411"/>
      <c r="AN5" s="411"/>
      <c r="AO5" s="411"/>
      <c r="AP5" s="411"/>
      <c r="AQ5" s="407" t="s">
        <v>160</v>
      </c>
      <c r="AR5" s="407"/>
      <c r="AS5" s="407"/>
      <c r="AT5" s="407"/>
      <c r="AU5" s="407"/>
      <c r="AV5" s="407"/>
      <c r="AW5" s="407"/>
      <c r="AX5" s="407"/>
      <c r="AY5" s="407" t="s">
        <v>161</v>
      </c>
      <c r="AZ5" s="407"/>
      <c r="BA5" s="407"/>
      <c r="BB5" s="407"/>
      <c r="BC5" s="407" t="s">
        <v>162</v>
      </c>
      <c r="BD5" s="407"/>
      <c r="BE5" s="120" t="s">
        <v>24</v>
      </c>
    </row>
    <row r="6" spans="1:57" s="7" customFormat="1" ht="15" customHeight="1" x14ac:dyDescent="0.3">
      <c r="A6" s="133"/>
      <c r="B6" s="406" t="s">
        <v>67</v>
      </c>
      <c r="C6" s="409" t="s">
        <v>68</v>
      </c>
      <c r="D6" s="406" t="s">
        <v>175</v>
      </c>
      <c r="E6" s="406"/>
      <c r="F6" s="406"/>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3">
      <c r="A7" s="133"/>
      <c r="B7" s="406"/>
      <c r="C7" s="409"/>
      <c r="D7" s="405" t="s">
        <v>176</v>
      </c>
      <c r="E7" s="405" t="s">
        <v>177</v>
      </c>
      <c r="F7" s="405" t="s">
        <v>178</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3">
      <c r="A8" s="133"/>
      <c r="B8" s="406"/>
      <c r="C8" s="409"/>
      <c r="D8" s="405"/>
      <c r="E8" s="405"/>
      <c r="F8" s="405"/>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Gro - Gro</v>
      </c>
      <c r="AR8" s="120" t="str">
        <f ca="1">LEFT(OFFSET(Matches!G8,AR6-1,0),3)&amp;" - "&amp;LEFT(OFFSET(Matches!J8,AR6-1,0),3)</f>
        <v>Gro - Gro</v>
      </c>
      <c r="AS8" s="120" t="str">
        <f ca="1">LEFT(OFFSET(Matches!G8,AS6-1,0),3)&amp;" - "&amp;LEFT(OFFSET(Matches!J8,AS6-1,0),3)</f>
        <v>Gro - Gro</v>
      </c>
      <c r="AT8" s="120" t="str">
        <f ca="1">LEFT(OFFSET(Matches!G8,AT6-1,0),3)&amp;" - "&amp;LEFT(OFFSET(Matches!J8,AT6-1,0),3)</f>
        <v>Gro - Gro</v>
      </c>
      <c r="AU8" s="120" t="str">
        <f ca="1">LEFT(OFFSET(Matches!G8,AU6-1,0),3)&amp;" - "&amp;LEFT(OFFSET(Matches!J8,AU6-1,0),3)</f>
        <v>Gro - Gro</v>
      </c>
      <c r="AV8" s="120" t="str">
        <f ca="1">LEFT(OFFSET(Matches!G8,AV6-1,0),3)&amp;" - "&amp;LEFT(OFFSET(Matches!J8,AV6-1,0),3)</f>
        <v>Gro - Gro</v>
      </c>
      <c r="AW8" s="120" t="str">
        <f ca="1">LEFT(OFFSET(Matches!G8,AW6-1,0),3)&amp;" - "&amp;LEFT(OFFSET(Matches!J8,AW6-1,0),3)</f>
        <v>Gro - Gro</v>
      </c>
      <c r="AX8" s="120" t="str">
        <f ca="1">LEFT(OFFSET(Matches!G8,AX6-1,0),3)&amp;" - "&amp;LEFT(OFFSET(Matches!J8,AX6-1,0),3)</f>
        <v>Gro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3">
      <c r="A9" s="133"/>
      <c r="B9" s="406"/>
      <c r="C9" s="410"/>
      <c r="D9" s="405"/>
      <c r="E9" s="405"/>
      <c r="F9" s="405"/>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 xml:space="preserve"> - </v>
      </c>
      <c r="T9" s="120" t="str">
        <f ca="1">LEFT(OFFSET(Matches!H8,T6-1,0),3)&amp;" - "&amp;LEFT(OFFSET(Matches!I8,T6-1,0),3)</f>
        <v xml:space="preserve"> - </v>
      </c>
      <c r="U9" s="120" t="str">
        <f ca="1">LEFT(OFFSET(Matches!H8,U6-1,0),3)&amp;" - "&amp;LEFT(OFFSET(Matches!I8,U6-1,0),3)</f>
        <v xml:space="preserve"> - </v>
      </c>
      <c r="V9" s="120" t="str">
        <f ca="1">LEFT(OFFSET(Matches!H8,V6-1,0),3)&amp;" - "&amp;LEFT(OFFSET(Matches!I8,V6-1,0),3)</f>
        <v xml:space="preserve"> - </v>
      </c>
      <c r="W9" s="120" t="str">
        <f ca="1">LEFT(OFFSET(Matches!H8,W6-1,0),3)&amp;" - "&amp;LEFT(OFFSET(Matches!I8,W6-1,0),3)</f>
        <v xml:space="preserve"> - </v>
      </c>
      <c r="X9" s="120" t="str">
        <f ca="1">LEFT(OFFSET(Matches!H8,X6-1,0),3)&amp;" - "&amp;LEFT(OFFSET(Matches!I8,X6-1,0),3)</f>
        <v xml:space="preserve"> - </v>
      </c>
      <c r="Y9" s="120" t="str">
        <f ca="1">LEFT(OFFSET(Matches!H8,Y6-1,0),3)&amp;" - "&amp;LEFT(OFFSET(Matches!I8,Y6-1,0),3)</f>
        <v xml:space="preserve"> - </v>
      </c>
      <c r="Z9" s="120" t="str">
        <f ca="1">LEFT(OFFSET(Matches!H8,Z6-1,0),3)&amp;" - "&amp;LEFT(OFFSET(Matches!I8,Z6-1,0),3)</f>
        <v xml:space="preserve"> - </v>
      </c>
      <c r="AA9" s="120" t="str">
        <f ca="1">LEFT(OFFSET(Matches!H8,AA6-1,0),3)&amp;" - "&amp;LEFT(OFFSET(Matches!I8,AA6-1,0),3)</f>
        <v xml:space="preserve"> - </v>
      </c>
      <c r="AB9" s="120" t="str">
        <f ca="1">LEFT(OFFSET(Matches!H8,AB6-1,0),3)&amp;" - "&amp;LEFT(OFFSET(Matches!I8,AB6-1,0),3)</f>
        <v xml:space="preserve"> - </v>
      </c>
      <c r="AC9" s="120" t="str">
        <f ca="1">LEFT(OFFSET(Matches!H8,AC6-1,0),3)&amp;" - "&amp;LEFT(OFFSET(Matches!I8,AC6-1,0),3)</f>
        <v xml:space="preserve"> - </v>
      </c>
      <c r="AD9" s="120" t="str">
        <f ca="1">LEFT(OFFSET(Matches!H8,AD6-1,0),3)&amp;" - "&amp;LEFT(OFFSET(Matches!I8,AD6-1,0),3)</f>
        <v xml:space="preserve"> - </v>
      </c>
      <c r="AE9" s="120" t="str">
        <f ca="1">LEFT(OFFSET(Matches!H8,AE6-1,0),3)&amp;" - "&amp;LEFT(OFFSET(Matches!I8,AE6-1,0),3)</f>
        <v xml:space="preserve"> - </v>
      </c>
      <c r="AF9" s="120" t="str">
        <f ca="1">LEFT(OFFSET(Matches!H8,AF6-1,0),3)&amp;" - "&amp;LEFT(OFFSET(Matches!I8,AF6-1,0),3)</f>
        <v xml:space="preserve"> - </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4.4" x14ac:dyDescent="0.3">
      <c r="A10" s="133">
        <v>0</v>
      </c>
      <c r="B10" s="29">
        <v>1</v>
      </c>
      <c r="C10" s="272" t="str">
        <f>IF('Player Setup'!C6&lt;&gt;"",'Player Setup'!C6,"")</f>
        <v>Magnus (TRAC)</v>
      </c>
      <c r="D10" s="24">
        <f ca="1">SUM(E10:F10)</f>
        <v>2</v>
      </c>
      <c r="E10" s="22">
        <f ca="1">IF(C10&lt;&gt;"",OFFSET('Player Game Board'!N9,G6-1,A10),0)</f>
        <v>2</v>
      </c>
      <c r="F10" s="22">
        <f ca="1">IF(C10&lt;&gt;"",OFFSET('Player Game Board'!N52,G6-1,A10),0)</f>
        <v>0</v>
      </c>
      <c r="G10" s="24" t="str">
        <f ca="1">IF(C10&lt;&gt;"",OFFSET('Player Game Board'!P10,G6-1,A10)&amp;" - "&amp;OFFSET('Player Game Board'!Q10,G6-1,A10),"")</f>
        <v>3 - 1</v>
      </c>
      <c r="H10" s="24" t="str">
        <f ca="1">IF(C10&lt;&gt;"",OFFSET('Player Game Board'!P10,H6-1,A10)&amp;" - "&amp;OFFSET('Player Game Board'!Q10,H6-1,A10),"")</f>
        <v>0 - 4</v>
      </c>
      <c r="I10" s="24" t="str">
        <f ca="1">IF(C10&lt;&gt;"",OFFSET('Player Game Board'!P10,I6-1,A10)&amp;" - "&amp;OFFSET('Player Game Board'!Q10,I6-1,A10),"")</f>
        <v>3 - 0</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1 - 1</v>
      </c>
      <c r="M10" s="24" t="str">
        <f ca="1">IF(C10&lt;&gt;"",OFFSET('Player Game Board'!P10,M6-1,A10)&amp;" - "&amp;OFFSET('Player Game Board'!Q10,M6-1,A10),"")</f>
        <v>0 - 2</v>
      </c>
      <c r="N10" s="24" t="str">
        <f ca="1">IF(C10&lt;&gt;"",OFFSET('Player Game Board'!P10,N6-1,A10)&amp;" - "&amp;OFFSET('Player Game Board'!Q10,N6-1,A10),"")</f>
        <v>2 - 2</v>
      </c>
      <c r="O10" s="24" t="str">
        <f ca="1">IF(C10&lt;&gt;"",OFFSET('Player Game Board'!P10,O6-1,A10)&amp;" - "&amp;OFFSET('Player Game Board'!Q10,O6-1,A10),"")</f>
        <v>2 - 1</v>
      </c>
      <c r="P10" s="24" t="str">
        <f ca="1">IF(C10&lt;&gt;"",OFFSET('Player Game Board'!P10,P6-1,A10)&amp;" - "&amp;OFFSET('Player Game Board'!Q10,P6-1,A10),"")</f>
        <v>1 - 1</v>
      </c>
      <c r="Q10" s="24" t="str">
        <f ca="1">IF(C10&lt;&gt;"",OFFSET('Player Game Board'!P10,Q6-1,A10)&amp;" - "&amp;OFFSET('Player Game Board'!Q10,Q6-1,A10),"")</f>
        <v>5 - 0</v>
      </c>
      <c r="R10" s="24" t="str">
        <f ca="1">IF(C10&lt;&gt;"",OFFSET('Player Game Board'!P10,R6-1,A10)&amp;" - "&amp;OFFSET('Player Game Board'!Q10,R6-1,A10),"")</f>
        <v>3 - 1</v>
      </c>
      <c r="S10" s="24" t="str">
        <f ca="1">IF(C10&lt;&gt;"",OFFSET('Player Game Board'!P10,S6-1,A10)&amp;" - "&amp;OFFSET('Player Game Board'!Q10,S6-1,A10),"")</f>
        <v>2 - 2</v>
      </c>
      <c r="T10" s="24" t="str">
        <f ca="1">IF(C10&lt;&gt;"",OFFSET('Player Game Board'!P10,T6-1,A10)&amp;" - "&amp;OFFSET('Player Game Board'!Q10,T6-1,A10),"")</f>
        <v>3 - 0</v>
      </c>
      <c r="U10" s="24" t="str">
        <f ca="1">IF(C10&lt;&gt;"",OFFSET('Player Game Board'!P10,U6-1,A10)&amp;" - "&amp;OFFSET('Player Game Board'!Q10,U6-1,A10),"")</f>
        <v>2 - 0</v>
      </c>
      <c r="V10" s="24" t="str">
        <f ca="1">IF(C10&lt;&gt;"",OFFSET('Player Game Board'!P10,V6-1,A10)&amp;" - "&amp;OFFSET('Player Game Board'!Q10,V6-1,A10),"")</f>
        <v>2 - 2</v>
      </c>
      <c r="W10" s="24" t="str">
        <f ca="1">IF(C10&lt;&gt;"",OFFSET('Player Game Board'!P10,W6-1,A10)&amp;" - "&amp;OFFSET('Player Game Board'!Q10,W6-1,A10),"")</f>
        <v>3 - 2</v>
      </c>
      <c r="X10" s="24" t="str">
        <f ca="1">IF(C10&lt;&gt;"",OFFSET('Player Game Board'!P10,X6-1,A10)&amp;" - "&amp;OFFSET('Player Game Board'!Q10,X6-1,A10),"")</f>
        <v>1 - 1</v>
      </c>
      <c r="Y10" s="24" t="str">
        <f ca="1">IF(C10&lt;&gt;"",OFFSET('Player Game Board'!P10,Y6-1,A10)&amp;" - "&amp;OFFSET('Player Game Board'!Q10,Y6-1,A10),"")</f>
        <v>1 - 2</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5 - 1</v>
      </c>
      <c r="AC10" s="24" t="str">
        <f ca="1">IF(C10&lt;&gt;"",OFFSET('Player Game Board'!P10,AC6-1,A10)&amp;" - "&amp;OFFSET('Player Game Board'!Q10,AC6-1,A10),"")</f>
        <v>1 - 3</v>
      </c>
      <c r="AD10" s="24" t="str">
        <f ca="1">IF(C10&lt;&gt;"",OFFSET('Player Game Board'!P10,AD6-1,A10)&amp;" - "&amp;OFFSET('Player Game Board'!Q10,AD6-1,A10),"")</f>
        <v>1 - 2</v>
      </c>
      <c r="AE10" s="24" t="str">
        <f ca="1">IF(C10&lt;&gt;"",OFFSET('Player Game Board'!P10,AE6-1,A10)&amp;" - "&amp;OFFSET('Player Game Board'!Q10,AE6-1,A10),"")</f>
        <v>2 - 2</v>
      </c>
      <c r="AF10" s="24" t="str">
        <f ca="1">IF(C10&lt;&gt;"",OFFSET('Player Game Board'!P10,AF6-1,A10)&amp;" - "&amp;OFFSET('Player Game Board'!Q10,AF6-1,A10),"")</f>
        <v>3 - 1</v>
      </c>
      <c r="AG10" s="24" t="str">
        <f ca="1">IF(C10&lt;&gt;"",OFFSET('Player Game Board'!P10,AG6-1,A10)&amp;" - "&amp;OFFSET('Player Game Board'!Q10,AG6-1,A10),"")</f>
        <v>0 - 4</v>
      </c>
      <c r="AH10" s="24" t="str">
        <f ca="1">IF(C10&lt;&gt;"",OFFSET('Player Game Board'!P10,AH6-1,A10)&amp;" - "&amp;OFFSET('Player Game Board'!Q10,AH6-1,A10),"")</f>
        <v>2 - 3</v>
      </c>
      <c r="AI10" s="24" t="str">
        <f ca="1">IF(C10&lt;&gt;"",OFFSET('Player Game Board'!P10,AI6-1,A10)&amp;" - "&amp;OFFSET('Player Game Board'!Q10,AI6-1,A10),"")</f>
        <v>3 - 0</v>
      </c>
      <c r="AJ10" s="24" t="str">
        <f ca="1">IF(C10&lt;&gt;"",OFFSET('Player Game Board'!P10,AJ6-1,A10)&amp;" - "&amp;OFFSET('Player Game Board'!Q10,AJ6-1,A10),"")</f>
        <v>3 - 0</v>
      </c>
      <c r="AK10" s="24" t="str">
        <f ca="1">IF(C10&lt;&gt;"",OFFSET('Player Game Board'!P10,AK6-1,A10)&amp;" - "&amp;OFFSET('Player Game Board'!Q10,AK6-1,A10),"")</f>
        <v>3 - 1</v>
      </c>
      <c r="AL10" s="24" t="str">
        <f ca="1">IF(C10&lt;&gt;"",OFFSET('Player Game Board'!P10,AL6-1,A10)&amp;" - "&amp;OFFSET('Player Game Board'!Q10,AL6-1,A10),"")</f>
        <v>5 - 1</v>
      </c>
      <c r="AM10" s="24" t="str">
        <f ca="1">IF(C10&lt;&gt;"",OFFSET('Player Game Board'!P10,AM6-1,A10)&amp;" - "&amp;OFFSET('Player Game Board'!Q10,AM6-1,A10),"")</f>
        <v>1 - 1</v>
      </c>
      <c r="AN10" s="24" t="str">
        <f ca="1">IF(C10&lt;&gt;"",OFFSET('Player Game Board'!P10,AN6-1,A10)&amp;" - "&amp;OFFSET('Player Game Board'!Q10,AN6-1,A10),"")</f>
        <v>0 - 3</v>
      </c>
      <c r="AO10" s="24" t="str">
        <f ca="1">IF(C10&lt;&gt;"",OFFSET('Player Game Board'!P10,AO6-1,A10)&amp;" - "&amp;OFFSET('Player Game Board'!Q10,AO6-1,A10),"")</f>
        <v>0 - 6</v>
      </c>
      <c r="AP10" s="24" t="str">
        <f ca="1">IF(C10&lt;&gt;"",OFFSET('Player Game Board'!P10,AP6-1,A10)&amp;" - "&amp;OFFSET('Player Game Board'!Q10,AP6-1,A10),"")</f>
        <v>2 - 2</v>
      </c>
      <c r="AQ10" s="24" t="str">
        <f ca="1">IF(C10&lt;&gt;"",OFFSET('Player Game Board'!P10,AQ6+14,A10)&amp;" - "&amp;OFFSET('Player Game Board'!Q10,AQ6+14,A10),"")</f>
        <v>3 - 3</v>
      </c>
      <c r="AR10" s="24" t="str">
        <f ca="1">IF(C10&lt;&gt;"",OFFSET('Player Game Board'!P10,AR6+14,A10)&amp;" - "&amp;OFFSET('Player Game Board'!Q10,AR6+14,A10),"")</f>
        <v>0 - 1</v>
      </c>
      <c r="AS10" s="24" t="str">
        <f ca="1">IF(C10&lt;&gt;"",OFFSET('Player Game Board'!P10,AS6+14,A10)&amp;" - "&amp;OFFSET('Player Game Board'!Q10,AS6+14,A10),"")</f>
        <v>2 - 0</v>
      </c>
      <c r="AT10" s="24" t="str">
        <f ca="1">IF(C10&lt;&gt;"",OFFSET('Player Game Board'!P10,AT6+14,A10)&amp;" - "&amp;OFFSET('Player Game Board'!Q10,AT6+14,A10),"")</f>
        <v>2 - 1</v>
      </c>
      <c r="AU10" s="24" t="str">
        <f ca="1">IF(C10&lt;&gt;"",OFFSET('Player Game Board'!P10,AU6+14,A10)&amp;" - "&amp;OFFSET('Player Game Board'!Q10,AU6+14,A10),"")</f>
        <v>0 - 1</v>
      </c>
      <c r="AV10" s="24" t="str">
        <f ca="1">IF(C10&lt;&gt;"",OFFSET('Player Game Board'!P10,AV6+14,A10)&amp;" - "&amp;OFFSET('Player Game Board'!Q10,AV6+14,A10),"")</f>
        <v>4 - 1</v>
      </c>
      <c r="AW10" s="24" t="str">
        <f ca="1">IF(C10&lt;&gt;"",OFFSET('Player Game Board'!P10,AW6+14,A10)&amp;" - "&amp;OFFSET('Player Game Board'!Q10,AW6+14,A10),"")</f>
        <v>1 - 1</v>
      </c>
      <c r="AX10" s="24" t="str">
        <f ca="1">IF(C10&lt;&gt;"",OFFSET('Player Game Board'!P10,AX6+14,A10)&amp;" - "&amp;OFFSET('Player Game Board'!Q10,AX6+14,A10),"")</f>
        <v>4 - 2</v>
      </c>
      <c r="AY10" s="24" t="str">
        <f ca="1">IF(C10&lt;&gt;"",OFFSET('Player Game Board'!P10,AY6+14,A10)&amp;" - "&amp;OFFSET('Player Game Board'!Q10,AY6+14,A10),"")</f>
        <v>2 - 3</v>
      </c>
      <c r="AZ10" s="24" t="str">
        <f ca="1">IF(C10&lt;&gt;"",OFFSET('Player Game Board'!P10,AZ6+14,A10)&amp;" - "&amp;OFFSET('Player Game Board'!Q10,AZ6+14,A10),"")</f>
        <v>1 - 2</v>
      </c>
      <c r="BA10" s="24" t="str">
        <f ca="1">IF(C10&lt;&gt;"",OFFSET('Player Game Board'!P10,BA6+14,A10)&amp;" - "&amp;OFFSET('Player Game Board'!Q10,BA6+14,A10),"")</f>
        <v>1 - 3</v>
      </c>
      <c r="BB10" s="24" t="str">
        <f ca="1">IF(C10&lt;&gt;"",OFFSET('Player Game Board'!P10,BB6+14,A10)&amp;" - "&amp;OFFSET('Player Game Board'!Q10,BB6+14,A10),"")</f>
        <v>2 - 2</v>
      </c>
      <c r="BC10" s="24" t="str">
        <f ca="1">IF(C10&lt;&gt;"",OFFSET('Player Game Board'!P10,BC6+14,A10)&amp;" - "&amp;OFFSET('Player Game Board'!Q10,BC6+14,A10),"")</f>
        <v>3 - 2</v>
      </c>
      <c r="BD10" s="24" t="str">
        <f ca="1">IF(C10&lt;&gt;"",OFFSET('Player Game Board'!P10,BD6+14,A10)&amp;" - "&amp;OFFSET('Player Game Board'!Q10,BD6+14,A10),"")</f>
        <v>2 - 0</v>
      </c>
      <c r="BE10" s="24" t="str">
        <f ca="1">IF(C10&lt;&gt;"",OFFSET('Player Game Board'!P10,BE6+14,A10)&amp;" - "&amp;OFFSET('Player Game Board'!Q10,BE6+14,A10),"")</f>
        <v>4 - 3</v>
      </c>
    </row>
    <row r="11" spans="1:57" ht="14.4" x14ac:dyDescent="0.3">
      <c r="A11" s="133">
        <f>A10+10</f>
        <v>10</v>
      </c>
      <c r="B11" s="29">
        <v>2</v>
      </c>
      <c r="C11" s="272" t="str">
        <f>IF('Player Setup'!C7&lt;&gt;"",'Player Setup'!C7,"")</f>
        <v>Steve (TRAC)</v>
      </c>
      <c r="D11" s="22">
        <f t="shared" ref="D11:D19" ca="1" si="3">SUM(E11:F11)</f>
        <v>2</v>
      </c>
      <c r="E11" s="23">
        <f ca="1">IF(C11&lt;&gt;"",OFFSET('Player Game Board'!N9,G6-1,A11),0)</f>
        <v>2</v>
      </c>
      <c r="F11" s="22">
        <f ca="1">IF(C11&lt;&gt;"",OFFSET('Player Game Board'!N52,G6-1,A11),0)</f>
        <v>0</v>
      </c>
      <c r="G11" s="22" t="str">
        <f ca="1">IF(C11&lt;&gt;"",OFFSET('Player Game Board'!P10,G6-1,A11)&amp;" - "&amp;OFFSET('Player Game Board'!Q10,G6-1,A11),"")</f>
        <v>3 - 1</v>
      </c>
      <c r="H11" s="22" t="str">
        <f ca="1">IF(C11&lt;&gt;"",OFFSET('Player Game Board'!P10,H6-1,A11)&amp;" - "&amp;OFFSET('Player Game Board'!Q10,H6-1,A11),"")</f>
        <v>1 - 1</v>
      </c>
      <c r="I11" s="22" t="str">
        <f ca="1">IF(C11&lt;&gt;"",OFFSET('Player Game Board'!P10,I6-1,A11)&amp;" - "&amp;OFFSET('Player Game Board'!Q10,I6-1,A11),"")</f>
        <v>1 - 0</v>
      </c>
      <c r="J11" s="22" t="str">
        <f ca="1">IF(C11&lt;&gt;"",OFFSET('Player Game Board'!P10,J6-1,A11)&amp;" - "&amp;OFFSET('Player Game Board'!Q10,J6-1,A11),"")</f>
        <v>2 - 0</v>
      </c>
      <c r="K11" s="22" t="str">
        <f ca="1">IF(C11&lt;&gt;"",OFFSET('Player Game Board'!P10,K6-1,A11)&amp;" - "&amp;OFFSET('Player Game Board'!Q10,K6-1,A11),"")</f>
        <v>0 - 1</v>
      </c>
      <c r="L11" s="22" t="str">
        <f ca="1">IF(C11&lt;&gt;"",OFFSET('Player Game Board'!P10,L6-1,A11)&amp;" - "&amp;OFFSET('Player Game Board'!Q10,L6-1,A11),"")</f>
        <v>1 - 1</v>
      </c>
      <c r="M11" s="22" t="str">
        <f ca="1">IF(C11&lt;&gt;"",OFFSET('Player Game Board'!P10,M6-1,A11)&amp;" - "&amp;OFFSET('Player Game Board'!Q10,M6-1,A11),"")</f>
        <v>2 - 2</v>
      </c>
      <c r="N11" s="22" t="str">
        <f ca="1">IF(C11&lt;&gt;"",OFFSET('Player Game Board'!P10,N6-1,A11)&amp;" - "&amp;OFFSET('Player Game Board'!Q10,N6-1,A11),"")</f>
        <v>0 - 2</v>
      </c>
      <c r="O11" s="22" t="str">
        <f ca="1">IF(C11&lt;&gt;"",OFFSET('Player Game Board'!P10,O6-1,A11)&amp;" - "&amp;OFFSET('Player Game Board'!Q10,O6-1,A11),"")</f>
        <v>2 - 1</v>
      </c>
      <c r="P11" s="22" t="str">
        <f ca="1">IF(C11&lt;&gt;"",OFFSET('Player Game Board'!P10,P6-1,A11)&amp;" - "&amp;OFFSET('Player Game Board'!Q10,P6-1,A11),"")</f>
        <v>2 - 2</v>
      </c>
      <c r="Q11" s="22" t="str">
        <f ca="1">IF(C11&lt;&gt;"",OFFSET('Player Game Board'!P10,Q6-1,A11)&amp;" - "&amp;OFFSET('Player Game Board'!Q10,Q6-1,A11),"")</f>
        <v>2 - 2</v>
      </c>
      <c r="R11" s="22" t="str">
        <f ca="1">IF(C11&lt;&gt;"",OFFSET('Player Game Board'!P10,R6-1,A11)&amp;" - "&amp;OFFSET('Player Game Board'!Q10,R6-1,A11),"")</f>
        <v>1 - 3</v>
      </c>
      <c r="S11" s="22" t="str">
        <f ca="1">IF(C11&lt;&gt;"",OFFSET('Player Game Board'!P10,S6-1,A11)&amp;" - "&amp;OFFSET('Player Game Board'!Q10,S6-1,A11),"")</f>
        <v>1 - 0</v>
      </c>
      <c r="T11" s="22" t="str">
        <f ca="1">IF(C11&lt;&gt;"",OFFSET('Player Game Board'!P10,T6-1,A11)&amp;" - "&amp;OFFSET('Player Game Board'!Q10,T6-1,A11),"")</f>
        <v>1 - 1</v>
      </c>
      <c r="U11" s="22" t="str">
        <f ca="1">IF(C11&lt;&gt;"",OFFSET('Player Game Board'!P10,U6-1,A11)&amp;" - "&amp;OFFSET('Player Game Board'!Q10,U6-1,A11),"")</f>
        <v>3 - 0</v>
      </c>
      <c r="V11" s="22" t="str">
        <f ca="1">IF(C11&lt;&gt;"",OFFSET('Player Game Board'!P10,V6-1,A11)&amp;" - "&amp;OFFSET('Player Game Board'!Q10,V6-1,A11),"")</f>
        <v>0 - 0</v>
      </c>
      <c r="W11" s="22" t="str">
        <f ca="1">IF(C11&lt;&gt;"",OFFSET('Player Game Board'!P10,W6-1,A11)&amp;" - "&amp;OFFSET('Player Game Board'!Q10,W6-1,A11),"")</f>
        <v>1 - 2</v>
      </c>
      <c r="X11" s="22" t="str">
        <f ca="1">IF(C11&lt;&gt;"",OFFSET('Player Game Board'!P10,X6-1,A11)&amp;" - "&amp;OFFSET('Player Game Board'!Q10,X6-1,A11),"")</f>
        <v>1 - 1</v>
      </c>
      <c r="Y11" s="22" t="str">
        <f ca="1">IF(C11&lt;&gt;"",OFFSET('Player Game Board'!P10,Y6-1,A11)&amp;" - "&amp;OFFSET('Player Game Board'!Q10,Y6-1,A11),"")</f>
        <v>1 - 0</v>
      </c>
      <c r="Z11" s="22" t="str">
        <f ca="1">IF(C11&lt;&gt;"",OFFSET('Player Game Board'!P10,Z6-1,A11)&amp;" - "&amp;OFFSET('Player Game Board'!Q10,Z6-1,A11),"")</f>
        <v>0 - 1</v>
      </c>
      <c r="AA11" s="22" t="str">
        <f ca="1">IF(C11&lt;&gt;"",OFFSET('Player Game Board'!P10,AA6-1,A11)&amp;" - "&amp;OFFSET('Player Game Board'!Q10,AA6-1,A11),"")</f>
        <v>0 - 0</v>
      </c>
      <c r="AB11" s="22" t="str">
        <f ca="1">IF(C11&lt;&gt;"",OFFSET('Player Game Board'!P10,AB6-1,A11)&amp;" - "&amp;OFFSET('Player Game Board'!Q10,AB6-1,A11),"")</f>
        <v>2 - 1</v>
      </c>
      <c r="AC11" s="22" t="str">
        <f ca="1">IF(C11&lt;&gt;"",OFFSET('Player Game Board'!P10,AC6-1,A11)&amp;" - "&amp;OFFSET('Player Game Board'!Q10,AC6-1,A11),"")</f>
        <v>0 - 1</v>
      </c>
      <c r="AD11" s="22" t="str">
        <f ca="1">IF(C11&lt;&gt;"",OFFSET('Player Game Board'!P10,AD6-1,A11)&amp;" - "&amp;OFFSET('Player Game Board'!Q10,AD6-1,A11),"")</f>
        <v>0 - 2</v>
      </c>
      <c r="AE11" s="22" t="str">
        <f ca="1">IF(C11&lt;&gt;"",OFFSET('Player Game Board'!P10,AE6-1,A11)&amp;" - "&amp;OFFSET('Player Game Board'!Q10,AE6-1,A11),"")</f>
        <v>0 - 5</v>
      </c>
      <c r="AF11" s="22" t="str">
        <f ca="1">IF(C11&lt;&gt;"",OFFSET('Player Game Board'!P10,AF6-1,A11)&amp;" - "&amp;OFFSET('Player Game Board'!Q10,AF6-1,A11),"")</f>
        <v>1 - 1</v>
      </c>
      <c r="AG11" s="22" t="str">
        <f ca="1">IF(C11&lt;&gt;"",OFFSET('Player Game Board'!P10,AG6-1,A11)&amp;" - "&amp;OFFSET('Player Game Board'!Q10,AG6-1,A11),"")</f>
        <v>0 - 2</v>
      </c>
      <c r="AH11" s="22" t="str">
        <f ca="1">IF(C11&lt;&gt;"",OFFSET('Player Game Board'!P10,AH6-1,A11)&amp;" - "&amp;OFFSET('Player Game Board'!Q10,AH6-1,A11),"")</f>
        <v>2 - 2</v>
      </c>
      <c r="AI11" s="22" t="str">
        <f ca="1">IF(C11&lt;&gt;"",OFFSET('Player Game Board'!P10,AI6-1,A11)&amp;" - "&amp;OFFSET('Player Game Board'!Q10,AI6-1,A11),"")</f>
        <v>1 - 0</v>
      </c>
      <c r="AJ11" s="22" t="str">
        <f ca="1">IF(C11&lt;&gt;"",OFFSET('Player Game Board'!P10,AJ6-1,A11)&amp;" - "&amp;OFFSET('Player Game Board'!Q10,AJ6-1,A11),"")</f>
        <v>1 - 1</v>
      </c>
      <c r="AK11" s="22" t="str">
        <f ca="1">IF(C11&lt;&gt;"",OFFSET('Player Game Board'!P10,AK6-1,A11)&amp;" - "&amp;OFFSET('Player Game Board'!Q10,AK6-1,A11),"")</f>
        <v>1 - 1</v>
      </c>
      <c r="AL11" s="22" t="str">
        <f ca="1">IF(C11&lt;&gt;"",OFFSET('Player Game Board'!P10,AL6-1,A11)&amp;" - "&amp;OFFSET('Player Game Board'!Q10,AL6-1,A11),"")</f>
        <v>1 - 1</v>
      </c>
      <c r="AM11" s="22" t="str">
        <f ca="1">IF(C11&lt;&gt;"",OFFSET('Player Game Board'!P10,AM6-1,A11)&amp;" - "&amp;OFFSET('Player Game Board'!Q10,AM6-1,A11),"")</f>
        <v>1 - 1</v>
      </c>
      <c r="AN11" s="22" t="str">
        <f ca="1">IF(C11&lt;&gt;"",OFFSET('Player Game Board'!P10,AN6-1,A11)&amp;" - "&amp;OFFSET('Player Game Board'!Q10,AN6-1,A11),"")</f>
        <v>1 - 1</v>
      </c>
      <c r="AO11" s="22" t="str">
        <f ca="1">IF(C11&lt;&gt;"",OFFSET('Player Game Board'!P10,AO6-1,A11)&amp;" - "&amp;OFFSET('Player Game Board'!Q10,AO6-1,A11),"")</f>
        <v>1 - 2</v>
      </c>
      <c r="AP11" s="22" t="str">
        <f ca="1">IF(C11&lt;&gt;"",OFFSET('Player Game Board'!P10,AP6-1,A11)&amp;" - "&amp;OFFSET('Player Game Board'!Q10,AP6-1,A11),"")</f>
        <v>2 - 2</v>
      </c>
      <c r="AQ11" s="22" t="str">
        <f ca="1">IF(C11&lt;&gt;"",OFFSET('Player Game Board'!P10,AQ6+14,A11)&amp;" - "&amp;OFFSET('Player Game Board'!Q10,AQ6+14,A11),"")</f>
        <v>3 - 0</v>
      </c>
      <c r="AR11" s="22" t="str">
        <f ca="1">IF(C11&lt;&gt;"",OFFSET('Player Game Board'!P10,AR6+14,A11)&amp;" - "&amp;OFFSET('Player Game Board'!Q10,AR6+14,A11),"")</f>
        <v>0 - 0</v>
      </c>
      <c r="AS11" s="22" t="str">
        <f ca="1">IF(C11&lt;&gt;"",OFFSET('Player Game Board'!P10,AS6+14,A11)&amp;" - "&amp;OFFSET('Player Game Board'!Q10,AS6+14,A11),"")</f>
        <v>3 - 1</v>
      </c>
      <c r="AT11" s="22" t="str">
        <f ca="1">IF(C11&lt;&gt;"",OFFSET('Player Game Board'!P10,AT6+14,A11)&amp;" - "&amp;OFFSET('Player Game Board'!Q10,AT6+14,A11),"")</f>
        <v>1 - 0</v>
      </c>
      <c r="AU11" s="22" t="str">
        <f ca="1">IF(C11&lt;&gt;"",OFFSET('Player Game Board'!P10,AU6+14,A11)&amp;" - "&amp;OFFSET('Player Game Board'!Q10,AU6+14,A11),"")</f>
        <v>0 - 0</v>
      </c>
      <c r="AV11" s="22" t="str">
        <f ca="1">IF(C11&lt;&gt;"",OFFSET('Player Game Board'!P10,AV6+14,A11)&amp;" - "&amp;OFFSET('Player Game Board'!Q10,AV6+14,A11),"")</f>
        <v>2 - 1</v>
      </c>
      <c r="AW11" s="22" t="str">
        <f ca="1">IF(C11&lt;&gt;"",OFFSET('Player Game Board'!P10,AW6+14,A11)&amp;" - "&amp;OFFSET('Player Game Board'!Q10,AW6+14,A11),"")</f>
        <v>2 - 2</v>
      </c>
      <c r="AX11" s="22" t="str">
        <f ca="1">IF(C11&lt;&gt;"",OFFSET('Player Game Board'!P10,AX6+14,A11)&amp;" - "&amp;OFFSET('Player Game Board'!Q10,AX6+14,A11),"")</f>
        <v>1 - 1</v>
      </c>
      <c r="AY11" s="22" t="str">
        <f ca="1">IF(C11&lt;&gt;"",OFFSET('Player Game Board'!P10,AY6+14,A11)&amp;" - "&amp;OFFSET('Player Game Board'!Q10,AY6+14,A11),"")</f>
        <v>1 - 1</v>
      </c>
      <c r="AZ11" s="22" t="str">
        <f ca="1">IF(C11&lt;&gt;"",OFFSET('Player Game Board'!P10,AZ6+14,A11)&amp;" - "&amp;OFFSET('Player Game Board'!Q10,AZ6+14,A11),"")</f>
        <v>1 - 2</v>
      </c>
      <c r="BA11" s="22" t="str">
        <f ca="1">IF(C11&lt;&gt;"",OFFSET('Player Game Board'!P10,BA6+14,A11)&amp;" - "&amp;OFFSET('Player Game Board'!Q10,BA6+14,A11),"")</f>
        <v>1 - 2</v>
      </c>
      <c r="BB11" s="22" t="str">
        <f ca="1">IF(C11&lt;&gt;"",OFFSET('Player Game Board'!P10,BB6+14,A11)&amp;" - "&amp;OFFSET('Player Game Board'!Q10,BB6+14,A11),"")</f>
        <v>1 - 0</v>
      </c>
      <c r="BC11" s="22" t="str">
        <f ca="1">IF(C11&lt;&gt;"",OFFSET('Player Game Board'!P10,BC6+14,A11)&amp;" - "&amp;OFFSET('Player Game Board'!Q10,BC6+14,A11),"")</f>
        <v>2 - 1</v>
      </c>
      <c r="BD11" s="22" t="str">
        <f ca="1">IF(C11&lt;&gt;"",OFFSET('Player Game Board'!P10,BD6+14,A11)&amp;" - "&amp;OFFSET('Player Game Board'!Q10,BD6+14,A11),"")</f>
        <v>1 - 1</v>
      </c>
      <c r="BE11" s="22" t="str">
        <f ca="1">IF(C11&lt;&gt;"",OFFSET('Player Game Board'!P10,BE6+14,A11)&amp;" - "&amp;OFFSET('Player Game Board'!Q10,BE6+14,A11),"")</f>
        <v>0 - 0</v>
      </c>
    </row>
    <row r="12" spans="1:57" ht="14.4" x14ac:dyDescent="0.3">
      <c r="A12" s="133">
        <f t="shared" ref="A12:A19" si="4">A11+10</f>
        <v>20</v>
      </c>
      <c r="B12" s="29">
        <v>3</v>
      </c>
      <c r="C12" s="272" t="str">
        <f>IF('Player Setup'!C8&lt;&gt;"",'Player Setup'!C8,"")</f>
        <v>Mateo (Virksomhet)</v>
      </c>
      <c r="D12" s="22">
        <f t="shared" ca="1" si="3"/>
        <v>1</v>
      </c>
      <c r="E12" s="23">
        <f ca="1">IF(C12&lt;&gt;"",OFFSET('Player Game Board'!N9,G6-1,A12),0)</f>
        <v>1</v>
      </c>
      <c r="F12" s="22">
        <f ca="1">IF(C12&lt;&gt;"",OFFSET('Player Game Board'!N52,G6-1,A12),0)</f>
        <v>0</v>
      </c>
      <c r="G12" s="22" t="str">
        <f ca="1">IF(C12&lt;&gt;"",OFFSET('Player Game Board'!P10,G6-1,A12)&amp;" - "&amp;OFFSET('Player Game Board'!Q10,G6-1,A12),"")</f>
        <v>3 - 0</v>
      </c>
      <c r="H12" s="22" t="str">
        <f ca="1">IF(C12&lt;&gt;"",OFFSET('Player Game Board'!P10,H6-1,A12)&amp;" - "&amp;OFFSET('Player Game Board'!Q10,H6-1,A12),"")</f>
        <v>2 - 0</v>
      </c>
      <c r="I12" s="22" t="str">
        <f ca="1">IF(C12&lt;&gt;"",OFFSET('Player Game Board'!P10,I6-1,A12)&amp;" - "&amp;OFFSET('Player Game Board'!Q10,I6-1,A12),"")</f>
        <v>2 - 1</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0 - 2</v>
      </c>
      <c r="O12" s="22" t="str">
        <f ca="1">IF(C12&lt;&gt;"",OFFSET('Player Game Board'!P10,O6-1,A12)&amp;" - "&amp;OFFSET('Player Game Board'!Q10,O6-1,A12),"")</f>
        <v>0 - 0</v>
      </c>
      <c r="P12" s="22" t="str">
        <f ca="1">IF(C12&lt;&gt;"",OFFSET('Player Game Board'!P10,P6-1,A12)&amp;" - "&amp;OFFSET('Player Game Board'!Q10,P6-1,A12),"")</f>
        <v>1 - 1</v>
      </c>
      <c r="Q12" s="22" t="str">
        <f ca="1">IF(C12&lt;&gt;"",OFFSET('Player Game Board'!P10,Q6-1,A12)&amp;" - "&amp;OFFSET('Player Game Board'!Q10,Q6-1,A12),"")</f>
        <v>2 - 0</v>
      </c>
      <c r="R12" s="22" t="str">
        <f ca="1">IF(C12&lt;&gt;"",OFFSET('Player Game Board'!P10,R6-1,A12)&amp;" - "&amp;OFFSET('Player Game Board'!Q10,R6-1,A12),"")</f>
        <v>2 - 0</v>
      </c>
      <c r="S12" s="22" t="str">
        <f ca="1">IF(C12&lt;&gt;"",OFFSET('Player Game Board'!P10,S6-1,A12)&amp;" - "&amp;OFFSET('Player Game Board'!Q10,S6-1,A12),"")</f>
        <v>0 - 0</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1 - 2</v>
      </c>
      <c r="X12" s="22" t="str">
        <f ca="1">IF(C12&lt;&gt;"",OFFSET('Player Game Board'!P10,X6-1,A12)&amp;" - "&amp;OFFSET('Player Game Board'!Q10,X6-1,A12),"")</f>
        <v>0 - 2</v>
      </c>
      <c r="Y12" s="22" t="str">
        <f ca="1">IF(C12&lt;&gt;"",OFFSET('Player Game Board'!P10,Y6-1,A12)&amp;" - "&amp;OFFSET('Player Game Board'!Q10,Y6-1,A12),"")</f>
        <v>1 - 1</v>
      </c>
      <c r="Z12" s="22" t="str">
        <f ca="1">IF(C12&lt;&gt;"",OFFSET('Player Game Board'!P10,Z6-1,A12)&amp;" - "&amp;OFFSET('Player Game Board'!Q10,Z6-1,A12),"")</f>
        <v>1 - 2</v>
      </c>
      <c r="AA12" s="22" t="str">
        <f ca="1">IF(C12&lt;&gt;"",OFFSET('Player Game Board'!P10,AA6-1,A12)&amp;" - "&amp;OFFSET('Player Game Board'!Q10,AA6-1,A12),"")</f>
        <v>0 - 1</v>
      </c>
      <c r="AB12" s="22" t="str">
        <f ca="1">IF(C12&lt;&gt;"",OFFSET('Player Game Board'!P10,AB6-1,A12)&amp;" - "&amp;OFFSET('Player Game Board'!Q10,AB6-1,A12),"")</f>
        <v>0 - 1</v>
      </c>
      <c r="AC12" s="22" t="str">
        <f ca="1">IF(C12&lt;&gt;"",OFFSET('Player Game Board'!P10,AC6-1,A12)&amp;" - "&amp;OFFSET('Player Game Board'!Q10,AC6-1,A12),"")</f>
        <v>1 - 1</v>
      </c>
      <c r="AD12" s="22" t="str">
        <f ca="1">IF(C12&lt;&gt;"",OFFSET('Player Game Board'!P10,AD6-1,A12)&amp;" - "&amp;OFFSET('Player Game Board'!Q10,AD6-1,A12),"")</f>
        <v>0 - 1</v>
      </c>
      <c r="AE12" s="22" t="str">
        <f ca="1">IF(C12&lt;&gt;"",OFFSET('Player Game Board'!P10,AE6-1,A12)&amp;" - "&amp;OFFSET('Player Game Board'!Q10,AE6-1,A12),"")</f>
        <v>0 - 2</v>
      </c>
      <c r="AF12" s="22" t="str">
        <f ca="1">IF(C12&lt;&gt;"",OFFSET('Player Game Board'!P10,AF6-1,A12)&amp;" - "&amp;OFFSET('Player Game Board'!Q10,AF6-1,A12),"")</f>
        <v>0 - 1</v>
      </c>
      <c r="AG12" s="22" t="str">
        <f ca="1">IF(C12&lt;&gt;"",OFFSET('Player Game Board'!P10,AG6-1,A12)&amp;" - "&amp;OFFSET('Player Game Board'!Q10,AG6-1,A12),"")</f>
        <v>0 - 2</v>
      </c>
      <c r="AH12" s="22" t="str">
        <f ca="1">IF(C12&lt;&gt;"",OFFSET('Player Game Board'!P10,AH6-1,A12)&amp;" - "&amp;OFFSET('Player Game Board'!Q10,AH6-1,A12),"")</f>
        <v>1 - 2</v>
      </c>
      <c r="AI12" s="22" t="str">
        <f ca="1">IF(C12&lt;&gt;"",OFFSET('Player Game Board'!P10,AI6-1,A12)&amp;" - "&amp;OFFSET('Player Game Board'!Q10,AI6-1,A12),"")</f>
        <v>2 - 1</v>
      </c>
      <c r="AJ12" s="22" t="str">
        <f ca="1">IF(C12&lt;&gt;"",OFFSET('Player Game Board'!P10,AJ6-1,A12)&amp;" - "&amp;OFFSET('Player Game Board'!Q10,AJ6-1,A12),"")</f>
        <v>0 - 0</v>
      </c>
      <c r="AK12" s="22" t="str">
        <f ca="1">IF(C12&lt;&gt;"",OFFSET('Player Game Board'!P10,AK6-1,A12)&amp;" - "&amp;OFFSET('Player Game Board'!Q10,AK6-1,A12),"")</f>
        <v>1 - 1</v>
      </c>
      <c r="AL12" s="22" t="str">
        <f ca="1">IF(C12&lt;&gt;"",OFFSET('Player Game Board'!P10,AL6-1,A12)&amp;" - "&amp;OFFSET('Player Game Board'!Q10,AL6-1,A12),"")</f>
        <v>2 - 1</v>
      </c>
      <c r="AM12" s="22" t="str">
        <f ca="1">IF(C12&lt;&gt;"",OFFSET('Player Game Board'!P10,AM6-1,A12)&amp;" - "&amp;OFFSET('Player Game Board'!Q10,AM6-1,A12),"")</f>
        <v>0 - 1</v>
      </c>
      <c r="AN12" s="22" t="str">
        <f ca="1">IF(C12&lt;&gt;"",OFFSET('Player Game Board'!P10,AN6-1,A12)&amp;" - "&amp;OFFSET('Player Game Board'!Q10,AN6-1,A12),"")</f>
        <v>0 - 0</v>
      </c>
      <c r="AO12" s="22" t="str">
        <f ca="1">IF(C12&lt;&gt;"",OFFSET('Player Game Board'!P10,AO6-1,A12)&amp;" - "&amp;OFFSET('Player Game Board'!Q10,AO6-1,A12),"")</f>
        <v>0 - 1</v>
      </c>
      <c r="AP12" s="22" t="str">
        <f ca="1">IF(C12&lt;&gt;"",OFFSET('Player Game Board'!P10,AP6-1,A12)&amp;" - "&amp;OFFSET('Player Game Board'!Q10,AP6-1,A12),"")</f>
        <v>1 - 2</v>
      </c>
      <c r="AQ12" s="22" t="str">
        <f ca="1">IF(C12&lt;&gt;"",OFFSET('Player Game Board'!P10,AQ6+14,A12)&amp;" - "&amp;OFFSET('Player Game Board'!Q10,AQ6+14,A12),"")</f>
        <v xml:space="preserve"> - </v>
      </c>
      <c r="AR12" s="22" t="str">
        <f ca="1">IF(C12&lt;&gt;"",OFFSET('Player Game Board'!P10,AR6+14,A12)&amp;" - "&amp;OFFSET('Player Game Board'!Q10,AR6+14,A12),"")</f>
        <v xml:space="preserve"> - </v>
      </c>
      <c r="AS12" s="22" t="str">
        <f ca="1">IF(C12&lt;&gt;"",OFFSET('Player Game Board'!P10,AS6+14,A12)&amp;" - "&amp;OFFSET('Player Game Board'!Q10,AS6+14,A12),"")</f>
        <v xml:space="preserve"> - </v>
      </c>
      <c r="AT12" s="22" t="str">
        <f ca="1">IF(C12&lt;&gt;"",OFFSET('Player Game Board'!P10,AT6+14,A12)&amp;" - "&amp;OFFSET('Player Game Board'!Q10,AT6+14,A12),"")</f>
        <v xml:space="preserve"> - </v>
      </c>
      <c r="AU12" s="22" t="str">
        <f ca="1">IF(C12&lt;&gt;"",OFFSET('Player Game Board'!P10,AU6+14,A12)&amp;" - "&amp;OFFSET('Player Game Board'!Q10,AU6+14,A12),"")</f>
        <v xml:space="preserve"> - </v>
      </c>
      <c r="AV12" s="22" t="str">
        <f ca="1">IF(C12&lt;&gt;"",OFFSET('Player Game Board'!P10,AV6+14,A12)&amp;" - "&amp;OFFSET('Player Game Board'!Q10,AV6+14,A12),"")</f>
        <v xml:space="preserve"> - </v>
      </c>
      <c r="AW12" s="22" t="str">
        <f ca="1">IF(C12&lt;&gt;"",OFFSET('Player Game Board'!P10,AW6+14,A12)&amp;" - "&amp;OFFSET('Player Game Board'!Q10,AW6+14,A12),"")</f>
        <v xml:space="preserve"> - </v>
      </c>
      <c r="AX12" s="22" t="str">
        <f ca="1">IF(C12&lt;&gt;"",OFFSET('Player Game Board'!P10,AX6+14,A12)&amp;" - "&amp;OFFSET('Player Game Board'!Q10,AX6+14,A12),"")</f>
        <v xml:space="preserve"> - </v>
      </c>
      <c r="AY12" s="22" t="str">
        <f ca="1">IF(C12&lt;&gt;"",OFFSET('Player Game Board'!P10,AY6+14,A12)&amp;" - "&amp;OFFSET('Player Game Board'!Q10,AY6+14,A12),"")</f>
        <v xml:space="preserve"> - </v>
      </c>
      <c r="AZ12" s="22" t="str">
        <f ca="1">IF(C12&lt;&gt;"",OFFSET('Player Game Board'!P10,AZ6+14,A12)&amp;" - "&amp;OFFSET('Player Game Board'!Q10,AZ6+14,A12),"")</f>
        <v xml:space="preserve"> - </v>
      </c>
      <c r="BA12" s="22" t="str">
        <f ca="1">IF(C12&lt;&gt;"",OFFSET('Player Game Board'!P10,BA6+14,A12)&amp;" - "&amp;OFFSET('Player Game Board'!Q10,BA6+14,A12),"")</f>
        <v xml:space="preserve"> - </v>
      </c>
      <c r="BB12" s="22" t="str">
        <f ca="1">IF(C12&lt;&gt;"",OFFSET('Player Game Board'!P10,BB6+14,A12)&amp;" - "&amp;OFFSET('Player Game Board'!Q10,BB6+14,A12),"")</f>
        <v xml:space="preserve"> - </v>
      </c>
      <c r="BC12" s="22" t="str">
        <f ca="1">IF(C12&lt;&gt;"",OFFSET('Player Game Board'!P10,BC6+14,A12)&amp;" - "&amp;OFFSET('Player Game Board'!Q10,BC6+14,A12),"")</f>
        <v xml:space="preserve"> - </v>
      </c>
      <c r="BD12" s="22" t="str">
        <f ca="1">IF(C12&lt;&gt;"",OFFSET('Player Game Board'!P10,BD6+14,A12)&amp;" - "&amp;OFFSET('Player Game Board'!Q10,BD6+14,A12),"")</f>
        <v xml:space="preserve"> - </v>
      </c>
      <c r="BE12" s="22" t="str">
        <f ca="1">IF(C12&lt;&gt;"",OFFSET('Player Game Board'!P10,BE6+14,A12)&amp;" - "&amp;OFFSET('Player Game Board'!Q10,BE6+14,A12),"")</f>
        <v xml:space="preserve"> - </v>
      </c>
    </row>
    <row r="13" spans="1:57" ht="14.4" x14ac:dyDescent="0.3">
      <c r="A13" s="133">
        <f t="shared" si="4"/>
        <v>30</v>
      </c>
      <c r="B13" s="29">
        <v>4</v>
      </c>
      <c r="C13" s="272" t="str">
        <f>IF('Player Setup'!C9&lt;&gt;"",'Player Setup'!C9,"")</f>
        <v>Flemming (IFA)</v>
      </c>
      <c r="D13" s="22">
        <f t="shared" ca="1" si="3"/>
        <v>0</v>
      </c>
      <c r="E13" s="23">
        <f ca="1">IF(C13&lt;&gt;"",OFFSET('Player Game Board'!N9,G6-1,A13),0)</f>
        <v>0</v>
      </c>
      <c r="F13" s="22">
        <f ca="1">IF(C13&lt;&gt;"",OFFSET('Player Game Board'!N52,G6-1,A13),0)</f>
        <v>0</v>
      </c>
      <c r="G13" s="22" t="str">
        <f ca="1">IF(C13&lt;&gt;"",OFFSET('Player Game Board'!P10,G6-1,A13)&amp;" - "&amp;OFFSET('Player Game Board'!Q10,G6-1,A13),"")</f>
        <v>2 - 1</v>
      </c>
      <c r="H13" s="22" t="str">
        <f ca="1">IF(C13&lt;&gt;"",OFFSET('Player Game Board'!P10,H6-1,A13)&amp;" - "&amp;OFFSET('Player Game Board'!Q10,H6-1,A13),"")</f>
        <v>1 - 1</v>
      </c>
      <c r="I13" s="22" t="str">
        <f ca="1">IF(C13&lt;&gt;"",OFFSET('Player Game Board'!P10,I6-1,A13)&amp;" - "&amp;OFFSET('Player Game Board'!Q10,I6-1,A13),"")</f>
        <v>2 - 1</v>
      </c>
      <c r="J13" s="22" t="str">
        <f ca="1">IF(C13&lt;&gt;"",OFFSET('Player Game Board'!P10,J6-1,A13)&amp;" - "&amp;OFFSET('Player Game Board'!Q10,J6-1,A13),"")</f>
        <v>4 - 0</v>
      </c>
      <c r="K13" s="22" t="str">
        <f ca="1">IF(C13&lt;&gt;"",OFFSET('Player Game Board'!P10,K6-1,A13)&amp;" - "&amp;OFFSET('Player Game Board'!Q10,K6-1,A13),"")</f>
        <v>0 - 2</v>
      </c>
      <c r="L13" s="22" t="str">
        <f ca="1">IF(C13&lt;&gt;"",OFFSET('Player Game Board'!P10,L6-1,A13)&amp;" - "&amp;OFFSET('Player Game Board'!Q10,L6-1,A13),"")</f>
        <v>1 - 2</v>
      </c>
      <c r="M13" s="22" t="str">
        <f ca="1">IF(C13&lt;&gt;"",OFFSET('Player Game Board'!P10,M6-1,A13)&amp;" - "&amp;OFFSET('Player Game Board'!Q10,M6-1,A13),"")</f>
        <v>0 - 0</v>
      </c>
      <c r="N13" s="22" t="str">
        <f ca="1">IF(C13&lt;&gt;"",OFFSET('Player Game Board'!P10,N6-1,A13)&amp;" - "&amp;OFFSET('Player Game Board'!Q10,N6-1,A13),"")</f>
        <v>0 - 2</v>
      </c>
      <c r="O13" s="22" t="str">
        <f ca="1">IF(C13&lt;&gt;"",OFFSET('Player Game Board'!P10,O6-1,A13)&amp;" - "&amp;OFFSET('Player Game Board'!Q10,O6-1,A13),"")</f>
        <v>3 - 1</v>
      </c>
      <c r="P13" s="22" t="str">
        <f ca="1">IF(C13&lt;&gt;"",OFFSET('Player Game Board'!P10,P6-1,A13)&amp;" - "&amp;OFFSET('Player Game Board'!Q10,P6-1,A13),"")</f>
        <v>0 - 0</v>
      </c>
      <c r="Q13" s="22" t="str">
        <f ca="1">IF(C13&lt;&gt;"",OFFSET('Player Game Board'!P10,Q6-1,A13)&amp;" - "&amp;OFFSET('Player Game Board'!Q10,Q6-1,A13),"")</f>
        <v>2 - 0</v>
      </c>
      <c r="R13" s="22" t="str">
        <f ca="1">IF(C13&lt;&gt;"",OFFSET('Player Game Board'!P10,R6-1,A13)&amp;" - "&amp;OFFSET('Player Game Board'!Q10,R6-1,A13),"")</f>
        <v>1 - 0</v>
      </c>
      <c r="S13" s="22" t="str">
        <f ca="1">IF(C13&lt;&gt;"",OFFSET('Player Game Board'!P10,S6-1,A13)&amp;" - "&amp;OFFSET('Player Game Board'!Q10,S6-1,A13),"")</f>
        <v>1 - 2</v>
      </c>
      <c r="T13" s="22" t="str">
        <f ca="1">IF(C13&lt;&gt;"",OFFSET('Player Game Board'!P10,T6-1,A13)&amp;" - "&amp;OFFSET('Player Game Board'!Q10,T6-1,A13),"")</f>
        <v>3 - 0</v>
      </c>
      <c r="U13" s="22" t="str">
        <f ca="1">IF(C13&lt;&gt;"",OFFSET('Player Game Board'!P10,U6-1,A13)&amp;" - "&amp;OFFSET('Player Game Board'!Q10,U6-1,A13),"")</f>
        <v>2 - 0</v>
      </c>
      <c r="V13" s="22" t="str">
        <f ca="1">IF(C13&lt;&gt;"",OFFSET('Player Game Board'!P10,V6-1,A13)&amp;" - "&amp;OFFSET('Player Game Board'!Q10,V6-1,A13),"")</f>
        <v>1 - 1</v>
      </c>
      <c r="W13" s="22" t="str">
        <f ca="1">IF(C13&lt;&gt;"",OFFSET('Player Game Board'!P10,W6-1,A13)&amp;" - "&amp;OFFSET('Player Game Board'!Q10,W6-1,A13),"")</f>
        <v>1 - 2</v>
      </c>
      <c r="X13" s="22" t="str">
        <f ca="1">IF(C13&lt;&gt;"",OFFSET('Player Game Board'!P10,X6-1,A13)&amp;" - "&amp;OFFSET('Player Game Board'!Q10,X6-1,A13),"")</f>
        <v>0 - 0</v>
      </c>
      <c r="Y13" s="22" t="str">
        <f ca="1">IF(C13&lt;&gt;"",OFFSET('Player Game Board'!P10,Y6-1,A13)&amp;" - "&amp;OFFSET('Player Game Board'!Q10,Y6-1,A13),"")</f>
        <v>2 - 2</v>
      </c>
      <c r="Z13" s="22" t="str">
        <f ca="1">IF(C13&lt;&gt;"",OFFSET('Player Game Board'!P10,Z6-1,A13)&amp;" - "&amp;OFFSET('Player Game Board'!Q10,Z6-1,A13),"")</f>
        <v>1 - 2</v>
      </c>
      <c r="AA13" s="22" t="str">
        <f ca="1">IF(C13&lt;&gt;"",OFFSET('Player Game Board'!P10,AA6-1,A13)&amp;" - "&amp;OFFSET('Player Game Board'!Q10,AA6-1,A13),"")</f>
        <v>0 - 1</v>
      </c>
      <c r="AB13" s="22" t="str">
        <f ca="1">IF(C13&lt;&gt;"",OFFSET('Player Game Board'!P10,AB6-1,A13)&amp;" - "&amp;OFFSET('Player Game Board'!Q10,AB6-1,A13),"")</f>
        <v>3 - 1</v>
      </c>
      <c r="AC13" s="22" t="str">
        <f ca="1">IF(C13&lt;&gt;"",OFFSET('Player Game Board'!P10,AC6-1,A13)&amp;" - "&amp;OFFSET('Player Game Board'!Q10,AC6-1,A13),"")</f>
        <v>1 - 1</v>
      </c>
      <c r="AD13" s="22" t="str">
        <f ca="1">IF(C13&lt;&gt;"",OFFSET('Player Game Board'!P10,AD6-1,A13)&amp;" - "&amp;OFFSET('Player Game Board'!Q10,AD6-1,A13),"")</f>
        <v>0 - 1</v>
      </c>
      <c r="AE13" s="22" t="str">
        <f ca="1">IF(C13&lt;&gt;"",OFFSET('Player Game Board'!P10,AE6-1,A13)&amp;" - "&amp;OFFSET('Player Game Board'!Q10,AE6-1,A13),"")</f>
        <v>2 - 2</v>
      </c>
      <c r="AF13" s="22" t="str">
        <f ca="1">IF(C13&lt;&gt;"",OFFSET('Player Game Board'!P10,AF6-1,A13)&amp;" - "&amp;OFFSET('Player Game Board'!Q10,AF6-1,A13),"")</f>
        <v>1 - 0</v>
      </c>
      <c r="AG13" s="22" t="str">
        <f ca="1">IF(C13&lt;&gt;"",OFFSET('Player Game Board'!P10,AG6-1,A13)&amp;" - "&amp;OFFSET('Player Game Board'!Q10,AG6-1,A13),"")</f>
        <v>0 - 5</v>
      </c>
      <c r="AH13" s="22" t="str">
        <f ca="1">IF(C13&lt;&gt;"",OFFSET('Player Game Board'!P10,AH6-1,A13)&amp;" - "&amp;OFFSET('Player Game Board'!Q10,AH6-1,A13),"")</f>
        <v>1 - 2</v>
      </c>
      <c r="AI13" s="22" t="str">
        <f ca="1">IF(C13&lt;&gt;"",OFFSET('Player Game Board'!P10,AI6-1,A13)&amp;" - "&amp;OFFSET('Player Game Board'!Q10,AI6-1,A13),"")</f>
        <v>3 - 1</v>
      </c>
      <c r="AJ13" s="22" t="str">
        <f ca="1">IF(C13&lt;&gt;"",OFFSET('Player Game Board'!P10,AJ6-1,A13)&amp;" - "&amp;OFFSET('Player Game Board'!Q10,AJ6-1,A13),"")</f>
        <v>1 - 0</v>
      </c>
      <c r="AK13" s="22" t="str">
        <f ca="1">IF(C13&lt;&gt;"",OFFSET('Player Game Board'!P10,AK6-1,A13)&amp;" - "&amp;OFFSET('Player Game Board'!Q10,AK6-1,A13),"")</f>
        <v>1 - 0</v>
      </c>
      <c r="AL13" s="22" t="str">
        <f ca="1">IF(C13&lt;&gt;"",OFFSET('Player Game Board'!P10,AL6-1,A13)&amp;" - "&amp;OFFSET('Player Game Board'!Q10,AL6-1,A13),"")</f>
        <v>1 - 0</v>
      </c>
      <c r="AM13" s="22" t="str">
        <f ca="1">IF(C13&lt;&gt;"",OFFSET('Player Game Board'!P10,AM6-1,A13)&amp;" - "&amp;OFFSET('Player Game Board'!Q10,AM6-1,A13),"")</f>
        <v>0 - 1</v>
      </c>
      <c r="AN13" s="22" t="str">
        <f ca="1">IF(C13&lt;&gt;"",OFFSET('Player Game Board'!P10,AN6-1,A13)&amp;" - "&amp;OFFSET('Player Game Board'!Q10,AN6-1,A13),"")</f>
        <v>0 - 2</v>
      </c>
      <c r="AO13" s="22" t="str">
        <f ca="1">IF(C13&lt;&gt;"",OFFSET('Player Game Board'!P10,AO6-1,A13)&amp;" - "&amp;OFFSET('Player Game Board'!Q10,AO6-1,A13),"")</f>
        <v>0 - 6</v>
      </c>
      <c r="AP13" s="22" t="str">
        <f ca="1">IF(C13&lt;&gt;"",OFFSET('Player Game Board'!P10,AP6-1,A13)&amp;" - "&amp;OFFSET('Player Game Board'!Q10,AP6-1,A13),"")</f>
        <v>1 - 1</v>
      </c>
      <c r="AQ13" s="22" t="str">
        <f ca="1">IF(C13&lt;&gt;"",OFFSET('Player Game Board'!P10,AQ6+14,A13)&amp;" - "&amp;OFFSET('Player Game Board'!Q10,AQ6+14,A13),"")</f>
        <v xml:space="preserve"> - </v>
      </c>
      <c r="AR13" s="22" t="str">
        <f ca="1">IF(C13&lt;&gt;"",OFFSET('Player Game Board'!P10,AR6+14,A13)&amp;" - "&amp;OFFSET('Player Game Board'!Q10,AR6+14,A13),"")</f>
        <v xml:space="preserve"> - </v>
      </c>
      <c r="AS13" s="22" t="str">
        <f ca="1">IF(C13&lt;&gt;"",OFFSET('Player Game Board'!P10,AS6+14,A13)&amp;" - "&amp;OFFSET('Player Game Board'!Q10,AS6+14,A13),"")</f>
        <v xml:space="preserve"> - </v>
      </c>
      <c r="AT13" s="22" t="str">
        <f ca="1">IF(C13&lt;&gt;"",OFFSET('Player Game Board'!P10,AT6+14,A13)&amp;" - "&amp;OFFSET('Player Game Board'!Q10,AT6+14,A13),"")</f>
        <v xml:space="preserve"> - </v>
      </c>
      <c r="AU13" s="22" t="str">
        <f ca="1">IF(C13&lt;&gt;"",OFFSET('Player Game Board'!P10,AU6+14,A13)&amp;" - "&amp;OFFSET('Player Game Board'!Q10,AU6+14,A13),"")</f>
        <v xml:space="preserve"> - </v>
      </c>
      <c r="AV13" s="22" t="str">
        <f ca="1">IF(C13&lt;&gt;"",OFFSET('Player Game Board'!P10,AV6+14,A13)&amp;" - "&amp;OFFSET('Player Game Board'!Q10,AV6+14,A13),"")</f>
        <v xml:space="preserve"> - </v>
      </c>
      <c r="AW13" s="22" t="str">
        <f ca="1">IF(C13&lt;&gt;"",OFFSET('Player Game Board'!P10,AW6+14,A13)&amp;" - "&amp;OFFSET('Player Game Board'!Q10,AW6+14,A13),"")</f>
        <v xml:space="preserve"> - </v>
      </c>
      <c r="AX13" s="22" t="str">
        <f ca="1">IF(C13&lt;&gt;"",OFFSET('Player Game Board'!P10,AX6+14,A13)&amp;" - "&amp;OFFSET('Player Game Board'!Q10,AX6+14,A13),"")</f>
        <v xml:space="preserve"> - </v>
      </c>
      <c r="AY13" s="22" t="str">
        <f ca="1">IF(C13&lt;&gt;"",OFFSET('Player Game Board'!P10,AY6+14,A13)&amp;" - "&amp;OFFSET('Player Game Board'!Q10,AY6+14,A13),"")</f>
        <v xml:space="preserve"> - </v>
      </c>
      <c r="AZ13" s="22" t="str">
        <f ca="1">IF(C13&lt;&gt;"",OFFSET('Player Game Board'!P10,AZ6+14,A13)&amp;" - "&amp;OFFSET('Player Game Board'!Q10,AZ6+14,A13),"")</f>
        <v xml:space="preserve"> - </v>
      </c>
      <c r="BA13" s="22" t="str">
        <f ca="1">IF(C13&lt;&gt;"",OFFSET('Player Game Board'!P10,BA6+14,A13)&amp;" - "&amp;OFFSET('Player Game Board'!Q10,BA6+14,A13),"")</f>
        <v xml:space="preserve"> - </v>
      </c>
      <c r="BB13" s="22" t="str">
        <f ca="1">IF(C13&lt;&gt;"",OFFSET('Player Game Board'!P10,BB6+14,A13)&amp;" - "&amp;OFFSET('Player Game Board'!Q10,BB6+14,A13),"")</f>
        <v xml:space="preserve"> - </v>
      </c>
      <c r="BC13" s="22" t="str">
        <f ca="1">IF(C13&lt;&gt;"",OFFSET('Player Game Board'!P10,BC6+14,A13)&amp;" - "&amp;OFFSET('Player Game Board'!Q10,BC6+14,A13),"")</f>
        <v xml:space="preserve"> - </v>
      </c>
      <c r="BD13" s="22" t="str">
        <f ca="1">IF(C13&lt;&gt;"",OFFSET('Player Game Board'!P10,BD6+14,A13)&amp;" - "&amp;OFFSET('Player Game Board'!Q10,BD6+14,A13),"")</f>
        <v xml:space="preserve"> - </v>
      </c>
      <c r="BE13" s="22" t="str">
        <f ca="1">IF(C13&lt;&gt;"",OFFSET('Player Game Board'!P10,BE6+14,A13)&amp;" - "&amp;OFFSET('Player Game Board'!Q10,BE6+14,A13),"")</f>
        <v xml:space="preserve"> - </v>
      </c>
    </row>
    <row r="14" spans="1:57" ht="14.4" x14ac:dyDescent="0.3">
      <c r="A14" s="133">
        <f t="shared" si="4"/>
        <v>40</v>
      </c>
      <c r="B14" s="29">
        <v>5</v>
      </c>
      <c r="C14" s="272" t="str">
        <f>IF('Player Setup'!C10&lt;&gt;"",'Player Setup'!C10,"")</f>
        <v>Stian (Virksomhet)</v>
      </c>
      <c r="D14" s="22">
        <f t="shared" ca="1" si="3"/>
        <v>0</v>
      </c>
      <c r="E14" s="23">
        <f ca="1">IF(C14&lt;&gt;"",OFFSET('Player Game Board'!N9,G6-1,A14),0)</f>
        <v>0</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1 - 1</v>
      </c>
      <c r="J14" s="22" t="str">
        <f ca="1">IF(C14&lt;&gt;"",OFFSET('Player Game Board'!P10,J6-1,A14)&amp;" - "&amp;OFFSET('Player Game Board'!Q10,J6-1,A14),"")</f>
        <v>3 - 0</v>
      </c>
      <c r="K14" s="22" t="str">
        <f ca="1">IF(C14&lt;&gt;"",OFFSET('Player Game Board'!P10,K6-1,A14)&amp;" - "&amp;OFFSET('Player Game Board'!Q10,K6-1,A14),"")</f>
        <v>2 - 2</v>
      </c>
      <c r="L14" s="22" t="str">
        <f ca="1">IF(C14&lt;&gt;"",OFFSET('Player Game Board'!P10,L6-1,A14)&amp;" - "&amp;OFFSET('Player Game Board'!Q10,L6-1,A14),"")</f>
        <v>1 - 2</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1 - 0</v>
      </c>
      <c r="P14" s="22" t="str">
        <f ca="1">IF(C14&lt;&gt;"",OFFSET('Player Game Board'!P10,P6-1,A14)&amp;" - "&amp;OFFSET('Player Game Board'!Q10,P6-1,A14),"")</f>
        <v>1 - 1</v>
      </c>
      <c r="Q14" s="22" t="str">
        <f ca="1">IF(C14&lt;&gt;"",OFFSET('Player Game Board'!P10,Q6-1,A14)&amp;" - "&amp;OFFSET('Player Game Board'!Q10,Q6-1,A14),"")</f>
        <v>2 - 0</v>
      </c>
      <c r="R14" s="22" t="str">
        <f ca="1">IF(C14&lt;&gt;"",OFFSET('Player Game Board'!P10,R6-1,A14)&amp;" - "&amp;OFFSET('Player Game Board'!Q10,R6-1,A14),"")</f>
        <v>3 - 1</v>
      </c>
      <c r="S14" s="22" t="str">
        <f ca="1">IF(C14&lt;&gt;"",OFFSET('Player Game Board'!P10,S6-1,A14)&amp;" - "&amp;OFFSET('Player Game Board'!Q10,S6-1,A14),"")</f>
        <v>3 - 2</v>
      </c>
      <c r="T14" s="22" t="str">
        <f ca="1">IF(C14&lt;&gt;"",OFFSET('Player Game Board'!P10,T6-1,A14)&amp;" - "&amp;OFFSET('Player Game Board'!Q10,T6-1,A14),"")</f>
        <v>4 - 0</v>
      </c>
      <c r="U14" s="22" t="str">
        <f ca="1">IF(C14&lt;&gt;"",OFFSET('Player Game Board'!P10,U6-1,A14)&amp;" - "&amp;OFFSET('Player Game Board'!Q10,U6-1,A14),"")</f>
        <v>2 - 0</v>
      </c>
      <c r="V14" s="22" t="str">
        <f ca="1">IF(C14&lt;&gt;"",OFFSET('Player Game Board'!P10,V6-1,A14)&amp;" - "&amp;OFFSET('Player Game Board'!Q10,V6-1,A14),"")</f>
        <v>1 - 2</v>
      </c>
      <c r="W14" s="22" t="str">
        <f ca="1">IF(C14&lt;&gt;"",OFFSET('Player Game Board'!P10,W6-1,A14)&amp;" - "&amp;OFFSET('Player Game Board'!Q10,W6-1,A14),"")</f>
        <v>1 - 1</v>
      </c>
      <c r="X14" s="22" t="str">
        <f ca="1">IF(C14&lt;&gt;"",OFFSET('Player Game Board'!P10,X6-1,A14)&amp;" - "&amp;OFFSET('Player Game Board'!Q10,X6-1,A14),"")</f>
        <v>0 - 2</v>
      </c>
      <c r="Y14" s="22" t="str">
        <f ca="1">IF(C14&lt;&gt;"",OFFSET('Player Game Board'!P10,Y6-1,A14)&amp;" - "&amp;OFFSET('Player Game Board'!Q10,Y6-1,A14),"")</f>
        <v>0 - 3</v>
      </c>
      <c r="Z14" s="22" t="str">
        <f ca="1">IF(C14&lt;&gt;"",OFFSET('Player Game Board'!P10,Z6-1,A14)&amp;" - "&amp;OFFSET('Player Game Board'!Q10,Z6-1,A14),"")</f>
        <v>2 - 3</v>
      </c>
      <c r="AA14" s="22" t="str">
        <f ca="1">IF(C14&lt;&gt;"",OFFSET('Player Game Board'!P10,AA6-1,A14)&amp;" - "&amp;OFFSET('Player Game Board'!Q10,AA6-1,A14),"")</f>
        <v>1 - 2</v>
      </c>
      <c r="AB14" s="22" t="str">
        <f ca="1">IF(C14&lt;&gt;"",OFFSET('Player Game Board'!P10,AB6-1,A14)&amp;" - "&amp;OFFSET('Player Game Board'!Q10,AB6-1,A14),"")</f>
        <v>4 - 1</v>
      </c>
      <c r="AC14" s="22" t="str">
        <f ca="1">IF(C14&lt;&gt;"",OFFSET('Player Game Board'!P10,AC6-1,A14)&amp;" - "&amp;OFFSET('Player Game Board'!Q10,AC6-1,A14),"")</f>
        <v>2 - 2</v>
      </c>
      <c r="AD14" s="22" t="str">
        <f ca="1">IF(C14&lt;&gt;"",OFFSET('Player Game Board'!P10,AD6-1,A14)&amp;" - "&amp;OFFSET('Player Game Board'!Q10,AD6-1,A14),"")</f>
        <v>1 - 1</v>
      </c>
      <c r="AE14" s="22" t="str">
        <f ca="1">IF(C14&lt;&gt;"",OFFSET('Player Game Board'!P10,AE6-1,A14)&amp;" - "&amp;OFFSET('Player Game Board'!Q10,AE6-1,A14),"")</f>
        <v>1 - 3</v>
      </c>
      <c r="AF14" s="22" t="str">
        <f ca="1">IF(C14&lt;&gt;"",OFFSET('Player Game Board'!P10,AF6-1,A14)&amp;" - "&amp;OFFSET('Player Game Board'!Q10,AF6-1,A14),"")</f>
        <v>2 - 1</v>
      </c>
      <c r="AG14" s="22" t="str">
        <f ca="1">IF(C14&lt;&gt;"",OFFSET('Player Game Board'!P10,AG6-1,A14)&amp;" - "&amp;OFFSET('Player Game Board'!Q10,AG6-1,A14),"")</f>
        <v>0 - 2</v>
      </c>
      <c r="AH14" s="22" t="str">
        <f ca="1">IF(C14&lt;&gt;"",OFFSET('Player Game Board'!P10,AH6-1,A14)&amp;" - "&amp;OFFSET('Player Game Board'!Q10,AH6-1,A14),"")</f>
        <v>1 - 1</v>
      </c>
      <c r="AI14" s="22" t="str">
        <f ca="1">IF(C14&lt;&gt;"",OFFSET('Player Game Board'!P10,AI6-1,A14)&amp;" - "&amp;OFFSET('Player Game Board'!Q10,AI6-1,A14),"")</f>
        <v>2 - 0</v>
      </c>
      <c r="AJ14" s="22" t="str">
        <f ca="1">IF(C14&lt;&gt;"",OFFSET('Player Game Board'!P10,AJ6-1,A14)&amp;" - "&amp;OFFSET('Player Game Board'!Q10,AJ6-1,A14),"")</f>
        <v>2 - 1</v>
      </c>
      <c r="AK14" s="22" t="str">
        <f ca="1">IF(C14&lt;&gt;"",OFFSET('Player Game Board'!P10,AK6-1,A14)&amp;" - "&amp;OFFSET('Player Game Board'!Q10,AK6-1,A14),"")</f>
        <v>1 - 0</v>
      </c>
      <c r="AL14" s="22" t="str">
        <f ca="1">IF(C14&lt;&gt;"",OFFSET('Player Game Board'!P10,AL6-1,A14)&amp;" - "&amp;OFFSET('Player Game Board'!Q10,AL6-1,A14),"")</f>
        <v>3 - 0</v>
      </c>
      <c r="AM14" s="22" t="str">
        <f ca="1">IF(C14&lt;&gt;"",OFFSET('Player Game Board'!P10,AM6-1,A14)&amp;" - "&amp;OFFSET('Player Game Board'!Q10,AM6-1,A14),"")</f>
        <v>0 - 0</v>
      </c>
      <c r="AN14" s="22" t="str">
        <f ca="1">IF(C14&lt;&gt;"",OFFSET('Player Game Board'!P10,AN6-1,A14)&amp;" - "&amp;OFFSET('Player Game Board'!Q10,AN6-1,A14),"")</f>
        <v>1 - 4</v>
      </c>
      <c r="AO14" s="22" t="str">
        <f ca="1">IF(C14&lt;&gt;"",OFFSET('Player Game Board'!P10,AO6-1,A14)&amp;" - "&amp;OFFSET('Player Game Board'!Q10,AO6-1,A14),"")</f>
        <v>0 - 4</v>
      </c>
      <c r="AP14" s="22" t="str">
        <f ca="1">IF(C14&lt;&gt;"",OFFSET('Player Game Board'!P10,AP6-1,A14)&amp;" - "&amp;OFFSET('Player Game Board'!Q10,AP6-1,A14),"")</f>
        <v>1 - 2</v>
      </c>
      <c r="AQ14" s="22" t="str">
        <f ca="1">IF(C14&lt;&gt;"",OFFSET('Player Game Board'!P10,AQ6+14,A14)&amp;" - "&amp;OFFSET('Player Game Board'!Q10,AQ6+14,A14),"")</f>
        <v xml:space="preserve"> - </v>
      </c>
      <c r="AR14" s="22" t="str">
        <f ca="1">IF(C14&lt;&gt;"",OFFSET('Player Game Board'!P10,AR6+14,A14)&amp;" - "&amp;OFFSET('Player Game Board'!Q10,AR6+14,A14),"")</f>
        <v xml:space="preserve"> - </v>
      </c>
      <c r="AS14" s="22" t="str">
        <f ca="1">IF(C14&lt;&gt;"",OFFSET('Player Game Board'!P10,AS6+14,A14)&amp;" - "&amp;OFFSET('Player Game Board'!Q10,AS6+14,A14),"")</f>
        <v xml:space="preserve"> - </v>
      </c>
      <c r="AT14" s="22" t="str">
        <f ca="1">IF(C14&lt;&gt;"",OFFSET('Player Game Board'!P10,AT6+14,A14)&amp;" - "&amp;OFFSET('Player Game Board'!Q10,AT6+14,A14),"")</f>
        <v xml:space="preserve"> - </v>
      </c>
      <c r="AU14" s="22" t="str">
        <f ca="1">IF(C14&lt;&gt;"",OFFSET('Player Game Board'!P10,AU6+14,A14)&amp;" - "&amp;OFFSET('Player Game Board'!Q10,AU6+14,A14),"")</f>
        <v xml:space="preserve"> - </v>
      </c>
      <c r="AV14" s="22" t="str">
        <f ca="1">IF(C14&lt;&gt;"",OFFSET('Player Game Board'!P10,AV6+14,A14)&amp;" - "&amp;OFFSET('Player Game Board'!Q10,AV6+14,A14),"")</f>
        <v xml:space="preserve"> - </v>
      </c>
      <c r="AW14" s="22" t="str">
        <f ca="1">IF(C14&lt;&gt;"",OFFSET('Player Game Board'!P10,AW6+14,A14)&amp;" - "&amp;OFFSET('Player Game Board'!Q10,AW6+14,A14),"")</f>
        <v xml:space="preserve"> - </v>
      </c>
      <c r="AX14" s="22" t="str">
        <f ca="1">IF(C14&lt;&gt;"",OFFSET('Player Game Board'!P10,AX6+14,A14)&amp;" - "&amp;OFFSET('Player Game Board'!Q10,AX6+14,A14),"")</f>
        <v xml:space="preserve"> - </v>
      </c>
      <c r="AY14" s="22" t="str">
        <f ca="1">IF(C14&lt;&gt;"",OFFSET('Player Game Board'!P10,AY6+14,A14)&amp;" - "&amp;OFFSET('Player Game Board'!Q10,AY6+14,A14),"")</f>
        <v xml:space="preserve"> - </v>
      </c>
      <c r="AZ14" s="22" t="str">
        <f ca="1">IF(C14&lt;&gt;"",OFFSET('Player Game Board'!P10,AZ6+14,A14)&amp;" - "&amp;OFFSET('Player Game Board'!Q10,AZ6+14,A14),"")</f>
        <v xml:space="preserve"> - </v>
      </c>
      <c r="BA14" s="22" t="str">
        <f ca="1">IF(C14&lt;&gt;"",OFFSET('Player Game Board'!P10,BA6+14,A14)&amp;" - "&amp;OFFSET('Player Game Board'!Q10,BA6+14,A14),"")</f>
        <v xml:space="preserve"> - </v>
      </c>
      <c r="BB14" s="22" t="str">
        <f ca="1">IF(C14&lt;&gt;"",OFFSET('Player Game Board'!P10,BB6+14,A14)&amp;" - "&amp;OFFSET('Player Game Board'!Q10,BB6+14,A14),"")</f>
        <v xml:space="preserve"> - </v>
      </c>
      <c r="BC14" s="22" t="str">
        <f ca="1">IF(C14&lt;&gt;"",OFFSET('Player Game Board'!P10,BC6+14,A14)&amp;" - "&amp;OFFSET('Player Game Board'!Q10,BC6+14,A14),"")</f>
        <v xml:space="preserve"> - </v>
      </c>
      <c r="BD14" s="22" t="str">
        <f ca="1">IF(C14&lt;&gt;"",OFFSET('Player Game Board'!P10,BD6+14,A14)&amp;" - "&amp;OFFSET('Player Game Board'!Q10,BD6+14,A14),"")</f>
        <v xml:space="preserve"> - </v>
      </c>
      <c r="BE14" s="22" t="str">
        <f ca="1">IF(C14&lt;&gt;"",OFFSET('Player Game Board'!P10,BE6+14,A14)&amp;" - "&amp;OFFSET('Player Game Board'!Q10,BE6+14,A14),"")</f>
        <v xml:space="preserve"> - </v>
      </c>
    </row>
    <row r="15" spans="1:57" ht="14.4" x14ac:dyDescent="0.3">
      <c r="A15" s="133">
        <f t="shared" si="4"/>
        <v>50</v>
      </c>
      <c r="B15" s="29">
        <v>6</v>
      </c>
      <c r="C15" s="272" t="str">
        <f>IF('Player Setup'!C11&lt;&gt;"",'Player Setup'!C11,"")</f>
        <v>Hanne Maren (TRAC)</v>
      </c>
      <c r="D15" s="22">
        <f t="shared" ca="1" si="3"/>
        <v>1</v>
      </c>
      <c r="E15" s="23">
        <f ca="1">IF(C15&lt;&gt;"",OFFSET('Player Game Board'!N9,G6-1,A15),0)</f>
        <v>1</v>
      </c>
      <c r="F15" s="22">
        <f ca="1">IF(C15&lt;&gt;"",OFFSET('Player Game Board'!N52,G6-1,A15),0)</f>
        <v>0</v>
      </c>
      <c r="G15" s="22" t="str">
        <f ca="1">IF(C15&lt;&gt;"",OFFSET('Player Game Board'!P10,G6-1,A15)&amp;" - "&amp;OFFSET('Player Game Board'!Q10,G6-1,A15),"")</f>
        <v>3 - 1</v>
      </c>
      <c r="H15" s="22" t="str">
        <f ca="1">IF(C15&lt;&gt;"",OFFSET('Player Game Board'!P10,H6-1,A15)&amp;" - "&amp;OFFSET('Player Game Board'!Q10,H6-1,A15),"")</f>
        <v>1 - 2</v>
      </c>
      <c r="I15" s="22" t="str">
        <f ca="1">IF(C15&lt;&gt;"",OFFSET('Player Game Board'!P10,I6-1,A15)&amp;" - "&amp;OFFSET('Player Game Board'!Q10,I6-1,A15),"")</f>
        <v>2 - 1</v>
      </c>
      <c r="J15" s="22" t="str">
        <f ca="1">IF(C15&lt;&gt;"",OFFSET('Player Game Board'!P10,J6-1,A15)&amp;" - "&amp;OFFSET('Player Game Board'!Q10,J6-1,A15),"")</f>
        <v>3 - 0</v>
      </c>
      <c r="K15" s="22" t="str">
        <f ca="1">IF(C15&lt;&gt;"",OFFSET('Player Game Board'!P10,K6-1,A15)&amp;" - "&amp;OFFSET('Player Game Board'!Q10,K6-1,A15),"")</f>
        <v>1 - 3</v>
      </c>
      <c r="L15" s="22" t="str">
        <f ca="1">IF(C15&lt;&gt;"",OFFSET('Player Game Board'!P10,L6-1,A15)&amp;" - "&amp;OFFSET('Player Game Board'!Q10,L6-1,A15),"")</f>
        <v>0 - 2</v>
      </c>
      <c r="M15" s="22" t="str">
        <f ca="1">IF(C15&lt;&gt;"",OFFSET('Player Game Board'!P10,M6-1,A15)&amp;" - "&amp;OFFSET('Player Game Board'!Q10,M6-1,A15),"")</f>
        <v>1 - 2</v>
      </c>
      <c r="N15" s="22" t="str">
        <f ca="1">IF(C15&lt;&gt;"",OFFSET('Player Game Board'!P10,N6-1,A15)&amp;" - "&amp;OFFSET('Player Game Board'!Q10,N6-1,A15),"")</f>
        <v>0 - 3</v>
      </c>
      <c r="O15" s="22" t="str">
        <f ca="1">IF(C15&lt;&gt;"",OFFSET('Player Game Board'!P10,O6-1,A15)&amp;" - "&amp;OFFSET('Player Game Board'!Q10,O6-1,A15),"")</f>
        <v>3 - 1</v>
      </c>
      <c r="P15" s="22" t="str">
        <f ca="1">IF(C15&lt;&gt;"",OFFSET('Player Game Board'!P10,P6-1,A15)&amp;" - "&amp;OFFSET('Player Game Board'!Q10,P6-1,A15),"")</f>
        <v>1 - 2</v>
      </c>
      <c r="Q15" s="22" t="str">
        <f ca="1">IF(C15&lt;&gt;"",OFFSET('Player Game Board'!P10,Q6-1,A15)&amp;" - "&amp;OFFSET('Player Game Board'!Q10,Q6-1,A15),"")</f>
        <v>2 - 1</v>
      </c>
      <c r="R15" s="22" t="str">
        <f ca="1">IF(C15&lt;&gt;"",OFFSET('Player Game Board'!P10,R6-1,A15)&amp;" - "&amp;OFFSET('Player Game Board'!Q10,R6-1,A15),"")</f>
        <v>3 - 2</v>
      </c>
      <c r="S15" s="22" t="str">
        <f ca="1">IF(C15&lt;&gt;"",OFFSET('Player Game Board'!P10,S6-1,A15)&amp;" - "&amp;OFFSET('Player Game Board'!Q10,S6-1,A15),"")</f>
        <v>1 - 1</v>
      </c>
      <c r="T15" s="22" t="str">
        <f ca="1">IF(C15&lt;&gt;"",OFFSET('Player Game Board'!P10,T6-1,A15)&amp;" - "&amp;OFFSET('Player Game Board'!Q10,T6-1,A15),"")</f>
        <v>2 - 0</v>
      </c>
      <c r="U15" s="22" t="str">
        <f ca="1">IF(C15&lt;&gt;"",OFFSET('Player Game Board'!P10,U6-1,A15)&amp;" - "&amp;OFFSET('Player Game Board'!Q10,U6-1,A15),"")</f>
        <v>2 - 0</v>
      </c>
      <c r="V15" s="22" t="str">
        <f ca="1">IF(C15&lt;&gt;"",OFFSET('Player Game Board'!P10,V6-1,A15)&amp;" - "&amp;OFFSET('Player Game Board'!Q10,V6-1,A15),"")</f>
        <v>1 - 1</v>
      </c>
      <c r="W15" s="22" t="str">
        <f ca="1">IF(C15&lt;&gt;"",OFFSET('Player Game Board'!P10,W6-1,A15)&amp;" - "&amp;OFFSET('Player Game Board'!Q10,W6-1,A15),"")</f>
        <v>1 - 2</v>
      </c>
      <c r="X15" s="22" t="str">
        <f ca="1">IF(C15&lt;&gt;"",OFFSET('Player Game Board'!P10,X6-1,A15)&amp;" - "&amp;OFFSET('Player Game Board'!Q10,X6-1,A15),"")</f>
        <v>1 - 2</v>
      </c>
      <c r="Y15" s="22" t="str">
        <f ca="1">IF(C15&lt;&gt;"",OFFSET('Player Game Board'!P10,Y6-1,A15)&amp;" - "&amp;OFFSET('Player Game Board'!Q10,Y6-1,A15),"")</f>
        <v>1 - 1</v>
      </c>
      <c r="Z15" s="22" t="str">
        <f ca="1">IF(C15&lt;&gt;"",OFFSET('Player Game Board'!P10,Z6-1,A15)&amp;" - "&amp;OFFSET('Player Game Board'!Q10,Z6-1,A15),"")</f>
        <v>2 - 1</v>
      </c>
      <c r="AA15" s="22" t="str">
        <f ca="1">IF(C15&lt;&gt;"",OFFSET('Player Game Board'!P10,AA6-1,A15)&amp;" - "&amp;OFFSET('Player Game Board'!Q10,AA6-1,A15),"")</f>
        <v>0 - 2</v>
      </c>
      <c r="AB15" s="22" t="str">
        <f ca="1">IF(C15&lt;&gt;"",OFFSET('Player Game Board'!P10,AB6-1,A15)&amp;" - "&amp;OFFSET('Player Game Board'!Q10,AB6-1,A15),"")</f>
        <v>2 - 0</v>
      </c>
      <c r="AC15" s="22" t="str">
        <f ca="1">IF(C15&lt;&gt;"",OFFSET('Player Game Board'!P10,AC6-1,A15)&amp;" - "&amp;OFFSET('Player Game Board'!Q10,AC6-1,A15),"")</f>
        <v>1 - 3</v>
      </c>
      <c r="AD15" s="22" t="str">
        <f ca="1">IF(C15&lt;&gt;"",OFFSET('Player Game Board'!P10,AD6-1,A15)&amp;" - "&amp;OFFSET('Player Game Board'!Q10,AD6-1,A15),"")</f>
        <v>1 - 3</v>
      </c>
      <c r="AE15" s="22" t="str">
        <f ca="1">IF(C15&lt;&gt;"",OFFSET('Player Game Board'!P10,AE6-1,A15)&amp;" - "&amp;OFFSET('Player Game Board'!Q10,AE6-1,A15),"")</f>
        <v>1 - 2</v>
      </c>
      <c r="AF15" s="22" t="str">
        <f ca="1">IF(C15&lt;&gt;"",OFFSET('Player Game Board'!P10,AF6-1,A15)&amp;" - "&amp;OFFSET('Player Game Board'!Q10,AF6-1,A15),"")</f>
        <v>2 - 1</v>
      </c>
      <c r="AG15" s="22" t="str">
        <f ca="1">IF(C15&lt;&gt;"",OFFSET('Player Game Board'!P10,AG6-1,A15)&amp;" - "&amp;OFFSET('Player Game Board'!Q10,AG6-1,A15),"")</f>
        <v>0 - 3</v>
      </c>
      <c r="AH15" s="22" t="str">
        <f ca="1">IF(C15&lt;&gt;"",OFFSET('Player Game Board'!P10,AH6-1,A15)&amp;" - "&amp;OFFSET('Player Game Board'!Q10,AH6-1,A15),"")</f>
        <v>1 - 2</v>
      </c>
      <c r="AI15" s="22" t="str">
        <f ca="1">IF(C15&lt;&gt;"",OFFSET('Player Game Board'!P10,AI6-1,A15)&amp;" - "&amp;OFFSET('Player Game Board'!Q10,AI6-1,A15),"")</f>
        <v>3 - 0</v>
      </c>
      <c r="AJ15" s="22" t="str">
        <f ca="1">IF(C15&lt;&gt;"",OFFSET('Player Game Board'!P10,AJ6-1,A15)&amp;" - "&amp;OFFSET('Player Game Board'!Q10,AJ6-1,A15),"")</f>
        <v>2 - 1</v>
      </c>
      <c r="AK15" s="22" t="str">
        <f ca="1">IF(C15&lt;&gt;"",OFFSET('Player Game Board'!P10,AK6-1,A15)&amp;" - "&amp;OFFSET('Player Game Board'!Q10,AK6-1,A15),"")</f>
        <v>1 - 1</v>
      </c>
      <c r="AL15" s="22" t="str">
        <f ca="1">IF(C15&lt;&gt;"",OFFSET('Player Game Board'!P10,AL6-1,A15)&amp;" - "&amp;OFFSET('Player Game Board'!Q10,AL6-1,A15),"")</f>
        <v>2 - 1</v>
      </c>
      <c r="AM15" s="22" t="str">
        <f ca="1">IF(C15&lt;&gt;"",OFFSET('Player Game Board'!P10,AM6-1,A15)&amp;" - "&amp;OFFSET('Player Game Board'!Q10,AM6-1,A15),"")</f>
        <v>1 - 1</v>
      </c>
      <c r="AN15" s="22" t="str">
        <f ca="1">IF(C15&lt;&gt;"",OFFSET('Player Game Board'!P10,AN6-1,A15)&amp;" - "&amp;OFFSET('Player Game Board'!Q10,AN6-1,A15),"")</f>
        <v>1 - 3</v>
      </c>
      <c r="AO15" s="22" t="str">
        <f ca="1">IF(C15&lt;&gt;"",OFFSET('Player Game Board'!P10,AO6-1,A15)&amp;" - "&amp;OFFSET('Player Game Board'!Q10,AO6-1,A15),"")</f>
        <v>0 - 4</v>
      </c>
      <c r="AP15" s="22" t="str">
        <f ca="1">IF(C15&lt;&gt;"",OFFSET('Player Game Board'!P10,AP6-1,A15)&amp;" - "&amp;OFFSET('Player Game Board'!Q10,AP6-1,A15),"")</f>
        <v>1 - 1</v>
      </c>
      <c r="AQ15" s="22" t="str">
        <f ca="1">IF(C15&lt;&gt;"",OFFSET('Player Game Board'!P10,AQ6+14,A15)&amp;" - "&amp;OFFSET('Player Game Board'!Q10,AQ6+14,A15),"")</f>
        <v xml:space="preserve"> - </v>
      </c>
      <c r="AR15" s="22" t="str">
        <f ca="1">IF(C15&lt;&gt;"",OFFSET('Player Game Board'!P10,AR6+14,A15)&amp;" - "&amp;OFFSET('Player Game Board'!Q10,AR6+14,A15),"")</f>
        <v xml:space="preserve"> - </v>
      </c>
      <c r="AS15" s="22" t="str">
        <f ca="1">IF(C15&lt;&gt;"",OFFSET('Player Game Board'!P10,AS6+14,A15)&amp;" - "&amp;OFFSET('Player Game Board'!Q10,AS6+14,A15),"")</f>
        <v xml:space="preserve"> - </v>
      </c>
      <c r="AT15" s="22" t="str">
        <f ca="1">IF(C15&lt;&gt;"",OFFSET('Player Game Board'!P10,AT6+14,A15)&amp;" - "&amp;OFFSET('Player Game Board'!Q10,AT6+14,A15),"")</f>
        <v xml:space="preserve"> - </v>
      </c>
      <c r="AU15" s="22" t="str">
        <f ca="1">IF(C15&lt;&gt;"",OFFSET('Player Game Board'!P10,AU6+14,A15)&amp;" - "&amp;OFFSET('Player Game Board'!Q10,AU6+14,A15),"")</f>
        <v xml:space="preserve"> - </v>
      </c>
      <c r="AV15" s="22" t="str">
        <f ca="1">IF(C15&lt;&gt;"",OFFSET('Player Game Board'!P10,AV6+14,A15)&amp;" - "&amp;OFFSET('Player Game Board'!Q10,AV6+14,A15),"")</f>
        <v xml:space="preserve"> - </v>
      </c>
      <c r="AW15" s="22" t="str">
        <f ca="1">IF(C15&lt;&gt;"",OFFSET('Player Game Board'!P10,AW6+14,A15)&amp;" - "&amp;OFFSET('Player Game Board'!Q10,AW6+14,A15),"")</f>
        <v xml:space="preserve"> - </v>
      </c>
      <c r="AX15" s="22" t="str">
        <f ca="1">IF(C15&lt;&gt;"",OFFSET('Player Game Board'!P10,AX6+14,A15)&amp;" - "&amp;OFFSET('Player Game Board'!Q10,AX6+14,A15),"")</f>
        <v xml:space="preserve"> - </v>
      </c>
      <c r="AY15" s="22" t="str">
        <f ca="1">IF(C15&lt;&gt;"",OFFSET('Player Game Board'!P10,AY6+14,A15)&amp;" - "&amp;OFFSET('Player Game Board'!Q10,AY6+14,A15),"")</f>
        <v xml:space="preserve"> - </v>
      </c>
      <c r="AZ15" s="22" t="str">
        <f ca="1">IF(C15&lt;&gt;"",OFFSET('Player Game Board'!P10,AZ6+14,A15)&amp;" - "&amp;OFFSET('Player Game Board'!Q10,AZ6+14,A15),"")</f>
        <v xml:space="preserve"> - </v>
      </c>
      <c r="BA15" s="22" t="str">
        <f ca="1">IF(C15&lt;&gt;"",OFFSET('Player Game Board'!P10,BA6+14,A15)&amp;" - "&amp;OFFSET('Player Game Board'!Q10,BA6+14,A15),"")</f>
        <v xml:space="preserve"> - </v>
      </c>
      <c r="BB15" s="22" t="str">
        <f ca="1">IF(C15&lt;&gt;"",OFFSET('Player Game Board'!P10,BB6+14,A15)&amp;" - "&amp;OFFSET('Player Game Board'!Q10,BB6+14,A15),"")</f>
        <v xml:space="preserve"> - </v>
      </c>
      <c r="BC15" s="22" t="str">
        <f ca="1">IF(C15&lt;&gt;"",OFFSET('Player Game Board'!P10,BC6+14,A15)&amp;" - "&amp;OFFSET('Player Game Board'!Q10,BC6+14,A15),"")</f>
        <v xml:space="preserve"> - </v>
      </c>
      <c r="BD15" s="22" t="str">
        <f ca="1">IF(C15&lt;&gt;"",OFFSET('Player Game Board'!P10,BD6+14,A15)&amp;" - "&amp;OFFSET('Player Game Board'!Q10,BD6+14,A15),"")</f>
        <v xml:space="preserve"> - </v>
      </c>
      <c r="BE15" s="22" t="str">
        <f ca="1">IF(C15&lt;&gt;"",OFFSET('Player Game Board'!P10,BE6+14,A15)&amp;" - "&amp;OFFSET('Player Game Board'!Q10,BE6+14,A15),"")</f>
        <v xml:space="preserve"> - </v>
      </c>
    </row>
    <row r="16" spans="1:57" ht="14.4" x14ac:dyDescent="0.3">
      <c r="A16" s="133">
        <f t="shared" si="4"/>
        <v>60</v>
      </c>
      <c r="B16" s="29">
        <v>7</v>
      </c>
      <c r="C16" s="272" t="str">
        <f>IF('Player Setup'!C12&lt;&gt;"",'Player Setup'!C12,"")</f>
        <v/>
      </c>
      <c r="D16" s="22">
        <f t="shared" ca="1" si="3"/>
        <v>0</v>
      </c>
      <c r="E16" s="23">
        <f ca="1">IF(C16&lt;&gt;"",OFFSET('Player Game Board'!N9,G6-1,A16),0)</f>
        <v>0</v>
      </c>
      <c r="F16" s="22">
        <f ca="1">IF(C16&lt;&gt;"",OFFSET('Player Game Board'!N52,G6-1,A16),0)</f>
        <v>0</v>
      </c>
      <c r="G16" s="22" t="str">
        <f ca="1">IF(C16&lt;&gt;"",OFFSET('Player Game Board'!P10,G6-1,A16)&amp;" - "&amp;OFFSET('Player Game Board'!Q10,G6-1,A16),"")</f>
        <v/>
      </c>
      <c r="H16" s="22" t="str">
        <f ca="1">IF(C16&lt;&gt;"",OFFSET('Player Game Board'!P10,H6-1,A16)&amp;" - "&amp;OFFSET('Player Game Board'!Q10,H6-1,A16),"")</f>
        <v/>
      </c>
      <c r="I16" s="22" t="str">
        <f ca="1">IF(C16&lt;&gt;"",OFFSET('Player Game Board'!P10,I6-1,A16)&amp;" - "&amp;OFFSET('Player Game Board'!Q10,I6-1,A16),"")</f>
        <v/>
      </c>
      <c r="J16" s="22" t="str">
        <f ca="1">IF(C16&lt;&gt;"",OFFSET('Player Game Board'!P10,J6-1,A16)&amp;" - "&amp;OFFSET('Player Game Board'!Q10,J6-1,A16),"")</f>
        <v/>
      </c>
      <c r="K16" s="22" t="str">
        <f ca="1">IF(C16&lt;&gt;"",OFFSET('Player Game Board'!P10,K6-1,A16)&amp;" - "&amp;OFFSET('Player Game Board'!Q10,K6-1,A16),"")</f>
        <v/>
      </c>
      <c r="L16" s="22" t="str">
        <f ca="1">IF(C16&lt;&gt;"",OFFSET('Player Game Board'!P10,L6-1,A16)&amp;" - "&amp;OFFSET('Player Game Board'!Q10,L6-1,A16),"")</f>
        <v/>
      </c>
      <c r="M16" s="22" t="str">
        <f ca="1">IF(C16&lt;&gt;"",OFFSET('Player Game Board'!P10,M6-1,A16)&amp;" - "&amp;OFFSET('Player Game Board'!Q10,M6-1,A16),"")</f>
        <v/>
      </c>
      <c r="N16" s="22" t="str">
        <f ca="1">IF(C16&lt;&gt;"",OFFSET('Player Game Board'!P10,N6-1,A16)&amp;" - "&amp;OFFSET('Player Game Board'!Q10,N6-1,A16),"")</f>
        <v/>
      </c>
      <c r="O16" s="22" t="str">
        <f ca="1">IF(C16&lt;&gt;"",OFFSET('Player Game Board'!P10,O6-1,A16)&amp;" - "&amp;OFFSET('Player Game Board'!Q10,O6-1,A16),"")</f>
        <v/>
      </c>
      <c r="P16" s="22" t="str">
        <f ca="1">IF(C16&lt;&gt;"",OFFSET('Player Game Board'!P10,P6-1,A16)&amp;" - "&amp;OFFSET('Player Game Board'!Q10,P6-1,A16),"")</f>
        <v/>
      </c>
      <c r="Q16" s="22" t="str">
        <f ca="1">IF(C16&lt;&gt;"",OFFSET('Player Game Board'!P10,Q6-1,A16)&amp;" - "&amp;OFFSET('Player Game Board'!Q10,Q6-1,A16),"")</f>
        <v/>
      </c>
      <c r="R16" s="22" t="str">
        <f ca="1">IF(C16&lt;&gt;"",OFFSET('Player Game Board'!P10,R6-1,A16)&amp;" - "&amp;OFFSET('Player Game Board'!Q10,R6-1,A16),"")</f>
        <v/>
      </c>
      <c r="S16" s="22" t="str">
        <f ca="1">IF(C16&lt;&gt;"",OFFSET('Player Game Board'!P10,S6-1,A16)&amp;" - "&amp;OFFSET('Player Game Board'!Q10,S6-1,A16),"")</f>
        <v/>
      </c>
      <c r="T16" s="22" t="str">
        <f ca="1">IF(C16&lt;&gt;"",OFFSET('Player Game Board'!P10,T6-1,A16)&amp;" - "&amp;OFFSET('Player Game Board'!Q10,T6-1,A16),"")</f>
        <v/>
      </c>
      <c r="U16" s="22" t="str">
        <f ca="1">IF(C16&lt;&gt;"",OFFSET('Player Game Board'!P10,U6-1,A16)&amp;" - "&amp;OFFSET('Player Game Board'!Q10,U6-1,A16),"")</f>
        <v/>
      </c>
      <c r="V16" s="22" t="str">
        <f ca="1">IF(C16&lt;&gt;"",OFFSET('Player Game Board'!P10,V6-1,A16)&amp;" - "&amp;OFFSET('Player Game Board'!Q10,V6-1,A16),"")</f>
        <v/>
      </c>
      <c r="W16" s="22" t="str">
        <f ca="1">IF(C16&lt;&gt;"",OFFSET('Player Game Board'!P10,W6-1,A16)&amp;" - "&amp;OFFSET('Player Game Board'!Q10,W6-1,A16),"")</f>
        <v/>
      </c>
      <c r="X16" s="22" t="str">
        <f ca="1">IF(C16&lt;&gt;"",OFFSET('Player Game Board'!P10,X6-1,A16)&amp;" - "&amp;OFFSET('Player Game Board'!Q10,X6-1,A16),"")</f>
        <v/>
      </c>
      <c r="Y16" s="22" t="str">
        <f ca="1">IF(C16&lt;&gt;"",OFFSET('Player Game Board'!P10,Y6-1,A16)&amp;" - "&amp;OFFSET('Player Game Board'!Q10,Y6-1,A16),"")</f>
        <v/>
      </c>
      <c r="Z16" s="22" t="str">
        <f ca="1">IF(C16&lt;&gt;"",OFFSET('Player Game Board'!P10,Z6-1,A16)&amp;" - "&amp;OFFSET('Player Game Board'!Q10,Z6-1,A16),"")</f>
        <v/>
      </c>
      <c r="AA16" s="22" t="str">
        <f ca="1">IF(C16&lt;&gt;"",OFFSET('Player Game Board'!P10,AA6-1,A16)&amp;" - "&amp;OFFSET('Player Game Board'!Q10,AA6-1,A16),"")</f>
        <v/>
      </c>
      <c r="AB16" s="22" t="str">
        <f ca="1">IF(C16&lt;&gt;"",OFFSET('Player Game Board'!P10,AB6-1,A16)&amp;" - "&amp;OFFSET('Player Game Board'!Q10,AB6-1,A16),"")</f>
        <v/>
      </c>
      <c r="AC16" s="22" t="str">
        <f ca="1">IF(C16&lt;&gt;"",OFFSET('Player Game Board'!P10,AC6-1,A16)&amp;" - "&amp;OFFSET('Player Game Board'!Q10,AC6-1,A16),"")</f>
        <v/>
      </c>
      <c r="AD16" s="22" t="str">
        <f ca="1">IF(C16&lt;&gt;"",OFFSET('Player Game Board'!P10,AD6-1,A16)&amp;" - "&amp;OFFSET('Player Game Board'!Q10,AD6-1,A16),"")</f>
        <v/>
      </c>
      <c r="AE16" s="22" t="str">
        <f ca="1">IF(C16&lt;&gt;"",OFFSET('Player Game Board'!P10,AE6-1,A16)&amp;" - "&amp;OFFSET('Player Game Board'!Q10,AE6-1,A16),"")</f>
        <v/>
      </c>
      <c r="AF16" s="22" t="str">
        <f ca="1">IF(C16&lt;&gt;"",OFFSET('Player Game Board'!P10,AF6-1,A16)&amp;" - "&amp;OFFSET('Player Game Board'!Q10,AF6-1,A16),"")</f>
        <v/>
      </c>
      <c r="AG16" s="22" t="str">
        <f ca="1">IF(C16&lt;&gt;"",OFFSET('Player Game Board'!P10,AG6-1,A16)&amp;" - "&amp;OFFSET('Player Game Board'!Q10,AG6-1,A16),"")</f>
        <v/>
      </c>
      <c r="AH16" s="22" t="str">
        <f ca="1">IF(C16&lt;&gt;"",OFFSET('Player Game Board'!P10,AH6-1,A16)&amp;" - "&amp;OFFSET('Player Game Board'!Q10,AH6-1,A16),"")</f>
        <v/>
      </c>
      <c r="AI16" s="22" t="str">
        <f ca="1">IF(C16&lt;&gt;"",OFFSET('Player Game Board'!P10,AI6-1,A16)&amp;" - "&amp;OFFSET('Player Game Board'!Q10,AI6-1,A16),"")</f>
        <v/>
      </c>
      <c r="AJ16" s="22" t="str">
        <f ca="1">IF(C16&lt;&gt;"",OFFSET('Player Game Board'!P10,AJ6-1,A16)&amp;" - "&amp;OFFSET('Player Game Board'!Q10,AJ6-1,A16),"")</f>
        <v/>
      </c>
      <c r="AK16" s="22" t="str">
        <f ca="1">IF(C16&lt;&gt;"",OFFSET('Player Game Board'!P10,AK6-1,A16)&amp;" - "&amp;OFFSET('Player Game Board'!Q10,AK6-1,A16),"")</f>
        <v/>
      </c>
      <c r="AL16" s="22" t="str">
        <f ca="1">IF(C16&lt;&gt;"",OFFSET('Player Game Board'!P10,AL6-1,A16)&amp;" - "&amp;OFFSET('Player Game Board'!Q10,AL6-1,A16),"")</f>
        <v/>
      </c>
      <c r="AM16" s="22" t="str">
        <f ca="1">IF(C16&lt;&gt;"",OFFSET('Player Game Board'!P10,AM6-1,A16)&amp;" - "&amp;OFFSET('Player Game Board'!Q10,AM6-1,A16),"")</f>
        <v/>
      </c>
      <c r="AN16" s="22" t="str">
        <f ca="1">IF(C16&lt;&gt;"",OFFSET('Player Game Board'!P10,AN6-1,A16)&amp;" - "&amp;OFFSET('Player Game Board'!Q10,AN6-1,A16),"")</f>
        <v/>
      </c>
      <c r="AO16" s="22" t="str">
        <f ca="1">IF(C16&lt;&gt;"",OFFSET('Player Game Board'!P10,AO6-1,A16)&amp;" - "&amp;OFFSET('Player Game Board'!Q10,AO6-1,A16),"")</f>
        <v/>
      </c>
      <c r="AP16" s="22" t="str">
        <f ca="1">IF(C16&lt;&gt;"",OFFSET('Player Game Board'!P10,AP6-1,A16)&amp;" - "&amp;OFFSET('Player Game Board'!Q10,AP6-1,A16),"")</f>
        <v/>
      </c>
      <c r="AQ16" s="22" t="str">
        <f ca="1">IF(C16&lt;&gt;"",OFFSET('Player Game Board'!P10,AQ6+14,A16)&amp;" - "&amp;OFFSET('Player Game Board'!Q10,AQ6+14,A16),"")</f>
        <v/>
      </c>
      <c r="AR16" s="22" t="str">
        <f ca="1">IF(C16&lt;&gt;"",OFFSET('Player Game Board'!P10,AR6+14,A16)&amp;" - "&amp;OFFSET('Player Game Board'!Q10,AR6+14,A16),"")</f>
        <v/>
      </c>
      <c r="AS16" s="22" t="str">
        <f ca="1">IF(C16&lt;&gt;"",OFFSET('Player Game Board'!P10,AS6+14,A16)&amp;" - "&amp;OFFSET('Player Game Board'!Q10,AS6+14,A16),"")</f>
        <v/>
      </c>
      <c r="AT16" s="22" t="str">
        <f ca="1">IF(C16&lt;&gt;"",OFFSET('Player Game Board'!P10,AT6+14,A16)&amp;" - "&amp;OFFSET('Player Game Board'!Q10,AT6+14,A16),"")</f>
        <v/>
      </c>
      <c r="AU16" s="22" t="str">
        <f ca="1">IF(C16&lt;&gt;"",OFFSET('Player Game Board'!P10,AU6+14,A16)&amp;" - "&amp;OFFSET('Player Game Board'!Q10,AU6+14,A16),"")</f>
        <v/>
      </c>
      <c r="AV16" s="22" t="str">
        <f ca="1">IF(C16&lt;&gt;"",OFFSET('Player Game Board'!P10,AV6+14,A16)&amp;" - "&amp;OFFSET('Player Game Board'!Q10,AV6+14,A16),"")</f>
        <v/>
      </c>
      <c r="AW16" s="22" t="str">
        <f ca="1">IF(C16&lt;&gt;"",OFFSET('Player Game Board'!P10,AW6+14,A16)&amp;" - "&amp;OFFSET('Player Game Board'!Q10,AW6+14,A16),"")</f>
        <v/>
      </c>
      <c r="AX16" s="22" t="str">
        <f ca="1">IF(C16&lt;&gt;"",OFFSET('Player Game Board'!P10,AX6+14,A16)&amp;" - "&amp;OFFSET('Player Game Board'!Q10,AX6+14,A16),"")</f>
        <v/>
      </c>
      <c r="AY16" s="22" t="str">
        <f ca="1">IF(C16&lt;&gt;"",OFFSET('Player Game Board'!P10,AY6+14,A16)&amp;" - "&amp;OFFSET('Player Game Board'!Q10,AY6+14,A16),"")</f>
        <v/>
      </c>
      <c r="AZ16" s="22" t="str">
        <f ca="1">IF(C16&lt;&gt;"",OFFSET('Player Game Board'!P10,AZ6+14,A16)&amp;" - "&amp;OFFSET('Player Game Board'!Q10,AZ6+14,A16),"")</f>
        <v/>
      </c>
      <c r="BA16" s="22" t="str">
        <f ca="1">IF(C16&lt;&gt;"",OFFSET('Player Game Board'!P10,BA6+14,A16)&amp;" - "&amp;OFFSET('Player Game Board'!Q10,BA6+14,A16),"")</f>
        <v/>
      </c>
      <c r="BB16" s="22" t="str">
        <f ca="1">IF(C16&lt;&gt;"",OFFSET('Player Game Board'!P10,BB6+14,A16)&amp;" - "&amp;OFFSET('Player Game Board'!Q10,BB6+14,A16),"")</f>
        <v/>
      </c>
      <c r="BC16" s="22" t="str">
        <f ca="1">IF(C16&lt;&gt;"",OFFSET('Player Game Board'!P10,BC6+14,A16)&amp;" - "&amp;OFFSET('Player Game Board'!Q10,BC6+14,A16),"")</f>
        <v/>
      </c>
      <c r="BD16" s="22" t="str">
        <f ca="1">IF(C16&lt;&gt;"",OFFSET('Player Game Board'!P10,BD6+14,A16)&amp;" - "&amp;OFFSET('Player Game Board'!Q10,BD6+14,A16),"")</f>
        <v/>
      </c>
      <c r="BE16" s="22" t="str">
        <f ca="1">IF(C16&lt;&gt;"",OFFSET('Player Game Board'!P10,BE6+14,A16)&amp;" - "&amp;OFFSET('Player Game Board'!Q10,BE6+14,A16),"")</f>
        <v/>
      </c>
    </row>
    <row r="17" spans="1:57" ht="14.4" x14ac:dyDescent="0.3">
      <c r="A17" s="133">
        <f t="shared" si="4"/>
        <v>70</v>
      </c>
      <c r="B17" s="29">
        <v>8</v>
      </c>
      <c r="C17" s="272" t="str">
        <f>IF('Player Setup'!C13&lt;&gt;"",'Player Setup'!C13,"")</f>
        <v/>
      </c>
      <c r="D17" s="22">
        <f t="shared" ca="1" si="3"/>
        <v>0</v>
      </c>
      <c r="E17" s="23">
        <f ca="1">IF(C17&lt;&gt;"",OFFSET('Player Game Board'!N9,G6-1,A17),0)</f>
        <v>0</v>
      </c>
      <c r="F17" s="22">
        <f ca="1">IF(C17&lt;&gt;"",OFFSET('Player Game Board'!N52,G6-1,A17),0)</f>
        <v>0</v>
      </c>
      <c r="G17" s="22" t="str">
        <f ca="1">IF(C17&lt;&gt;"",OFFSET('Player Game Board'!P10,G6-1,A17)&amp;" - "&amp;OFFSET('Player Game Board'!Q10,G6-1,A17),"")</f>
        <v/>
      </c>
      <c r="H17" s="22" t="str">
        <f ca="1">IF(C17&lt;&gt;"",OFFSET('Player Game Board'!P10,H6-1,A17)&amp;" - "&amp;OFFSET('Player Game Board'!Q10,H6-1,A17),"")</f>
        <v/>
      </c>
      <c r="I17" s="22" t="str">
        <f ca="1">IF(C17&lt;&gt;"",OFFSET('Player Game Board'!P10,I6-1,A17)&amp;" - "&amp;OFFSET('Player Game Board'!Q10,I6-1,A17),"")</f>
        <v/>
      </c>
      <c r="J17" s="22" t="str">
        <f ca="1">IF(C17&lt;&gt;"",OFFSET('Player Game Board'!P10,J6-1,A17)&amp;" - "&amp;OFFSET('Player Game Board'!Q10,J6-1,A17),"")</f>
        <v/>
      </c>
      <c r="K17" s="22" t="str">
        <f ca="1">IF(C17&lt;&gt;"",OFFSET('Player Game Board'!P10,K6-1,A17)&amp;" - "&amp;OFFSET('Player Game Board'!Q10,K6-1,A17),"")</f>
        <v/>
      </c>
      <c r="L17" s="22" t="str">
        <f ca="1">IF(C17&lt;&gt;"",OFFSET('Player Game Board'!P10,L6-1,A17)&amp;" - "&amp;OFFSET('Player Game Board'!Q10,L6-1,A17),"")</f>
        <v/>
      </c>
      <c r="M17" s="22" t="str">
        <f ca="1">IF(C17&lt;&gt;"",OFFSET('Player Game Board'!P10,M6-1,A17)&amp;" - "&amp;OFFSET('Player Game Board'!Q10,M6-1,A17),"")</f>
        <v/>
      </c>
      <c r="N17" s="22" t="str">
        <f ca="1">IF(C17&lt;&gt;"",OFFSET('Player Game Board'!P10,N6-1,A17)&amp;" - "&amp;OFFSET('Player Game Board'!Q10,N6-1,A17),"")</f>
        <v/>
      </c>
      <c r="O17" s="22" t="str">
        <f ca="1">IF(C17&lt;&gt;"",OFFSET('Player Game Board'!P10,O6-1,A17)&amp;" - "&amp;OFFSET('Player Game Board'!Q10,O6-1,A17),"")</f>
        <v/>
      </c>
      <c r="P17" s="22" t="str">
        <f ca="1">IF(C17&lt;&gt;"",OFFSET('Player Game Board'!P10,P6-1,A17)&amp;" - "&amp;OFFSET('Player Game Board'!Q10,P6-1,A17),"")</f>
        <v/>
      </c>
      <c r="Q17" s="22" t="str">
        <f ca="1">IF(C17&lt;&gt;"",OFFSET('Player Game Board'!P10,Q6-1,A17)&amp;" - "&amp;OFFSET('Player Game Board'!Q10,Q6-1,A17),"")</f>
        <v/>
      </c>
      <c r="R17" s="22" t="str">
        <f ca="1">IF(C17&lt;&gt;"",OFFSET('Player Game Board'!P10,R6-1,A17)&amp;" - "&amp;OFFSET('Player Game Board'!Q10,R6-1,A17),"")</f>
        <v/>
      </c>
      <c r="S17" s="22" t="str">
        <f ca="1">IF(C17&lt;&gt;"",OFFSET('Player Game Board'!P10,S6-1,A17)&amp;" - "&amp;OFFSET('Player Game Board'!Q10,S6-1,A17),"")</f>
        <v/>
      </c>
      <c r="T17" s="22" t="str">
        <f ca="1">IF(C17&lt;&gt;"",OFFSET('Player Game Board'!P10,T6-1,A17)&amp;" - "&amp;OFFSET('Player Game Board'!Q10,T6-1,A17),"")</f>
        <v/>
      </c>
      <c r="U17" s="22" t="str">
        <f ca="1">IF(C17&lt;&gt;"",OFFSET('Player Game Board'!P10,U6-1,A17)&amp;" - "&amp;OFFSET('Player Game Board'!Q10,U6-1,A17),"")</f>
        <v/>
      </c>
      <c r="V17" s="22" t="str">
        <f ca="1">IF(C17&lt;&gt;"",OFFSET('Player Game Board'!P10,V6-1,A17)&amp;" - "&amp;OFFSET('Player Game Board'!Q10,V6-1,A17),"")</f>
        <v/>
      </c>
      <c r="W17" s="22" t="str">
        <f ca="1">IF(C17&lt;&gt;"",OFFSET('Player Game Board'!P10,W6-1,A17)&amp;" - "&amp;OFFSET('Player Game Board'!Q10,W6-1,A17),"")</f>
        <v/>
      </c>
      <c r="X17" s="22" t="str">
        <f ca="1">IF(C17&lt;&gt;"",OFFSET('Player Game Board'!P10,X6-1,A17)&amp;" - "&amp;OFFSET('Player Game Board'!Q10,X6-1,A17),"")</f>
        <v/>
      </c>
      <c r="Y17" s="22" t="str">
        <f ca="1">IF(C17&lt;&gt;"",OFFSET('Player Game Board'!P10,Y6-1,A17)&amp;" - "&amp;OFFSET('Player Game Board'!Q10,Y6-1,A17),"")</f>
        <v/>
      </c>
      <c r="Z17" s="22" t="str">
        <f ca="1">IF(C17&lt;&gt;"",OFFSET('Player Game Board'!P10,Z6-1,A17)&amp;" - "&amp;OFFSET('Player Game Board'!Q10,Z6-1,A17),"")</f>
        <v/>
      </c>
      <c r="AA17" s="22" t="str">
        <f ca="1">IF(C17&lt;&gt;"",OFFSET('Player Game Board'!P10,AA6-1,A17)&amp;" - "&amp;OFFSET('Player Game Board'!Q10,AA6-1,A17),"")</f>
        <v/>
      </c>
      <c r="AB17" s="22" t="str">
        <f ca="1">IF(C17&lt;&gt;"",OFFSET('Player Game Board'!P10,AB6-1,A17)&amp;" - "&amp;OFFSET('Player Game Board'!Q10,AB6-1,A17),"")</f>
        <v/>
      </c>
      <c r="AC17" s="22" t="str">
        <f ca="1">IF(C17&lt;&gt;"",OFFSET('Player Game Board'!P10,AC6-1,A17)&amp;" - "&amp;OFFSET('Player Game Board'!Q10,AC6-1,A17),"")</f>
        <v/>
      </c>
      <c r="AD17" s="22" t="str">
        <f ca="1">IF(C17&lt;&gt;"",OFFSET('Player Game Board'!P10,AD6-1,A17)&amp;" - "&amp;OFFSET('Player Game Board'!Q10,AD6-1,A17),"")</f>
        <v/>
      </c>
      <c r="AE17" s="22" t="str">
        <f ca="1">IF(C17&lt;&gt;"",OFFSET('Player Game Board'!P10,AE6-1,A17)&amp;" - "&amp;OFFSET('Player Game Board'!Q10,AE6-1,A17),"")</f>
        <v/>
      </c>
      <c r="AF17" s="22" t="str">
        <f ca="1">IF(C17&lt;&gt;"",OFFSET('Player Game Board'!P10,AF6-1,A17)&amp;" - "&amp;OFFSET('Player Game Board'!Q10,AF6-1,A17),"")</f>
        <v/>
      </c>
      <c r="AG17" s="22" t="str">
        <f ca="1">IF(C17&lt;&gt;"",OFFSET('Player Game Board'!P10,AG6-1,A17)&amp;" - "&amp;OFFSET('Player Game Board'!Q10,AG6-1,A17),"")</f>
        <v/>
      </c>
      <c r="AH17" s="22" t="str">
        <f ca="1">IF(C17&lt;&gt;"",OFFSET('Player Game Board'!P10,AH6-1,A17)&amp;" - "&amp;OFFSET('Player Game Board'!Q10,AH6-1,A17),"")</f>
        <v/>
      </c>
      <c r="AI17" s="22" t="str">
        <f ca="1">IF(C17&lt;&gt;"",OFFSET('Player Game Board'!P10,AI6-1,A17)&amp;" - "&amp;OFFSET('Player Game Board'!Q10,AI6-1,A17),"")</f>
        <v/>
      </c>
      <c r="AJ17" s="22" t="str">
        <f ca="1">IF(C17&lt;&gt;"",OFFSET('Player Game Board'!P10,AJ6-1,A17)&amp;" - "&amp;OFFSET('Player Game Board'!Q10,AJ6-1,A17),"")</f>
        <v/>
      </c>
      <c r="AK17" s="22" t="str">
        <f ca="1">IF(C17&lt;&gt;"",OFFSET('Player Game Board'!P10,AK6-1,A17)&amp;" - "&amp;OFFSET('Player Game Board'!Q10,AK6-1,A17),"")</f>
        <v/>
      </c>
      <c r="AL17" s="22" t="str">
        <f ca="1">IF(C17&lt;&gt;"",OFFSET('Player Game Board'!P10,AL6-1,A17)&amp;" - "&amp;OFFSET('Player Game Board'!Q10,AL6-1,A17),"")</f>
        <v/>
      </c>
      <c r="AM17" s="22" t="str">
        <f ca="1">IF(C17&lt;&gt;"",OFFSET('Player Game Board'!P10,AM6-1,A17)&amp;" - "&amp;OFFSET('Player Game Board'!Q10,AM6-1,A17),"")</f>
        <v/>
      </c>
      <c r="AN17" s="22" t="str">
        <f ca="1">IF(C17&lt;&gt;"",OFFSET('Player Game Board'!P10,AN6-1,A17)&amp;" - "&amp;OFFSET('Player Game Board'!Q10,AN6-1,A17),"")</f>
        <v/>
      </c>
      <c r="AO17" s="22" t="str">
        <f ca="1">IF(C17&lt;&gt;"",OFFSET('Player Game Board'!P10,AO6-1,A17)&amp;" - "&amp;OFFSET('Player Game Board'!Q10,AO6-1,A17),"")</f>
        <v/>
      </c>
      <c r="AP17" s="22" t="str">
        <f ca="1">IF(C17&lt;&gt;"",OFFSET('Player Game Board'!P10,AP6-1,A17)&amp;" - "&amp;OFFSET('Player Game Board'!Q10,AP6-1,A17),"")</f>
        <v/>
      </c>
      <c r="AQ17" s="22" t="str">
        <f ca="1">IF(C17&lt;&gt;"",OFFSET('Player Game Board'!P10,AQ6+14,A17)&amp;" - "&amp;OFFSET('Player Game Board'!Q10,AQ6+14,A17),"")</f>
        <v/>
      </c>
      <c r="AR17" s="22" t="str">
        <f ca="1">IF(C17&lt;&gt;"",OFFSET('Player Game Board'!P10,AR6+14,A17)&amp;" - "&amp;OFFSET('Player Game Board'!Q10,AR6+14,A17),"")</f>
        <v/>
      </c>
      <c r="AS17" s="22" t="str">
        <f ca="1">IF(C17&lt;&gt;"",OFFSET('Player Game Board'!P10,AS6+14,A17)&amp;" - "&amp;OFFSET('Player Game Board'!Q10,AS6+14,A17),"")</f>
        <v/>
      </c>
      <c r="AT17" s="22" t="str">
        <f ca="1">IF(C17&lt;&gt;"",OFFSET('Player Game Board'!P10,AT6+14,A17)&amp;" - "&amp;OFFSET('Player Game Board'!Q10,AT6+14,A17),"")</f>
        <v/>
      </c>
      <c r="AU17" s="22" t="str">
        <f ca="1">IF(C17&lt;&gt;"",OFFSET('Player Game Board'!P10,AU6+14,A17)&amp;" - "&amp;OFFSET('Player Game Board'!Q10,AU6+14,A17),"")</f>
        <v/>
      </c>
      <c r="AV17" s="22" t="str">
        <f ca="1">IF(C17&lt;&gt;"",OFFSET('Player Game Board'!P10,AV6+14,A17)&amp;" - "&amp;OFFSET('Player Game Board'!Q10,AV6+14,A17),"")</f>
        <v/>
      </c>
      <c r="AW17" s="22" t="str">
        <f ca="1">IF(C17&lt;&gt;"",OFFSET('Player Game Board'!P10,AW6+14,A17)&amp;" - "&amp;OFFSET('Player Game Board'!Q10,AW6+14,A17),"")</f>
        <v/>
      </c>
      <c r="AX17" s="22" t="str">
        <f ca="1">IF(C17&lt;&gt;"",OFFSET('Player Game Board'!P10,AX6+14,A17)&amp;" - "&amp;OFFSET('Player Game Board'!Q10,AX6+14,A17),"")</f>
        <v/>
      </c>
      <c r="AY17" s="22" t="str">
        <f ca="1">IF(C17&lt;&gt;"",OFFSET('Player Game Board'!P10,AY6+14,A17)&amp;" - "&amp;OFFSET('Player Game Board'!Q10,AY6+14,A17),"")</f>
        <v/>
      </c>
      <c r="AZ17" s="22" t="str">
        <f ca="1">IF(C17&lt;&gt;"",OFFSET('Player Game Board'!P10,AZ6+14,A17)&amp;" - "&amp;OFFSET('Player Game Board'!Q10,AZ6+14,A17),"")</f>
        <v/>
      </c>
      <c r="BA17" s="22" t="str">
        <f ca="1">IF(C17&lt;&gt;"",OFFSET('Player Game Board'!P10,BA6+14,A17)&amp;" - "&amp;OFFSET('Player Game Board'!Q10,BA6+14,A17),"")</f>
        <v/>
      </c>
      <c r="BB17" s="22" t="str">
        <f ca="1">IF(C17&lt;&gt;"",OFFSET('Player Game Board'!P10,BB6+14,A17)&amp;" - "&amp;OFFSET('Player Game Board'!Q10,BB6+14,A17),"")</f>
        <v/>
      </c>
      <c r="BC17" s="22" t="str">
        <f ca="1">IF(C17&lt;&gt;"",OFFSET('Player Game Board'!P10,BC6+14,A17)&amp;" - "&amp;OFFSET('Player Game Board'!Q10,BC6+14,A17),"")</f>
        <v/>
      </c>
      <c r="BD17" s="22" t="str">
        <f ca="1">IF(C17&lt;&gt;"",OFFSET('Player Game Board'!P10,BD6+14,A17)&amp;" - "&amp;OFFSET('Player Game Board'!Q10,BD6+14,A17),"")</f>
        <v/>
      </c>
      <c r="BE17" s="22" t="str">
        <f ca="1">IF(C17&lt;&gt;"",OFFSET('Player Game Board'!P10,BE6+14,A17)&amp;" - "&amp;OFFSET('Player Game Board'!Q10,BE6+14,A17),"")</f>
        <v/>
      </c>
    </row>
    <row r="18" spans="1:57" ht="14.4" x14ac:dyDescent="0.3">
      <c r="A18" s="133">
        <f t="shared" si="4"/>
        <v>80</v>
      </c>
      <c r="B18" s="29">
        <v>9</v>
      </c>
      <c r="C18" s="272" t="str">
        <f>IF('Player Setup'!C14&lt;&gt;"",'Player Setup'!C14,"")</f>
        <v/>
      </c>
      <c r="D18" s="22">
        <f t="shared" ca="1" si="3"/>
        <v>0</v>
      </c>
      <c r="E18" s="23">
        <f ca="1">IF(C18&lt;&gt;"",OFFSET('Player Game Board'!N9,G6-1,A18),0)</f>
        <v>0</v>
      </c>
      <c r="F18" s="22">
        <f ca="1">IF(C18&lt;&gt;"",OFFSET('Player Game Board'!N52,G6-1,A18),0)</f>
        <v>0</v>
      </c>
      <c r="G18" s="22" t="str">
        <f ca="1">IF(C18&lt;&gt;"",OFFSET('Player Game Board'!P10,G6-1,A18)&amp;" - "&amp;OFFSET('Player Game Board'!Q10,G6-1,A18),"")</f>
        <v/>
      </c>
      <c r="H18" s="22" t="str">
        <f ca="1">IF(C18&lt;&gt;"",OFFSET('Player Game Board'!P10,H6-1,A18)&amp;" - "&amp;OFFSET('Player Game Board'!Q10,H6-1,A18),"")</f>
        <v/>
      </c>
      <c r="I18" s="22" t="str">
        <f ca="1">IF(C18&lt;&gt;"",OFFSET('Player Game Board'!P10,I6-1,A18)&amp;" - "&amp;OFFSET('Player Game Board'!Q10,I6-1,A18),"")</f>
        <v/>
      </c>
      <c r="J18" s="22" t="str">
        <f ca="1">IF(C18&lt;&gt;"",OFFSET('Player Game Board'!P10,J6-1,A18)&amp;" - "&amp;OFFSET('Player Game Board'!Q10,J6-1,A18),"")</f>
        <v/>
      </c>
      <c r="K18" s="22" t="str">
        <f ca="1">IF(C18&lt;&gt;"",OFFSET('Player Game Board'!P10,K6-1,A18)&amp;" - "&amp;OFFSET('Player Game Board'!Q10,K6-1,A18),"")</f>
        <v/>
      </c>
      <c r="L18" s="22" t="str">
        <f ca="1">IF(C18&lt;&gt;"",OFFSET('Player Game Board'!P10,L6-1,A18)&amp;" - "&amp;OFFSET('Player Game Board'!Q10,L6-1,A18),"")</f>
        <v/>
      </c>
      <c r="M18" s="22" t="str">
        <f ca="1">IF(C18&lt;&gt;"",OFFSET('Player Game Board'!P10,M6-1,A18)&amp;" - "&amp;OFFSET('Player Game Board'!Q10,M6-1,A18),"")</f>
        <v/>
      </c>
      <c r="N18" s="22" t="str">
        <f ca="1">IF(C18&lt;&gt;"",OFFSET('Player Game Board'!P10,N6-1,A18)&amp;" - "&amp;OFFSET('Player Game Board'!Q10,N6-1,A18),"")</f>
        <v/>
      </c>
      <c r="O18" s="22" t="str">
        <f ca="1">IF(C18&lt;&gt;"",OFFSET('Player Game Board'!P10,O6-1,A18)&amp;" - "&amp;OFFSET('Player Game Board'!Q10,O6-1,A18),"")</f>
        <v/>
      </c>
      <c r="P18" s="22" t="str">
        <f ca="1">IF(C18&lt;&gt;"",OFFSET('Player Game Board'!P10,P6-1,A18)&amp;" - "&amp;OFFSET('Player Game Board'!Q10,P6-1,A18),"")</f>
        <v/>
      </c>
      <c r="Q18" s="22" t="str">
        <f ca="1">IF(C18&lt;&gt;"",OFFSET('Player Game Board'!P10,Q6-1,A18)&amp;" - "&amp;OFFSET('Player Game Board'!Q10,Q6-1,A18),"")</f>
        <v/>
      </c>
      <c r="R18" s="22" t="str">
        <f ca="1">IF(C18&lt;&gt;"",OFFSET('Player Game Board'!P10,R6-1,A18)&amp;" - "&amp;OFFSET('Player Game Board'!Q10,R6-1,A18),"")</f>
        <v/>
      </c>
      <c r="S18" s="22" t="str">
        <f ca="1">IF(C18&lt;&gt;"",OFFSET('Player Game Board'!P10,S6-1,A18)&amp;" - "&amp;OFFSET('Player Game Board'!Q10,S6-1,A18),"")</f>
        <v/>
      </c>
      <c r="T18" s="22" t="str">
        <f ca="1">IF(C18&lt;&gt;"",OFFSET('Player Game Board'!P10,T6-1,A18)&amp;" - "&amp;OFFSET('Player Game Board'!Q10,T6-1,A18),"")</f>
        <v/>
      </c>
      <c r="U18" s="22" t="str">
        <f ca="1">IF(C18&lt;&gt;"",OFFSET('Player Game Board'!P10,U6-1,A18)&amp;" - "&amp;OFFSET('Player Game Board'!Q10,U6-1,A18),"")</f>
        <v/>
      </c>
      <c r="V18" s="22" t="str">
        <f ca="1">IF(C18&lt;&gt;"",OFFSET('Player Game Board'!P10,V6-1,A18)&amp;" - "&amp;OFFSET('Player Game Board'!Q10,V6-1,A18),"")</f>
        <v/>
      </c>
      <c r="W18" s="22" t="str">
        <f ca="1">IF(C18&lt;&gt;"",OFFSET('Player Game Board'!P10,W6-1,A18)&amp;" - "&amp;OFFSET('Player Game Board'!Q10,W6-1,A18),"")</f>
        <v/>
      </c>
      <c r="X18" s="22" t="str">
        <f ca="1">IF(C18&lt;&gt;"",OFFSET('Player Game Board'!P10,X6-1,A18)&amp;" - "&amp;OFFSET('Player Game Board'!Q10,X6-1,A18),"")</f>
        <v/>
      </c>
      <c r="Y18" s="22" t="str">
        <f ca="1">IF(C18&lt;&gt;"",OFFSET('Player Game Board'!P10,Y6-1,A18)&amp;" - "&amp;OFFSET('Player Game Board'!Q10,Y6-1,A18),"")</f>
        <v/>
      </c>
      <c r="Z18" s="22" t="str">
        <f ca="1">IF(C18&lt;&gt;"",OFFSET('Player Game Board'!P10,Z6-1,A18)&amp;" - "&amp;OFFSET('Player Game Board'!Q10,Z6-1,A18),"")</f>
        <v/>
      </c>
      <c r="AA18" s="22" t="str">
        <f ca="1">IF(C18&lt;&gt;"",OFFSET('Player Game Board'!P10,AA6-1,A18)&amp;" - "&amp;OFFSET('Player Game Board'!Q10,AA6-1,A18),"")</f>
        <v/>
      </c>
      <c r="AB18" s="22" t="str">
        <f ca="1">IF(C18&lt;&gt;"",OFFSET('Player Game Board'!P10,AB6-1,A18)&amp;" - "&amp;OFFSET('Player Game Board'!Q10,AB6-1,A18),"")</f>
        <v/>
      </c>
      <c r="AC18" s="22" t="str">
        <f ca="1">IF(C18&lt;&gt;"",OFFSET('Player Game Board'!P10,AC6-1,A18)&amp;" - "&amp;OFFSET('Player Game Board'!Q10,AC6-1,A18),"")</f>
        <v/>
      </c>
      <c r="AD18" s="22" t="str">
        <f ca="1">IF(C18&lt;&gt;"",OFFSET('Player Game Board'!P10,AD6-1,A18)&amp;" - "&amp;OFFSET('Player Game Board'!Q10,AD6-1,A18),"")</f>
        <v/>
      </c>
      <c r="AE18" s="22" t="str">
        <f ca="1">IF(C18&lt;&gt;"",OFFSET('Player Game Board'!P10,AE6-1,A18)&amp;" - "&amp;OFFSET('Player Game Board'!Q10,AE6-1,A18),"")</f>
        <v/>
      </c>
      <c r="AF18" s="22" t="str">
        <f ca="1">IF(C18&lt;&gt;"",OFFSET('Player Game Board'!P10,AF6-1,A18)&amp;" - "&amp;OFFSET('Player Game Board'!Q10,AF6-1,A18),"")</f>
        <v/>
      </c>
      <c r="AG18" s="22" t="str">
        <f ca="1">IF(C18&lt;&gt;"",OFFSET('Player Game Board'!P10,AG6-1,A18)&amp;" - "&amp;OFFSET('Player Game Board'!Q10,AG6-1,A18),"")</f>
        <v/>
      </c>
      <c r="AH18" s="22" t="str">
        <f ca="1">IF(C18&lt;&gt;"",OFFSET('Player Game Board'!P10,AH6-1,A18)&amp;" - "&amp;OFFSET('Player Game Board'!Q10,AH6-1,A18),"")</f>
        <v/>
      </c>
      <c r="AI18" s="22" t="str">
        <f ca="1">IF(C18&lt;&gt;"",OFFSET('Player Game Board'!P10,AI6-1,A18)&amp;" - "&amp;OFFSET('Player Game Board'!Q10,AI6-1,A18),"")</f>
        <v/>
      </c>
      <c r="AJ18" s="22" t="str">
        <f ca="1">IF(C18&lt;&gt;"",OFFSET('Player Game Board'!P10,AJ6-1,A18)&amp;" - "&amp;OFFSET('Player Game Board'!Q10,AJ6-1,A18),"")</f>
        <v/>
      </c>
      <c r="AK18" s="22" t="str">
        <f ca="1">IF(C18&lt;&gt;"",OFFSET('Player Game Board'!P10,AK6-1,A18)&amp;" - "&amp;OFFSET('Player Game Board'!Q10,AK6-1,A18),"")</f>
        <v/>
      </c>
      <c r="AL18" s="22" t="str">
        <f ca="1">IF(C18&lt;&gt;"",OFFSET('Player Game Board'!P10,AL6-1,A18)&amp;" - "&amp;OFFSET('Player Game Board'!Q10,AL6-1,A18),"")</f>
        <v/>
      </c>
      <c r="AM18" s="22" t="str">
        <f ca="1">IF(C18&lt;&gt;"",OFFSET('Player Game Board'!P10,AM6-1,A18)&amp;" - "&amp;OFFSET('Player Game Board'!Q10,AM6-1,A18),"")</f>
        <v/>
      </c>
      <c r="AN18" s="22" t="str">
        <f ca="1">IF(C18&lt;&gt;"",OFFSET('Player Game Board'!P10,AN6-1,A18)&amp;" - "&amp;OFFSET('Player Game Board'!Q10,AN6-1,A18),"")</f>
        <v/>
      </c>
      <c r="AO18" s="22" t="str">
        <f ca="1">IF(C18&lt;&gt;"",OFFSET('Player Game Board'!P10,AO6-1,A18)&amp;" - "&amp;OFFSET('Player Game Board'!Q10,AO6-1,A18),"")</f>
        <v/>
      </c>
      <c r="AP18" s="22" t="str">
        <f ca="1">IF(C18&lt;&gt;"",OFFSET('Player Game Board'!P10,AP6-1,A18)&amp;" - "&amp;OFFSET('Player Game Board'!Q10,AP6-1,A18),"")</f>
        <v/>
      </c>
      <c r="AQ18" s="22" t="str">
        <f ca="1">IF(C18&lt;&gt;"",OFFSET('Player Game Board'!P10,AQ6+14,A18)&amp;" - "&amp;OFFSET('Player Game Board'!Q10,AQ6+14,A18),"")</f>
        <v/>
      </c>
      <c r="AR18" s="22" t="str">
        <f ca="1">IF(C18&lt;&gt;"",OFFSET('Player Game Board'!P10,AR6+14,A18)&amp;" - "&amp;OFFSET('Player Game Board'!Q10,AR6+14,A18),"")</f>
        <v/>
      </c>
      <c r="AS18" s="22" t="str">
        <f ca="1">IF(C18&lt;&gt;"",OFFSET('Player Game Board'!P10,AS6+14,A18)&amp;" - "&amp;OFFSET('Player Game Board'!Q10,AS6+14,A18),"")</f>
        <v/>
      </c>
      <c r="AT18" s="22" t="str">
        <f ca="1">IF(C18&lt;&gt;"",OFFSET('Player Game Board'!P10,AT6+14,A18)&amp;" - "&amp;OFFSET('Player Game Board'!Q10,AT6+14,A18),"")</f>
        <v/>
      </c>
      <c r="AU18" s="22" t="str">
        <f ca="1">IF(C18&lt;&gt;"",OFFSET('Player Game Board'!P10,AU6+14,A18)&amp;" - "&amp;OFFSET('Player Game Board'!Q10,AU6+14,A18),"")</f>
        <v/>
      </c>
      <c r="AV18" s="22" t="str">
        <f ca="1">IF(C18&lt;&gt;"",OFFSET('Player Game Board'!P10,AV6+14,A18)&amp;" - "&amp;OFFSET('Player Game Board'!Q10,AV6+14,A18),"")</f>
        <v/>
      </c>
      <c r="AW18" s="22" t="str">
        <f ca="1">IF(C18&lt;&gt;"",OFFSET('Player Game Board'!P10,AW6+14,A18)&amp;" - "&amp;OFFSET('Player Game Board'!Q10,AW6+14,A18),"")</f>
        <v/>
      </c>
      <c r="AX18" s="22" t="str">
        <f ca="1">IF(C18&lt;&gt;"",OFFSET('Player Game Board'!P10,AX6+14,A18)&amp;" - "&amp;OFFSET('Player Game Board'!Q10,AX6+14,A18),"")</f>
        <v/>
      </c>
      <c r="AY18" s="22" t="str">
        <f ca="1">IF(C18&lt;&gt;"",OFFSET('Player Game Board'!P10,AY6+14,A18)&amp;" - "&amp;OFFSET('Player Game Board'!Q10,AY6+14,A18),"")</f>
        <v/>
      </c>
      <c r="AZ18" s="22" t="str">
        <f ca="1">IF(C18&lt;&gt;"",OFFSET('Player Game Board'!P10,AZ6+14,A18)&amp;" - "&amp;OFFSET('Player Game Board'!Q10,AZ6+14,A18),"")</f>
        <v/>
      </c>
      <c r="BA18" s="22" t="str">
        <f ca="1">IF(C18&lt;&gt;"",OFFSET('Player Game Board'!P10,BA6+14,A18)&amp;" - "&amp;OFFSET('Player Game Board'!Q10,BA6+14,A18),"")</f>
        <v/>
      </c>
      <c r="BB18" s="22" t="str">
        <f ca="1">IF(C18&lt;&gt;"",OFFSET('Player Game Board'!P10,BB6+14,A18)&amp;" - "&amp;OFFSET('Player Game Board'!Q10,BB6+14,A18),"")</f>
        <v/>
      </c>
      <c r="BC18" s="22" t="str">
        <f ca="1">IF(C18&lt;&gt;"",OFFSET('Player Game Board'!P10,BC6+14,A18)&amp;" - "&amp;OFFSET('Player Game Board'!Q10,BC6+14,A18),"")</f>
        <v/>
      </c>
      <c r="BD18" s="22" t="str">
        <f ca="1">IF(C18&lt;&gt;"",OFFSET('Player Game Board'!P10,BD6+14,A18)&amp;" - "&amp;OFFSET('Player Game Board'!Q10,BD6+14,A18),"")</f>
        <v/>
      </c>
      <c r="BE18" s="22" t="str">
        <f ca="1">IF(C18&lt;&gt;"",OFFSET('Player Game Board'!P10,BE6+14,A18)&amp;" - "&amp;OFFSET('Player Game Board'!Q10,BE6+14,A18),"")</f>
        <v/>
      </c>
    </row>
    <row r="19" spans="1:57" ht="14.4" x14ac:dyDescent="0.3">
      <c r="A19" s="133">
        <f t="shared" si="4"/>
        <v>90</v>
      </c>
      <c r="B19" s="29">
        <v>10</v>
      </c>
      <c r="C19" s="272" t="str">
        <f>IF('Player Setup'!C15&lt;&gt;"",'Player Setup'!C15,"")</f>
        <v/>
      </c>
      <c r="D19" s="22">
        <f t="shared" ca="1" si="3"/>
        <v>0</v>
      </c>
      <c r="E19" s="23">
        <f ca="1">IF(C19&lt;&gt;"",OFFSET('Player Game Board'!N9,G6-1,A19),0)</f>
        <v>0</v>
      </c>
      <c r="F19" s="22">
        <f ca="1">IF(C19&lt;&gt;"",OFFSET('Player Game Board'!N52,G6-1,A19),0)</f>
        <v>0</v>
      </c>
      <c r="G19" s="22" t="str">
        <f ca="1">IF(C19&lt;&gt;"",OFFSET('Player Game Board'!P10,G6-1,A19)&amp;" - "&amp;OFFSET('Player Game Board'!Q10,G6-1,A19),"")</f>
        <v/>
      </c>
      <c r="H19" s="22" t="str">
        <f ca="1">IF(C19&lt;&gt;"",OFFSET('Player Game Board'!P10,H6-1,A19)&amp;" - "&amp;OFFSET('Player Game Board'!Q10,H6-1,A19),"")</f>
        <v/>
      </c>
      <c r="I19" s="22" t="str">
        <f ca="1">IF(C19&lt;&gt;"",OFFSET('Player Game Board'!P10,I6-1,A19)&amp;" - "&amp;OFFSET('Player Game Board'!Q10,I6-1,A19),"")</f>
        <v/>
      </c>
      <c r="J19" s="22" t="str">
        <f ca="1">IF(C19&lt;&gt;"",OFFSET('Player Game Board'!P10,J6-1,A19)&amp;" - "&amp;OFFSET('Player Game Board'!Q10,J6-1,A19),"")</f>
        <v/>
      </c>
      <c r="K19" s="22" t="str">
        <f ca="1">IF(C19&lt;&gt;"",OFFSET('Player Game Board'!P10,K6-1,A19)&amp;" - "&amp;OFFSET('Player Game Board'!Q10,K6-1,A19),"")</f>
        <v/>
      </c>
      <c r="L19" s="22" t="str">
        <f ca="1">IF(C19&lt;&gt;"",OFFSET('Player Game Board'!P10,L6-1,A19)&amp;" - "&amp;OFFSET('Player Game Board'!Q10,L6-1,A19),"")</f>
        <v/>
      </c>
      <c r="M19" s="22" t="str">
        <f ca="1">IF(C19&lt;&gt;"",OFFSET('Player Game Board'!P10,M6-1,A19)&amp;" - "&amp;OFFSET('Player Game Board'!Q10,M6-1,A19),"")</f>
        <v/>
      </c>
      <c r="N19" s="22" t="str">
        <f ca="1">IF(C19&lt;&gt;"",OFFSET('Player Game Board'!P10,N6-1,A19)&amp;" - "&amp;OFFSET('Player Game Board'!Q10,N6-1,A19),"")</f>
        <v/>
      </c>
      <c r="O19" s="22" t="str">
        <f ca="1">IF(C19&lt;&gt;"",OFFSET('Player Game Board'!P10,O6-1,A19)&amp;" - "&amp;OFFSET('Player Game Board'!Q10,O6-1,A19),"")</f>
        <v/>
      </c>
      <c r="P19" s="22" t="str">
        <f ca="1">IF(C19&lt;&gt;"",OFFSET('Player Game Board'!P10,P6-1,A19)&amp;" - "&amp;OFFSET('Player Game Board'!Q10,P6-1,A19),"")</f>
        <v/>
      </c>
      <c r="Q19" s="22" t="str">
        <f ca="1">IF(C19&lt;&gt;"",OFFSET('Player Game Board'!P10,Q6-1,A19)&amp;" - "&amp;OFFSET('Player Game Board'!Q10,Q6-1,A19),"")</f>
        <v/>
      </c>
      <c r="R19" s="22" t="str">
        <f ca="1">IF(C19&lt;&gt;"",OFFSET('Player Game Board'!P10,R6-1,A19)&amp;" - "&amp;OFFSET('Player Game Board'!Q10,R6-1,A19),"")</f>
        <v/>
      </c>
      <c r="S19" s="22" t="str">
        <f ca="1">IF(C19&lt;&gt;"",OFFSET('Player Game Board'!P10,S6-1,A19)&amp;" - "&amp;OFFSET('Player Game Board'!Q10,S6-1,A19),"")</f>
        <v/>
      </c>
      <c r="T19" s="22" t="str">
        <f ca="1">IF(C19&lt;&gt;"",OFFSET('Player Game Board'!P10,T6-1,A19)&amp;" - "&amp;OFFSET('Player Game Board'!Q10,T6-1,A19),"")</f>
        <v/>
      </c>
      <c r="U19" s="22" t="str">
        <f ca="1">IF(C19&lt;&gt;"",OFFSET('Player Game Board'!P10,U6-1,A19)&amp;" - "&amp;OFFSET('Player Game Board'!Q10,U6-1,A19),"")</f>
        <v/>
      </c>
      <c r="V19" s="22" t="str">
        <f ca="1">IF(C19&lt;&gt;"",OFFSET('Player Game Board'!P10,V6-1,A19)&amp;" - "&amp;OFFSET('Player Game Board'!Q10,V6-1,A19),"")</f>
        <v/>
      </c>
      <c r="W19" s="22" t="str">
        <f ca="1">IF(C19&lt;&gt;"",OFFSET('Player Game Board'!P10,W6-1,A19)&amp;" - "&amp;OFFSET('Player Game Board'!Q10,W6-1,A19),"")</f>
        <v/>
      </c>
      <c r="X19" s="22" t="str">
        <f ca="1">IF(C19&lt;&gt;"",OFFSET('Player Game Board'!P10,X6-1,A19)&amp;" - "&amp;OFFSET('Player Game Board'!Q10,X6-1,A19),"")</f>
        <v/>
      </c>
      <c r="Y19" s="22" t="str">
        <f ca="1">IF(C19&lt;&gt;"",OFFSET('Player Game Board'!P10,Y6-1,A19)&amp;" - "&amp;OFFSET('Player Game Board'!Q10,Y6-1,A19),"")</f>
        <v/>
      </c>
      <c r="Z19" s="22" t="str">
        <f ca="1">IF(C19&lt;&gt;"",OFFSET('Player Game Board'!P10,Z6-1,A19)&amp;" - "&amp;OFFSET('Player Game Board'!Q10,Z6-1,A19),"")</f>
        <v/>
      </c>
      <c r="AA19" s="22" t="str">
        <f ca="1">IF(C19&lt;&gt;"",OFFSET('Player Game Board'!P10,AA6-1,A19)&amp;" - "&amp;OFFSET('Player Game Board'!Q10,AA6-1,A19),"")</f>
        <v/>
      </c>
      <c r="AB19" s="22" t="str">
        <f ca="1">IF(C19&lt;&gt;"",OFFSET('Player Game Board'!P10,AB6-1,A19)&amp;" - "&amp;OFFSET('Player Game Board'!Q10,AB6-1,A19),"")</f>
        <v/>
      </c>
      <c r="AC19" s="22" t="str">
        <f ca="1">IF(C19&lt;&gt;"",OFFSET('Player Game Board'!P10,AC6-1,A19)&amp;" - "&amp;OFFSET('Player Game Board'!Q10,AC6-1,A19),"")</f>
        <v/>
      </c>
      <c r="AD19" s="22" t="str">
        <f ca="1">IF(C19&lt;&gt;"",OFFSET('Player Game Board'!P10,AD6-1,A19)&amp;" - "&amp;OFFSET('Player Game Board'!Q10,AD6-1,A19),"")</f>
        <v/>
      </c>
      <c r="AE19" s="22" t="str">
        <f ca="1">IF(C19&lt;&gt;"",OFFSET('Player Game Board'!P10,AE6-1,A19)&amp;" - "&amp;OFFSET('Player Game Board'!Q10,AE6-1,A19),"")</f>
        <v/>
      </c>
      <c r="AF19" s="22" t="str">
        <f ca="1">IF(C19&lt;&gt;"",OFFSET('Player Game Board'!P10,AF6-1,A19)&amp;" - "&amp;OFFSET('Player Game Board'!Q10,AF6-1,A19),"")</f>
        <v/>
      </c>
      <c r="AG19" s="22" t="str">
        <f ca="1">IF(C19&lt;&gt;"",OFFSET('Player Game Board'!P10,AG6-1,A19)&amp;" - "&amp;OFFSET('Player Game Board'!Q10,AG6-1,A19),"")</f>
        <v/>
      </c>
      <c r="AH19" s="22" t="str">
        <f ca="1">IF(C19&lt;&gt;"",OFFSET('Player Game Board'!P10,AH6-1,A19)&amp;" - "&amp;OFFSET('Player Game Board'!Q10,AH6-1,A19),"")</f>
        <v/>
      </c>
      <c r="AI19" s="22" t="str">
        <f ca="1">IF(C19&lt;&gt;"",OFFSET('Player Game Board'!P10,AI6-1,A19)&amp;" - "&amp;OFFSET('Player Game Board'!Q10,AI6-1,A19),"")</f>
        <v/>
      </c>
      <c r="AJ19" s="22" t="str">
        <f ca="1">IF(C19&lt;&gt;"",OFFSET('Player Game Board'!P10,AJ6-1,A19)&amp;" - "&amp;OFFSET('Player Game Board'!Q10,AJ6-1,A19),"")</f>
        <v/>
      </c>
      <c r="AK19" s="22" t="str">
        <f ca="1">IF(C19&lt;&gt;"",OFFSET('Player Game Board'!P10,AK6-1,A19)&amp;" - "&amp;OFFSET('Player Game Board'!Q10,AK6-1,A19),"")</f>
        <v/>
      </c>
      <c r="AL19" s="22" t="str">
        <f ca="1">IF(C19&lt;&gt;"",OFFSET('Player Game Board'!P10,AL6-1,A19)&amp;" - "&amp;OFFSET('Player Game Board'!Q10,AL6-1,A19),"")</f>
        <v/>
      </c>
      <c r="AM19" s="22" t="str">
        <f ca="1">IF(C19&lt;&gt;"",OFFSET('Player Game Board'!P10,AM6-1,A19)&amp;" - "&amp;OFFSET('Player Game Board'!Q10,AM6-1,A19),"")</f>
        <v/>
      </c>
      <c r="AN19" s="22" t="str">
        <f ca="1">IF(C19&lt;&gt;"",OFFSET('Player Game Board'!P10,AN6-1,A19)&amp;" - "&amp;OFFSET('Player Game Board'!Q10,AN6-1,A19),"")</f>
        <v/>
      </c>
      <c r="AO19" s="22" t="str">
        <f ca="1">IF(C19&lt;&gt;"",OFFSET('Player Game Board'!P10,AO6-1,A19)&amp;" - "&amp;OFFSET('Player Game Board'!Q10,AO6-1,A19),"")</f>
        <v/>
      </c>
      <c r="AP19" s="22" t="str">
        <f ca="1">IF(C19&lt;&gt;"",OFFSET('Player Game Board'!P10,AP6-1,A19)&amp;" - "&amp;OFFSET('Player Game Board'!Q10,AP6-1,A19),"")</f>
        <v/>
      </c>
      <c r="AQ19" s="22" t="str">
        <f ca="1">IF(C19&lt;&gt;"",OFFSET('Player Game Board'!P10,AQ6+14,A19)&amp;" - "&amp;OFFSET('Player Game Board'!Q10,AQ6+14,A19),"")</f>
        <v/>
      </c>
      <c r="AR19" s="22" t="str">
        <f ca="1">IF(C19&lt;&gt;"",OFFSET('Player Game Board'!P10,AR6+14,A19)&amp;" - "&amp;OFFSET('Player Game Board'!Q10,AR6+14,A19),"")</f>
        <v/>
      </c>
      <c r="AS19" s="22" t="str">
        <f ca="1">IF(C19&lt;&gt;"",OFFSET('Player Game Board'!P10,AS6+14,A19)&amp;" - "&amp;OFFSET('Player Game Board'!Q10,AS6+14,A19),"")</f>
        <v/>
      </c>
      <c r="AT19" s="22" t="str">
        <f ca="1">IF(C19&lt;&gt;"",OFFSET('Player Game Board'!P10,AT6+14,A19)&amp;" - "&amp;OFFSET('Player Game Board'!Q10,AT6+14,A19),"")</f>
        <v/>
      </c>
      <c r="AU19" s="22" t="str">
        <f ca="1">IF(C19&lt;&gt;"",OFFSET('Player Game Board'!P10,AU6+14,A19)&amp;" - "&amp;OFFSET('Player Game Board'!Q10,AU6+14,A19),"")</f>
        <v/>
      </c>
      <c r="AV19" s="22" t="str">
        <f ca="1">IF(C19&lt;&gt;"",OFFSET('Player Game Board'!P10,AV6+14,A19)&amp;" - "&amp;OFFSET('Player Game Board'!Q10,AV6+14,A19),"")</f>
        <v/>
      </c>
      <c r="AW19" s="22" t="str">
        <f ca="1">IF(C19&lt;&gt;"",OFFSET('Player Game Board'!P10,AW6+14,A19)&amp;" - "&amp;OFFSET('Player Game Board'!Q10,AW6+14,A19),"")</f>
        <v/>
      </c>
      <c r="AX19" s="22" t="str">
        <f ca="1">IF(C19&lt;&gt;"",OFFSET('Player Game Board'!P10,AX6+14,A19)&amp;" - "&amp;OFFSET('Player Game Board'!Q10,AX6+14,A19),"")</f>
        <v/>
      </c>
      <c r="AY19" s="22" t="str">
        <f ca="1">IF(C19&lt;&gt;"",OFFSET('Player Game Board'!P10,AY6+14,A19)&amp;" - "&amp;OFFSET('Player Game Board'!Q10,AY6+14,A19),"")</f>
        <v/>
      </c>
      <c r="AZ19" s="22" t="str">
        <f ca="1">IF(C19&lt;&gt;"",OFFSET('Player Game Board'!P10,AZ6+14,A19)&amp;" - "&amp;OFFSET('Player Game Board'!Q10,AZ6+14,A19),"")</f>
        <v/>
      </c>
      <c r="BA19" s="22" t="str">
        <f ca="1">IF(C19&lt;&gt;"",OFFSET('Player Game Board'!P10,BA6+14,A19)&amp;" - "&amp;OFFSET('Player Game Board'!Q10,BA6+14,A19),"")</f>
        <v/>
      </c>
      <c r="BB19" s="22" t="str">
        <f ca="1">IF(C19&lt;&gt;"",OFFSET('Player Game Board'!P10,BB6+14,A19)&amp;" - "&amp;OFFSET('Player Game Board'!Q10,BB6+14,A19),"")</f>
        <v/>
      </c>
      <c r="BC19" s="22" t="str">
        <f ca="1">IF(C19&lt;&gt;"",OFFSET('Player Game Board'!P10,BC6+14,A19)&amp;" - "&amp;OFFSET('Player Game Board'!Q10,BC6+14,A19),"")</f>
        <v/>
      </c>
      <c r="BD19" s="22" t="str">
        <f ca="1">IF(C19&lt;&gt;"",OFFSET('Player Game Board'!P10,BD6+14,A19)&amp;" - "&amp;OFFSET('Player Game Board'!Q10,BD6+14,A19),"")</f>
        <v/>
      </c>
      <c r="BE19" s="22" t="str">
        <f ca="1">IF(C19&lt;&gt;"",OFFSET('Player Game Board'!P10,BE6+14,A19)&amp;" - "&amp;OFFSET('Player Game Board'!Q10,BE6+14,A19),"")</f>
        <v/>
      </c>
    </row>
    <row r="20" spans="1:57" x14ac:dyDescent="0.3">
      <c r="B20" s="9" t="s">
        <v>179</v>
      </c>
    </row>
    <row r="21" spans="1:57" x14ac:dyDescent="0.3">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8671875" defaultRowHeight="14.4" x14ac:dyDescent="0.25"/>
  <cols>
    <col min="1" max="1" width="2.44140625" style="3" customWidth="1"/>
    <col min="2" max="2" width="3.109375" style="3" bestFit="1" customWidth="1"/>
    <col min="3" max="3" width="36.88671875" style="3" customWidth="1"/>
    <col min="4" max="4" width="3.44140625" style="189" customWidth="1"/>
    <col min="5" max="5" width="59" style="3" bestFit="1" customWidth="1"/>
    <col min="6" max="16384" width="8.88671875" style="3"/>
  </cols>
  <sheetData>
    <row r="1" spans="2:8" s="13" customFormat="1" ht="7.35" customHeight="1" x14ac:dyDescent="0.25">
      <c r="D1" s="185"/>
    </row>
    <row r="2" spans="2:8" s="4" customFormat="1" ht="7.35" customHeight="1" x14ac:dyDescent="0.25">
      <c r="D2" s="186"/>
    </row>
    <row r="3" spans="2:8" s="4" customFormat="1" ht="30" customHeight="1" x14ac:dyDescent="0.25">
      <c r="B3" s="18" t="s">
        <v>180</v>
      </c>
      <c r="C3" s="18"/>
      <c r="D3" s="187"/>
      <c r="E3" s="15"/>
      <c r="F3" s="15"/>
      <c r="G3" s="15"/>
      <c r="H3" s="15"/>
    </row>
    <row r="4" spans="2:8" s="4" customFormat="1" ht="5.0999999999999996" customHeight="1" x14ac:dyDescent="0.25">
      <c r="B4" s="18"/>
      <c r="C4" s="18"/>
      <c r="D4" s="187"/>
      <c r="E4" s="15"/>
      <c r="F4" s="15"/>
      <c r="G4" s="15"/>
      <c r="H4" s="15"/>
    </row>
    <row r="5" spans="2:8" ht="15" customHeight="1" x14ac:dyDescent="0.25">
      <c r="B5" s="138" t="s">
        <v>181</v>
      </c>
      <c r="C5" s="138"/>
    </row>
    <row r="6" spans="2:8" ht="15" customHeight="1" x14ac:dyDescent="0.25">
      <c r="B6" s="137">
        <v>1</v>
      </c>
      <c r="C6" s="39" t="s">
        <v>182</v>
      </c>
      <c r="D6" s="188" t="s">
        <v>14</v>
      </c>
      <c r="E6" s="412" t="s">
        <v>183</v>
      </c>
    </row>
    <row r="7" spans="2:8" ht="15" customHeight="1" x14ac:dyDescent="0.25">
      <c r="B7" s="137">
        <v>2</v>
      </c>
      <c r="C7" s="39" t="s">
        <v>184</v>
      </c>
      <c r="E7" s="412"/>
    </row>
    <row r="8" spans="2:8" ht="15" customHeight="1" x14ac:dyDescent="0.25">
      <c r="B8" s="137">
        <v>3</v>
      </c>
      <c r="C8" s="39" t="s">
        <v>185</v>
      </c>
      <c r="E8" s="412"/>
    </row>
    <row r="9" spans="2:8" ht="15" customHeight="1" x14ac:dyDescent="0.25">
      <c r="B9" s="137">
        <v>4</v>
      </c>
      <c r="C9" s="39" t="s">
        <v>186</v>
      </c>
      <c r="E9" s="412"/>
    </row>
    <row r="10" spans="2:8" ht="15" customHeight="1" x14ac:dyDescent="0.25">
      <c r="B10" s="137">
        <v>5</v>
      </c>
      <c r="C10" s="39" t="s">
        <v>187</v>
      </c>
      <c r="E10" s="412"/>
    </row>
    <row r="11" spans="2:8" ht="15" customHeight="1" x14ac:dyDescent="0.25">
      <c r="B11" s="137">
        <v>6</v>
      </c>
      <c r="C11" s="39" t="s">
        <v>188</v>
      </c>
      <c r="E11" s="412"/>
    </row>
    <row r="12" spans="2:8" ht="15" customHeight="1" x14ac:dyDescent="0.25">
      <c r="B12" s="137">
        <v>7</v>
      </c>
      <c r="C12" s="39" t="s">
        <v>189</v>
      </c>
      <c r="E12" s="412"/>
    </row>
    <row r="13" spans="2:8" ht="15" customHeight="1" x14ac:dyDescent="0.25">
      <c r="B13" s="137">
        <v>8</v>
      </c>
      <c r="C13" s="39" t="s">
        <v>190</v>
      </c>
      <c r="E13" s="412"/>
    </row>
    <row r="14" spans="2:8" ht="15" customHeight="1" x14ac:dyDescent="0.25">
      <c r="B14" s="137">
        <v>9</v>
      </c>
      <c r="C14" s="39" t="s">
        <v>191</v>
      </c>
      <c r="E14" s="412"/>
    </row>
    <row r="15" spans="2:8" ht="15" customHeight="1" x14ac:dyDescent="0.25">
      <c r="B15" s="137">
        <v>10</v>
      </c>
      <c r="C15" s="39" t="s">
        <v>192</v>
      </c>
    </row>
    <row r="16" spans="2:8" ht="15" customHeight="1" x14ac:dyDescent="0.25">
      <c r="B16" s="137">
        <v>11</v>
      </c>
      <c r="C16" s="39" t="s">
        <v>193</v>
      </c>
    </row>
    <row r="17" spans="2:3" ht="15" customHeight="1" x14ac:dyDescent="0.25">
      <c r="B17" s="137">
        <v>12</v>
      </c>
      <c r="C17" s="39" t="s">
        <v>194</v>
      </c>
    </row>
    <row r="18" spans="2:3" ht="15" customHeight="1" x14ac:dyDescent="0.25">
      <c r="B18" s="137">
        <v>13</v>
      </c>
      <c r="C18" s="39" t="s">
        <v>195</v>
      </c>
    </row>
    <row r="19" spans="2:3" ht="15" customHeight="1" x14ac:dyDescent="0.25">
      <c r="B19" s="137">
        <v>14</v>
      </c>
      <c r="C19" s="39" t="s">
        <v>196</v>
      </c>
    </row>
    <row r="20" spans="2:3" ht="15" customHeight="1" x14ac:dyDescent="0.25">
      <c r="B20" s="137">
        <v>15</v>
      </c>
      <c r="C20" s="39" t="s">
        <v>197</v>
      </c>
    </row>
    <row r="21" spans="2:3" ht="15" customHeight="1" x14ac:dyDescent="0.25">
      <c r="B21" s="137">
        <v>16</v>
      </c>
      <c r="C21" s="39" t="s">
        <v>198</v>
      </c>
    </row>
    <row r="22" spans="2:3" ht="15" customHeight="1" x14ac:dyDescent="0.25">
      <c r="B22" s="137">
        <v>17</v>
      </c>
      <c r="C22" s="39" t="s">
        <v>199</v>
      </c>
    </row>
    <row r="23" spans="2:3" ht="15" customHeight="1" x14ac:dyDescent="0.25">
      <c r="B23" s="137">
        <v>18</v>
      </c>
      <c r="C23" s="39" t="s">
        <v>200</v>
      </c>
    </row>
    <row r="24" spans="2:3" ht="15" customHeight="1" x14ac:dyDescent="0.25">
      <c r="B24" s="137">
        <v>19</v>
      </c>
      <c r="C24" s="39" t="s">
        <v>201</v>
      </c>
    </row>
    <row r="25" spans="2:3" ht="15" customHeight="1" x14ac:dyDescent="0.25">
      <c r="B25" s="137">
        <v>20</v>
      </c>
      <c r="C25" s="39" t="s">
        <v>202</v>
      </c>
    </row>
    <row r="26" spans="2:3" ht="15" customHeight="1" x14ac:dyDescent="0.25">
      <c r="B26" s="137">
        <v>21</v>
      </c>
      <c r="C26" s="39" t="s">
        <v>203</v>
      </c>
    </row>
    <row r="27" spans="2:3" ht="15" customHeight="1" x14ac:dyDescent="0.25">
      <c r="B27" s="137">
        <v>22</v>
      </c>
      <c r="C27" s="39" t="s">
        <v>204</v>
      </c>
    </row>
    <row r="28" spans="2:3" ht="15" customHeight="1" x14ac:dyDescent="0.25">
      <c r="B28" s="137">
        <v>23</v>
      </c>
      <c r="C28" s="39" t="s">
        <v>205</v>
      </c>
    </row>
    <row r="29" spans="2:3" ht="15" customHeight="1" x14ac:dyDescent="0.25">
      <c r="B29" s="137">
        <v>24</v>
      </c>
      <c r="C29" s="39" t="s">
        <v>206</v>
      </c>
    </row>
    <row r="30" spans="2:3" ht="15" customHeight="1" x14ac:dyDescent="0.25">
      <c r="B30" s="137">
        <v>25</v>
      </c>
      <c r="C30" s="39" t="s">
        <v>181</v>
      </c>
    </row>
    <row r="31" spans="2:3" ht="15" customHeight="1" x14ac:dyDescent="0.25">
      <c r="B31" s="137">
        <v>26</v>
      </c>
      <c r="C31" s="39" t="s">
        <v>207</v>
      </c>
    </row>
    <row r="32" spans="2:3" ht="15" customHeight="1" x14ac:dyDescent="0.25">
      <c r="B32" s="137">
        <v>27</v>
      </c>
      <c r="C32" s="39" t="s">
        <v>167</v>
      </c>
    </row>
    <row r="33" spans="2:3" ht="15" customHeight="1" x14ac:dyDescent="0.25">
      <c r="B33" s="137">
        <v>28</v>
      </c>
      <c r="C33" s="39" t="s">
        <v>208</v>
      </c>
    </row>
    <row r="34" spans="2:3" ht="15" customHeight="1" x14ac:dyDescent="0.25">
      <c r="B34" s="137">
        <v>29</v>
      </c>
      <c r="C34" s="39" t="s">
        <v>209</v>
      </c>
    </row>
    <row r="35" spans="2:3" ht="15" customHeight="1" x14ac:dyDescent="0.25">
      <c r="B35" s="137">
        <v>30</v>
      </c>
      <c r="C35" s="39" t="s">
        <v>177</v>
      </c>
    </row>
    <row r="36" spans="2:3" ht="15" customHeight="1" x14ac:dyDescent="0.25">
      <c r="B36" s="137">
        <v>31</v>
      </c>
      <c r="C36" s="39" t="s">
        <v>210</v>
      </c>
    </row>
    <row r="37" spans="2:3" ht="15" customHeight="1" x14ac:dyDescent="0.25">
      <c r="B37" s="137">
        <v>32</v>
      </c>
      <c r="C37" s="39" t="s">
        <v>211</v>
      </c>
    </row>
    <row r="38" spans="2:3" ht="15" customHeight="1" x14ac:dyDescent="0.25">
      <c r="B38" s="137">
        <v>33</v>
      </c>
      <c r="C38" s="39" t="s">
        <v>100</v>
      </c>
    </row>
    <row r="39" spans="2:3" ht="15" customHeight="1" x14ac:dyDescent="0.25">
      <c r="B39" s="137">
        <v>34</v>
      </c>
      <c r="C39" s="39" t="s">
        <v>212</v>
      </c>
    </row>
    <row r="40" spans="2:3" ht="15" customHeight="1" x14ac:dyDescent="0.25">
      <c r="B40" s="137">
        <v>35</v>
      </c>
      <c r="C40" s="39" t="s">
        <v>160</v>
      </c>
    </row>
    <row r="41" spans="2:3" ht="15" customHeight="1" x14ac:dyDescent="0.25">
      <c r="B41" s="137">
        <v>36</v>
      </c>
      <c r="C41" s="39" t="s">
        <v>213</v>
      </c>
    </row>
    <row r="42" spans="2:3" ht="15" customHeight="1" x14ac:dyDescent="0.25">
      <c r="B42" s="137">
        <v>37</v>
      </c>
      <c r="C42" s="39" t="s">
        <v>214</v>
      </c>
    </row>
    <row r="43" spans="2:3" ht="15" customHeight="1" x14ac:dyDescent="0.25">
      <c r="B43" s="137">
        <v>38</v>
      </c>
      <c r="C43" s="39" t="s">
        <v>215</v>
      </c>
    </row>
    <row r="44" spans="2:3" ht="15" customHeight="1" x14ac:dyDescent="0.25">
      <c r="B44" s="137">
        <v>39</v>
      </c>
      <c r="C44" s="39" t="s">
        <v>107</v>
      </c>
    </row>
    <row r="45" spans="2:3" ht="15" customHeight="1" x14ac:dyDescent="0.25">
      <c r="B45" s="137">
        <v>40</v>
      </c>
      <c r="C45" s="39" t="s">
        <v>108</v>
      </c>
    </row>
    <row r="46" spans="2:3" ht="15" customHeight="1" x14ac:dyDescent="0.25">
      <c r="B46" s="137">
        <v>41</v>
      </c>
      <c r="C46" s="39" t="s">
        <v>216</v>
      </c>
    </row>
    <row r="47" spans="2:3" ht="15" customHeight="1" x14ac:dyDescent="0.25">
      <c r="B47" s="137">
        <v>42</v>
      </c>
      <c r="C47" s="39" t="s">
        <v>217</v>
      </c>
    </row>
    <row r="48" spans="2:3" ht="15" customHeight="1" x14ac:dyDescent="0.25">
      <c r="B48" s="137">
        <v>43</v>
      </c>
      <c r="C48" s="39" t="s">
        <v>218</v>
      </c>
    </row>
    <row r="49" spans="2:3" ht="15" customHeight="1" x14ac:dyDescent="0.25">
      <c r="B49" s="137">
        <v>44</v>
      </c>
      <c r="C49" s="39" t="s">
        <v>219</v>
      </c>
    </row>
    <row r="50" spans="2:3" ht="15" customHeight="1" x14ac:dyDescent="0.25">
      <c r="B50" s="137">
        <v>45</v>
      </c>
      <c r="C50" s="39" t="s">
        <v>220</v>
      </c>
    </row>
    <row r="51" spans="2:3" ht="15" customHeight="1" x14ac:dyDescent="0.25">
      <c r="B51" s="137">
        <v>46</v>
      </c>
      <c r="C51" s="39" t="s">
        <v>221</v>
      </c>
    </row>
    <row r="52" spans="2:3" ht="15" customHeight="1" x14ac:dyDescent="0.25">
      <c r="B52" s="137">
        <v>47</v>
      </c>
      <c r="C52" s="39" t="s">
        <v>222</v>
      </c>
    </row>
    <row r="53" spans="2:3" ht="15" customHeight="1" x14ac:dyDescent="0.25">
      <c r="B53" s="137">
        <v>48</v>
      </c>
      <c r="C53" s="39" t="s">
        <v>223</v>
      </c>
    </row>
    <row r="54" spans="2:3" ht="15" customHeight="1" x14ac:dyDescent="0.25">
      <c r="B54" s="137">
        <v>49</v>
      </c>
      <c r="C54" s="39" t="s">
        <v>224</v>
      </c>
    </row>
    <row r="55" spans="2:3" ht="15" customHeight="1" x14ac:dyDescent="0.25">
      <c r="B55" s="137">
        <v>50</v>
      </c>
      <c r="C55" s="39" t="s">
        <v>225</v>
      </c>
    </row>
    <row r="56" spans="2:3" ht="15" customHeight="1" x14ac:dyDescent="0.25">
      <c r="B56" s="137">
        <v>51</v>
      </c>
      <c r="C56" s="39" t="s">
        <v>226</v>
      </c>
    </row>
    <row r="57" spans="2:3" ht="15" customHeight="1" x14ac:dyDescent="0.25">
      <c r="B57" s="137">
        <v>52</v>
      </c>
      <c r="C57" s="39" t="s">
        <v>227</v>
      </c>
    </row>
    <row r="58" spans="2:3" ht="15" customHeight="1" x14ac:dyDescent="0.25">
      <c r="B58" s="137">
        <v>53</v>
      </c>
      <c r="C58" s="39" t="s">
        <v>228</v>
      </c>
    </row>
    <row r="59" spans="2:3" ht="15" customHeight="1" x14ac:dyDescent="0.25">
      <c r="B59" s="137">
        <v>54</v>
      </c>
      <c r="C59" s="39" t="s">
        <v>229</v>
      </c>
    </row>
    <row r="60" spans="2:3" ht="15" customHeight="1" x14ac:dyDescent="0.25">
      <c r="B60" s="137">
        <v>55</v>
      </c>
      <c r="C60" s="39" t="s">
        <v>230</v>
      </c>
    </row>
    <row r="61" spans="2:3" ht="15" customHeight="1" x14ac:dyDescent="0.25">
      <c r="B61" s="137">
        <v>56</v>
      </c>
      <c r="C61" s="39" t="s">
        <v>231</v>
      </c>
    </row>
    <row r="62" spans="2:3" ht="15" customHeight="1" x14ac:dyDescent="0.25">
      <c r="B62" s="137">
        <v>57</v>
      </c>
      <c r="C62" s="39" t="s">
        <v>232</v>
      </c>
    </row>
    <row r="63" spans="2:3" ht="15" customHeight="1" x14ac:dyDescent="0.25">
      <c r="B63" s="137">
        <v>58</v>
      </c>
      <c r="C63" s="39" t="s">
        <v>233</v>
      </c>
    </row>
    <row r="64" spans="2:3" ht="15" customHeight="1" x14ac:dyDescent="0.25">
      <c r="B64" s="137">
        <v>59</v>
      </c>
      <c r="C64" s="39" t="s">
        <v>234</v>
      </c>
    </row>
    <row r="65" spans="2:3" ht="15" customHeight="1" x14ac:dyDescent="0.25">
      <c r="B65" s="137">
        <v>60</v>
      </c>
      <c r="C65" s="39" t="s">
        <v>235</v>
      </c>
    </row>
    <row r="66" spans="2:3" ht="15" customHeight="1" x14ac:dyDescent="0.25">
      <c r="B66" s="137">
        <v>61</v>
      </c>
      <c r="C66" s="39" t="s">
        <v>236</v>
      </c>
    </row>
    <row r="67" spans="2:3" ht="15" customHeight="1" x14ac:dyDescent="0.25">
      <c r="B67" s="137">
        <v>62</v>
      </c>
      <c r="C67" s="39" t="s">
        <v>237</v>
      </c>
    </row>
    <row r="68" spans="2:3" ht="15" customHeight="1" x14ac:dyDescent="0.25">
      <c r="B68" s="137">
        <v>63</v>
      </c>
      <c r="C68" s="39" t="s">
        <v>238</v>
      </c>
    </row>
    <row r="69" spans="2:3" ht="15" customHeight="1" x14ac:dyDescent="0.25">
      <c r="B69" s="137">
        <v>64</v>
      </c>
      <c r="C69" s="39" t="s">
        <v>239</v>
      </c>
    </row>
    <row r="70" spans="2:3" ht="15" customHeight="1" x14ac:dyDescent="0.25">
      <c r="B70" s="137">
        <v>65</v>
      </c>
      <c r="C70" s="39" t="s">
        <v>240</v>
      </c>
    </row>
    <row r="71" spans="2:3" ht="15" customHeight="1" x14ac:dyDescent="0.25">
      <c r="B71" s="137">
        <v>66</v>
      </c>
      <c r="C71" s="39" t="s">
        <v>241</v>
      </c>
    </row>
    <row r="72" spans="2:3" ht="15" customHeight="1" x14ac:dyDescent="0.25">
      <c r="B72" s="137">
        <v>67</v>
      </c>
      <c r="C72" s="39" t="s">
        <v>242</v>
      </c>
    </row>
    <row r="73" spans="2:3" ht="15" customHeight="1" x14ac:dyDescent="0.25">
      <c r="B73" s="137">
        <v>68</v>
      </c>
      <c r="C73" s="39" t="s">
        <v>243</v>
      </c>
    </row>
    <row r="74" spans="2:3" ht="15" customHeight="1" x14ac:dyDescent="0.25">
      <c r="B74" s="137">
        <v>69</v>
      </c>
      <c r="C74" s="39" t="s">
        <v>244</v>
      </c>
    </row>
    <row r="75" spans="2:3" ht="15" customHeight="1" x14ac:dyDescent="0.25">
      <c r="B75" s="137">
        <v>70</v>
      </c>
      <c r="C75" s="39" t="s">
        <v>245</v>
      </c>
    </row>
    <row r="76" spans="2:3" ht="15" customHeight="1" x14ac:dyDescent="0.25">
      <c r="B76" s="137">
        <v>71</v>
      </c>
      <c r="C76" s="39" t="s">
        <v>246</v>
      </c>
    </row>
    <row r="77" spans="2:3" ht="15" customHeight="1" x14ac:dyDescent="0.25">
      <c r="B77" s="137">
        <v>72</v>
      </c>
      <c r="C77" s="39" t="s">
        <v>247</v>
      </c>
    </row>
    <row r="78" spans="2:3" ht="15" customHeight="1" x14ac:dyDescent="0.25">
      <c r="B78" s="137">
        <v>73</v>
      </c>
      <c r="C78" s="39" t="s">
        <v>248</v>
      </c>
    </row>
    <row r="79" spans="2:3" ht="15" customHeight="1" x14ac:dyDescent="0.25">
      <c r="B79" s="137">
        <v>74</v>
      </c>
      <c r="C79" s="39" t="s">
        <v>249</v>
      </c>
    </row>
    <row r="80" spans="2:3" ht="15" customHeight="1" x14ac:dyDescent="0.25">
      <c r="B80" s="137">
        <v>75</v>
      </c>
      <c r="C80" s="39" t="s">
        <v>250</v>
      </c>
    </row>
    <row r="81" spans="2:3" ht="15" customHeight="1" x14ac:dyDescent="0.25">
      <c r="B81" s="137">
        <v>76</v>
      </c>
      <c r="C81" s="39" t="s">
        <v>251</v>
      </c>
    </row>
    <row r="82" spans="2:3" ht="15" customHeight="1" x14ac:dyDescent="0.25">
      <c r="B82" s="137">
        <v>77</v>
      </c>
      <c r="C82" s="39" t="s">
        <v>252</v>
      </c>
    </row>
    <row r="83" spans="2:3" ht="15" customHeight="1" x14ac:dyDescent="0.25">
      <c r="B83" s="137">
        <v>78</v>
      </c>
      <c r="C83" s="39" t="s">
        <v>253</v>
      </c>
    </row>
    <row r="84" spans="2:3" ht="15" customHeight="1" x14ac:dyDescent="0.25">
      <c r="B84" s="137">
        <v>79</v>
      </c>
      <c r="C84" s="39" t="s">
        <v>254</v>
      </c>
    </row>
    <row r="85" spans="2:3" ht="15" customHeight="1" x14ac:dyDescent="0.25">
      <c r="B85" s="137">
        <v>80</v>
      </c>
      <c r="C85" s="39" t="s">
        <v>255</v>
      </c>
    </row>
    <row r="86" spans="2:3" ht="15" customHeight="1" x14ac:dyDescent="0.25">
      <c r="B86" s="137">
        <v>81</v>
      </c>
      <c r="C86" s="39" t="s">
        <v>256</v>
      </c>
    </row>
    <row r="87" spans="2:3" ht="15" customHeight="1" x14ac:dyDescent="0.25">
      <c r="B87" s="137">
        <v>82</v>
      </c>
      <c r="C87" s="39" t="s">
        <v>257</v>
      </c>
    </row>
    <row r="88" spans="2:3" ht="15" customHeight="1" x14ac:dyDescent="0.25">
      <c r="B88" s="137">
        <v>83</v>
      </c>
      <c r="C88" s="39" t="s">
        <v>258</v>
      </c>
    </row>
    <row r="89" spans="2:3" ht="15" customHeight="1" x14ac:dyDescent="0.25">
      <c r="B89" s="137">
        <v>84</v>
      </c>
      <c r="C89" s="39" t="s">
        <v>259</v>
      </c>
    </row>
    <row r="90" spans="2:3" ht="15" customHeight="1" x14ac:dyDescent="0.25">
      <c r="B90" s="137">
        <v>85</v>
      </c>
      <c r="C90" s="39" t="s">
        <v>260</v>
      </c>
    </row>
    <row r="91" spans="2:3" ht="15" customHeight="1" x14ac:dyDescent="0.25">
      <c r="B91" s="137">
        <v>86</v>
      </c>
      <c r="C91" s="39" t="s">
        <v>261</v>
      </c>
    </row>
    <row r="92" spans="2:3" ht="15" customHeight="1" x14ac:dyDescent="0.25">
      <c r="B92" s="137">
        <v>87</v>
      </c>
      <c r="C92" s="39" t="s">
        <v>262</v>
      </c>
    </row>
    <row r="93" spans="2:3" ht="15" customHeight="1" x14ac:dyDescent="0.25">
      <c r="B93" s="137">
        <v>88</v>
      </c>
      <c r="C93" s="39" t="s">
        <v>263</v>
      </c>
    </row>
    <row r="94" spans="2:3" ht="15" customHeight="1" x14ac:dyDescent="0.25">
      <c r="B94" s="137">
        <v>89</v>
      </c>
      <c r="C94" s="39" t="s">
        <v>264</v>
      </c>
    </row>
    <row r="95" spans="2:3" ht="15" customHeight="1" x14ac:dyDescent="0.25">
      <c r="B95" s="137">
        <v>90</v>
      </c>
      <c r="C95" s="39" t="s">
        <v>265</v>
      </c>
    </row>
    <row r="96" spans="2:3" ht="15" customHeight="1" x14ac:dyDescent="0.25">
      <c r="B96" s="137">
        <v>91</v>
      </c>
      <c r="C96" s="39" t="s">
        <v>266</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6640625" defaultRowHeight="14.4" x14ac:dyDescent="0.3"/>
  <cols>
    <col min="1" max="1" width="1.44140625" style="1" customWidth="1"/>
    <col min="2" max="2" width="4.109375" style="1" customWidth="1"/>
    <col min="3" max="3" width="30.44140625" style="1" customWidth="1"/>
    <col min="4" max="4" width="1.44140625" style="1" customWidth="1"/>
    <col min="5" max="5" width="4.109375" style="1" customWidth="1"/>
    <col min="6" max="6" width="30.44140625" style="1" customWidth="1"/>
    <col min="7" max="8" width="4.44140625" style="1" customWidth="1"/>
    <col min="9" max="12" width="8.6640625" style="1" customWidth="1"/>
    <col min="13" max="16384" width="8.6640625" style="2"/>
  </cols>
  <sheetData>
    <row r="1" spans="1:12" s="37" customFormat="1" ht="5.0999999999999996" customHeight="1" x14ac:dyDescent="0.3">
      <c r="A1" s="36"/>
      <c r="B1" s="36"/>
      <c r="C1" s="36"/>
      <c r="D1" s="36"/>
      <c r="E1" s="36"/>
      <c r="F1" s="36"/>
      <c r="G1" s="36"/>
      <c r="H1" s="36"/>
      <c r="I1" s="36"/>
      <c r="J1" s="36"/>
      <c r="K1" s="36"/>
      <c r="L1" s="36"/>
    </row>
    <row r="2" spans="1:12" ht="5.0999999999999996" customHeight="1" x14ac:dyDescent="0.3"/>
    <row r="3" spans="1:12" ht="36.6" x14ac:dyDescent="0.3">
      <c r="B3" s="18" t="s">
        <v>267</v>
      </c>
    </row>
    <row r="4" spans="1:12" ht="5.0999999999999996" customHeight="1" x14ac:dyDescent="0.3"/>
    <row r="5" spans="1:12" x14ac:dyDescent="0.3">
      <c r="B5" s="413" t="s">
        <v>268</v>
      </c>
      <c r="C5" s="413"/>
      <c r="E5" s="413" t="s">
        <v>269</v>
      </c>
      <c r="F5" s="413"/>
    </row>
    <row r="6" spans="1:12" x14ac:dyDescent="0.3">
      <c r="B6" s="136"/>
      <c r="C6" s="136" t="s">
        <v>270</v>
      </c>
      <c r="E6" s="136"/>
      <c r="F6" s="136" t="s">
        <v>270</v>
      </c>
    </row>
    <row r="7" spans="1:12" x14ac:dyDescent="0.3">
      <c r="B7" s="134">
        <v>1</v>
      </c>
      <c r="C7" s="135" t="s">
        <v>271</v>
      </c>
      <c r="E7" s="134">
        <v>1</v>
      </c>
      <c r="F7" s="135" t="s">
        <v>271</v>
      </c>
      <c r="H7" s="190" t="s">
        <v>14</v>
      </c>
      <c r="I7" s="414" t="s">
        <v>272</v>
      </c>
      <c r="J7" s="414"/>
      <c r="K7" s="414"/>
      <c r="L7" s="414"/>
    </row>
    <row r="8" spans="1:12" x14ac:dyDescent="0.3">
      <c r="B8" s="38">
        <v>2</v>
      </c>
      <c r="C8" s="39" t="s">
        <v>273</v>
      </c>
      <c r="E8" s="38">
        <v>2</v>
      </c>
      <c r="F8" s="39" t="s">
        <v>273</v>
      </c>
      <c r="H8" s="191"/>
      <c r="I8" s="414"/>
      <c r="J8" s="414"/>
      <c r="K8" s="414"/>
      <c r="L8" s="414"/>
    </row>
    <row r="9" spans="1:12" x14ac:dyDescent="0.3">
      <c r="B9" s="38">
        <v>3</v>
      </c>
      <c r="C9" s="39" t="s">
        <v>274</v>
      </c>
      <c r="E9" s="38">
        <v>3</v>
      </c>
      <c r="F9" s="39" t="s">
        <v>274</v>
      </c>
      <c r="H9" s="191"/>
      <c r="I9" s="414"/>
      <c r="J9" s="414"/>
      <c r="K9" s="414"/>
      <c r="L9" s="414"/>
    </row>
    <row r="10" spans="1:12" x14ac:dyDescent="0.3">
      <c r="B10" s="38">
        <v>4</v>
      </c>
      <c r="C10" s="39" t="s">
        <v>275</v>
      </c>
      <c r="E10" s="38">
        <v>4</v>
      </c>
      <c r="F10" s="39" t="s">
        <v>275</v>
      </c>
      <c r="H10" s="192"/>
      <c r="I10" s="414"/>
      <c r="J10" s="414"/>
      <c r="K10" s="414"/>
      <c r="L10" s="414"/>
    </row>
    <row r="11" spans="1:12" x14ac:dyDescent="0.3">
      <c r="B11" s="38">
        <v>5</v>
      </c>
      <c r="C11" s="39" t="s">
        <v>276</v>
      </c>
      <c r="E11" s="38">
        <v>5</v>
      </c>
      <c r="F11" s="39" t="s">
        <v>276</v>
      </c>
      <c r="H11" s="191"/>
      <c r="I11" s="414"/>
      <c r="J11" s="414"/>
      <c r="K11" s="414"/>
      <c r="L11" s="414"/>
    </row>
    <row r="12" spans="1:12" x14ac:dyDescent="0.3">
      <c r="B12" s="38">
        <v>6</v>
      </c>
      <c r="C12" s="39" t="s">
        <v>277</v>
      </c>
      <c r="E12" s="38">
        <v>6</v>
      </c>
      <c r="F12" s="39" t="s">
        <v>277</v>
      </c>
      <c r="H12" s="191"/>
      <c r="I12" s="414"/>
      <c r="J12" s="414"/>
      <c r="K12" s="414"/>
      <c r="L12" s="414"/>
    </row>
    <row r="13" spans="1:12" x14ac:dyDescent="0.3">
      <c r="B13" s="38">
        <v>7</v>
      </c>
      <c r="C13" s="39" t="s">
        <v>278</v>
      </c>
      <c r="E13" s="38">
        <v>7</v>
      </c>
      <c r="F13" s="39" t="s">
        <v>278</v>
      </c>
      <c r="H13" s="191"/>
      <c r="I13" s="414"/>
      <c r="J13" s="414"/>
      <c r="K13" s="414"/>
      <c r="L13" s="414"/>
    </row>
    <row r="14" spans="1:12" x14ac:dyDescent="0.3">
      <c r="B14" s="38">
        <v>8</v>
      </c>
      <c r="C14" s="39" t="s">
        <v>279</v>
      </c>
      <c r="E14" s="38">
        <v>8</v>
      </c>
      <c r="F14" s="39" t="s">
        <v>279</v>
      </c>
      <c r="H14" s="191"/>
      <c r="I14" s="414"/>
      <c r="J14" s="414"/>
      <c r="K14" s="414"/>
      <c r="L14" s="414"/>
    </row>
    <row r="15" spans="1:12" x14ac:dyDescent="0.3">
      <c r="B15" s="38">
        <v>9</v>
      </c>
      <c r="C15" s="39"/>
      <c r="E15" s="38">
        <v>9</v>
      </c>
      <c r="F15" s="39"/>
      <c r="H15" s="191"/>
      <c r="I15" s="414"/>
      <c r="J15" s="414"/>
      <c r="K15" s="414"/>
      <c r="L15" s="414"/>
    </row>
    <row r="16" spans="1:12" x14ac:dyDescent="0.3">
      <c r="B16" s="38">
        <v>10</v>
      </c>
      <c r="C16" s="39"/>
      <c r="E16" s="38">
        <v>10</v>
      </c>
      <c r="F16" s="39"/>
      <c r="H16" s="190" t="s">
        <v>14</v>
      </c>
      <c r="I16" s="414" t="s">
        <v>280</v>
      </c>
      <c r="J16" s="414"/>
      <c r="K16" s="414"/>
      <c r="L16" s="414"/>
    </row>
    <row r="17" spans="2:12" x14ac:dyDescent="0.3">
      <c r="B17" s="38">
        <v>11</v>
      </c>
      <c r="C17" s="39"/>
      <c r="E17" s="38">
        <v>11</v>
      </c>
      <c r="F17" s="39"/>
      <c r="H17" s="191"/>
      <c r="I17" s="414"/>
      <c r="J17" s="414"/>
      <c r="K17" s="414"/>
      <c r="L17" s="414"/>
    </row>
    <row r="18" spans="2:12" x14ac:dyDescent="0.3">
      <c r="H18" s="191"/>
      <c r="I18" s="414"/>
      <c r="J18" s="414"/>
      <c r="K18" s="414"/>
      <c r="L18" s="414"/>
    </row>
    <row r="19" spans="2:12" x14ac:dyDescent="0.3">
      <c r="H19" s="191"/>
      <c r="I19" s="414"/>
      <c r="J19" s="414"/>
      <c r="K19" s="414"/>
      <c r="L19" s="414"/>
    </row>
    <row r="20" spans="2:12" x14ac:dyDescent="0.3">
      <c r="H20" s="191"/>
      <c r="I20" s="414"/>
      <c r="J20" s="414"/>
      <c r="K20" s="414"/>
      <c r="L20" s="414"/>
    </row>
    <row r="21" spans="2:12" x14ac:dyDescent="0.3">
      <c r="H21" s="191"/>
      <c r="I21" s="414"/>
      <c r="J21" s="414"/>
      <c r="K21" s="414"/>
      <c r="L21" s="414"/>
    </row>
    <row r="22" spans="2:12" x14ac:dyDescent="0.3">
      <c r="H22" s="191"/>
      <c r="I22" s="414"/>
      <c r="J22" s="414"/>
      <c r="K22" s="414"/>
      <c r="L22" s="414"/>
    </row>
    <row r="23" spans="2:12" x14ac:dyDescent="0.3">
      <c r="I23" s="21"/>
      <c r="J23" s="21"/>
      <c r="K23" s="21"/>
      <c r="L23" s="21"/>
    </row>
    <row r="24" spans="2:12" x14ac:dyDescent="0.3">
      <c r="I24" s="21"/>
      <c r="J24" s="21"/>
      <c r="K24" s="21"/>
      <c r="L24" s="21"/>
    </row>
    <row r="25" spans="2:12" x14ac:dyDescent="0.3">
      <c r="I25" s="21"/>
      <c r="J25" s="21"/>
      <c r="K25" s="21"/>
      <c r="L25" s="21"/>
    </row>
    <row r="26" spans="2:12" x14ac:dyDescent="0.3">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2BE6F2-1C3D-4281-80DB-2658322ACB73}">
  <ds:schemaRefs>
    <ds:schemaRef ds:uri="http://schemas.microsoft.com/sharepoint/v3/contenttype/forms"/>
  </ds:schemaRefs>
</ds:datastoreItem>
</file>

<file path=customXml/itemProps2.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customXml/itemProps3.xml><?xml version="1.0" encoding="utf-8"?>
<ds:datastoreItem xmlns:ds="http://schemas.openxmlformats.org/officeDocument/2006/customXml" ds:itemID="{578D01BE-9923-45B8-881E-F3D0F97DCD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Lund, Joakim Hanssen</cp:lastModifiedBy>
  <cp:revision/>
  <dcterms:created xsi:type="dcterms:W3CDTF">2008-04-13T01:23:18Z</dcterms:created>
  <dcterms:modified xsi:type="dcterms:W3CDTF">2024-06-18T20:57:32Z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