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https://avinor-my.sharepoint.com/personal/joakim_lund_avinor_no/Documents/Dokumenter/EuroPrediction/"/>
    </mc:Choice>
  </mc:AlternateContent>
  <xr:revisionPtr revIDLastSave="8" documentId="13_ncr:1_{36AC2092-D9DC-4CBC-B127-90BE552A7048}" xr6:coauthVersionLast="47" xr6:coauthVersionMax="47" xr10:uidLastSave="{3243E53B-1A94-4F47-BA73-4F4907A77E89}"/>
  <workbookProtection workbookAlgorithmName="SHA-512" workbookHashValue="hCBMdfbWOkbA/VAq8+TdNnNn6yDZkrM9rj0MksObCHvCY7TT/LAWrr57exTZXhvv70BMSwUTbrrDEaKVnEviRw==" workbookSaltValue="959trsHucnJJG857LOUScQ==" workbookSpinCount="100000" lockStructure="1"/>
  <bookViews>
    <workbookView xWindow="1464" yWindow="1464" windowWidth="17280" windowHeight="8964"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R24" i="2" s="1"/>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19" i="2" l="1"/>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P34" i="2" s="1"/>
  <c r="ALN29" i="2"/>
  <c r="ALN10" i="2"/>
  <c r="ALN35" i="2"/>
  <c r="ALN21" i="2"/>
  <c r="ALM4" i="2"/>
  <c r="ALN8" i="2"/>
  <c r="ALP8" i="2" s="1"/>
  <c r="ALN33" i="2"/>
  <c r="ALM20" i="2"/>
  <c r="ALM3" i="2"/>
  <c r="ALN20" i="2"/>
  <c r="ALN3" i="2"/>
  <c r="ALM33" i="2"/>
  <c r="ALN19" i="2"/>
  <c r="ALN11" i="2"/>
  <c r="ALM32" i="2"/>
  <c r="ALM19" i="2"/>
  <c r="ALN23" i="2"/>
  <c r="ALN18" i="2"/>
  <c r="ALN6" i="2"/>
  <c r="ALN31" i="2"/>
  <c r="ALM6" i="2"/>
  <c r="ALM31" i="2"/>
  <c r="ALM16" i="2"/>
  <c r="ALN9" i="2"/>
  <c r="ALM30" i="2"/>
  <c r="ALN15" i="2"/>
  <c r="ALM29" i="2"/>
  <c r="ALM15" i="2"/>
  <c r="ALP15" i="2" s="1"/>
  <c r="ALN32" i="2"/>
  <c r="ALN27" i="2"/>
  <c r="ALN13" i="2"/>
  <c r="ALN36" i="2"/>
  <c r="ALN28" i="2"/>
  <c r="ALN38" i="2"/>
  <c r="ALN14" i="2"/>
  <c r="ALM27" i="2"/>
  <c r="ALM14" i="2"/>
  <c r="ALM12" i="2"/>
  <c r="ALP12" i="2" s="1"/>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33" i="2" l="1"/>
  <c r="AQN3" i="2"/>
  <c r="AQN4" i="2"/>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9" i="2" l="1"/>
  <c r="AVL12" i="2"/>
  <c r="AVL26" i="2"/>
  <c r="AVL11" i="2"/>
  <c r="AVL10" i="2"/>
  <c r="AVL17" i="2"/>
  <c r="AVL22" i="2"/>
  <c r="AVL6" i="2"/>
  <c r="AVL30" i="2"/>
  <c r="AVL4" i="2"/>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E20" i="2" s="1"/>
  <c r="JN38" i="2"/>
  <c r="JN39" i="2" s="1"/>
  <c r="TJ18" i="2"/>
  <c r="VA20" i="2" s="1"/>
  <c r="VJ20" i="2" s="1"/>
  <c r="U11" i="2"/>
  <c r="AD11" i="2" s="1"/>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C31" i="2"/>
  <c r="AE31" i="2"/>
  <c r="AD31" i="2"/>
  <c r="AY38" i="2"/>
  <c r="AX38" i="2"/>
  <c r="AW38" i="2"/>
  <c r="BL14" i="2"/>
  <c r="AW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L33" i="2" l="1"/>
  <c r="BJ33" i="2"/>
  <c r="BM33" i="2"/>
  <c r="BK33" i="2"/>
  <c r="BQ34" i="2"/>
  <c r="BJ34" i="2"/>
  <c r="BR34" i="2"/>
  <c r="BL34" i="2"/>
  <c r="BM34" i="2"/>
  <c r="AC20" i="2"/>
  <c r="BS34" i="2"/>
  <c r="AD20" i="2"/>
  <c r="R33" i="2"/>
  <c r="BN34" i="2"/>
  <c r="BK34" i="2"/>
  <c r="P21" i="2"/>
  <c r="U21" i="2" s="1"/>
  <c r="V18" i="2" s="1"/>
  <c r="AE11" i="2"/>
  <c r="VA27" i="2"/>
  <c r="AC11" i="2"/>
  <c r="AW32" i="2"/>
  <c r="AX32"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Y12" i="2"/>
  <c r="W12" i="2"/>
  <c r="Z12" i="2"/>
  <c r="V12" i="2"/>
  <c r="X12" i="2"/>
  <c r="ET19" i="2"/>
  <c r="AT38" i="2"/>
  <c r="X11" i="2"/>
  <c r="W11" i="2"/>
  <c r="AQ38" i="2"/>
  <c r="AS38" i="2"/>
  <c r="V11" i="2"/>
  <c r="AP5" i="2"/>
  <c r="AQ5" i="2"/>
  <c r="Z11" i="2"/>
  <c r="AS5" i="2"/>
  <c r="AT5" i="2"/>
  <c r="AE28" i="2"/>
  <c r="AD28" i="2"/>
  <c r="AC28" i="2"/>
  <c r="AD14" i="2"/>
  <c r="X14" i="2"/>
  <c r="AE14" i="2"/>
  <c r="W14" i="2"/>
  <c r="AC14" i="2"/>
  <c r="Z14" i="2"/>
  <c r="V14" i="2"/>
  <c r="Y14"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U34" i="2"/>
  <c r="BO34" i="2" l="1"/>
  <c r="AC21" i="2"/>
  <c r="Y19" i="2"/>
  <c r="W19" i="2"/>
  <c r="Y18" i="2"/>
  <c r="Z21" i="2"/>
  <c r="W21" i="2"/>
  <c r="AE21" i="2"/>
  <c r="X21" i="2"/>
  <c r="V19" i="2"/>
  <c r="AD21" i="2"/>
  <c r="X19" i="2"/>
  <c r="Y20" i="2"/>
  <c r="Z18" i="2"/>
  <c r="X20" i="2"/>
  <c r="W20" i="2"/>
  <c r="V20" i="2"/>
  <c r="W18" i="2"/>
  <c r="Y21" i="2"/>
  <c r="Z20" i="2"/>
  <c r="X18" i="2"/>
  <c r="V21" i="2"/>
  <c r="AU32" i="2"/>
  <c r="AC6" i="2"/>
  <c r="OK28" i="2"/>
  <c r="BO6" i="2"/>
  <c r="AU33" i="2"/>
  <c r="BO13" i="2"/>
  <c r="AU34" i="2"/>
  <c r="BO7"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X21" i="2" s="1"/>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W31" i="2"/>
  <c r="Z31" i="2"/>
  <c r="X31" i="2"/>
  <c r="V32" i="2"/>
  <c r="W33" i="2"/>
  <c r="X32" i="2"/>
  <c r="V31" i="2"/>
  <c r="Z32" i="2"/>
  <c r="V33" i="2"/>
  <c r="Y33" i="2"/>
  <c r="Y32" i="2"/>
  <c r="CE34" i="2"/>
  <c r="CD34" i="2"/>
  <c r="CF34" i="2"/>
  <c r="AE34" i="2"/>
  <c r="AD34" i="2"/>
  <c r="AC34" i="2"/>
  <c r="X34" i="2"/>
  <c r="W34" i="2"/>
  <c r="Z34" i="2"/>
  <c r="V34" i="2"/>
  <c r="Y34" i="2"/>
  <c r="AE40" i="2"/>
  <c r="AD40" i="2"/>
  <c r="AC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AA18" i="2" l="1"/>
  <c r="AA26" i="2"/>
  <c r="X7" i="2"/>
  <c r="AD7" i="2"/>
  <c r="W6" i="2"/>
  <c r="V6" i="2"/>
  <c r="Z37" i="2"/>
  <c r="X39" i="2"/>
  <c r="AD39" i="2"/>
  <c r="Y39" i="2"/>
  <c r="AU26" i="2"/>
  <c r="AT20" i="2"/>
  <c r="AQ20" i="2"/>
  <c r="AA27" i="2"/>
  <c r="AS19" i="2"/>
  <c r="AS21" i="2"/>
  <c r="AY21" i="2"/>
  <c r="AU12" i="2"/>
  <c r="AB26" i="2"/>
  <c r="AF26" i="2" s="1"/>
  <c r="W39" i="2"/>
  <c r="W4" i="2"/>
  <c r="W5" i="2"/>
  <c r="V4" i="2"/>
  <c r="X4" i="2"/>
  <c r="Z5" i="2"/>
  <c r="Y7" i="2"/>
  <c r="V7" i="2"/>
  <c r="Y5" i="2"/>
  <c r="W7" i="2"/>
  <c r="Z6" i="2"/>
  <c r="Z7" i="2"/>
  <c r="AE7" i="2"/>
  <c r="ZE7" i="2"/>
  <c r="ZJ6" i="2" s="1"/>
  <c r="AAB20" i="2"/>
  <c r="ZZ21" i="2"/>
  <c r="AA28" i="2"/>
  <c r="AS20" i="2"/>
  <c r="AP20" i="2"/>
  <c r="AR20" i="2"/>
  <c r="AP21" i="2"/>
  <c r="AQ21" i="2"/>
  <c r="AR19" i="2"/>
  <c r="AT21" i="2"/>
  <c r="AP19" i="2"/>
  <c r="AW21" i="2"/>
  <c r="AT19" i="2"/>
  <c r="AQ19" i="2"/>
  <c r="AR21" i="2"/>
  <c r="AU28" i="2"/>
  <c r="AA25" i="2"/>
  <c r="LQ21" i="2"/>
  <c r="JX25" i="2"/>
  <c r="KB25" i="2" s="1"/>
  <c r="AID18" i="2"/>
  <c r="AJU20" i="2" s="1"/>
  <c r="AKE20" i="2" s="1"/>
  <c r="LK39" i="2"/>
  <c r="ZE14" i="2"/>
  <c r="ZW14" i="2" s="1"/>
  <c r="LK40" i="2"/>
  <c r="AB28" i="2"/>
  <c r="AF28" i="2" s="1"/>
  <c r="AIB31" i="2"/>
  <c r="AIG31" i="2" s="1"/>
  <c r="AE39" i="2"/>
  <c r="Z4" i="2"/>
  <c r="AA4" i="2" s="1"/>
  <c r="Y6" i="2"/>
  <c r="AC39" i="2"/>
  <c r="V40" i="2"/>
  <c r="V38" i="2"/>
  <c r="AB38" i="2" s="1"/>
  <c r="AF38" i="2" s="1"/>
  <c r="Y40" i="2"/>
  <c r="Z40" i="2"/>
  <c r="Y38" i="2"/>
  <c r="V37" i="2"/>
  <c r="W40" i="2"/>
  <c r="AC7" i="2"/>
  <c r="V5" i="2"/>
  <c r="X40" i="2"/>
  <c r="X37" i="2"/>
  <c r="Y37" i="2"/>
  <c r="AA37" i="2" s="1"/>
  <c r="V39" i="2"/>
  <c r="X38" i="2"/>
  <c r="Z39" i="2"/>
  <c r="AA39" i="2" s="1"/>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BBM12" i="2"/>
  <c r="BBL27" i="2"/>
  <c r="BBM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J14" i="2"/>
  <c r="ZI14" i="2"/>
  <c r="ZG14" i="2"/>
  <c r="ZF14" i="2"/>
  <c r="ZH14" i="2"/>
  <c r="ZM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PO13" i="2"/>
  <c r="PH52" i="2" s="1"/>
  <c r="PI52" i="2" s="1"/>
  <c r="ADE6" i="2"/>
  <c r="AEC6" i="2"/>
  <c r="OT12" i="2"/>
  <c r="YT12" i="2"/>
  <c r="YS12" i="2"/>
  <c r="YU12" i="2"/>
  <c r="OP38" i="2"/>
  <c r="AWO44" i="2"/>
  <c r="AWO45" i="2"/>
  <c r="AWQ4" i="2"/>
  <c r="AWQ5" i="2"/>
  <c r="AWO47" i="2"/>
  <c r="AWQ7" i="2"/>
  <c r="AWO46" i="2"/>
  <c r="AWQ6" i="2" s="1"/>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31" i="2"/>
  <c r="AB39" i="2"/>
  <c r="AF39" i="2" s="1"/>
  <c r="AB34" i="2"/>
  <c r="AF34" i="2" s="1"/>
  <c r="AB40" i="2"/>
  <c r="AF40" i="2" s="1"/>
  <c r="AB33" i="2"/>
  <c r="AF33" i="2" s="1"/>
  <c r="AV34" i="2"/>
  <c r="AB32" i="2"/>
  <c r="AF32" i="2" s="1"/>
  <c r="AB31" i="2"/>
  <c r="BP28" i="2"/>
  <c r="BT28" i="2" s="1"/>
  <c r="AA32" i="2"/>
  <c r="AB5" i="2"/>
  <c r="AF5" i="2" s="1"/>
  <c r="AB4" i="2"/>
  <c r="AA34" i="2"/>
  <c r="CU21" i="2"/>
  <c r="CV21" i="2"/>
  <c r="AA6" i="2" l="1"/>
  <c r="AV20" i="2"/>
  <c r="AZ20" i="2" s="1"/>
  <c r="ZR7" i="2"/>
  <c r="AU21" i="2"/>
  <c r="ZT7" i="2"/>
  <c r="ZQ7" i="2"/>
  <c r="ZS7" i="2"/>
  <c r="ZJ5" i="2"/>
  <c r="ZH5" i="2"/>
  <c r="ZI6" i="2"/>
  <c r="ZF5" i="2"/>
  <c r="ZV7" i="2"/>
  <c r="ZF6" i="2"/>
  <c r="ZL6" i="2" s="1"/>
  <c r="ZX7" i="2"/>
  <c r="ZU7" i="2"/>
  <c r="ZG7" i="2"/>
  <c r="ZG5" i="2"/>
  <c r="ZI7" i="2"/>
  <c r="ZD47" i="2"/>
  <c r="ZE47" i="2" s="1"/>
  <c r="ZO7" i="2"/>
  <c r="ZL7" i="2"/>
  <c r="ZP7" i="2" s="1"/>
  <c r="AA7" i="2"/>
  <c r="AA40" i="2"/>
  <c r="AU20" i="2"/>
  <c r="ZF7" i="2"/>
  <c r="ZW7" i="2"/>
  <c r="ZJ7" i="2"/>
  <c r="ZG6" i="2"/>
  <c r="ZH7" i="2"/>
  <c r="ZN7" i="2"/>
  <c r="ZI5" i="2"/>
  <c r="ZK5" i="2" s="1"/>
  <c r="ZM7" i="2"/>
  <c r="AU19" i="2"/>
  <c r="AA38" i="2"/>
  <c r="AID19" i="2"/>
  <c r="AID20" i="2" s="1"/>
  <c r="AKD20" i="2"/>
  <c r="AA5" i="2"/>
  <c r="AKC20" i="2"/>
  <c r="ZF13" i="2"/>
  <c r="AIB32" i="2"/>
  <c r="ZG12" i="2"/>
  <c r="ZO14" i="2"/>
  <c r="ZF12" i="2"/>
  <c r="ZH12" i="2"/>
  <c r="T66" i="2"/>
  <c r="U66" i="2" s="1"/>
  <c r="ZH13" i="2"/>
  <c r="T65" i="2"/>
  <c r="U65" i="2" s="1"/>
  <c r="AE65" i="2" s="1"/>
  <c r="ZI12" i="2"/>
  <c r="ZK12" i="2" s="1"/>
  <c r="ZG13" i="2"/>
  <c r="AB37" i="2"/>
  <c r="AF37" i="2" s="1"/>
  <c r="AH38" i="2" s="1"/>
  <c r="ZN14" i="2"/>
  <c r="ZJ13" i="2"/>
  <c r="ZK13" i="2" s="1"/>
  <c r="AV19" i="2"/>
  <c r="AZ19" i="2" s="1"/>
  <c r="AAF21" i="2"/>
  <c r="AAJ21" i="2" s="1"/>
  <c r="AS80" i="2"/>
  <c r="AY78" i="2"/>
  <c r="JX18" i="2"/>
  <c r="KB18" i="2" s="1"/>
  <c r="JX21" i="2"/>
  <c r="KB21" i="2" s="1"/>
  <c r="PW47" i="2"/>
  <c r="UN34" i="2"/>
  <c r="UR34" i="2" s="1"/>
  <c r="AAF7" i="2"/>
  <c r="AAJ7" i="2" s="1"/>
  <c r="AAE6" i="2"/>
  <c r="AY53"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AE67" i="2"/>
  <c r="Z52" i="2"/>
  <c r="X52" i="2"/>
  <c r="V52" i="2"/>
  <c r="AE52" i="2"/>
  <c r="AD52" i="2"/>
  <c r="AC52" i="2"/>
  <c r="W52" i="2"/>
  <c r="Y52" i="2"/>
  <c r="X61" i="2"/>
  <c r="V58" i="2"/>
  <c r="Y58" i="2"/>
  <c r="AC58" i="2"/>
  <c r="AE58" i="2"/>
  <c r="Z58" i="2"/>
  <c r="W58" i="2"/>
  <c r="X58" i="2"/>
  <c r="AD58" i="2"/>
  <c r="AE68" i="2"/>
  <c r="AC68" i="2"/>
  <c r="Y68" i="2"/>
  <c r="AD68" i="2"/>
  <c r="AD53" i="2"/>
  <c r="W53" i="2"/>
  <c r="AE53" i="2"/>
  <c r="V53" i="2"/>
  <c r="AC53" i="2"/>
  <c r="Y53" i="2"/>
  <c r="X53" i="2"/>
  <c r="Z53" i="2"/>
  <c r="V59" i="2"/>
  <c r="W59" i="2"/>
  <c r="AC59" i="2"/>
  <c r="X59" i="2"/>
  <c r="Z59" i="2"/>
  <c r="AD59" i="2"/>
  <c r="AE59" i="2"/>
  <c r="Y59" i="2"/>
  <c r="AD65" i="2"/>
  <c r="AC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Y66" i="2"/>
  <c r="AE66" i="2"/>
  <c r="X51" i="2"/>
  <c r="AD51" i="2"/>
  <c r="AC51" i="2"/>
  <c r="Y51" i="2"/>
  <c r="V51" i="2"/>
  <c r="Z51" i="2"/>
  <c r="W51" i="2"/>
  <c r="AE51" i="2"/>
  <c r="FI12" i="2"/>
  <c r="FF31" i="2"/>
  <c r="FJ32" i="2"/>
  <c r="FI34" i="2"/>
  <c r="FL64" i="2"/>
  <c r="FH11" i="2"/>
  <c r="FG14" i="2"/>
  <c r="FE28" i="2"/>
  <c r="FG12" i="2"/>
  <c r="LW20" i="2"/>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C33" i="2"/>
  <c r="BE33" i="2"/>
  <c r="BC32" i="2"/>
  <c r="BB32" i="2"/>
  <c r="BB33"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W68" i="2" l="1"/>
  <c r="AFC27" i="2"/>
  <c r="W67" i="2"/>
  <c r="BF20" i="2"/>
  <c r="T78" i="2"/>
  <c r="U78" i="2" s="1"/>
  <c r="ZK7" i="2"/>
  <c r="T77" i="2"/>
  <c r="U77" i="2" s="1"/>
  <c r="BF19" i="2"/>
  <c r="AJU21" i="2"/>
  <c r="AJX20" i="2" s="1"/>
  <c r="BD20" i="2"/>
  <c r="BC19" i="2"/>
  <c r="BB20" i="2"/>
  <c r="BE19" i="2"/>
  <c r="BC20" i="2"/>
  <c r="ZL12" i="2"/>
  <c r="ZD52" i="2" s="1"/>
  <c r="ZE52" i="2" s="1"/>
  <c r="AN59" i="2"/>
  <c r="AO59" i="2" s="1"/>
  <c r="AY59" i="2" s="1"/>
  <c r="BE20" i="2"/>
  <c r="BD19" i="2"/>
  <c r="AN60" i="2"/>
  <c r="AO60" i="2" s="1"/>
  <c r="BA19" i="2"/>
  <c r="BA20" i="2"/>
  <c r="BB19" i="2"/>
  <c r="V68" i="2"/>
  <c r="AC66" i="2"/>
  <c r="X68" i="2"/>
  <c r="Z66" i="2"/>
  <c r="AKC7" i="2"/>
  <c r="V66" i="2"/>
  <c r="Z68" i="2"/>
  <c r="AA68" i="2" s="1"/>
  <c r="AD66" i="2"/>
  <c r="V65" i="2"/>
  <c r="V67" i="2"/>
  <c r="Y65" i="2"/>
  <c r="X67" i="2"/>
  <c r="X66" i="2"/>
  <c r="Z65" i="2"/>
  <c r="W66" i="2"/>
  <c r="Z67" i="2"/>
  <c r="X65" i="2"/>
  <c r="W65" i="2"/>
  <c r="Y67" i="2"/>
  <c r="ZL13" i="2"/>
  <c r="AAK21" i="2"/>
  <c r="AN43" i="2"/>
  <c r="T50" i="2"/>
  <c r="T57" i="2"/>
  <c r="LX20" i="2"/>
  <c r="KR45" i="2"/>
  <c r="KV45" i="2" s="1"/>
  <c r="AEY33" i="2"/>
  <c r="AKE7"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KB7" i="2" s="1"/>
  <c r="AKF7" i="2" s="1"/>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3" i="2"/>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ZK38" i="2"/>
  <c r="AEZ13" i="2"/>
  <c r="AEX14" i="2"/>
  <c r="FG38" i="2"/>
  <c r="FF37" i="2"/>
  <c r="FJ39" i="2"/>
  <c r="FF40" i="2"/>
  <c r="FE4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PP73" i="2"/>
  <c r="PT73"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D80" i="2"/>
  <c r="AA53" i="2"/>
  <c r="AQ72" i="2"/>
  <c r="AR72" i="2"/>
  <c r="AT72" i="2"/>
  <c r="AP72" i="2"/>
  <c r="AX72" i="2"/>
  <c r="AS72" i="2"/>
  <c r="AY72" i="2"/>
  <c r="AW72" i="2"/>
  <c r="AT73"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ZP12" i="2" l="1"/>
  <c r="ZD53" i="2"/>
  <c r="ZE53" i="2" s="1"/>
  <c r="AQ59" i="2"/>
  <c r="AW60" i="2"/>
  <c r="AA65" i="2"/>
  <c r="AA67" i="2"/>
  <c r="AP60" i="2"/>
  <c r="AJC14" i="2"/>
  <c r="AJK14" i="2"/>
  <c r="AB65" i="2"/>
  <c r="AF65" i="2" s="1"/>
  <c r="AQ60" i="2"/>
  <c r="AY60" i="2"/>
  <c r="AT60" i="2"/>
  <c r="AX60" i="2"/>
  <c r="AN57" i="2"/>
  <c r="AS59" i="2"/>
  <c r="AR60" i="2"/>
  <c r="AP59" i="2"/>
  <c r="AV59" i="2" s="1"/>
  <c r="AZ59" i="2" s="1"/>
  <c r="AS61" i="2"/>
  <c r="AS60" i="2"/>
  <c r="AR59" i="2"/>
  <c r="AT61" i="2"/>
  <c r="AT59" i="2"/>
  <c r="T76" i="2"/>
  <c r="T43" i="2"/>
  <c r="UO79" i="2"/>
  <c r="UQ79" i="2"/>
  <c r="BF80" i="2"/>
  <c r="BC79" i="2"/>
  <c r="BE78" i="2"/>
  <c r="BC80" i="2"/>
  <c r="BB79" i="2"/>
  <c r="BE80" i="2"/>
  <c r="BD79" i="2"/>
  <c r="BE79" i="2"/>
  <c r="BA80" i="2"/>
  <c r="BA79" i="2"/>
  <c r="BA78" i="2"/>
  <c r="BC78" i="2"/>
  <c r="BF78" i="2"/>
  <c r="BF79" i="2"/>
  <c r="BB80" i="2"/>
  <c r="BG80" i="2" s="1"/>
  <c r="BG40" i="2" s="1"/>
  <c r="BB78" i="2"/>
  <c r="AN70" i="2"/>
  <c r="T70" i="2"/>
  <c r="KW45" i="2"/>
  <c r="KW46" i="2"/>
  <c r="FZ53" i="2"/>
  <c r="EZ53" i="2"/>
  <c r="FD53" i="2" s="1"/>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Z21" i="2" s="1"/>
  <c r="APD21" i="2" s="1"/>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AKG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KL7"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AKK6" i="2"/>
  <c r="UL52" i="2"/>
  <c r="UK52" i="2"/>
  <c r="AKI6" i="2"/>
  <c r="AKL6" i="2"/>
  <c r="UI52" i="2"/>
  <c r="UO52" i="2"/>
  <c r="AKH7"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UM47" i="2"/>
  <c r="FZ60" i="2"/>
  <c r="GD59" i="2"/>
  <c r="GB60" i="2"/>
  <c r="GC59" i="2"/>
  <c r="GD60" i="2"/>
  <c r="ZH47" i="2"/>
  <c r="ZG47" i="2"/>
  <c r="ZF47" i="2"/>
  <c r="ZI47"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U61" i="2" l="1"/>
  <c r="AU60" i="2"/>
  <c r="AV60" i="2"/>
  <c r="AZ60" i="2" s="1"/>
  <c r="AU59" i="2"/>
  <c r="JX61" i="2"/>
  <c r="KB61" i="2" s="1"/>
  <c r="JX58" i="2"/>
  <c r="KB58" i="2" s="1"/>
  <c r="FF52" i="2"/>
  <c r="FE79"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M39" i="2" s="1"/>
  <c r="AKN40" i="2" s="1"/>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PJ20" i="2" s="1"/>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1" i="2"/>
  <c r="APG20" i="2"/>
  <c r="APH21" i="2"/>
  <c r="AKM6"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C60" i="2"/>
  <c r="KC58" i="2"/>
  <c r="KC59"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C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KG61" i="2" l="1"/>
  <c r="KE58" i="2"/>
  <c r="KG59" i="2"/>
  <c r="KE59" i="2"/>
  <c r="KH61" i="2"/>
  <c r="KF58" i="2"/>
  <c r="KD61" i="2"/>
  <c r="KD58" i="2"/>
  <c r="KG60" i="2"/>
  <c r="KG58" i="2"/>
  <c r="KH60" i="2"/>
  <c r="KD60" i="2"/>
  <c r="KF60" i="2"/>
  <c r="KF61" i="2"/>
  <c r="KE61" i="2"/>
  <c r="FK52" i="2"/>
  <c r="FK12" i="2" s="1"/>
  <c r="KF59" i="2"/>
  <c r="KH58" i="2"/>
  <c r="KD59" i="2"/>
  <c r="KE60" i="2"/>
  <c r="KH59" i="2"/>
  <c r="AKM40" i="2"/>
  <c r="APF20" i="2"/>
  <c r="APF21" i="2"/>
  <c r="APG21" i="2"/>
  <c r="API20" i="2"/>
  <c r="GF6" i="2"/>
  <c r="AKM7" i="2"/>
  <c r="AIZ53" i="2"/>
  <c r="AJA53" i="2" s="1"/>
  <c r="AJJ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FL40" i="2" s="1"/>
  <c r="HU40"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AM80" i="2"/>
  <c r="AM40" i="2" s="1"/>
  <c r="AN21" i="2"/>
  <c r="AN19" i="2"/>
  <c r="AN20" i="2"/>
  <c r="AN18" i="2"/>
  <c r="CW18" i="2" s="1"/>
  <c r="AM44" i="2"/>
  <c r="AM4" i="2" s="1"/>
  <c r="AN25" i="2"/>
  <c r="CW25" i="2" s="1"/>
  <c r="AN26" i="2"/>
  <c r="CW26" i="2" s="1"/>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2" i="2"/>
  <c r="FL13" i="2"/>
  <c r="FL14" i="2"/>
  <c r="FL6" i="2"/>
  <c r="FL7" i="2"/>
  <c r="HU7" i="2" s="1"/>
  <c r="FL4" i="2"/>
  <c r="HU4" i="2" s="1"/>
  <c r="FL5" i="2"/>
  <c r="HU5" i="2" s="1"/>
  <c r="HU6" i="2" l="1"/>
  <c r="KI61" i="2"/>
  <c r="KI21" i="2" s="1"/>
  <c r="KI60" i="2"/>
  <c r="KI20" i="2" s="1"/>
  <c r="AJI53" i="2"/>
  <c r="AJK53" i="2"/>
  <c r="KI59" i="2"/>
  <c r="KI19" i="2" s="1"/>
  <c r="KI58" i="2"/>
  <c r="KI18" i="2" s="1"/>
  <c r="AJD53" i="2"/>
  <c r="AJF53" i="2"/>
  <c r="AJE53" i="2"/>
  <c r="FL11" i="2"/>
  <c r="HU11" i="2" s="1"/>
  <c r="AJF54" i="2"/>
  <c r="AJC52" i="2"/>
  <c r="AJK52" i="2"/>
  <c r="AJF52" i="2"/>
  <c r="AJC53" i="2"/>
  <c r="AJD52" i="2"/>
  <c r="AJB53" i="2"/>
  <c r="FL39" i="2"/>
  <c r="HU39" i="2" s="1"/>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CW33" i="2" l="1"/>
  <c r="AJG52" i="2"/>
  <c r="ANQ28" i="2"/>
  <c r="ANQ26" i="2"/>
  <c r="ANQ25" i="2"/>
  <c r="KJ18" i="2"/>
  <c r="MS18" i="2" s="1"/>
  <c r="KJ19" i="2"/>
  <c r="MS19" i="2" s="1"/>
  <c r="KJ20" i="2"/>
  <c r="MS20" i="2" s="1"/>
  <c r="MS33" i="2"/>
  <c r="AJG54" i="2"/>
  <c r="AJG53" i="2"/>
  <c r="ANQ27" i="2"/>
  <c r="ANS25" i="2"/>
  <c r="ANV28" i="2"/>
  <c r="ANR26"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IW21" i="2" l="1"/>
  <c r="IW18" i="2"/>
  <c r="IW20" i="2"/>
  <c r="P15" i="1"/>
  <c r="Q55" i="28"/>
  <c r="R66" i="28" s="1"/>
  <c r="AOF52" i="2"/>
  <c r="AOJ52" i="2" s="1"/>
  <c r="AOF53" i="2"/>
  <c r="AOJ53" i="2" s="1"/>
  <c r="AUJ20" i="2"/>
  <c r="AJH74" i="2"/>
  <c r="AJL74" i="2" s="1"/>
  <c r="ANO68" i="2"/>
  <c r="WO39" i="2"/>
  <c r="ANM67" i="2"/>
  <c r="ANO67" i="2"/>
  <c r="WO38" i="2"/>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T22" i="1" s="1"/>
  <c r="V22" i="1"/>
  <c r="X22" i="1"/>
  <c r="Z22" i="1"/>
  <c r="U2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OL53"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AOO53" i="2"/>
  <c r="BEC20" i="2"/>
  <c r="AYL12" i="2"/>
  <c r="BED21" i="2"/>
  <c r="AXY52" i="2"/>
  <c r="AOM80" i="2"/>
  <c r="AUJ27" i="2"/>
  <c r="AUJ28" i="2"/>
  <c r="BEB20" i="2"/>
  <c r="BED20" i="2"/>
  <c r="AYI12" i="2"/>
  <c r="AOP5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T23" i="1"/>
  <c r="T24" i="1"/>
  <c r="AB22" i="1"/>
  <c r="AB23" i="1"/>
  <c r="AB24" i="1"/>
  <c r="DO6" i="2" s="1"/>
  <c r="AB15" i="1"/>
  <c r="AA24" i="1"/>
  <c r="DN6" i="2" s="1"/>
  <c r="SS38" i="2" l="1"/>
  <c r="SS40" i="2"/>
  <c r="SS39" i="2"/>
  <c r="AA15" i="1"/>
  <c r="T25" i="1"/>
  <c r="G51" i="1" s="1"/>
  <c r="T15" i="1"/>
  <c r="AB25" i="1"/>
  <c r="AA25" i="1"/>
  <c r="DW30" i="2"/>
  <c r="AA22" i="1"/>
  <c r="X13" i="1"/>
  <c r="U13" i="1"/>
  <c r="W14" i="1"/>
  <c r="DK4" i="2" s="1"/>
  <c r="W13" i="1"/>
  <c r="V13" i="1"/>
  <c r="Z13" i="1"/>
  <c r="N68" i="28"/>
  <c r="AON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49" i="1"/>
  <c r="ASI54" i="2"/>
  <c r="AEA44" i="2"/>
  <c r="ASJ54" i="2"/>
  <c r="ASN54" i="2" s="1"/>
  <c r="ASK80" i="2"/>
  <c r="ATC46" i="2"/>
  <c r="ANQ53" i="2"/>
  <c r="AEA47" i="2"/>
  <c r="AEA7" i="2" s="1"/>
  <c r="SQ29" i="2"/>
  <c r="AYC79" i="2"/>
  <c r="AYD79" i="2"/>
  <c r="AXV46" i="2"/>
  <c r="SB6" i="2"/>
  <c r="ASJ46" i="2"/>
  <c r="ASN46" i="2" s="1"/>
  <c r="AH62" i="28"/>
  <c r="AYD47" i="2"/>
  <c r="AEV5" i="2"/>
  <c r="W9" i="1"/>
  <c r="V9" i="1"/>
  <c r="U9" i="1"/>
  <c r="X9" i="1"/>
  <c r="Z9" i="1"/>
  <c r="DM3" i="2" s="1"/>
  <c r="Z35" i="1"/>
  <c r="W35" i="1"/>
  <c r="X35" i="1"/>
  <c r="V35" i="1"/>
  <c r="U35" i="1"/>
  <c r="Z10" i="1"/>
  <c r="X10" i="1"/>
  <c r="U10" i="1"/>
  <c r="V10" i="1"/>
  <c r="W10" i="1"/>
  <c r="W34" i="1"/>
  <c r="V34" i="1"/>
  <c r="X34" i="1"/>
  <c r="U34" i="1"/>
  <c r="Z34" i="1"/>
  <c r="DM8" i="2" s="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J8" i="2"/>
  <c r="DK8" i="2"/>
  <c r="D51" i="28"/>
  <c r="G56" i="28"/>
  <c r="DJ3" i="2"/>
  <c r="DK3" i="2"/>
  <c r="DH3" i="2"/>
  <c r="DP3" i="2" s="1"/>
  <c r="D56" i="28"/>
  <c r="IL3" i="2"/>
  <c r="IM3" i="2"/>
  <c r="IL6" i="2"/>
  <c r="IM6" i="2"/>
  <c r="IM7" i="2"/>
  <c r="IL7" i="2" l="1"/>
  <c r="U30" i="1"/>
  <c r="V30" i="1"/>
  <c r="W29" i="1"/>
  <c r="DK7" i="2" s="1"/>
  <c r="Z30" i="1"/>
  <c r="V27" i="1"/>
  <c r="T13" i="1"/>
  <c r="AB13" i="1"/>
  <c r="AA13" i="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K53" i="28"/>
  <c r="AL61" i="28" s="1"/>
  <c r="V28" i="1"/>
  <c r="G55" i="28"/>
  <c r="U28" i="1"/>
  <c r="W28" i="1"/>
  <c r="Z28" i="1"/>
  <c r="AA28" i="1" s="1"/>
  <c r="X63" i="28"/>
  <c r="AA51" i="28"/>
  <c r="Y62" i="28" s="1"/>
  <c r="Z27" i="1"/>
  <c r="U27" i="1"/>
  <c r="Y51" i="28"/>
  <c r="Y61"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AI72" i="28"/>
  <c r="BE54" i="28"/>
  <c r="BC66" i="28" s="1"/>
  <c r="BC54" i="28"/>
  <c r="NG4" i="2"/>
  <c r="NL4" i="2"/>
  <c r="AL70" i="28"/>
  <c r="Y70" i="28"/>
  <c r="AS54" i="28"/>
  <c r="AU54" i="28"/>
  <c r="AS66" i="28" s="1"/>
  <c r="AEA4" i="2"/>
  <c r="AEB4" i="2" s="1"/>
  <c r="AGK4" i="2" s="1"/>
  <c r="AS52" i="28"/>
  <c r="AU52" i="28"/>
  <c r="AV62" i="28" s="1"/>
  <c r="O75" i="28"/>
  <c r="AB69"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27" i="1" l="1"/>
  <c r="AA27" i="1"/>
  <c r="AB27" i="1"/>
  <c r="T28" i="1"/>
  <c r="AB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AB73" i="28"/>
  <c r="Z80"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J49" i="1" l="1"/>
  <c r="DQ4" i="2"/>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BF69"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V8" i="34"/>
  <c r="BD8" i="26"/>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W61" i="28" l="1"/>
  <c r="DR7" i="2"/>
  <c r="DS7" i="2"/>
  <c r="DR4" i="2"/>
  <c r="DS4" i="2"/>
  <c r="DR6" i="2"/>
  <c r="DT7" i="2"/>
  <c r="DT5" i="2"/>
  <c r="DT4" i="2"/>
  <c r="DU4" i="2" s="1"/>
  <c r="DR5" i="2"/>
  <c r="DT3" i="2"/>
  <c r="AQ8" i="34"/>
  <c r="DS5" i="2"/>
  <c r="DR3" i="2"/>
  <c r="DT8" i="2"/>
  <c r="DS8" i="2"/>
  <c r="DT6" i="2"/>
  <c r="DS6" i="2"/>
  <c r="DR8" i="2"/>
  <c r="DS3"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F73" i="28"/>
  <c r="BM68" i="28"/>
  <c r="BZ72" i="28"/>
  <c r="AV75" i="28"/>
  <c r="AT79" i="28" s="1"/>
  <c r="BC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DU5" i="2" l="1"/>
  <c r="DU6" i="2"/>
  <c r="DU8" i="2"/>
  <c r="DU3" i="2"/>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G11" i="26"/>
  <c r="AE69" i="28"/>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AC43" i="1" l="1"/>
  <c r="P42" i="1"/>
  <c r="X42" i="1" s="1"/>
  <c r="AC41" i="1"/>
  <c r="DS12" i="2" s="1"/>
  <c r="P40" i="1"/>
  <c r="AB40" i="1" s="1"/>
  <c r="AC40" i="1"/>
  <c r="DR12" i="2" s="1"/>
  <c r="DR25" i="2" s="1"/>
  <c r="AC42" i="1"/>
  <c r="DT12" i="2" s="1"/>
  <c r="DT14" i="2" s="1"/>
  <c r="AC44" i="1"/>
  <c r="P44" i="1"/>
  <c r="X44" i="1" s="1"/>
  <c r="DW15" i="2"/>
  <c r="DW16" i="2"/>
  <c r="DW13" i="2"/>
  <c r="P41" i="1"/>
  <c r="V41" i="1" s="1"/>
  <c r="P39" i="1"/>
  <c r="W39" i="1" s="1"/>
  <c r="P43" i="1"/>
  <c r="AB43" i="1" s="1"/>
  <c r="DW14" i="2"/>
  <c r="AC39" i="1"/>
  <c r="DQ12" i="2" s="1"/>
  <c r="DQ22" i="2" s="1"/>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CO62" i="28"/>
  <c r="CJ72" i="28"/>
  <c r="CN62" i="28"/>
  <c r="CG64" i="28"/>
  <c r="AQU5" i="2"/>
  <c r="AQZ5" i="2"/>
  <c r="BD78" i="28"/>
  <c r="BH10" i="26"/>
  <c r="U70" i="28"/>
  <c r="BFA40" i="2"/>
  <c r="BFA39" i="2"/>
  <c r="CF64" i="28"/>
  <c r="CF60" i="28"/>
  <c r="CF68" i="28"/>
  <c r="CF66" i="28"/>
  <c r="CF62" i="28"/>
  <c r="CF58" i="28"/>
  <c r="G75" i="28"/>
  <c r="AWG34" i="2"/>
  <c r="AWG38" i="2"/>
  <c r="AWG37" i="2"/>
  <c r="BBC32" i="2" s="1"/>
  <c r="AWG26" i="2"/>
  <c r="AQU3" i="2"/>
  <c r="BBE12" i="2"/>
  <c r="BBE11" i="2"/>
  <c r="AHB5" i="2"/>
  <c r="AQW3" i="2"/>
  <c r="AQT3" i="2"/>
  <c r="AQS3" i="2"/>
  <c r="T41" i="1"/>
  <c r="AB41" i="1"/>
  <c r="T40" i="1"/>
  <c r="Z40"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7" i="2"/>
  <c r="DR23" i="2"/>
  <c r="DR19" i="2"/>
  <c r="DR15" i="2"/>
  <c r="DR18" i="2"/>
  <c r="DR14" i="2"/>
  <c r="DR20" i="2"/>
  <c r="DS25" i="2"/>
  <c r="DS17" i="2"/>
  <c r="DS24" i="2"/>
  <c r="DS20" i="2"/>
  <c r="DS16" i="2"/>
  <c r="DS26" i="2"/>
  <c r="DS22" i="2"/>
  <c r="DS14" i="2"/>
  <c r="DS27" i="2"/>
  <c r="DS23" i="2"/>
  <c r="DS19" i="2"/>
  <c r="DS15" i="2"/>
  <c r="DS21" i="2"/>
  <c r="DS13" i="2"/>
  <c r="DS18" i="2"/>
  <c r="DT26" i="2"/>
  <c r="DT22" i="2"/>
  <c r="DT18" i="2"/>
  <c r="DT20" i="2"/>
  <c r="DT16" i="2"/>
  <c r="DT21" i="2"/>
  <c r="DT17" i="2"/>
  <c r="DT13" i="2"/>
  <c r="DT27" i="2"/>
  <c r="DT23" i="2"/>
  <c r="DT15" i="2"/>
  <c r="X40" i="1" l="1"/>
  <c r="W41" i="1"/>
  <c r="T42" i="1"/>
  <c r="V40" i="1"/>
  <c r="X39" i="1"/>
  <c r="Z39" i="1"/>
  <c r="T39" i="1"/>
  <c r="U39" i="1"/>
  <c r="AA39" i="1"/>
  <c r="V39" i="1"/>
  <c r="I53" i="28"/>
  <c r="W53" i="28" s="1"/>
  <c r="AB39" i="1"/>
  <c r="V43" i="1"/>
  <c r="Z44" i="1"/>
  <c r="AB44" i="1"/>
  <c r="I56" i="28"/>
  <c r="W56" i="28" s="1"/>
  <c r="AA40" i="1"/>
  <c r="V44" i="1"/>
  <c r="AA42" i="1"/>
  <c r="AA44" i="1"/>
  <c r="W42" i="1"/>
  <c r="W44" i="1"/>
  <c r="U40" i="1"/>
  <c r="T44" i="1"/>
  <c r="U42" i="1"/>
  <c r="Z42" i="1"/>
  <c r="V42" i="1"/>
  <c r="AB42" i="1"/>
  <c r="DQ19" i="2"/>
  <c r="U44" i="1"/>
  <c r="W40" i="1"/>
  <c r="DQ15" i="2"/>
  <c r="DU15" i="2" s="1"/>
  <c r="DQ14" i="2"/>
  <c r="DU14" i="2" s="1"/>
  <c r="DQ16" i="2"/>
  <c r="X43" i="1"/>
  <c r="W43" i="1"/>
  <c r="DQ26" i="2"/>
  <c r="T43" i="1"/>
  <c r="DQ24" i="2"/>
  <c r="U43" i="1"/>
  <c r="DR22" i="2"/>
  <c r="DU22" i="2" s="1"/>
  <c r="DQ20" i="2"/>
  <c r="DU20" i="2" s="1"/>
  <c r="DR26" i="2"/>
  <c r="DR13" i="2"/>
  <c r="DQ18" i="2"/>
  <c r="DU18" i="2" s="1"/>
  <c r="DR21" i="2"/>
  <c r="Z43" i="1"/>
  <c r="AA43" i="1"/>
  <c r="DQ13" i="2"/>
  <c r="I54" i="28"/>
  <c r="W54" i="28" s="1"/>
  <c r="DQ21" i="2"/>
  <c r="DQ27" i="2"/>
  <c r="DU27" i="2" s="1"/>
  <c r="DR24" i="2"/>
  <c r="DQ25" i="2"/>
  <c r="DQ17" i="2"/>
  <c r="DR16" i="2"/>
  <c r="DR17" i="2"/>
  <c r="DQ23" i="2"/>
  <c r="DU23" i="2" s="1"/>
  <c r="X41" i="1"/>
  <c r="U41" i="1"/>
  <c r="Z41" i="1"/>
  <c r="AA41" i="1"/>
  <c r="I51" i="28"/>
  <c r="W51" i="28" s="1"/>
  <c r="I55" i="28"/>
  <c r="W55" i="28" s="1"/>
  <c r="I52" i="28"/>
  <c r="W52" i="28" s="1"/>
  <c r="DT19" i="2"/>
  <c r="DT25" i="2"/>
  <c r="DT24" i="2"/>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BN81" i="28" s="1"/>
  <c r="AG51" i="28"/>
  <c r="AG53" i="28"/>
  <c r="BZ73" i="28"/>
  <c r="BW75" i="28" s="1"/>
  <c r="BX78" i="28" s="1"/>
  <c r="BK10" i="26"/>
  <c r="U73" i="28"/>
  <c r="DA64" i="28"/>
  <c r="CJ73" i="28"/>
  <c r="CH80" i="28" s="1"/>
  <c r="CJ69" i="28"/>
  <c r="CO69" i="28" s="1"/>
  <c r="CO61" i="28"/>
  <c r="CN61" i="28"/>
  <c r="CQ65" i="28"/>
  <c r="AVT5" i="2"/>
  <c r="AVX5" i="2"/>
  <c r="AG52" i="28"/>
  <c r="AG54" i="28"/>
  <c r="CG72" i="28"/>
  <c r="CG73"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9" i="2" l="1"/>
  <c r="DU16" i="2"/>
  <c r="DU17" i="2"/>
  <c r="DU21" i="2"/>
  <c r="DU26" i="2"/>
  <c r="DU24" i="2"/>
  <c r="DU25"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l="1"/>
  <c r="DW20" i="2"/>
  <c r="DW19" i="2"/>
  <c r="DW18" i="2"/>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SR26" i="2" l="1"/>
  <c r="AHL33" i="2"/>
  <c r="IV19" i="2"/>
  <c r="ARH29" i="2"/>
  <c r="AWF31" i="2"/>
  <c r="AHL26" i="2"/>
  <c r="AWF30" i="2"/>
  <c r="IV25" i="2"/>
  <c r="BBD26" i="2"/>
  <c r="XP29" i="2"/>
  <c r="BGB30" i="2"/>
  <c r="AMJ32" i="2"/>
  <c r="BGB32" i="2"/>
  <c r="NT27" i="2"/>
  <c r="NT32" i="2"/>
  <c r="AMJ27" i="2"/>
  <c r="SR23" i="2"/>
  <c r="AMJ31" i="2"/>
  <c r="ACN22" i="2"/>
  <c r="ARH30" i="2"/>
  <c r="ARH26" i="2"/>
  <c r="XP26" i="2"/>
  <c r="SR33" i="2"/>
  <c r="IV27" i="2"/>
  <c r="BGB27" i="2"/>
  <c r="BBD27" i="2"/>
  <c r="AHL32" i="2"/>
  <c r="ARH24" i="2"/>
  <c r="NT25" i="2"/>
  <c r="IV28" i="2"/>
  <c r="ARH27" i="2"/>
  <c r="BBD29" i="2"/>
  <c r="BBD24" i="2"/>
  <c r="AWF22" i="2"/>
  <c r="AMJ23" i="2"/>
  <c r="BGB28" i="2"/>
  <c r="BBD33" i="2"/>
  <c r="XP33" i="2"/>
  <c r="IV31" i="2"/>
  <c r="IV33" i="2"/>
  <c r="SR24" i="2"/>
  <c r="AHL28" i="2"/>
  <c r="NT26" i="2"/>
  <c r="IV21" i="2"/>
  <c r="NT24" i="2"/>
  <c r="IV18" i="2"/>
  <c r="NT28" i="2"/>
  <c r="NT30" i="2"/>
  <c r="BBD22" i="2"/>
  <c r="ACN30" i="2"/>
  <c r="XP23" i="2"/>
  <c r="AMJ28" i="2"/>
  <c r="AWF28" i="2"/>
  <c r="BGB33" i="2"/>
  <c r="NT23" i="2"/>
  <c r="ARH22" i="2"/>
  <c r="BBD30" i="2"/>
  <c r="NT22" i="2"/>
  <c r="ACN23" i="2"/>
  <c r="SR22" i="2"/>
  <c r="SR32" i="2"/>
  <c r="IV30" i="2"/>
  <c r="BGB25" i="2"/>
  <c r="XP24" i="2"/>
  <c r="NT29" i="2"/>
  <c r="ARH31" i="2"/>
  <c r="ACN28" i="2"/>
  <c r="AMJ29" i="2"/>
  <c r="AMJ25" i="2"/>
  <c r="BBD32" i="2"/>
  <c r="XP32" i="2"/>
  <c r="NT31" i="2"/>
  <c r="BBD25" i="2"/>
  <c r="BBD23" i="2"/>
  <c r="AHL30" i="2"/>
  <c r="SR30" i="2"/>
  <c r="AHL23" i="2"/>
  <c r="AWF29" i="2"/>
  <c r="AWF33" i="2"/>
  <c r="BGB26" i="2"/>
  <c r="AMJ30" i="2"/>
  <c r="NT33" i="2"/>
  <c r="BBD28" i="2"/>
  <c r="XP31" i="2"/>
  <c r="BGB22" i="2"/>
  <c r="AHL29" i="2"/>
  <c r="AHL31" i="2"/>
  <c r="ARH32" i="2"/>
  <c r="ARH28" i="2"/>
  <c r="ACN31" i="2"/>
  <c r="SR28" i="2"/>
  <c r="XP30" i="2"/>
  <c r="AWF24" i="2"/>
  <c r="ACN25" i="2"/>
  <c r="AMJ26" i="2"/>
  <c r="ACN32" i="2"/>
  <c r="SR25" i="2"/>
  <c r="ARH23" i="2"/>
  <c r="IV24" i="2"/>
  <c r="ACN24" i="2"/>
  <c r="ACN26" i="2"/>
  <c r="AWF32" i="2"/>
  <c r="IV22" i="2"/>
  <c r="XP27" i="2"/>
  <c r="ACN33" i="2"/>
  <c r="BGB23" i="2"/>
  <c r="ARH25" i="2"/>
  <c r="ACN29" i="2"/>
  <c r="ARH33" i="2"/>
  <c r="AWF26" i="2"/>
  <c r="IV26" i="2"/>
  <c r="BBD31" i="2"/>
  <c r="IV23" i="2"/>
  <c r="AHL27" i="2"/>
  <c r="AWF23" i="2"/>
  <c r="SR31" i="2"/>
  <c r="XP25" i="2"/>
  <c r="AMJ33" i="2"/>
  <c r="XP28" i="2"/>
  <c r="AHL22" i="2"/>
  <c r="BGB31" i="2"/>
  <c r="AMJ22" i="2"/>
  <c r="AHL24" i="2"/>
  <c r="BGB29" i="2"/>
  <c r="AHL25" i="2"/>
  <c r="BGB24" i="2"/>
  <c r="IV32" i="2"/>
  <c r="AWF25" i="2"/>
  <c r="IV20" i="2"/>
  <c r="SR29" i="2"/>
  <c r="IV29" i="2"/>
  <c r="XP22" i="2"/>
  <c r="AMJ24" i="2"/>
  <c r="AWF27" i="2"/>
  <c r="SR27" i="2"/>
  <c r="ACN27"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5" i="28"/>
  <c r="BD79" i="28" s="1"/>
  <c r="BD80" i="28"/>
  <c r="BC71" i="28"/>
  <c r="BK71" i="28" s="1"/>
  <c r="BA72" i="28"/>
  <c r="AV74" i="28"/>
  <c r="AT81" i="28" s="1"/>
  <c r="BA65" i="28"/>
  <c r="AS70" i="28"/>
  <c r="AV73" i="28" s="1"/>
  <c r="AZ72" i="28"/>
  <c r="BJ13" i="26" s="1"/>
  <c r="AI71" i="28"/>
  <c r="AI74" i="28" s="1"/>
  <c r="AL75"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14" i="26" s="1"/>
  <c r="ACM20" i="2"/>
  <c r="BF67" i="28" s="1"/>
  <c r="BK67" i="28" s="1"/>
  <c r="AQ67" i="28"/>
  <c r="AO67" i="28"/>
  <c r="AO65" i="28"/>
  <c r="SR34" i="2"/>
  <c r="AO64" i="28"/>
  <c r="AO63" i="28"/>
  <c r="ACM18" i="2"/>
  <c r="BF63" i="28" s="1"/>
  <c r="BC69" i="28" s="1"/>
  <c r="BC73" i="28" s="1"/>
  <c r="BK73" i="28" s="1"/>
  <c r="ACM19" i="2"/>
  <c r="BF64" i="28" s="1"/>
  <c r="BK64" i="28" s="1"/>
  <c r="ACM21" i="2"/>
  <c r="BF65" i="28" s="1"/>
  <c r="BC70" i="28" s="1"/>
  <c r="BJ70" i="28" s="1"/>
  <c r="Y71" i="28"/>
  <c r="AF67" i="28"/>
  <c r="AG67" i="28"/>
  <c r="AF63" i="28"/>
  <c r="AG63" i="28"/>
  <c r="NT34" i="2"/>
  <c r="AG64" i="28"/>
  <c r="AF64" i="28"/>
  <c r="AF65" i="28"/>
  <c r="AG65" i="28"/>
  <c r="AY72" i="28"/>
  <c r="ARB16" i="2"/>
  <c r="AQ71" i="28"/>
  <c r="AP71" i="28"/>
  <c r="AO71" i="28" s="1"/>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BT74" i="28"/>
  <c r="W74" i="28"/>
  <c r="AQ74" i="28"/>
  <c r="BA74" i="28"/>
  <c r="BK74" i="28"/>
  <c r="BU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71" i="28" l="1"/>
  <c r="BJ69" i="28"/>
  <c r="BI69" i="28" s="1"/>
  <c r="BJ67" i="28"/>
  <c r="BE14" i="26" s="1"/>
  <c r="ACN20" i="2"/>
  <c r="BJ73" i="28"/>
  <c r="BI73" i="28" s="1"/>
  <c r="BI12" i="26"/>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H14" i="26"/>
  <c r="BI70" i="28"/>
  <c r="BK13" i="26"/>
  <c r="AY73" i="28"/>
  <c r="BH13" i="26"/>
  <c r="AY70" i="28"/>
  <c r="BBC16" i="2"/>
  <c r="BAW12" i="2"/>
  <c r="BAW19" i="2" s="1"/>
  <c r="BAZ12" i="2"/>
  <c r="BAZ21" i="2" s="1"/>
  <c r="BBC13" i="2"/>
  <c r="BAX12" i="2"/>
  <c r="BAX22" i="2" s="1"/>
  <c r="BU58" i="28"/>
  <c r="CF71" i="28"/>
  <c r="BG57" i="28"/>
  <c r="BK57" i="28" s="1"/>
  <c r="CO58" i="28"/>
  <c r="BL15" i="26"/>
  <c r="BS74"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K14" i="26" l="1"/>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L12" i="26" s="1"/>
  <c r="E12" i="26" s="1"/>
  <c r="AO75" i="28"/>
  <c r="AH52" i="28" s="1"/>
  <c r="CE63" i="28"/>
  <c r="CD63" i="28"/>
  <c r="CE67" i="28"/>
  <c r="CD67" i="28"/>
  <c r="BU65" i="28"/>
  <c r="BT65" i="28"/>
  <c r="BU64" i="28"/>
  <c r="BT64" i="28"/>
  <c r="BM16" i="26"/>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X53" i="28" l="1"/>
  <c r="M11" i="26" s="1"/>
  <c r="F11" i="26" s="1"/>
  <c r="AE7" i="28"/>
  <c r="BL11" i="26"/>
  <c r="L11" i="26" s="1"/>
  <c r="E11" i="26" s="1"/>
  <c r="AE74" i="28"/>
  <c r="X52" i="28" s="1"/>
  <c r="F11" i="34" s="1"/>
  <c r="D11" i="34" s="1"/>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<sst xmlns="http://schemas.openxmlformats.org/spreadsheetml/2006/main" count="4233" uniqueCount="373">
  <si>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</si>
  <si>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</si>
  <si>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</si>
  <si>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</si>
  <si>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</si>
  <si>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</si>
  <si>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</si>
  <si>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</si>
  <si>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</si>
  <si>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</si>
  <si>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</si>
  <si>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</si>
  <si>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</si>
  <si>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</si>
  <si>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</si>
  <si>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</si>
  <si>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</si>
  <si>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</si>
  <si>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</si>
  <si>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</si>
  <si>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</si>
  <si>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</si>
  <si>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</si>
  <si>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</si>
  <si>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</si>
  <si>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</si>
  <si>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</si>
  <si>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</si>
  <si>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</si>
  <si>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</si>
  <si>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</si>
  <si>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</si>
  <si>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</si>
  <si>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</si>
  <si>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</si>
  <si>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</si>
  <si>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</si>
  <si>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</si>
  <si>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</si>
  <si>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</si>
  <si>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</si>
  <si>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</si>
  <si>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</si>
  <si>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</si>
  <si>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</si>
  <si>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</si>
  <si>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</si>
  <si>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</si>
  <si>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</si>
  <si>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</si>
  <si>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</si>
  <si>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</si>
  <si>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</si>
  <si>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</si>
  <si>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</si>
  <si>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</si>
  <si>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</si>
  <si>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</si>
  <si>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</si>
  <si>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</si>
  <si>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</si>
  <si>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</si>
  <si>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</si>
  <si>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</si>
  <si>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</si>
  <si>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</si>
  <si>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</si>
  <si>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</si>
  <si>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</si>
  <si>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</si>
  <si>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</si>
  <si>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</si>
  <si>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</si>
  <si>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Ena</t>
  </si>
  <si>
    <t xml:space="preserve">● </t>
  </si>
  <si>
    <t>Type participant name in Player Name column in column C. This name will be used as name references in all worksheets.</t>
  </si>
  <si>
    <t>Pavlo</t>
  </si>
  <si>
    <t>You DO NOT NEED TO TYPE PLAYER NAME IN OTHER WORKSHEET</t>
  </si>
  <si>
    <t>Player</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</si>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</sst>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7">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s>
  <cellStyleXfs count="7">
    <xf numFmtId="0" fontId="0" fillId="0" borderId="0"/>
    <xf numFmtId="0" fontId="6" fillId="0" borderId="0" applyNumberFormat="0" applyFill="0" applyBorder="0" applyAlignment="0" applyProtection="0">
      <alignment vertical="top"/>
      <protection locked="0"/>
    </xf>
    <xf numFmtId="164" fontId="11" fillId="0" borderId="0" applyFont="0" applyFill="0" applyBorder="0" applyAlignment="0" applyProtection="0"/>
    <xf numFmtId="0" fontId="11" fillId="0" borderId="0"/>
    <xf numFmtId="0" fontId="4" fillId="0" borderId="0"/>
    <xf numFmtId="0" fontId="3" fillId="0" borderId="0"/>
    <xf numFmtId="0" fontId="2" fillId="0" borderId="0"/>
  </cellStyleXfs>
  <cellXfs count="404">
    <xf numFmtId="0" fontId="0" fillId="0" borderId="0" xfId="0"/>
    <xf numFmtId="0" fontId="9" fillId="0" borderId="0" xfId="0" applyFont="1" applyAlignment="1" applyProtection="1">
      <alignment vertical="center"/>
      <protection hidden="1"/>
    </xf>
    <xf numFmtId="0" fontId="9" fillId="0" borderId="0" xfId="0" applyFont="1"/>
    <xf numFmtId="0" fontId="9" fillId="0" borderId="0" xfId="0" applyFont="1" applyAlignment="1">
      <alignment vertical="center"/>
    </xf>
    <xf numFmtId="0" fontId="9" fillId="0" borderId="0" xfId="3" applyFont="1" applyAlignment="1">
      <alignment vertical="center"/>
    </xf>
    <xf numFmtId="0" fontId="12" fillId="0" borderId="0" xfId="3" applyFont="1" applyAlignment="1" applyProtection="1">
      <alignment vertical="center"/>
      <protection locked="0"/>
    </xf>
    <xf numFmtId="0" fontId="10" fillId="0" borderId="0" xfId="3" applyFont="1" applyAlignment="1">
      <alignment vertical="center"/>
    </xf>
    <xf numFmtId="0" fontId="13" fillId="0" borderId="0" xfId="3" applyFont="1"/>
    <xf numFmtId="0" fontId="13" fillId="0" borderId="0" xfId="3" applyFont="1" applyAlignment="1">
      <alignment horizontal="center"/>
    </xf>
    <xf numFmtId="0" fontId="7" fillId="0" borderId="0" xfId="3" applyFont="1"/>
    <xf numFmtId="0" fontId="15" fillId="0" borderId="0" xfId="3" applyFont="1" applyAlignment="1">
      <alignment vertical="center"/>
    </xf>
    <xf numFmtId="3" fontId="13" fillId="0" borderId="0" xfId="3" applyNumberFormat="1" applyFont="1"/>
    <xf numFmtId="0" fontId="9" fillId="0" borderId="0" xfId="3" applyFont="1" applyAlignment="1" applyProtection="1">
      <alignment vertical="center"/>
      <protection locked="0"/>
    </xf>
    <xf numFmtId="0" fontId="9" fillId="4" borderId="0" xfId="3" applyFont="1" applyFill="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14" fillId="4" borderId="0" xfId="3" applyFont="1" applyFill="1" applyAlignment="1">
      <alignment vertical="center"/>
    </xf>
    <xf numFmtId="0" fontId="9" fillId="5" borderId="0" xfId="3" applyFont="1" applyFill="1" applyAlignment="1" applyProtection="1">
      <alignment horizontal="center" vertical="center"/>
      <protection locked="0"/>
    </xf>
    <xf numFmtId="0" fontId="9" fillId="0" borderId="0" xfId="0" applyFont="1" applyAlignment="1" applyProtection="1">
      <alignment vertical="top" wrapText="1"/>
      <protection hidden="1"/>
    </xf>
    <xf numFmtId="0" fontId="9" fillId="0" borderId="13" xfId="3" applyFont="1" applyBorder="1" applyAlignment="1" applyProtection="1">
      <alignment horizontal="center" vertical="center"/>
      <protection hidden="1"/>
    </xf>
    <xf numFmtId="3" fontId="9" fillId="0" borderId="13" xfId="3" applyNumberFormat="1" applyFont="1" applyBorder="1" applyAlignment="1" applyProtection="1">
      <alignment horizontal="center" vertical="center"/>
      <protection hidden="1"/>
    </xf>
    <xf numFmtId="1" fontId="9" fillId="0" borderId="13" xfId="3" applyNumberFormat="1" applyFont="1" applyBorder="1" applyAlignment="1" applyProtection="1">
      <alignment horizontal="center" vertical="center"/>
      <protection hidden="1"/>
    </xf>
    <xf numFmtId="0" fontId="24" fillId="4" borderId="0" xfId="3" applyFont="1" applyFill="1"/>
    <xf numFmtId="0" fontId="24" fillId="4" borderId="0" xfId="3" applyFont="1" applyFill="1" applyAlignment="1">
      <alignment horizontal="center"/>
    </xf>
    <xf numFmtId="0" fontId="24" fillId="0" borderId="0" xfId="3" applyFont="1"/>
    <xf numFmtId="0" fontId="24" fillId="0" borderId="0" xfId="3" applyFont="1" applyAlignment="1">
      <alignment horizontal="center"/>
    </xf>
    <xf numFmtId="0" fontId="9" fillId="0" borderId="16" xfId="3" applyFont="1" applyBorder="1" applyAlignment="1" applyProtection="1">
      <alignment horizontal="center" vertical="center"/>
      <protection hidden="1"/>
    </xf>
    <xf numFmtId="3" fontId="9" fillId="0" borderId="17" xfId="3" applyNumberFormat="1" applyFont="1" applyBorder="1" applyAlignment="1" applyProtection="1">
      <alignment horizontal="center" vertical="center"/>
      <protection hidden="1"/>
    </xf>
    <xf numFmtId="0" fontId="13" fillId="4" borderId="0" xfId="3" applyFont="1" applyFill="1"/>
    <xf numFmtId="3" fontId="13" fillId="4" borderId="0" xfId="3" applyNumberFormat="1" applyFont="1" applyFill="1"/>
    <xf numFmtId="0" fontId="16" fillId="0" borderId="0" xfId="3" applyFont="1" applyAlignment="1">
      <alignment vertical="center"/>
    </xf>
    <xf numFmtId="3" fontId="18" fillId="0" borderId="0" xfId="1" applyNumberFormat="1" applyFont="1" applyFill="1" applyBorder="1" applyAlignment="1" applyProtection="1">
      <alignment vertical="center" wrapText="1"/>
    </xf>
    <xf numFmtId="0" fontId="9" fillId="0" borderId="13" xfId="3" applyFont="1" applyBorder="1" applyAlignment="1" applyProtection="1">
      <alignment horizontal="left" vertical="center"/>
      <protection hidden="1"/>
    </xf>
    <xf numFmtId="0" fontId="9" fillId="4" borderId="0" xfId="0" applyFont="1" applyFill="1" applyAlignment="1" applyProtection="1">
      <alignment vertical="center"/>
      <protection hidden="1"/>
    </xf>
    <xf numFmtId="0" fontId="9" fillId="4" borderId="0" xfId="0" applyFont="1" applyFill="1"/>
    <xf numFmtId="0" fontId="9" fillId="0" borderId="9" xfId="0" applyFont="1" applyBorder="1" applyAlignment="1" applyProtection="1">
      <alignment vertical="center"/>
      <protection hidden="1"/>
    </xf>
    <xf numFmtId="0" fontId="9" fillId="0" borderId="9" xfId="0" applyFont="1" applyBorder="1" applyAlignment="1" applyProtection="1">
      <alignment vertical="center"/>
      <protection locked="0"/>
    </xf>
    <xf numFmtId="0" fontId="27" fillId="4" borderId="0" xfId="3" applyFont="1" applyFill="1" applyAlignment="1" applyProtection="1">
      <alignment vertical="center"/>
      <protection hidden="1"/>
    </xf>
    <xf numFmtId="0" fontId="10" fillId="0" borderId="0" xfId="3" applyFont="1" applyAlignment="1" applyProtection="1">
      <alignment vertical="center"/>
      <protection hidden="1"/>
    </xf>
    <xf numFmtId="0" fontId="28" fillId="0" borderId="0" xfId="3" applyFont="1" applyAlignment="1" applyProtection="1">
      <alignment vertical="center"/>
      <protection hidden="1"/>
    </xf>
    <xf numFmtId="0" fontId="9" fillId="0" borderId="0" xfId="3" applyFont="1" applyAlignment="1" applyProtection="1">
      <alignment vertical="center"/>
      <protection hidden="1"/>
    </xf>
    <xf numFmtId="0" fontId="10" fillId="8" borderId="0" xfId="3" applyFont="1" applyFill="1" applyAlignment="1" applyProtection="1">
      <alignment vertical="center"/>
      <protection hidden="1"/>
    </xf>
    <xf numFmtId="0" fontId="9" fillId="8" borderId="0" xfId="3" applyFont="1" applyFill="1" applyAlignment="1" applyProtection="1">
      <alignment vertical="center"/>
      <protection hidden="1"/>
    </xf>
    <xf numFmtId="0" fontId="30" fillId="8" borderId="0" xfId="3" applyFont="1" applyFill="1" applyAlignment="1" applyProtection="1">
      <alignment vertical="center"/>
      <protection hidden="1"/>
    </xf>
    <xf numFmtId="0" fontId="29" fillId="0" borderId="0" xfId="3" applyFont="1" applyAlignment="1" applyProtection="1">
      <alignment vertical="center"/>
      <protection hidden="1"/>
    </xf>
    <xf numFmtId="0" fontId="31" fillId="0" borderId="1" xfId="3" applyFont="1" applyBorder="1" applyAlignment="1" applyProtection="1">
      <alignment vertical="center"/>
      <protection hidden="1"/>
    </xf>
    <xf numFmtId="0" fontId="31" fillId="0" borderId="0" xfId="3" applyFont="1" applyAlignment="1" applyProtection="1">
      <alignment vertical="center"/>
      <protection hidden="1"/>
    </xf>
    <xf numFmtId="0" fontId="30" fillId="5" borderId="0" xfId="3" applyFont="1" applyFill="1" applyAlignment="1" applyProtection="1">
      <alignment vertical="center"/>
      <protection hidden="1"/>
    </xf>
    <xf numFmtId="0" fontId="9" fillId="2" borderId="1" xfId="3" applyFont="1" applyFill="1" applyBorder="1" applyAlignment="1" applyProtection="1">
      <alignment vertical="center"/>
      <protection hidden="1"/>
    </xf>
    <xf numFmtId="0" fontId="9" fillId="2" borderId="0" xfId="3" applyFont="1" applyFill="1" applyAlignment="1" applyProtection="1">
      <alignment vertical="center"/>
      <protection hidden="1"/>
    </xf>
    <xf numFmtId="0" fontId="12" fillId="2" borderId="0" xfId="3" applyFont="1" applyFill="1" applyAlignment="1" applyProtection="1">
      <alignment vertical="center"/>
      <protection hidden="1"/>
    </xf>
    <xf numFmtId="0" fontId="14" fillId="7" borderId="19" xfId="3" applyFont="1" applyFill="1" applyBorder="1" applyAlignment="1" applyProtection="1">
      <alignment horizontal="center" vertical="center"/>
      <protection hidden="1"/>
    </xf>
    <xf numFmtId="0" fontId="9" fillId="5"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2" borderId="0" xfId="3" applyFont="1" applyFill="1" applyAlignment="1" applyProtection="1">
      <alignment horizontal="center" vertical="center"/>
      <protection hidden="1"/>
    </xf>
    <xf numFmtId="0" fontId="9" fillId="2" borderId="19" xfId="3" applyFont="1" applyFill="1" applyBorder="1" applyAlignment="1" applyProtection="1">
      <alignment horizontal="center" vertical="center"/>
      <protection hidden="1"/>
    </xf>
    <xf numFmtId="167" fontId="9" fillId="2" borderId="19" xfId="3" applyNumberFormat="1" applyFont="1" applyFill="1" applyBorder="1" applyAlignment="1" applyProtection="1">
      <alignment horizontal="center" vertical="center"/>
      <protection hidden="1"/>
    </xf>
    <xf numFmtId="0" fontId="14" fillId="4" borderId="0" xfId="3" applyFont="1" applyFill="1" applyAlignment="1" applyProtection="1">
      <alignment vertical="center"/>
      <protection hidden="1"/>
    </xf>
    <xf numFmtId="0" fontId="30" fillId="4" borderId="0" xfId="3" applyFont="1" applyFill="1" applyAlignment="1" applyProtection="1">
      <alignment vertical="center"/>
      <protection hidden="1"/>
    </xf>
    <xf numFmtId="0" fontId="9" fillId="4" borderId="1" xfId="3" applyFont="1" applyFill="1" applyBorder="1" applyAlignment="1" applyProtection="1">
      <alignment vertical="center"/>
      <protection hidden="1"/>
    </xf>
    <xf numFmtId="0" fontId="9" fillId="4" borderId="0" xfId="3" applyFont="1" applyFill="1" applyAlignment="1" applyProtection="1">
      <alignment vertical="center"/>
      <protection hidden="1"/>
    </xf>
    <xf numFmtId="0" fontId="12" fillId="4" borderId="0" xfId="3" applyFont="1" applyFill="1" applyAlignment="1" applyProtection="1">
      <alignment horizontal="center" vertical="center"/>
      <protection hidden="1"/>
    </xf>
    <xf numFmtId="0" fontId="9" fillId="5" borderId="1" xfId="3" applyFont="1" applyFill="1" applyBorder="1" applyAlignment="1" applyProtection="1">
      <alignment vertical="center"/>
      <protection hidden="1"/>
    </xf>
    <xf numFmtId="0" fontId="9" fillId="5" borderId="0" xfId="3" applyFont="1" applyFill="1" applyAlignment="1" applyProtection="1">
      <alignment vertical="center"/>
      <protection hidden="1"/>
    </xf>
    <xf numFmtId="0" fontId="9"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166" fontId="9" fillId="5" borderId="0" xfId="3" applyNumberFormat="1" applyFont="1" applyFill="1" applyAlignment="1" applyProtection="1">
      <alignment horizontal="right" vertical="center"/>
      <protection hidden="1"/>
    </xf>
    <xf numFmtId="165" fontId="9" fillId="5" borderId="0" xfId="3" applyNumberFormat="1" applyFont="1" applyFill="1" applyAlignment="1" applyProtection="1">
      <alignment horizontal="right" vertical="center"/>
      <protection hidden="1"/>
    </xf>
    <xf numFmtId="0" fontId="9" fillId="5" borderId="0" xfId="3" applyFont="1" applyFill="1" applyAlignment="1" applyProtection="1">
      <alignment horizontal="right" vertical="center" indent="1"/>
      <protection hidden="1"/>
    </xf>
    <xf numFmtId="0" fontId="9" fillId="5" borderId="0" xfId="3" applyFont="1" applyFill="1" applyAlignment="1" applyProtection="1">
      <alignment horizontal="left" vertical="center" indent="1"/>
      <protection hidden="1"/>
    </xf>
    <xf numFmtId="0" fontId="9" fillId="0" borderId="0" xfId="3" applyFont="1" applyAlignment="1" applyProtection="1">
      <alignment horizontal="right" vertical="center" indent="1"/>
      <protection hidden="1"/>
    </xf>
    <xf numFmtId="0" fontId="9" fillId="0" borderId="9" xfId="3" applyFont="1" applyBorder="1" applyAlignment="1" applyProtection="1">
      <alignment horizontal="center" vertical="center"/>
      <protection locked="0"/>
    </xf>
    <xf numFmtId="0" fontId="9" fillId="0" borderId="0" xfId="3" applyFont="1" applyAlignment="1" applyProtection="1">
      <alignment horizontal="left" vertical="center" indent="1"/>
      <protection hidden="1"/>
    </xf>
    <xf numFmtId="0" fontId="10" fillId="0" borderId="0" xfId="3" applyFont="1" applyAlignment="1" applyProtection="1">
      <alignment horizontal="left" vertical="center" indent="1"/>
      <protection hidden="1"/>
    </xf>
    <xf numFmtId="167" fontId="9" fillId="2" borderId="19" xfId="2" applyNumberFormat="1" applyFont="1" applyFill="1" applyBorder="1" applyAlignment="1" applyProtection="1">
      <alignment horizontal="center" vertical="center"/>
      <protection hidden="1"/>
    </xf>
    <xf numFmtId="0" fontId="9" fillId="0" borderId="0" xfId="3" applyFont="1" applyAlignment="1" applyProtection="1">
      <alignment horizontal="center" vertical="center"/>
      <protection locked="0"/>
    </xf>
    <xf numFmtId="0" fontId="9" fillId="5" borderId="0" xfId="3" applyFont="1" applyFill="1" applyAlignment="1" applyProtection="1">
      <alignment horizontal="right" vertical="center"/>
      <protection hidden="1"/>
    </xf>
    <xf numFmtId="0" fontId="30" fillId="4" borderId="1" xfId="3" applyFont="1" applyFill="1" applyBorder="1" applyAlignment="1" applyProtection="1">
      <alignment vertical="center"/>
      <protection hidden="1"/>
    </xf>
    <xf numFmtId="0" fontId="9" fillId="4" borderId="2" xfId="3" applyFont="1" applyFill="1" applyBorder="1" applyAlignment="1" applyProtection="1">
      <alignment vertical="center"/>
      <protection hidden="1"/>
    </xf>
    <xf numFmtId="0" fontId="12" fillId="5" borderId="0" xfId="3" applyFont="1" applyFill="1" applyAlignment="1" applyProtection="1">
      <alignment vertical="center"/>
      <protection hidden="1"/>
    </xf>
    <xf numFmtId="0" fontId="12" fillId="0" borderId="0" xfId="3" applyFont="1" applyAlignment="1" applyProtection="1">
      <alignment vertical="center"/>
      <protection hidden="1"/>
    </xf>
    <xf numFmtId="0" fontId="10" fillId="4" borderId="10" xfId="3" applyFont="1" applyFill="1" applyBorder="1" applyAlignment="1" applyProtection="1">
      <alignment horizontal="center" vertical="center"/>
      <protection hidden="1"/>
    </xf>
    <xf numFmtId="167" fontId="10" fillId="0" borderId="1" xfId="3" applyNumberFormat="1" applyFont="1" applyBorder="1" applyAlignment="1" applyProtection="1">
      <alignment vertical="center"/>
      <protection hidden="1"/>
    </xf>
    <xf numFmtId="0" fontId="9" fillId="5" borderId="9" xfId="3" applyFont="1" applyFill="1" applyBorder="1" applyAlignment="1" applyProtection="1">
      <alignment horizontal="center" vertical="center"/>
      <protection hidden="1"/>
    </xf>
    <xf numFmtId="0" fontId="32" fillId="5" borderId="0" xfId="3" applyFont="1" applyFill="1" applyAlignment="1" applyProtection="1">
      <alignment vertical="center"/>
      <protection hidden="1"/>
    </xf>
    <xf numFmtId="0" fontId="32"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0" fontId="9" fillId="5" borderId="11" xfId="3" applyFont="1" applyFill="1" applyBorder="1" applyAlignment="1" applyProtection="1">
      <alignment horizontal="center" vertical="center"/>
      <protection hidden="1"/>
    </xf>
    <xf numFmtId="0" fontId="9" fillId="5" borderId="11" xfId="3" applyFont="1" applyFill="1" applyBorder="1" applyAlignment="1" applyProtection="1">
      <alignment horizontal="right" vertical="center" indent="1"/>
      <protection hidden="1"/>
    </xf>
    <xf numFmtId="0" fontId="9" fillId="5" borderId="11" xfId="3" applyFont="1" applyFill="1" applyBorder="1" applyAlignment="1" applyProtection="1">
      <alignment horizontal="left" vertical="center" indent="1"/>
      <protection hidden="1"/>
    </xf>
    <xf numFmtId="0" fontId="9" fillId="5" borderId="11" xfId="3" applyFont="1" applyFill="1" applyBorder="1" applyAlignment="1" applyProtection="1">
      <alignment horizontal="center" vertical="center"/>
      <protection locked="0"/>
    </xf>
    <xf numFmtId="0" fontId="9" fillId="5" borderId="5" xfId="3" applyFont="1" applyFill="1" applyBorder="1" applyAlignment="1" applyProtection="1">
      <alignment horizontal="center" vertical="center"/>
      <protection hidden="1"/>
    </xf>
    <xf numFmtId="0" fontId="9" fillId="5" borderId="5" xfId="3" applyFont="1" applyFill="1" applyBorder="1" applyAlignment="1" applyProtection="1">
      <alignment horizontal="right" vertical="center" indent="1"/>
      <protection hidden="1"/>
    </xf>
    <xf numFmtId="0" fontId="9" fillId="5" borderId="5" xfId="3" applyFont="1" applyFill="1" applyBorder="1" applyAlignment="1" applyProtection="1">
      <alignment horizontal="left" vertical="center" indent="1"/>
      <protection hidden="1"/>
    </xf>
    <xf numFmtId="0" fontId="9" fillId="5" borderId="5" xfId="3" applyFont="1" applyFill="1" applyBorder="1" applyAlignment="1" applyProtection="1">
      <alignment horizontal="center" vertical="center"/>
      <protection locked="0"/>
    </xf>
    <xf numFmtId="0" fontId="9" fillId="0" borderId="5" xfId="3" applyFont="1" applyBorder="1" applyAlignment="1" applyProtection="1">
      <alignment horizontal="center" vertical="center"/>
      <protection locked="0"/>
    </xf>
    <xf numFmtId="0" fontId="9" fillId="5" borderId="3" xfId="3" applyFont="1" applyFill="1" applyBorder="1" applyAlignment="1" applyProtection="1">
      <alignment horizontal="center" vertical="center"/>
      <protection hidden="1"/>
    </xf>
    <xf numFmtId="0" fontId="9" fillId="5" borderId="3" xfId="3" applyFont="1" applyFill="1" applyBorder="1" applyAlignment="1" applyProtection="1">
      <alignment horizontal="right" vertical="center" indent="1"/>
      <protection hidden="1"/>
    </xf>
    <xf numFmtId="0" fontId="9" fillId="5" borderId="3" xfId="3" applyFont="1" applyFill="1" applyBorder="1" applyAlignment="1" applyProtection="1">
      <alignment horizontal="left" vertical="center" indent="1"/>
      <protection hidden="1"/>
    </xf>
    <xf numFmtId="0" fontId="9" fillId="5" borderId="3" xfId="3" applyFont="1" applyFill="1" applyBorder="1" applyAlignment="1" applyProtection="1">
      <alignment horizontal="center" vertical="center"/>
      <protection locked="0"/>
    </xf>
    <xf numFmtId="0" fontId="9" fillId="0" borderId="3" xfId="3" applyFont="1" applyBorder="1" applyAlignment="1" applyProtection="1">
      <alignment horizontal="center" vertical="center"/>
      <protection locked="0"/>
    </xf>
    <xf numFmtId="0" fontId="10" fillId="0" borderId="6" xfId="3" applyFont="1" applyBorder="1" applyAlignment="1" applyProtection="1">
      <alignment vertical="center"/>
      <protection hidden="1"/>
    </xf>
    <xf numFmtId="0" fontId="9" fillId="5" borderId="7" xfId="3" applyFont="1" applyFill="1" applyBorder="1" applyAlignment="1" applyProtection="1">
      <alignment vertical="center"/>
      <protection hidden="1"/>
    </xf>
    <xf numFmtId="0" fontId="9" fillId="5" borderId="5" xfId="3" applyFont="1" applyFill="1" applyBorder="1" applyAlignment="1" applyProtection="1">
      <alignment vertical="center"/>
      <protection hidden="1"/>
    </xf>
    <xf numFmtId="0" fontId="32" fillId="5" borderId="6" xfId="3" applyFont="1" applyFill="1" applyBorder="1" applyAlignment="1" applyProtection="1">
      <alignment vertical="center"/>
      <protection hidden="1"/>
    </xf>
    <xf numFmtId="0" fontId="9" fillId="0" borderId="5" xfId="3" applyFont="1" applyBorder="1" applyAlignment="1" applyProtection="1">
      <alignment vertical="center"/>
      <protection hidden="1"/>
    </xf>
    <xf numFmtId="0" fontId="10" fillId="0" borderId="0" xfId="3" applyFont="1" applyProtection="1">
      <protection hidden="1"/>
    </xf>
    <xf numFmtId="0" fontId="9" fillId="0" borderId="0" xfId="3" applyFont="1" applyProtection="1">
      <protection hidden="1"/>
    </xf>
    <xf numFmtId="0" fontId="9" fillId="0" borderId="5" xfId="3" applyFont="1" applyBorder="1" applyAlignment="1" applyProtection="1">
      <alignment horizontal="right" vertical="center" indent="1"/>
      <protection hidden="1"/>
    </xf>
    <xf numFmtId="0" fontId="9" fillId="0" borderId="5" xfId="3" applyFont="1" applyBorder="1" applyAlignment="1" applyProtection="1">
      <alignment horizontal="left" vertical="center" indent="1"/>
      <protection hidden="1"/>
    </xf>
    <xf numFmtId="0" fontId="9" fillId="0" borderId="3" xfId="3" applyFont="1" applyBorder="1" applyAlignment="1" applyProtection="1">
      <alignment horizontal="right" vertical="center" indent="1"/>
      <protection hidden="1"/>
    </xf>
    <xf numFmtId="0" fontId="9" fillId="0" borderId="3" xfId="3" applyFont="1" applyBorder="1" applyAlignment="1" applyProtection="1">
      <alignment horizontal="left" vertical="center" indent="1"/>
      <protection hidden="1"/>
    </xf>
    <xf numFmtId="0" fontId="17" fillId="4" borderId="0" xfId="3" applyFont="1" applyFill="1"/>
    <xf numFmtId="0" fontId="17" fillId="4" borderId="0" xfId="3" applyFont="1" applyFill="1" applyAlignment="1">
      <alignment horizontal="center"/>
    </xf>
    <xf numFmtId="0" fontId="35" fillId="4" borderId="0" xfId="1" applyFont="1" applyFill="1" applyBorder="1" applyAlignment="1" applyProtection="1">
      <alignment vertical="center" wrapText="1"/>
    </xf>
    <xf numFmtId="0" fontId="10" fillId="4" borderId="13" xfId="3" applyFont="1" applyFill="1" applyBorder="1" applyAlignment="1" applyProtection="1">
      <alignment horizontal="center" vertical="center"/>
      <protection locked="0"/>
    </xf>
    <xf numFmtId="1" fontId="10" fillId="4" borderId="13" xfId="3" applyNumberFormat="1" applyFont="1" applyFill="1" applyBorder="1" applyAlignment="1" applyProtection="1">
      <alignment horizontal="center" vertical="center"/>
      <protection locked="0"/>
    </xf>
    <xf numFmtId="0" fontId="14" fillId="8" borderId="19" xfId="3" applyFont="1" applyFill="1" applyBorder="1" applyAlignment="1" applyProtection="1">
      <alignment horizontal="center" vertical="center"/>
      <protection hidden="1"/>
    </xf>
    <xf numFmtId="0" fontId="12" fillId="5" borderId="0" xfId="3" applyFont="1" applyFill="1" applyAlignment="1" applyProtection="1">
      <alignment horizontal="left" vertical="center"/>
      <protection hidden="1"/>
    </xf>
    <xf numFmtId="0" fontId="12" fillId="5" borderId="0" xfId="3" applyFont="1" applyFill="1" applyAlignment="1" applyProtection="1">
      <alignment horizontal="right" vertical="center"/>
      <protection hidden="1"/>
    </xf>
    <xf numFmtId="0" fontId="10" fillId="4" borderId="0" xfId="3" applyFont="1" applyFill="1" applyAlignment="1" applyProtection="1">
      <alignment vertical="center"/>
      <protection hidden="1"/>
    </xf>
    <xf numFmtId="0" fontId="10" fillId="0" borderId="1" xfId="3" applyFont="1" applyBorder="1" applyAlignment="1" applyProtection="1">
      <alignment vertical="center"/>
      <protection hidden="1"/>
    </xf>
    <xf numFmtId="0" fontId="9" fillId="0" borderId="1" xfId="3" applyFont="1" applyBorder="1" applyAlignment="1" applyProtection="1">
      <alignment vertical="center"/>
      <protection hidden="1"/>
    </xf>
    <xf numFmtId="167" fontId="10" fillId="0" borderId="0" xfId="3" applyNumberFormat="1" applyFont="1" applyAlignment="1" applyProtection="1">
      <alignment vertical="center"/>
      <protection hidden="1"/>
    </xf>
    <xf numFmtId="0" fontId="33" fillId="0" borderId="5" xfId="3" applyFont="1" applyBorder="1" applyAlignment="1" applyProtection="1">
      <alignment vertical="center"/>
      <protection hidden="1"/>
    </xf>
    <xf numFmtId="0" fontId="10" fillId="0" borderId="5" xfId="3" applyFont="1" applyBorder="1" applyAlignment="1" applyProtection="1">
      <alignment vertical="center"/>
      <protection hidden="1"/>
    </xf>
    <xf numFmtId="0" fontId="10" fillId="0" borderId="0" xfId="3" applyFont="1" applyAlignment="1" applyProtection="1">
      <alignment horizontal="left" vertical="center" wrapText="1"/>
      <protection hidden="1"/>
    </xf>
    <xf numFmtId="0" fontId="8" fillId="4" borderId="0" xfId="3" applyFont="1" applyFill="1"/>
    <xf numFmtId="0" fontId="8" fillId="0" borderId="0" xfId="3" applyFont="1"/>
    <xf numFmtId="0" fontId="9" fillId="0" borderId="12" xfId="0" applyFont="1" applyBorder="1" applyAlignment="1" applyProtection="1">
      <alignment vertical="center"/>
      <protection hidden="1"/>
    </xf>
    <xf numFmtId="0" fontId="9" fillId="0" borderId="12" xfId="0" applyFont="1" applyBorder="1" applyAlignment="1" applyProtection="1">
      <alignment vertical="center"/>
      <protection locked="0"/>
    </xf>
    <xf numFmtId="0" fontId="26" fillId="4" borderId="0" xfId="0" applyFont="1" applyFill="1" applyAlignment="1" applyProtection="1">
      <alignment vertical="center"/>
      <protection hidden="1"/>
    </xf>
    <xf numFmtId="0" fontId="9" fillId="0" borderId="9" xfId="0" applyFont="1" applyBorder="1" applyAlignment="1">
      <alignment horizontal="center" vertical="center"/>
    </xf>
    <xf numFmtId="0" fontId="25" fillId="4" borderId="9" xfId="0" applyFont="1" applyFill="1" applyBorder="1" applyAlignment="1" applyProtection="1">
      <alignment vertical="center"/>
      <protection hidden="1"/>
    </xf>
    <xf numFmtId="0" fontId="36" fillId="0" borderId="0" xfId="3" applyFont="1"/>
    <xf numFmtId="0" fontId="9" fillId="0" borderId="0" xfId="3" applyFont="1" applyAlignment="1">
      <alignment horizontal="center"/>
    </xf>
    <xf numFmtId="0" fontId="9" fillId="0" borderId="0" xfId="3" applyFont="1" applyAlignment="1">
      <alignment horizontal="center" wrapText="1"/>
    </xf>
    <xf numFmtId="0" fontId="10" fillId="4" borderId="9" xfId="3" applyFont="1" applyFill="1" applyBorder="1" applyAlignment="1">
      <alignment horizontal="center" vertical="center"/>
    </xf>
    <xf numFmtId="0" fontId="10" fillId="4" borderId="9" xfId="3" applyFont="1" applyFill="1" applyBorder="1" applyAlignment="1">
      <alignment horizontal="center" vertical="center" wrapText="1"/>
    </xf>
    <xf numFmtId="0" fontId="9" fillId="3" borderId="9" xfId="3" applyFont="1" applyFill="1" applyBorder="1" applyAlignment="1">
      <alignment horizontal="center"/>
    </xf>
    <xf numFmtId="3" fontId="9" fillId="3" borderId="9" xfId="3" applyNumberFormat="1" applyFont="1" applyFill="1" applyBorder="1" applyAlignment="1">
      <alignment horizontal="center"/>
    </xf>
    <xf numFmtId="0" fontId="9" fillId="0" borderId="9" xfId="3" applyFont="1" applyBorder="1" applyAlignment="1">
      <alignment horizontal="center"/>
    </xf>
    <xf numFmtId="0" fontId="12" fillId="0" borderId="0" xfId="3" applyFont="1" applyAlignment="1">
      <alignment horizontal="left"/>
    </xf>
    <xf numFmtId="0" fontId="12" fillId="2" borderId="0" xfId="3" applyFont="1" applyFill="1" applyAlignment="1" applyProtection="1">
      <alignment horizontal="center" vertical="center"/>
      <protection hidden="1"/>
    </xf>
    <xf numFmtId="166" fontId="9" fillId="5" borderId="11" xfId="3" applyNumberFormat="1" applyFont="1" applyFill="1" applyBorder="1" applyAlignment="1" applyProtection="1">
      <alignment vertical="center"/>
      <protection locked="0"/>
    </xf>
    <xf numFmtId="165" fontId="9" fillId="5" borderId="11" xfId="3" applyNumberFormat="1" applyFont="1" applyFill="1" applyBorder="1" applyAlignment="1" applyProtection="1">
      <alignment vertical="center"/>
      <protection locked="0"/>
    </xf>
    <xf numFmtId="166" fontId="9" fillId="5" borderId="0" xfId="3" applyNumberFormat="1" applyFont="1" applyFill="1" applyAlignment="1" applyProtection="1">
      <alignment vertical="center"/>
      <protection locked="0"/>
    </xf>
    <xf numFmtId="165" fontId="9" fillId="5" borderId="0" xfId="3" applyNumberFormat="1" applyFont="1" applyFill="1" applyAlignment="1" applyProtection="1">
      <alignment vertical="center"/>
      <protection locked="0"/>
    </xf>
    <xf numFmtId="166" fontId="9" fillId="5" borderId="5" xfId="3" applyNumberFormat="1" applyFont="1" applyFill="1" applyBorder="1" applyAlignment="1" applyProtection="1">
      <alignment vertical="center"/>
      <protection locked="0"/>
    </xf>
    <xf numFmtId="165" fontId="9" fillId="5" borderId="5" xfId="3" applyNumberFormat="1" applyFont="1" applyFill="1" applyBorder="1" applyAlignment="1" applyProtection="1">
      <alignment vertical="center"/>
      <protection locked="0"/>
    </xf>
    <xf numFmtId="166" fontId="9" fillId="5" borderId="11" xfId="3" applyNumberFormat="1" applyFont="1" applyFill="1" applyBorder="1" applyAlignment="1" applyProtection="1">
      <alignment horizontal="right" vertical="center"/>
      <protection locked="0"/>
    </xf>
    <xf numFmtId="165" fontId="9" fillId="5" borderId="11" xfId="3" applyNumberFormat="1" applyFont="1" applyFill="1" applyBorder="1" applyAlignment="1" applyProtection="1">
      <alignment horizontal="right" vertical="center"/>
      <protection locked="0"/>
    </xf>
    <xf numFmtId="166" fontId="9" fillId="5" borderId="0" xfId="3" applyNumberFormat="1" applyFont="1" applyFill="1" applyAlignment="1" applyProtection="1">
      <alignment horizontal="right" vertical="center"/>
      <protection locked="0"/>
    </xf>
    <xf numFmtId="165" fontId="9" fillId="5" borderId="0" xfId="3" applyNumberFormat="1" applyFont="1" applyFill="1" applyAlignment="1" applyProtection="1">
      <alignment horizontal="right" vertical="center"/>
      <protection locked="0"/>
    </xf>
    <xf numFmtId="166" fontId="9" fillId="5" borderId="5" xfId="3" applyNumberFormat="1" applyFont="1" applyFill="1" applyBorder="1" applyAlignment="1" applyProtection="1">
      <alignment horizontal="right" vertical="center"/>
      <protection locked="0"/>
    </xf>
    <xf numFmtId="165" fontId="9" fillId="5" borderId="5" xfId="3" applyNumberFormat="1" applyFont="1" applyFill="1" applyBorder="1" applyAlignment="1" applyProtection="1">
      <alignment horizontal="right" vertical="center"/>
      <protection locked="0"/>
    </xf>
    <xf numFmtId="166" fontId="9" fillId="5" borderId="3" xfId="3" applyNumberFormat="1" applyFont="1" applyFill="1" applyBorder="1" applyAlignment="1" applyProtection="1">
      <alignment horizontal="right" vertical="center"/>
      <protection locked="0"/>
    </xf>
    <xf numFmtId="165" fontId="9" fillId="5" borderId="3" xfId="3" applyNumberFormat="1" applyFont="1" applyFill="1" applyBorder="1" applyAlignment="1" applyProtection="1">
      <alignment horizontal="right" vertical="center"/>
      <protection locked="0"/>
    </xf>
    <xf numFmtId="0" fontId="14" fillId="4" borderId="9" xfId="3" applyFont="1" applyFill="1" applyBorder="1" applyAlignment="1" applyProtection="1">
      <alignment horizontal="center" vertical="center" wrapText="1"/>
      <protection locked="0"/>
    </xf>
    <xf numFmtId="0" fontId="9" fillId="11" borderId="9" xfId="3" applyFont="1" applyFill="1" applyBorder="1" applyAlignment="1" applyProtection="1">
      <alignment horizontal="center" vertical="center"/>
      <protection locked="0"/>
    </xf>
    <xf numFmtId="0" fontId="9" fillId="0" borderId="3" xfId="3" applyFont="1" applyBorder="1" applyAlignment="1" applyProtection="1">
      <alignment vertical="center"/>
      <protection locked="0"/>
    </xf>
    <xf numFmtId="0" fontId="9" fillId="0" borderId="3" xfId="3" applyFont="1" applyBorder="1" applyAlignment="1">
      <alignment vertical="center"/>
    </xf>
    <xf numFmtId="0" fontId="9" fillId="11" borderId="9" xfId="3" applyFont="1" applyFill="1" applyBorder="1" applyAlignment="1" applyProtection="1">
      <alignment vertical="center"/>
      <protection locked="0"/>
    </xf>
    <xf numFmtId="0" fontId="38" fillId="2" borderId="0" xfId="3" applyFont="1" applyFill="1" applyAlignment="1">
      <alignment vertical="center"/>
    </xf>
    <xf numFmtId="0" fontId="37" fillId="2" borderId="0" xfId="3" applyFont="1" applyFill="1" applyAlignment="1">
      <alignment vertical="center"/>
    </xf>
    <xf numFmtId="0" fontId="12" fillId="5" borderId="9" xfId="3" applyFont="1" applyFill="1" applyBorder="1" applyAlignment="1" applyProtection="1">
      <alignment horizontal="center" vertical="center"/>
      <protection hidden="1"/>
    </xf>
    <xf numFmtId="0" fontId="12" fillId="0" borderId="3" xfId="3" applyFont="1" applyBorder="1" applyAlignment="1" applyProtection="1">
      <alignment vertical="center"/>
      <protection locked="0"/>
    </xf>
    <xf numFmtId="0" fontId="34" fillId="0" borderId="3" xfId="3" applyFont="1" applyBorder="1" applyAlignment="1" applyProtection="1">
      <alignment horizontal="center" vertical="center"/>
      <protection locked="0"/>
    </xf>
    <xf numFmtId="0" fontId="39" fillId="0" borderId="0" xfId="3" applyFont="1" applyAlignment="1">
      <alignment vertical="center"/>
    </xf>
    <xf numFmtId="0" fontId="40" fillId="0" borderId="15" xfId="3" applyFont="1" applyBorder="1" applyAlignment="1">
      <alignment vertical="center"/>
    </xf>
    <xf numFmtId="0" fontId="39" fillId="0" borderId="15" xfId="3" applyFont="1" applyBorder="1" applyAlignment="1">
      <alignment vertical="center"/>
    </xf>
    <xf numFmtId="0" fontId="39" fillId="0" borderId="0" xfId="3" applyFont="1"/>
    <xf numFmtId="0" fontId="40" fillId="0" borderId="0" xfId="3" applyFont="1"/>
    <xf numFmtId="0" fontId="40" fillId="0" borderId="5" xfId="3" applyFont="1" applyBorder="1"/>
    <xf numFmtId="0" fontId="39" fillId="0" borderId="5" xfId="3" applyFont="1" applyBorder="1"/>
    <xf numFmtId="0" fontId="39" fillId="0" borderId="0" xfId="3" applyFont="1" applyProtection="1">
      <protection locked="0"/>
    </xf>
    <xf numFmtId="0" fontId="40" fillId="0" borderId="15" xfId="3" applyFont="1" applyBorder="1"/>
    <xf numFmtId="0" fontId="39" fillId="0" borderId="15" xfId="3" applyFont="1" applyBorder="1"/>
    <xf numFmtId="0" fontId="41" fillId="0" borderId="0" xfId="3" applyFont="1" applyAlignment="1" applyProtection="1">
      <alignment horizontal="left" vertical="center" indent="1"/>
      <protection locked="0"/>
    </xf>
    <xf numFmtId="0" fontId="42" fillId="0" borderId="0" xfId="3" applyFont="1" applyAlignment="1" applyProtection="1">
      <alignment horizontal="left" vertical="center" indent="1"/>
      <protection locked="0"/>
    </xf>
    <xf numFmtId="0" fontId="9" fillId="4" borderId="0" xfId="3" applyFont="1" applyFill="1" applyAlignment="1">
      <alignment horizontal="center" vertical="center"/>
    </xf>
    <xf numFmtId="0" fontId="9" fillId="0" borderId="0" xfId="3" applyFont="1" applyAlignment="1">
      <alignment horizontal="center" vertical="center"/>
    </xf>
    <xf numFmtId="0" fontId="19" fillId="0" borderId="0" xfId="3" applyFont="1" applyAlignment="1">
      <alignment horizontal="center" vertical="center"/>
    </xf>
    <xf numFmtId="0" fontId="38" fillId="2" borderId="0" xfId="3" applyFont="1" applyFill="1" applyAlignment="1">
      <alignment horizontal="center" vertical="center"/>
    </xf>
    <xf numFmtId="0" fontId="9" fillId="0" borderId="0" xfId="0" applyFont="1" applyAlignment="1">
      <alignment horizontal="center" vertical="center"/>
    </xf>
    <xf numFmtId="0" fontId="38" fillId="2" borderId="0" xfId="0" applyFont="1" applyFill="1" applyAlignment="1" applyProtection="1">
      <alignment horizontal="center" vertical="center"/>
      <protection hidden="1"/>
    </xf>
    <xf numFmtId="0" fontId="37" fillId="2" borderId="0" xfId="0" applyFont="1" applyFill="1" applyAlignment="1" applyProtection="1">
      <alignment vertical="center"/>
      <protection hidden="1"/>
    </xf>
    <xf numFmtId="0" fontId="37" fillId="2" borderId="0" xfId="0" applyFont="1" applyFill="1" applyAlignment="1" applyProtection="1">
      <alignment horizontal="center" vertical="center"/>
      <protection hidden="1"/>
    </xf>
    <xf numFmtId="0" fontId="9" fillId="0" borderId="24" xfId="3" applyFont="1" applyBorder="1" applyAlignment="1" applyProtection="1">
      <alignment vertical="center"/>
      <protection hidden="1"/>
    </xf>
    <xf numFmtId="0" fontId="10" fillId="4" borderId="0" xfId="0" applyFont="1" applyFill="1"/>
    <xf numFmtId="0" fontId="10" fillId="4" borderId="0" xfId="0" quotePrefix="1" applyFont="1" applyFill="1" applyAlignment="1">
      <alignment horizontal="left"/>
    </xf>
    <xf numFmtId="0" fontId="43" fillId="4" borderId="0" xfId="1" applyFont="1" applyFill="1" applyBorder="1" applyAlignment="1" applyProtection="1"/>
    <xf numFmtId="0" fontId="26" fillId="4" borderId="0" xfId="0" applyFont="1" applyFill="1"/>
    <xf numFmtId="0" fontId="46" fillId="0" borderId="0" xfId="1" applyFont="1" applyFill="1" applyAlignment="1" applyProtection="1">
      <alignment vertical="center"/>
      <protection hidden="1"/>
    </xf>
    <xf numFmtId="0" fontId="47" fillId="0" borderId="0" xfId="3" applyFont="1" applyAlignment="1" applyProtection="1">
      <alignment horizontal="center" vertical="center"/>
      <protection hidden="1"/>
    </xf>
    <xf numFmtId="0" fontId="10" fillId="12" borderId="0" xfId="3" applyFont="1" applyFill="1" applyAlignment="1" applyProtection="1">
      <alignment horizontal="center" vertical="center"/>
      <protection hidden="1"/>
    </xf>
    <xf numFmtId="0" fontId="48" fillId="0" borderId="0" xfId="3" applyFont="1" applyAlignment="1" applyProtection="1">
      <alignment vertical="center"/>
      <protection hidden="1"/>
    </xf>
    <xf numFmtId="0" fontId="10" fillId="12" borderId="9" xfId="3" applyFont="1" applyFill="1" applyBorder="1" applyAlignment="1" applyProtection="1">
      <alignment horizontal="center" vertical="center"/>
      <protection hidden="1"/>
    </xf>
    <xf numFmtId="0" fontId="12" fillId="0" borderId="9" xfId="3" applyFont="1" applyBorder="1" applyAlignment="1" applyProtection="1">
      <alignment horizontal="center" vertical="center"/>
      <protection hidden="1"/>
    </xf>
    <xf numFmtId="0" fontId="14" fillId="8" borderId="0" xfId="3" applyFont="1" applyFill="1" applyAlignment="1" applyProtection="1">
      <alignment vertical="center"/>
      <protection hidden="1"/>
    </xf>
    <xf numFmtId="0" fontId="14" fillId="6"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9" fillId="4" borderId="0" xfId="3" applyFont="1" applyFill="1"/>
    <xf numFmtId="3" fontId="9" fillId="4" borderId="0" xfId="3" applyNumberFormat="1" applyFont="1" applyFill="1"/>
    <xf numFmtId="0" fontId="9" fillId="0" borderId="0" xfId="3" applyFont="1"/>
    <xf numFmtId="3" fontId="9" fillId="0" borderId="0" xfId="3" applyNumberFormat="1" applyFont="1"/>
    <xf numFmtId="0" fontId="14" fillId="0" borderId="0" xfId="3" applyFont="1" applyAlignment="1">
      <alignment vertical="center"/>
    </xf>
    <xf numFmtId="3" fontId="49" fillId="0" borderId="0" xfId="1" applyNumberFormat="1" applyFont="1" applyFill="1" applyBorder="1" applyAlignment="1" applyProtection="1">
      <alignment vertical="center" wrapText="1"/>
    </xf>
    <xf numFmtId="0" fontId="14" fillId="4" borderId="0" xfId="0" applyFont="1" applyFill="1" applyAlignment="1">
      <alignment vertical="center"/>
    </xf>
    <xf numFmtId="0" fontId="9" fillId="0" borderId="25" xfId="0" applyFont="1" applyBorder="1" applyAlignment="1">
      <alignment horizontal="left" vertical="center"/>
    </xf>
    <xf numFmtId="0" fontId="9" fillId="0" borderId="25" xfId="0" applyFont="1" applyBorder="1" applyAlignment="1">
      <alignment horizontal="center" vertical="center"/>
    </xf>
    <xf numFmtId="0" fontId="9" fillId="0" borderId="25" xfId="0" quotePrefix="1" applyFont="1" applyBorder="1" applyAlignment="1">
      <alignment horizontal="center" vertical="center"/>
    </xf>
    <xf numFmtId="0" fontId="28" fillId="13" borderId="0" xfId="0" applyFont="1" applyFill="1" applyAlignment="1">
      <alignment horizontal="center" vertical="center"/>
    </xf>
    <xf numFmtId="0" fontId="44" fillId="4" borderId="0" xfId="1" applyFont="1" applyFill="1" applyBorder="1" applyAlignment="1" applyProtection="1"/>
    <xf numFmtId="0" fontId="9" fillId="0" borderId="25" xfId="0" applyFont="1" applyBorder="1"/>
    <xf numFmtId="0" fontId="50" fillId="0" borderId="25" xfId="0" applyFont="1" applyBorder="1" applyAlignment="1">
      <alignment horizontal="center" vertical="center"/>
    </xf>
    <xf numFmtId="0" fontId="44" fillId="4" borderId="0" xfId="0" applyFont="1" applyFill="1"/>
    <xf numFmtId="0" fontId="26" fillId="4" borderId="0" xfId="0" applyFont="1" applyFill="1" applyAlignment="1">
      <alignment horizontal="left"/>
    </xf>
    <xf numFmtId="0" fontId="9" fillId="5" borderId="0" xfId="0" applyFont="1" applyFill="1"/>
    <xf numFmtId="0" fontId="40" fillId="6" borderId="0" xfId="0" applyFont="1" applyFill="1" applyAlignment="1">
      <alignment horizontal="center" vertical="center"/>
    </xf>
    <xf numFmtId="0" fontId="9" fillId="5" borderId="25" xfId="0" applyFont="1" applyFill="1" applyBorder="1" applyAlignment="1">
      <alignment horizontal="center" vertical="center"/>
    </xf>
    <xf numFmtId="0" fontId="9" fillId="5" borderId="25" xfId="0" applyFont="1" applyFill="1" applyBorder="1"/>
    <xf numFmtId="0" fontId="9" fillId="5" borderId="25" xfId="0" quotePrefix="1" applyFont="1" applyFill="1" applyBorder="1" applyAlignment="1">
      <alignment horizontal="center" vertical="center"/>
    </xf>
    <xf numFmtId="0" fontId="9" fillId="11" borderId="25" xfId="0" applyFont="1" applyFill="1" applyBorder="1" applyAlignment="1">
      <alignment horizontal="center" vertical="center"/>
    </xf>
    <xf numFmtId="0" fontId="9" fillId="11" borderId="25" xfId="0" applyFont="1" applyFill="1" applyBorder="1"/>
    <xf numFmtId="0" fontId="9" fillId="11" borderId="25" xfId="0" quotePrefix="1" applyFont="1" applyFill="1" applyBorder="1" applyAlignment="1">
      <alignment horizontal="center" vertical="center"/>
    </xf>
    <xf numFmtId="0" fontId="9" fillId="11" borderId="0" xfId="0" applyFont="1" applyFill="1" applyAlignment="1">
      <alignment horizontal="center" vertical="center"/>
    </xf>
    <xf numFmtId="0" fontId="9" fillId="11" borderId="0" xfId="0" applyFont="1" applyFill="1"/>
    <xf numFmtId="0" fontId="14" fillId="13" borderId="25"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4" borderId="0" xfId="0" applyFont="1" applyFill="1" applyAlignment="1">
      <alignment horizontal="center" vertical="center"/>
    </xf>
    <xf numFmtId="0" fontId="7" fillId="0" borderId="0" xfId="3" applyFont="1" applyAlignment="1">
      <alignment vertical="center"/>
    </xf>
    <xf numFmtId="0" fontId="7" fillId="0" borderId="0" xfId="3" applyFont="1" applyAlignment="1" applyProtection="1">
      <alignment vertical="center"/>
      <protection hidden="1"/>
    </xf>
    <xf numFmtId="0" fontId="9" fillId="6" borderId="0" xfId="0" applyFont="1" applyFill="1"/>
    <xf numFmtId="0" fontId="12" fillId="6" borderId="0" xfId="3" applyFont="1" applyFill="1" applyAlignment="1">
      <alignment vertical="center"/>
    </xf>
    <xf numFmtId="0" fontId="22" fillId="0" borderId="0" xfId="0" applyFont="1" applyAlignment="1" applyProtection="1">
      <alignment vertical="center"/>
      <protection hidden="1"/>
    </xf>
    <xf numFmtId="0" fontId="12" fillId="0" borderId="0" xfId="0" applyFont="1" applyAlignment="1" applyProtection="1">
      <alignment vertical="center"/>
      <protection hidden="1"/>
    </xf>
    <xf numFmtId="168" fontId="12" fillId="0" borderId="0" xfId="0" applyNumberFormat="1" applyFont="1" applyAlignment="1" applyProtection="1">
      <alignment horizontal="center" vertical="center"/>
      <protection hidden="1"/>
    </xf>
    <xf numFmtId="0" fontId="12" fillId="0" borderId="0" xfId="0" applyFont="1" applyAlignment="1" applyProtection="1">
      <alignment horizontal="left" vertical="center"/>
      <protection hidden="1"/>
    </xf>
    <xf numFmtId="168" fontId="9" fillId="0" borderId="0" xfId="0" applyNumberFormat="1"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15" borderId="0" xfId="0" applyFont="1" applyFill="1" applyAlignment="1" applyProtection="1">
      <alignment horizontal="center" vertical="center" wrapText="1"/>
      <protection hidden="1"/>
    </xf>
    <xf numFmtId="0" fontId="10" fillId="15" borderId="0" xfId="0" applyFont="1" applyFill="1" applyAlignment="1" applyProtection="1">
      <alignment horizontal="left" vertical="center" wrapText="1"/>
      <protection hidden="1"/>
    </xf>
    <xf numFmtId="168" fontId="10" fillId="15" borderId="0" xfId="0" applyNumberFormat="1" applyFont="1" applyFill="1" applyAlignment="1" applyProtection="1">
      <alignment horizontal="center" vertical="center" wrapText="1"/>
      <protection hidden="1"/>
    </xf>
    <xf numFmtId="0" fontId="51" fillId="2" borderId="0" xfId="0" applyFont="1" applyFill="1" applyAlignment="1" applyProtection="1">
      <alignment horizontal="right" vertical="center"/>
      <protection hidden="1"/>
    </xf>
    <xf numFmtId="0" fontId="51" fillId="2" borderId="0" xfId="0" applyFont="1" applyFill="1" applyAlignment="1">
      <alignment horizontal="left"/>
    </xf>
    <xf numFmtId="0" fontId="51" fillId="2" borderId="0" xfId="0" applyFont="1" applyFill="1"/>
    <xf numFmtId="0" fontId="10" fillId="4" borderId="0" xfId="0" applyFont="1" applyFill="1" applyAlignment="1" applyProtection="1">
      <alignment horizontal="center" vertical="center" wrapText="1"/>
      <protection hidden="1"/>
    </xf>
    <xf numFmtId="0" fontId="7" fillId="4" borderId="0" xfId="0" applyFont="1" applyFill="1" applyAlignment="1" applyProtection="1">
      <alignment vertical="center"/>
      <protection hidden="1"/>
    </xf>
    <xf numFmtId="0" fontId="7" fillId="0" borderId="0" xfId="0" applyFont="1" applyAlignment="1" applyProtection="1">
      <alignment vertical="center"/>
      <protection hidden="1"/>
    </xf>
    <xf numFmtId="0" fontId="7" fillId="0" borderId="0" xfId="0" applyFont="1"/>
    <xf numFmtId="0" fontId="7" fillId="0" borderId="0" xfId="0" applyFont="1" applyAlignment="1">
      <alignment horizontal="left"/>
    </xf>
    <xf numFmtId="0" fontId="9" fillId="0" borderId="0" xfId="0" applyFont="1" applyAlignment="1" applyProtection="1">
      <alignment horizontal="right" vertical="center"/>
      <protection hidden="1"/>
    </xf>
    <xf numFmtId="0" fontId="9" fillId="0" borderId="0" xfId="0" applyFont="1" applyAlignment="1">
      <alignment horizontal="center"/>
    </xf>
    <xf numFmtId="0" fontId="9" fillId="0" borderId="0" xfId="0" applyFont="1" applyAlignment="1">
      <alignment horizontal="left"/>
    </xf>
    <xf numFmtId="168" fontId="7" fillId="4" borderId="0" xfId="0" applyNumberFormat="1" applyFont="1" applyFill="1" applyAlignment="1" applyProtection="1">
      <alignment horizontal="center" vertical="center"/>
      <protection hidden="1"/>
    </xf>
    <xf numFmtId="0" fontId="7" fillId="4" borderId="0" xfId="0" applyFont="1" applyFill="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7" fillId="4" borderId="0" xfId="0" applyFont="1" applyFill="1"/>
    <xf numFmtId="168" fontId="7" fillId="0" borderId="0" xfId="0" applyNumberFormat="1" applyFont="1" applyAlignment="1">
      <alignment horizontal="center"/>
    </xf>
    <xf numFmtId="0" fontId="9" fillId="0" borderId="26" xfId="0" applyFont="1" applyBorder="1" applyAlignment="1" applyProtection="1">
      <alignment horizontal="center"/>
      <protection locked="0"/>
    </xf>
    <xf numFmtId="168" fontId="9" fillId="0" borderId="26" xfId="0" applyNumberFormat="1" applyFont="1" applyBorder="1" applyAlignment="1" applyProtection="1">
      <alignment horizontal="center"/>
      <protection locked="0"/>
    </xf>
    <xf numFmtId="0" fontId="9" fillId="0" borderId="26" xfId="0" applyFont="1" applyBorder="1" applyAlignment="1" applyProtection="1">
      <alignment horizontal="left"/>
      <protection locked="0"/>
    </xf>
    <xf numFmtId="0" fontId="9" fillId="0" borderId="14" xfId="0" applyFont="1" applyBorder="1" applyAlignment="1" applyProtection="1">
      <alignment horizontal="left"/>
      <protection locked="0"/>
    </xf>
    <xf numFmtId="0" fontId="9" fillId="0" borderId="26" xfId="0" applyFont="1" applyBorder="1" applyAlignment="1" applyProtection="1">
      <alignment horizontal="center" vertical="center"/>
      <protection hidden="1"/>
    </xf>
    <xf numFmtId="0" fontId="9" fillId="0" borderId="14" xfId="0" applyFont="1" applyBorder="1" applyAlignment="1" applyProtection="1">
      <alignment horizontal="center" vertical="center"/>
      <protection hidden="1"/>
    </xf>
    <xf numFmtId="0" fontId="9" fillId="0" borderId="0" xfId="3" applyFont="1" applyAlignment="1" applyProtection="1">
      <alignment horizontal="left" vertical="center"/>
      <protection locked="0"/>
    </xf>
    <xf numFmtId="0" fontId="9" fillId="0" borderId="34" xfId="3" applyFont="1" applyBorder="1" applyAlignment="1" applyProtection="1">
      <alignment vertical="center"/>
      <protection hidden="1"/>
    </xf>
    <xf numFmtId="0" fontId="53" fillId="0" borderId="0" xfId="0" applyFont="1"/>
    <xf numFmtId="0" fontId="6" fillId="0" borderId="0" xfId="1" applyAlignment="1" applyProtection="1">
      <alignment vertical="center"/>
    </xf>
    <xf numFmtId="0" fontId="9" fillId="0" borderId="11" xfId="3" applyFont="1" applyBorder="1" applyAlignment="1" applyProtection="1">
      <alignment vertical="center"/>
      <protection locked="0"/>
    </xf>
    <xf numFmtId="0" fontId="34" fillId="0" borderId="11" xfId="3" applyFont="1" applyBorder="1" applyAlignment="1" applyProtection="1">
      <alignment horizontal="center" vertical="center"/>
      <protection locked="0"/>
    </xf>
    <xf numFmtId="0" fontId="9" fillId="11" borderId="35" xfId="3" applyFont="1" applyFill="1" applyBorder="1" applyAlignment="1" applyProtection="1">
      <alignment horizontal="center" vertical="center"/>
      <protection locked="0"/>
    </xf>
    <xf numFmtId="0" fontId="9" fillId="11" borderId="48" xfId="3" applyFont="1" applyFill="1" applyBorder="1" applyAlignment="1" applyProtection="1">
      <alignment horizontal="center" vertical="center"/>
      <protection locked="0"/>
    </xf>
    <xf numFmtId="0" fontId="54" fillId="0" borderId="36" xfId="3" applyFont="1" applyBorder="1" applyAlignment="1" applyProtection="1">
      <alignment vertical="center"/>
      <protection locked="0"/>
    </xf>
    <xf numFmtId="0" fontId="54" fillId="0" borderId="37" xfId="3" applyFont="1" applyBorder="1" applyAlignment="1" applyProtection="1">
      <alignment vertical="center"/>
      <protection locked="0"/>
    </xf>
    <xf numFmtId="0" fontId="54" fillId="0" borderId="37" xfId="3" applyFont="1" applyBorder="1" applyAlignment="1">
      <alignment vertical="center"/>
    </xf>
    <xf numFmtId="0" fontId="54" fillId="0" borderId="38" xfId="3" applyFont="1" applyBorder="1" applyAlignment="1">
      <alignment vertical="center"/>
    </xf>
    <xf numFmtId="0" fontId="54" fillId="0" borderId="41" xfId="3" applyFont="1" applyBorder="1" applyAlignment="1" applyProtection="1">
      <alignment vertical="center"/>
      <protection locked="0"/>
    </xf>
    <xf numFmtId="0" fontId="55" fillId="0" borderId="3" xfId="3" applyFont="1" applyBorder="1" applyAlignment="1" applyProtection="1">
      <alignment horizontal="center" vertical="center"/>
      <protection locked="0"/>
    </xf>
    <xf numFmtId="0" fontId="54" fillId="0" borderId="3" xfId="3" applyFont="1" applyBorder="1" applyAlignment="1" applyProtection="1">
      <alignment vertical="center"/>
      <protection locked="0"/>
    </xf>
    <xf numFmtId="0" fontId="54" fillId="0" borderId="0" xfId="3" applyFont="1" applyAlignment="1">
      <alignment vertical="center"/>
    </xf>
    <xf numFmtId="0" fontId="54" fillId="0" borderId="43" xfId="3" applyFont="1" applyBorder="1" applyAlignment="1" applyProtection="1">
      <alignment vertical="center"/>
      <protection locked="0"/>
    </xf>
    <xf numFmtId="0" fontId="55" fillId="0" borderId="44" xfId="3" applyFont="1" applyBorder="1" applyAlignment="1" applyProtection="1">
      <alignment horizontal="center" vertical="center"/>
      <protection locked="0"/>
    </xf>
    <xf numFmtId="0" fontId="54" fillId="0" borderId="44" xfId="3" applyFont="1" applyBorder="1" applyAlignment="1" applyProtection="1">
      <alignment vertical="center"/>
      <protection locked="0"/>
    </xf>
    <xf numFmtId="0" fontId="54" fillId="0" borderId="45" xfId="3" applyFont="1" applyBorder="1" applyAlignment="1">
      <alignment vertical="center"/>
    </xf>
    <xf numFmtId="0" fontId="54" fillId="0" borderId="3" xfId="3" applyFont="1" applyBorder="1" applyAlignment="1">
      <alignment vertical="center"/>
    </xf>
    <xf numFmtId="0" fontId="54" fillId="0" borderId="41" xfId="3" applyFont="1" applyBorder="1" applyAlignment="1" applyProtection="1">
      <alignment horizontal="left" vertical="center"/>
      <protection locked="0"/>
    </xf>
    <xf numFmtId="0" fontId="54" fillId="0" borderId="3" xfId="3" applyFont="1" applyBorder="1" applyAlignment="1" applyProtection="1">
      <alignment horizontal="left" vertical="center"/>
      <protection locked="0"/>
    </xf>
    <xf numFmtId="0" fontId="54" fillId="0" borderId="44" xfId="3" applyFont="1" applyBorder="1" applyAlignment="1">
      <alignment vertical="center"/>
    </xf>
    <xf numFmtId="0" fontId="54" fillId="11" borderId="39" xfId="3" applyFont="1" applyFill="1" applyBorder="1" applyAlignment="1" applyProtection="1">
      <alignment horizontal="center" vertical="center"/>
      <protection hidden="1"/>
    </xf>
    <xf numFmtId="0" fontId="54" fillId="11" borderId="9" xfId="3" applyFont="1" applyFill="1" applyBorder="1" applyAlignment="1" applyProtection="1">
      <alignment horizontal="center" vertical="center"/>
      <protection hidden="1"/>
    </xf>
    <xf numFmtId="0" fontId="54" fillId="11" borderId="46" xfId="3" applyFont="1" applyFill="1" applyBorder="1" applyAlignment="1" applyProtection="1">
      <alignment horizontal="center" vertical="center"/>
      <protection hidden="1"/>
    </xf>
    <xf numFmtId="0" fontId="54" fillId="10" borderId="9" xfId="3" applyFont="1" applyFill="1" applyBorder="1" applyAlignment="1" applyProtection="1">
      <alignment horizontal="center" vertical="center"/>
      <protection hidden="1"/>
    </xf>
    <xf numFmtId="0" fontId="10" fillId="0" borderId="0" xfId="0" applyFont="1" applyAlignment="1" applyProtection="1">
      <alignment vertical="center"/>
      <protection hidden="1"/>
    </xf>
    <xf numFmtId="0" fontId="14" fillId="0" borderId="0" xfId="0" applyFont="1" applyProtection="1">
      <protection hidden="1"/>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left" indent="1"/>
      <protection hidden="1"/>
    </xf>
    <xf numFmtId="0" fontId="10"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wrapText="1"/>
      <protection hidden="1"/>
    </xf>
    <xf numFmtId="0" fontId="10" fillId="0" borderId="0" xfId="0" applyFont="1" applyAlignment="1" applyProtection="1">
      <alignment horizontal="left" vertical="center" indent="1"/>
      <protection hidden="1"/>
    </xf>
    <xf numFmtId="0" fontId="10" fillId="0" borderId="0" xfId="0" applyFont="1" applyAlignment="1" applyProtection="1">
      <alignment horizontal="center" vertical="center" wrapText="1"/>
      <protection hidden="1"/>
    </xf>
    <xf numFmtId="0" fontId="10" fillId="0" borderId="0" xfId="0" applyFont="1" applyAlignment="1" applyProtection="1">
      <alignment horizontal="right" vertical="center"/>
      <protection hidden="1"/>
    </xf>
    <xf numFmtId="0" fontId="10" fillId="0" borderId="0" xfId="0" applyFont="1" applyAlignment="1" applyProtection="1">
      <alignment horizontal="left" vertical="center"/>
      <protection hidden="1"/>
    </xf>
    <xf numFmtId="0" fontId="10" fillId="0" borderId="0" xfId="0" quotePrefix="1" applyFont="1" applyAlignment="1" applyProtection="1">
      <alignment horizontal="center" vertical="center"/>
      <protection hidden="1"/>
    </xf>
    <xf numFmtId="0" fontId="8" fillId="0" borderId="0" xfId="0" applyFont="1" applyAlignment="1" applyProtection="1">
      <alignment horizontal="left" vertical="center" indent="1"/>
      <protection hidden="1"/>
    </xf>
    <xf numFmtId="166" fontId="10" fillId="0" borderId="0" xfId="0" applyNumberFormat="1" applyFont="1" applyAlignment="1" applyProtection="1">
      <alignment horizontal="right" vertical="center" wrapText="1" shrinkToFit="1"/>
      <protection hidden="1"/>
    </xf>
    <xf numFmtId="165" fontId="10" fillId="0" borderId="0" xfId="0" applyNumberFormat="1" applyFont="1" applyAlignment="1" applyProtection="1">
      <alignment horizontal="right" vertical="center"/>
      <protection hidden="1"/>
    </xf>
    <xf numFmtId="16" fontId="10" fillId="0" borderId="0" xfId="0" applyNumberFormat="1" applyFont="1" applyAlignment="1" applyProtection="1">
      <alignment horizontal="right" vertical="center" wrapText="1" shrinkToFit="1"/>
      <protection hidden="1"/>
    </xf>
    <xf numFmtId="0" fontId="10" fillId="0" borderId="0" xfId="0" applyFont="1" applyAlignment="1" applyProtection="1">
      <alignment horizontal="right"/>
      <protection hidden="1"/>
    </xf>
    <xf numFmtId="0" fontId="8" fillId="0" borderId="0" xfId="0" applyFont="1" applyProtection="1">
      <protection hidden="1"/>
    </xf>
    <xf numFmtId="0" fontId="8" fillId="0" borderId="0" xfId="0" applyFont="1" applyAlignment="1" applyProtection="1">
      <alignment horizontal="center"/>
      <protection hidden="1"/>
    </xf>
    <xf numFmtId="0" fontId="17" fillId="0" borderId="0" xfId="0" applyFont="1" applyProtection="1">
      <protection hidden="1"/>
    </xf>
    <xf numFmtId="1" fontId="8" fillId="0" borderId="0" xfId="0" applyNumberFormat="1" applyFont="1" applyProtection="1">
      <protection hidden="1"/>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17" fillId="0" borderId="0" xfId="0" applyFont="1" applyAlignment="1" applyProtection="1">
      <alignment horizontal="center"/>
      <protection hidden="1"/>
    </xf>
    <xf numFmtId="0" fontId="46" fillId="0" borderId="0" xfId="1" applyFont="1" applyAlignment="1" applyProtection="1">
      <alignment vertical="center"/>
    </xf>
    <xf numFmtId="0" fontId="1" fillId="0" borderId="14" xfId="0" applyFont="1" applyBorder="1" applyProtection="1">
      <protection locked="0"/>
    </xf>
    <xf numFmtId="0" fontId="1" fillId="0" borderId="26" xfId="0" applyFont="1" applyBorder="1" applyProtection="1">
      <protection locked="0"/>
    </xf>
    <xf numFmtId="0" fontId="58" fillId="0" borderId="9" xfId="3" applyFont="1" applyBorder="1" applyAlignment="1" applyProtection="1">
      <alignment horizontal="center" vertical="center"/>
      <protection locked="0"/>
    </xf>
    <xf numFmtId="0" fontId="58" fillId="0" borderId="4" xfId="3" applyFont="1" applyBorder="1" applyAlignment="1" applyProtection="1">
      <alignment horizontal="center" vertical="center"/>
      <protection locked="0"/>
    </xf>
    <xf numFmtId="0" fontId="58" fillId="0" borderId="12" xfId="3" applyFont="1" applyBorder="1" applyAlignment="1" applyProtection="1">
      <alignment horizontal="center" vertical="center"/>
      <protection locked="0"/>
    </xf>
    <xf numFmtId="0" fontId="58" fillId="0" borderId="6" xfId="3" applyFont="1" applyBorder="1" applyAlignment="1" applyProtection="1">
      <alignment horizontal="center" vertical="center"/>
      <protection locked="0"/>
    </xf>
    <xf numFmtId="0" fontId="9" fillId="11" borderId="9" xfId="3" applyFont="1" applyFill="1" applyBorder="1" applyAlignment="1" applyProtection="1">
      <alignment horizontal="left" vertical="center"/>
      <protection locked="0"/>
    </xf>
    <xf numFmtId="0" fontId="41" fillId="11" borderId="49" xfId="3" applyFont="1" applyFill="1" applyBorder="1" applyAlignment="1" applyProtection="1">
      <alignment horizontal="center" vertical="center" wrapText="1"/>
      <protection locked="0"/>
    </xf>
    <xf numFmtId="0" fontId="41" fillId="11" borderId="38" xfId="3" applyFont="1" applyFill="1" applyBorder="1" applyAlignment="1" applyProtection="1">
      <alignment horizontal="center" vertical="center" wrapText="1"/>
      <protection locked="0"/>
    </xf>
    <xf numFmtId="0" fontId="41" fillId="11" borderId="40" xfId="3" applyFont="1" applyFill="1" applyBorder="1" applyAlignment="1" applyProtection="1">
      <alignment horizontal="center" vertical="center" wrapText="1"/>
      <protection locked="0"/>
    </xf>
    <xf numFmtId="0" fontId="41" fillId="11" borderId="1" xfId="3" applyFont="1" applyFill="1" applyBorder="1" applyAlignment="1" applyProtection="1">
      <alignment horizontal="center" vertical="center" wrapText="1"/>
      <protection locked="0"/>
    </xf>
    <xf numFmtId="0" fontId="41" fillId="11" borderId="0" xfId="3" applyFont="1" applyFill="1" applyAlignment="1" applyProtection="1">
      <alignment horizontal="center" vertical="center" wrapText="1"/>
      <protection locked="0"/>
    </xf>
    <xf numFmtId="0" fontId="41" fillId="11" borderId="42" xfId="3" applyFont="1" applyFill="1" applyBorder="1" applyAlignment="1" applyProtection="1">
      <alignment horizontal="center" vertical="center" wrapText="1"/>
      <protection locked="0"/>
    </xf>
    <xf numFmtId="0" fontId="41" fillId="11" borderId="50" xfId="3" applyFont="1" applyFill="1" applyBorder="1" applyAlignment="1" applyProtection="1">
      <alignment horizontal="center" vertical="center" wrapText="1"/>
      <protection locked="0"/>
    </xf>
    <xf numFmtId="0" fontId="41" fillId="11" borderId="45" xfId="3" applyFont="1" applyFill="1" applyBorder="1" applyAlignment="1" applyProtection="1">
      <alignment horizontal="center" vertical="center" wrapText="1"/>
      <protection locked="0"/>
    </xf>
    <xf numFmtId="0" fontId="41" fillId="11" borderId="47" xfId="3" applyFont="1" applyFill="1" applyBorder="1" applyAlignment="1" applyProtection="1">
      <alignment horizontal="center" vertical="center" wrapText="1"/>
      <protection locked="0"/>
    </xf>
    <xf numFmtId="0" fontId="46" fillId="0" borderId="0" xfId="1" applyFont="1" applyAlignment="1" applyProtection="1">
      <alignment horizontal="left" vertical="center"/>
    </xf>
    <xf numFmtId="0" fontId="29" fillId="8" borderId="1" xfId="3" applyFont="1" applyFill="1" applyBorder="1" applyAlignment="1" applyProtection="1">
      <alignment horizontal="left" vertical="center"/>
      <protection hidden="1"/>
    </xf>
    <xf numFmtId="0" fontId="29" fillId="8" borderId="0" xfId="3" applyFont="1" applyFill="1" applyAlignment="1" applyProtection="1">
      <alignment horizontal="left" vertical="center"/>
      <protection hidden="1"/>
    </xf>
    <xf numFmtId="0" fontId="9" fillId="0" borderId="19" xfId="3" applyFont="1" applyBorder="1" applyAlignment="1" applyProtection="1">
      <alignment horizontal="center" vertical="center"/>
      <protection locked="0"/>
    </xf>
    <xf numFmtId="0" fontId="9" fillId="0" borderId="20" xfId="3" applyFont="1" applyBorder="1" applyAlignment="1" applyProtection="1">
      <alignment horizontal="center" vertical="center"/>
      <protection locked="0"/>
    </xf>
    <xf numFmtId="0" fontId="14" fillId="8" borderId="0" xfId="3" applyFont="1" applyFill="1" applyAlignment="1" applyProtection="1">
      <alignment horizontal="center" vertical="center"/>
      <protection hidden="1"/>
    </xf>
    <xf numFmtId="0" fontId="12" fillId="9" borderId="19" xfId="3" applyFont="1" applyFill="1" applyBorder="1" applyAlignment="1" applyProtection="1">
      <alignment horizontal="center" vertical="center"/>
      <protection hidden="1"/>
    </xf>
    <xf numFmtId="0" fontId="12" fillId="9" borderId="20"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wrapText="1"/>
      <protection hidden="1"/>
    </xf>
    <xf numFmtId="0" fontId="12" fillId="2"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protection hidden="1"/>
    </xf>
    <xf numFmtId="0" fontId="56" fillId="11" borderId="51" xfId="3" applyFont="1" applyFill="1" applyBorder="1" applyAlignment="1" applyProtection="1">
      <alignment horizontal="center" vertical="center" wrapText="1"/>
      <protection hidden="1"/>
    </xf>
    <xf numFmtId="0" fontId="56" fillId="11" borderId="52" xfId="3" applyFont="1" applyFill="1" applyBorder="1" applyAlignment="1" applyProtection="1">
      <alignment horizontal="center" vertical="center" wrapText="1"/>
      <protection hidden="1"/>
    </xf>
    <xf numFmtId="0" fontId="56" fillId="11" borderId="53" xfId="3" applyFont="1" applyFill="1" applyBorder="1" applyAlignment="1" applyProtection="1">
      <alignment horizontal="center" vertical="center" wrapText="1"/>
      <protection hidden="1"/>
    </xf>
    <xf numFmtId="0" fontId="56" fillId="11" borderId="54" xfId="3" applyFont="1" applyFill="1" applyBorder="1" applyAlignment="1" applyProtection="1">
      <alignment horizontal="center" vertical="center" wrapText="1"/>
      <protection hidden="1"/>
    </xf>
    <xf numFmtId="0" fontId="56" fillId="11" borderId="55" xfId="3" applyFont="1" applyFill="1" applyBorder="1" applyAlignment="1" applyProtection="1">
      <alignment horizontal="center" vertical="center" wrapText="1"/>
      <protection hidden="1"/>
    </xf>
    <xf numFmtId="0" fontId="56" fillId="11" borderId="56" xfId="3" applyFont="1" applyFill="1" applyBorder="1" applyAlignment="1" applyProtection="1">
      <alignment horizontal="center" vertical="center" wrapText="1"/>
      <protection hidden="1"/>
    </xf>
    <xf numFmtId="0" fontId="12" fillId="16" borderId="19" xfId="3" applyFont="1" applyFill="1" applyBorder="1" applyAlignment="1" applyProtection="1">
      <alignment horizontal="center" vertical="center"/>
      <protection hidden="1"/>
    </xf>
    <xf numFmtId="0" fontId="12" fillId="5" borderId="9" xfId="3" applyFont="1" applyFill="1" applyBorder="1" applyAlignment="1" applyProtection="1">
      <alignment horizontal="center" vertical="center"/>
      <protection hidden="1"/>
    </xf>
    <xf numFmtId="0" fontId="14" fillId="8" borderId="20" xfId="3" applyFont="1" applyFill="1" applyBorder="1" applyAlignment="1" applyProtection="1">
      <alignment horizontal="left" vertical="center"/>
      <protection hidden="1"/>
    </xf>
    <xf numFmtId="0" fontId="14" fillId="8" borderId="21" xfId="3" applyFont="1" applyFill="1" applyBorder="1" applyAlignment="1" applyProtection="1">
      <alignment horizontal="left" vertical="center"/>
      <protection hidden="1"/>
    </xf>
    <xf numFmtId="0" fontId="14" fillId="8" borderId="22" xfId="3" applyFont="1" applyFill="1" applyBorder="1" applyAlignment="1" applyProtection="1">
      <alignment horizontal="left" vertical="center"/>
      <protection hidden="1"/>
    </xf>
    <xf numFmtId="0" fontId="14" fillId="8" borderId="19" xfId="3" applyFont="1" applyFill="1" applyBorder="1" applyAlignment="1" applyProtection="1">
      <alignment horizontal="center" vertical="center"/>
      <protection hidden="1"/>
    </xf>
    <xf numFmtId="0" fontId="14" fillId="4" borderId="0" xfId="3" applyFont="1" applyFill="1" applyAlignment="1" applyProtection="1">
      <alignment horizontal="center" vertical="center"/>
      <protection hidden="1"/>
    </xf>
    <xf numFmtId="0" fontId="9" fillId="0" borderId="32" xfId="3" applyFont="1" applyBorder="1" applyAlignment="1" applyProtection="1">
      <alignment horizontal="center" vertical="center"/>
      <protection locked="0"/>
    </xf>
    <xf numFmtId="0" fontId="9" fillId="0" borderId="33" xfId="3" applyFont="1" applyBorder="1" applyAlignment="1" applyProtection="1">
      <alignment horizontal="center" vertical="center"/>
      <protection locked="0"/>
    </xf>
    <xf numFmtId="0" fontId="12" fillId="6" borderId="28" xfId="3" applyFont="1" applyFill="1" applyBorder="1" applyAlignment="1" applyProtection="1">
      <alignment horizontal="center" vertical="center"/>
      <protection hidden="1"/>
    </xf>
    <xf numFmtId="0" fontId="12" fillId="6" borderId="29" xfId="3" applyFont="1" applyFill="1" applyBorder="1" applyAlignment="1" applyProtection="1">
      <alignment horizontal="center" vertical="center"/>
      <protection hidden="1"/>
    </xf>
    <xf numFmtId="0" fontId="29" fillId="4" borderId="0" xfId="3" applyFont="1" applyFill="1" applyAlignment="1" applyProtection="1">
      <alignment horizontal="left" vertical="center"/>
      <protection hidden="1"/>
    </xf>
    <xf numFmtId="0" fontId="14" fillId="4" borderId="31" xfId="3" applyFont="1" applyFill="1" applyBorder="1" applyAlignment="1" applyProtection="1">
      <alignment horizontal="center" vertical="center"/>
      <protection hidden="1"/>
    </xf>
    <xf numFmtId="0" fontId="14" fillId="4" borderId="32" xfId="3" applyFont="1" applyFill="1" applyBorder="1" applyAlignment="1" applyProtection="1">
      <alignment horizontal="center" vertical="center"/>
      <protection hidden="1"/>
    </xf>
    <xf numFmtId="0" fontId="12" fillId="5" borderId="8" xfId="3" applyFont="1" applyFill="1" applyBorder="1" applyAlignment="1" applyProtection="1">
      <alignment horizontal="center" vertical="center"/>
      <protection hidden="1"/>
    </xf>
    <xf numFmtId="0" fontId="12" fillId="5" borderId="4" xfId="3" applyFont="1" applyFill="1" applyBorder="1" applyAlignment="1" applyProtection="1">
      <alignment horizontal="center" vertical="center"/>
      <protection hidden="1"/>
    </xf>
    <xf numFmtId="0" fontId="14" fillId="4" borderId="1" xfId="3" applyFont="1" applyFill="1" applyBorder="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14" fillId="4" borderId="30" xfId="3" applyFont="1" applyFill="1" applyBorder="1" applyAlignment="1" applyProtection="1">
      <alignment horizontal="center" vertical="center"/>
      <protection hidden="1"/>
    </xf>
    <xf numFmtId="0" fontId="14" fillId="4" borderId="23" xfId="3" applyFont="1" applyFill="1" applyBorder="1" applyAlignment="1" applyProtection="1">
      <alignment horizontal="center" vertical="center"/>
      <protection hidden="1"/>
    </xf>
    <xf numFmtId="0" fontId="29" fillId="8" borderId="1" xfId="3" applyFont="1" applyFill="1" applyBorder="1" applyAlignment="1" applyProtection="1">
      <alignment horizontal="center" vertical="center"/>
      <protection hidden="1"/>
    </xf>
    <xf numFmtId="0" fontId="29" fillId="8" borderId="0" xfId="3" applyFont="1" applyFill="1" applyAlignment="1" applyProtection="1">
      <alignment horizontal="center" vertical="center"/>
      <protection hidden="1"/>
    </xf>
    <xf numFmtId="0" fontId="57" fillId="11" borderId="9" xfId="3" applyFont="1" applyFill="1" applyBorder="1" applyAlignment="1" applyProtection="1">
      <alignment horizontal="center" vertical="center"/>
      <protection hidden="1"/>
    </xf>
    <xf numFmtId="0" fontId="57" fillId="11" borderId="8" xfId="3" applyFont="1" applyFill="1" applyBorder="1" applyAlignment="1" applyProtection="1">
      <alignment horizontal="center" vertical="center"/>
      <protection hidden="1"/>
    </xf>
    <xf numFmtId="0" fontId="37" fillId="2" borderId="0" xfId="3" applyFont="1" applyFill="1" applyAlignment="1" applyProtection="1">
      <alignment horizontal="left" vertical="top" wrapText="1"/>
      <protection hidden="1"/>
    </xf>
    <xf numFmtId="0" fontId="9" fillId="0" borderId="0" xfId="3" applyFont="1" applyAlignment="1" applyProtection="1">
      <alignment horizontal="left" vertical="top" wrapText="1"/>
      <protection hidden="1"/>
    </xf>
    <xf numFmtId="0" fontId="12" fillId="16" borderId="20" xfId="3" applyFont="1" applyFill="1" applyBorder="1" applyAlignment="1" applyProtection="1">
      <alignment horizontal="center" vertical="center"/>
      <protection hidden="1"/>
    </xf>
    <xf numFmtId="0" fontId="14" fillId="4" borderId="27" xfId="3" applyFont="1" applyFill="1" applyBorder="1" applyAlignment="1" applyProtection="1">
      <alignment horizontal="center" vertical="center"/>
      <protection hidden="1"/>
    </xf>
    <xf numFmtId="0" fontId="14" fillId="4" borderId="28" xfId="3" applyFont="1" applyFill="1" applyBorder="1" applyAlignment="1" applyProtection="1">
      <alignment horizontal="center" vertical="center"/>
      <protection hidden="1"/>
    </xf>
    <xf numFmtId="0" fontId="9" fillId="0" borderId="28" xfId="3" applyFont="1" applyBorder="1" applyAlignment="1" applyProtection="1">
      <alignment horizontal="center" vertical="center"/>
      <protection locked="0"/>
    </xf>
    <xf numFmtId="0" fontId="9" fillId="0" borderId="29" xfId="3" applyFont="1" applyBorder="1" applyAlignment="1" applyProtection="1">
      <alignment horizontal="center" vertical="center"/>
      <protection locked="0"/>
    </xf>
    <xf numFmtId="0" fontId="10" fillId="4" borderId="13" xfId="3" applyFont="1" applyFill="1" applyBorder="1" applyAlignment="1" applyProtection="1">
      <alignment horizontal="center" vertical="center"/>
      <protection locked="0"/>
    </xf>
    <xf numFmtId="0" fontId="14" fillId="4" borderId="13" xfId="3" applyFont="1" applyFill="1" applyBorder="1" applyAlignment="1" applyProtection="1">
      <alignment horizontal="center" vertical="center" wrapText="1"/>
      <protection hidden="1"/>
    </xf>
    <xf numFmtId="0" fontId="14" fillId="4" borderId="13" xfId="3" applyFont="1" applyFill="1" applyBorder="1" applyAlignment="1" applyProtection="1">
      <alignment horizontal="center" vertical="center"/>
      <protection hidden="1"/>
    </xf>
    <xf numFmtId="0" fontId="14" fillId="8" borderId="13" xfId="3" applyFont="1" applyFill="1" applyBorder="1" applyAlignment="1" applyProtection="1">
      <alignment horizontal="center" vertical="center"/>
      <protection hidden="1"/>
    </xf>
    <xf numFmtId="0" fontId="14" fillId="8" borderId="18" xfId="3" applyFont="1" applyFill="1" applyBorder="1" applyAlignment="1" applyProtection="1">
      <alignment horizontal="center" vertical="center"/>
      <protection hidden="1"/>
    </xf>
    <xf numFmtId="3" fontId="14" fillId="4" borderId="13" xfId="3" applyNumberFormat="1" applyFont="1" applyFill="1" applyBorder="1" applyAlignment="1" applyProtection="1">
      <alignment horizontal="center" vertical="center" wrapText="1"/>
      <protection hidden="1"/>
    </xf>
    <xf numFmtId="0" fontId="14" fillId="4" borderId="13" xfId="3" applyFont="1" applyFill="1" applyBorder="1" applyAlignment="1" applyProtection="1">
      <alignment horizontal="left" vertical="center"/>
      <protection locked="0"/>
    </xf>
    <xf numFmtId="0" fontId="37" fillId="2" borderId="0" xfId="3" applyFont="1" applyFill="1" applyAlignment="1">
      <alignment horizontal="left" vertical="top" wrapText="1"/>
    </xf>
    <xf numFmtId="0" fontId="25" fillId="4" borderId="0" xfId="0" applyFont="1" applyFill="1" applyAlignment="1" applyProtection="1">
      <alignment horizontal="left" vertical="center"/>
      <protection hidden="1"/>
    </xf>
    <xf numFmtId="0" fontId="37" fillId="2" borderId="0" xfId="0" applyFont="1" applyFill="1" applyAlignment="1" applyProtection="1">
      <alignment horizontal="left" vertical="top" wrapText="1"/>
      <protection hidden="1"/>
    </xf>
    <xf numFmtId="0" fontId="52"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45" t="s">
        <v>4</v>
      </c>
      <c r="L7" s="345"/>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35" t="s">
        <v>13</v>
      </c>
      <c r="G15" s="335"/>
      <c r="H15" s="335"/>
      <c r="I15" s="335"/>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36" t="s">
        <v>36</v>
      </c>
      <c r="H41" s="337"/>
      <c r="I41" s="338"/>
    </row>
    <row r="42" spans="2:9" ht="15" customHeight="1" x14ac:dyDescent="0.25">
      <c r="B42" s="284"/>
      <c r="C42" s="285" t="s">
        <v>31</v>
      </c>
      <c r="D42" s="286" t="s">
        <v>37</v>
      </c>
      <c r="E42" s="287"/>
      <c r="F42" s="297">
        <v>8</v>
      </c>
      <c r="G42" s="339"/>
      <c r="H42" s="340"/>
      <c r="I42" s="341"/>
    </row>
    <row r="43" spans="2:9" ht="15" customHeight="1" x14ac:dyDescent="0.25">
      <c r="B43" s="284"/>
      <c r="C43" s="285" t="s">
        <v>31</v>
      </c>
      <c r="D43" s="286" t="s">
        <v>38</v>
      </c>
      <c r="E43" s="287"/>
      <c r="F43" s="297">
        <v>4</v>
      </c>
      <c r="G43" s="339"/>
      <c r="H43" s="340"/>
      <c r="I43" s="341"/>
    </row>
    <row r="44" spans="2:9" ht="15" customHeight="1" x14ac:dyDescent="0.25">
      <c r="B44" s="284"/>
      <c r="C44" s="285" t="s">
        <v>31</v>
      </c>
      <c r="D44" s="286" t="s">
        <v>39</v>
      </c>
      <c r="E44" s="287"/>
      <c r="F44" s="297">
        <v>2</v>
      </c>
      <c r="G44" s="339"/>
      <c r="H44" s="340"/>
      <c r="I44" s="341"/>
    </row>
    <row r="45" spans="2:9" ht="15" customHeight="1" x14ac:dyDescent="0.25">
      <c r="B45" s="284">
        <v>6</v>
      </c>
      <c r="C45" s="286" t="s">
        <v>40</v>
      </c>
      <c r="D45" s="286"/>
      <c r="E45" s="287"/>
      <c r="F45" s="297"/>
      <c r="G45" s="339"/>
      <c r="H45" s="340"/>
      <c r="I45" s="341"/>
    </row>
    <row r="46" spans="2:9" ht="15" customHeight="1" x14ac:dyDescent="0.25">
      <c r="B46" s="284"/>
      <c r="C46" s="285" t="s">
        <v>31</v>
      </c>
      <c r="D46" s="286" t="s">
        <v>41</v>
      </c>
      <c r="E46" s="287"/>
      <c r="F46" s="297">
        <v>8</v>
      </c>
      <c r="G46" s="339"/>
      <c r="H46" s="340"/>
      <c r="I46" s="341"/>
    </row>
    <row r="47" spans="2:9" ht="15" customHeight="1" x14ac:dyDescent="0.25">
      <c r="B47" s="284"/>
      <c r="C47" s="285" t="s">
        <v>31</v>
      </c>
      <c r="D47" s="286" t="s">
        <v>42</v>
      </c>
      <c r="E47" s="287"/>
      <c r="F47" s="297">
        <v>4</v>
      </c>
      <c r="G47" s="339"/>
      <c r="H47" s="340"/>
      <c r="I47" s="341"/>
    </row>
    <row r="48" spans="2:9" ht="15" customHeight="1" x14ac:dyDescent="0.25">
      <c r="B48" s="284">
        <v>7</v>
      </c>
      <c r="C48" s="286" t="s">
        <v>43</v>
      </c>
      <c r="D48" s="286"/>
      <c r="E48" s="287"/>
      <c r="F48" s="297"/>
      <c r="G48" s="339"/>
      <c r="H48" s="340"/>
      <c r="I48" s="341"/>
    </row>
    <row r="49" spans="2:9" ht="15" customHeight="1" x14ac:dyDescent="0.25">
      <c r="B49" s="284"/>
      <c r="C49" s="285" t="s">
        <v>31</v>
      </c>
      <c r="D49" s="286" t="s">
        <v>44</v>
      </c>
      <c r="E49" s="287"/>
      <c r="F49" s="297">
        <v>8</v>
      </c>
      <c r="G49" s="339"/>
      <c r="H49" s="340"/>
      <c r="I49" s="341"/>
    </row>
    <row r="50" spans="2:9" ht="15" customHeight="1" thickBot="1" x14ac:dyDescent="0.3">
      <c r="B50" s="288"/>
      <c r="C50" s="289" t="s">
        <v>31</v>
      </c>
      <c r="D50" s="290" t="s">
        <v>45</v>
      </c>
      <c r="E50" s="291"/>
      <c r="F50" s="298">
        <v>4</v>
      </c>
      <c r="G50" s="342"/>
      <c r="H50" s="343"/>
      <c r="I50" s="344"/>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36" t="s">
        <v>36</v>
      </c>
      <c r="H52" s="337"/>
      <c r="I52" s="338"/>
    </row>
    <row r="53" spans="2:9" ht="15" customHeight="1" x14ac:dyDescent="0.25">
      <c r="B53" s="284">
        <v>10</v>
      </c>
      <c r="C53" s="286" t="s">
        <v>48</v>
      </c>
      <c r="D53" s="292"/>
      <c r="E53" s="287"/>
      <c r="F53" s="297">
        <v>24</v>
      </c>
      <c r="G53" s="339"/>
      <c r="H53" s="340"/>
      <c r="I53" s="341"/>
    </row>
    <row r="54" spans="2:9" ht="15" customHeight="1" x14ac:dyDescent="0.25">
      <c r="B54" s="284">
        <v>11</v>
      </c>
      <c r="C54" s="286" t="s">
        <v>49</v>
      </c>
      <c r="D54" s="292"/>
      <c r="E54" s="287"/>
      <c r="F54" s="299">
        <f>SUM(F55:F58)</f>
        <v>90</v>
      </c>
      <c r="G54" s="339"/>
      <c r="H54" s="340"/>
      <c r="I54" s="341"/>
    </row>
    <row r="55" spans="2:9" ht="15" customHeight="1" x14ac:dyDescent="0.25">
      <c r="B55" s="293"/>
      <c r="C55" s="285" t="s">
        <v>31</v>
      </c>
      <c r="D55" s="294" t="s">
        <v>50</v>
      </c>
      <c r="E55" s="287"/>
      <c r="F55" s="297">
        <v>6</v>
      </c>
      <c r="G55" s="339"/>
      <c r="H55" s="340"/>
      <c r="I55" s="341"/>
    </row>
    <row r="56" spans="2:9" ht="15" customHeight="1" x14ac:dyDescent="0.25">
      <c r="B56" s="293"/>
      <c r="C56" s="285" t="s">
        <v>31</v>
      </c>
      <c r="D56" s="294" t="s">
        <v>51</v>
      </c>
      <c r="E56" s="287"/>
      <c r="F56" s="297">
        <v>12</v>
      </c>
      <c r="G56" s="339"/>
      <c r="H56" s="340"/>
      <c r="I56" s="341"/>
    </row>
    <row r="57" spans="2:9" ht="15" customHeight="1" x14ac:dyDescent="0.25">
      <c r="B57" s="293"/>
      <c r="C57" s="285" t="s">
        <v>31</v>
      </c>
      <c r="D57" s="294" t="s">
        <v>52</v>
      </c>
      <c r="E57" s="287"/>
      <c r="F57" s="297">
        <v>24</v>
      </c>
      <c r="G57" s="339"/>
      <c r="H57" s="340"/>
      <c r="I57" s="341"/>
    </row>
    <row r="58" spans="2:9" ht="15" customHeight="1" x14ac:dyDescent="0.25">
      <c r="B58" s="293"/>
      <c r="C58" s="285" t="s">
        <v>31</v>
      </c>
      <c r="D58" s="294" t="s">
        <v>53</v>
      </c>
      <c r="E58" s="287"/>
      <c r="F58" s="297">
        <v>48</v>
      </c>
      <c r="G58" s="339"/>
      <c r="H58" s="340"/>
      <c r="I58" s="341"/>
    </row>
    <row r="59" spans="2:9" ht="15" customHeight="1" x14ac:dyDescent="0.25">
      <c r="B59" s="284">
        <v>12</v>
      </c>
      <c r="C59" s="292" t="s">
        <v>54</v>
      </c>
      <c r="D59" s="292"/>
      <c r="E59" s="287"/>
      <c r="F59" s="299">
        <f>SUM(F60:F62)</f>
        <v>42</v>
      </c>
      <c r="G59" s="339"/>
      <c r="H59" s="340"/>
      <c r="I59" s="341"/>
    </row>
    <row r="60" spans="2:9" ht="15" customHeight="1" x14ac:dyDescent="0.25">
      <c r="B60" s="293"/>
      <c r="C60" s="285" t="s">
        <v>31</v>
      </c>
      <c r="D60" s="294" t="s">
        <v>50</v>
      </c>
      <c r="E60" s="287"/>
      <c r="F60" s="297">
        <v>6</v>
      </c>
      <c r="G60" s="339"/>
      <c r="H60" s="340"/>
      <c r="I60" s="341"/>
    </row>
    <row r="61" spans="2:9" ht="15" customHeight="1" x14ac:dyDescent="0.25">
      <c r="B61" s="293"/>
      <c r="C61" s="285" t="s">
        <v>31</v>
      </c>
      <c r="D61" s="294" t="s">
        <v>55</v>
      </c>
      <c r="E61" s="287"/>
      <c r="F61" s="297">
        <v>12</v>
      </c>
      <c r="G61" s="339"/>
      <c r="H61" s="340"/>
      <c r="I61" s="341"/>
    </row>
    <row r="62" spans="2:9" ht="15" customHeight="1" x14ac:dyDescent="0.25">
      <c r="B62" s="293"/>
      <c r="C62" s="285" t="s">
        <v>31</v>
      </c>
      <c r="D62" s="294" t="s">
        <v>56</v>
      </c>
      <c r="E62" s="287"/>
      <c r="F62" s="297">
        <v>24</v>
      </c>
      <c r="G62" s="339"/>
      <c r="H62" s="340"/>
      <c r="I62" s="341"/>
    </row>
    <row r="63" spans="2:9" ht="15" customHeight="1" x14ac:dyDescent="0.25">
      <c r="B63" s="284">
        <v>13</v>
      </c>
      <c r="C63" s="292" t="s">
        <v>57</v>
      </c>
      <c r="D63" s="292"/>
      <c r="E63" s="287"/>
      <c r="F63" s="299">
        <f>SUM(F64:F65)</f>
        <v>18</v>
      </c>
      <c r="G63" s="339"/>
      <c r="H63" s="340"/>
      <c r="I63" s="341"/>
    </row>
    <row r="64" spans="2:9" ht="15" customHeight="1" x14ac:dyDescent="0.25">
      <c r="B64" s="293"/>
      <c r="C64" s="285" t="s">
        <v>31</v>
      </c>
      <c r="D64" s="294" t="s">
        <v>50</v>
      </c>
      <c r="E64" s="287"/>
      <c r="F64" s="297">
        <v>6</v>
      </c>
      <c r="G64" s="339"/>
      <c r="H64" s="340"/>
      <c r="I64" s="341"/>
    </row>
    <row r="65" spans="2:9" ht="15" customHeight="1" x14ac:dyDescent="0.25">
      <c r="B65" s="293"/>
      <c r="C65" s="285" t="s">
        <v>31</v>
      </c>
      <c r="D65" s="294" t="s">
        <v>55</v>
      </c>
      <c r="E65" s="287"/>
      <c r="F65" s="297">
        <v>12</v>
      </c>
      <c r="G65" s="339"/>
      <c r="H65" s="340"/>
      <c r="I65" s="341"/>
    </row>
    <row r="66" spans="2:9" ht="15" customHeight="1" thickBot="1" x14ac:dyDescent="0.3">
      <c r="B66" s="288">
        <v>14</v>
      </c>
      <c r="C66" s="290" t="s">
        <v>58</v>
      </c>
      <c r="D66" s="295"/>
      <c r="E66" s="291"/>
      <c r="F66" s="298">
        <v>0</v>
      </c>
      <c r="G66" s="342"/>
      <c r="H66" s="343"/>
      <c r="I66" s="344"/>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277</v>
      </c>
      <c r="C3" s="33"/>
      <c r="D3" s="33"/>
      <c r="E3" s="33"/>
      <c r="F3" s="33"/>
      <c r="G3" s="33"/>
      <c r="H3" s="33"/>
      <c r="I3" s="33"/>
      <c r="J3" s="33"/>
      <c r="K3" s="33"/>
      <c r="L3" s="33"/>
      <c r="M3" s="33"/>
    </row>
    <row r="4" spans="2:13" s="7" customFormat="1" ht="5.0999999999999996" customHeight="1" x14ac:dyDescent="0.2">
      <c r="I4" s="34"/>
      <c r="J4" s="11"/>
    </row>
    <row r="14" spans="2:13" x14ac:dyDescent="0.25">
      <c r="G14" s="274" t="s">
        <v>278</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279</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280</v>
      </c>
      <c r="I7" s="19"/>
      <c r="J7" s="37"/>
      <c r="K7" s="37"/>
      <c r="L7" s="37"/>
      <c r="M7" s="37"/>
      <c r="N7" s="37"/>
      <c r="O7" s="37"/>
    </row>
    <row r="8" spans="2:15" x14ac:dyDescent="0.3">
      <c r="B8" s="194"/>
      <c r="C8" s="194" t="s">
        <v>281</v>
      </c>
      <c r="D8" s="194" t="s">
        <v>282</v>
      </c>
      <c r="E8" s="194" t="s">
        <v>283</v>
      </c>
      <c r="F8" s="194"/>
      <c r="G8" s="194"/>
      <c r="H8" s="238" t="s">
        <v>284</v>
      </c>
      <c r="I8" s="239"/>
      <c r="J8" s="238"/>
      <c r="K8" s="238"/>
      <c r="L8" s="238"/>
      <c r="M8" s="238"/>
      <c r="N8" s="238"/>
      <c r="O8" s="37"/>
    </row>
    <row r="9" spans="2:15" x14ac:dyDescent="0.3">
      <c r="B9" s="194"/>
      <c r="C9" s="194" t="s">
        <v>285</v>
      </c>
      <c r="D9" s="194" t="s">
        <v>282</v>
      </c>
      <c r="E9" s="195" t="s">
        <v>286</v>
      </c>
      <c r="F9" s="194"/>
      <c r="G9" s="194"/>
      <c r="H9" s="218"/>
      <c r="I9" s="19"/>
      <c r="J9" s="37"/>
      <c r="K9" s="37"/>
      <c r="L9" s="37"/>
      <c r="M9" s="37"/>
      <c r="N9" s="37"/>
      <c r="O9" s="37"/>
    </row>
    <row r="10" spans="2:15" x14ac:dyDescent="0.3">
      <c r="B10" s="194"/>
      <c r="C10" s="194" t="s">
        <v>287</v>
      </c>
      <c r="D10" s="194" t="s">
        <v>282</v>
      </c>
      <c r="E10" s="194" t="s">
        <v>288</v>
      </c>
      <c r="F10" s="194"/>
      <c r="G10" s="194"/>
      <c r="H10" s="218"/>
      <c r="I10" s="19"/>
      <c r="J10" s="37"/>
      <c r="K10" s="37"/>
      <c r="L10" s="37"/>
      <c r="M10" s="37"/>
      <c r="N10" s="37"/>
      <c r="O10" s="37"/>
    </row>
    <row r="11" spans="2:15" x14ac:dyDescent="0.3">
      <c r="B11" s="194"/>
      <c r="C11" s="194" t="s">
        <v>289</v>
      </c>
      <c r="D11" s="194" t="s">
        <v>282</v>
      </c>
      <c r="E11" s="221" t="s">
        <v>290</v>
      </c>
      <c r="F11" s="196"/>
      <c r="G11" s="194"/>
      <c r="H11" s="218"/>
      <c r="I11" s="19"/>
      <c r="J11" s="37"/>
      <c r="K11" s="37"/>
      <c r="L11" s="37"/>
      <c r="M11" s="37"/>
      <c r="N11" s="37"/>
      <c r="O11" s="37"/>
    </row>
    <row r="12" spans="2:15" x14ac:dyDescent="0.3">
      <c r="B12" s="194"/>
      <c r="C12" s="194" t="s">
        <v>291</v>
      </c>
      <c r="D12" s="194" t="s">
        <v>282</v>
      </c>
      <c r="E12" s="218" t="s">
        <v>292</v>
      </c>
      <c r="F12" s="218"/>
      <c r="G12" s="194"/>
      <c r="H12" s="218"/>
      <c r="I12" s="19"/>
      <c r="J12" s="37"/>
      <c r="K12" s="37"/>
      <c r="L12" s="37"/>
      <c r="M12" s="37"/>
      <c r="N12" s="37"/>
      <c r="O12" s="37"/>
    </row>
    <row r="13" spans="2:15" x14ac:dyDescent="0.3">
      <c r="B13" s="194"/>
      <c r="C13" s="194" t="s">
        <v>293</v>
      </c>
      <c r="D13" s="194" t="s">
        <v>282</v>
      </c>
      <c r="E13" s="222" t="s">
        <v>294</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295</v>
      </c>
      <c r="G16" s="206" t="s">
        <v>296</v>
      </c>
      <c r="H16" s="233" t="s">
        <v>297</v>
      </c>
    </row>
    <row r="17" spans="2:8" ht="15" customHeight="1" x14ac:dyDescent="0.3">
      <c r="B17" s="214" t="s">
        <v>298</v>
      </c>
      <c r="C17" s="214"/>
      <c r="D17" s="214"/>
      <c r="E17" s="214"/>
      <c r="F17" s="228">
        <v>10</v>
      </c>
      <c r="G17" s="215">
        <v>100</v>
      </c>
      <c r="H17" s="225">
        <v>100</v>
      </c>
    </row>
    <row r="18" spans="2:8" ht="15" customHeight="1" x14ac:dyDescent="0.3">
      <c r="B18" s="214" t="s">
        <v>299</v>
      </c>
      <c r="C18" s="214"/>
      <c r="D18" s="214"/>
      <c r="E18" s="219"/>
      <c r="F18" s="229"/>
      <c r="G18" s="219"/>
      <c r="H18" s="226"/>
    </row>
    <row r="19" spans="2:8" ht="15" customHeight="1" x14ac:dyDescent="0.3">
      <c r="B19" s="220" t="s">
        <v>123</v>
      </c>
      <c r="C19" s="214" t="s">
        <v>300</v>
      </c>
      <c r="D19" s="214"/>
      <c r="E19" s="219"/>
      <c r="F19" s="228" t="s">
        <v>17</v>
      </c>
      <c r="G19" s="215" t="s">
        <v>17</v>
      </c>
      <c r="H19" s="225" t="s">
        <v>17</v>
      </c>
    </row>
    <row r="20" spans="2:8" ht="15" customHeight="1" x14ac:dyDescent="0.3">
      <c r="B20" s="220" t="s">
        <v>123</v>
      </c>
      <c r="C20" s="214" t="s">
        <v>301</v>
      </c>
      <c r="D20" s="214"/>
      <c r="E20" s="219"/>
      <c r="F20" s="228" t="s">
        <v>17</v>
      </c>
      <c r="G20" s="215" t="s">
        <v>17</v>
      </c>
      <c r="H20" s="225" t="s">
        <v>17</v>
      </c>
    </row>
    <row r="21" spans="2:8" ht="15" customHeight="1" x14ac:dyDescent="0.3">
      <c r="B21" s="220" t="s">
        <v>123</v>
      </c>
      <c r="C21" s="214" t="s">
        <v>302</v>
      </c>
      <c r="D21" s="214"/>
      <c r="E21" s="219"/>
      <c r="F21" s="228" t="s">
        <v>17</v>
      </c>
      <c r="G21" s="215" t="s">
        <v>17</v>
      </c>
      <c r="H21" s="225" t="s">
        <v>17</v>
      </c>
    </row>
    <row r="22" spans="2:8" ht="15" customHeight="1" x14ac:dyDescent="0.3">
      <c r="B22" s="220" t="s">
        <v>123</v>
      </c>
      <c r="C22" s="214" t="s">
        <v>303</v>
      </c>
      <c r="D22" s="214"/>
      <c r="E22" s="219"/>
      <c r="F22" s="228" t="s">
        <v>17</v>
      </c>
      <c r="G22" s="215" t="s">
        <v>17</v>
      </c>
      <c r="H22" s="225" t="s">
        <v>17</v>
      </c>
    </row>
    <row r="23" spans="2:8" ht="15" customHeight="1" x14ac:dyDescent="0.3">
      <c r="B23" s="220" t="s">
        <v>123</v>
      </c>
      <c r="C23" s="214" t="s">
        <v>304</v>
      </c>
      <c r="D23" s="214"/>
      <c r="E23" s="219"/>
      <c r="F23" s="228" t="s">
        <v>17</v>
      </c>
      <c r="G23" s="215" t="s">
        <v>17</v>
      </c>
      <c r="H23" s="225" t="s">
        <v>17</v>
      </c>
    </row>
    <row r="24" spans="2:8" ht="15" customHeight="1" x14ac:dyDescent="0.3">
      <c r="B24" s="220" t="s">
        <v>123</v>
      </c>
      <c r="C24" s="214" t="s">
        <v>305</v>
      </c>
      <c r="D24" s="214"/>
      <c r="E24" s="214"/>
      <c r="F24" s="230" t="s">
        <v>306</v>
      </c>
      <c r="G24" s="216" t="s">
        <v>307</v>
      </c>
      <c r="H24" s="227" t="s">
        <v>307</v>
      </c>
    </row>
    <row r="25" spans="2:8" ht="15" customHeight="1" x14ac:dyDescent="0.3">
      <c r="B25" s="214" t="s">
        <v>308</v>
      </c>
      <c r="C25" s="214"/>
      <c r="D25" s="214"/>
      <c r="E25" s="214"/>
      <c r="F25" s="228" t="s">
        <v>309</v>
      </c>
      <c r="G25" s="215" t="s">
        <v>309</v>
      </c>
      <c r="H25" s="225" t="s">
        <v>310</v>
      </c>
    </row>
    <row r="26" spans="2:8" ht="15" customHeight="1" x14ac:dyDescent="0.3">
      <c r="B26" s="214" t="s">
        <v>311</v>
      </c>
      <c r="C26" s="214"/>
      <c r="D26" s="214"/>
      <c r="E26" s="214"/>
      <c r="F26" s="228" t="s">
        <v>67</v>
      </c>
      <c r="G26" s="215" t="s">
        <v>312</v>
      </c>
      <c r="H26" s="225" t="s">
        <v>313</v>
      </c>
    </row>
    <row r="27" spans="2:8" ht="15" customHeight="1" x14ac:dyDescent="0.3">
      <c r="B27" s="214" t="s">
        <v>314</v>
      </c>
      <c r="C27" s="214"/>
      <c r="D27" s="214"/>
      <c r="E27" s="214"/>
      <c r="F27" s="228" t="s">
        <v>67</v>
      </c>
      <c r="G27" s="215" t="s">
        <v>67</v>
      </c>
      <c r="H27" s="225" t="s">
        <v>17</v>
      </c>
    </row>
    <row r="28" spans="2:8" ht="15" customHeight="1" x14ac:dyDescent="0.3">
      <c r="B28" s="214" t="s">
        <v>315</v>
      </c>
      <c r="C28" s="214"/>
      <c r="D28" s="214"/>
      <c r="E28" s="214"/>
      <c r="F28" s="228" t="s">
        <v>309</v>
      </c>
      <c r="G28" s="215" t="s">
        <v>316</v>
      </c>
      <c r="H28" s="225" t="s">
        <v>316</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317</v>
      </c>
      <c r="H33" s="217" t="s">
        <v>318</v>
      </c>
    </row>
    <row r="35" spans="2:8" ht="15.6" x14ac:dyDescent="0.3">
      <c r="B35" s="403" t="s">
        <v>319</v>
      </c>
      <c r="C35" s="403"/>
      <c r="D35" s="403"/>
      <c r="E35" s="403"/>
      <c r="F35" s="403"/>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320</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321</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320</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321</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320</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321</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320</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321</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320</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321</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320</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321</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320</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321</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320</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321</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320</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321</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320</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321</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320</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321</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320</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322</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323</v>
      </c>
      <c r="AP2" s="319"/>
      <c r="AQ2" s="319"/>
      <c r="AR2" s="319"/>
      <c r="AS2" s="319"/>
      <c r="AT2" s="319"/>
      <c r="AU2" s="319"/>
      <c r="AV2" s="319"/>
      <c r="AW2" s="319"/>
      <c r="AX2" s="319"/>
      <c r="AY2" s="319"/>
      <c r="AZ2" s="319"/>
      <c r="BA2" s="319"/>
      <c r="BB2" s="319"/>
      <c r="BC2" s="319"/>
      <c r="BD2" s="319"/>
      <c r="BE2" s="319"/>
      <c r="BF2" s="319"/>
      <c r="BG2" s="319"/>
      <c r="BH2" s="319"/>
      <c r="BI2" s="319" t="s">
        <v>324</v>
      </c>
      <c r="BJ2" s="319"/>
      <c r="BK2" s="319"/>
      <c r="BL2" s="319"/>
      <c r="BM2" s="319"/>
      <c r="BN2" s="319"/>
      <c r="BO2" s="319"/>
      <c r="BP2" s="319"/>
      <c r="BQ2" s="319"/>
      <c r="BR2" s="319"/>
      <c r="BS2" s="319"/>
      <c r="BT2" s="319"/>
      <c r="BU2" s="319"/>
      <c r="BV2" s="319"/>
      <c r="BW2" s="319"/>
      <c r="BX2" s="319"/>
      <c r="BY2" s="319"/>
      <c r="BZ2" s="319"/>
      <c r="CA2" s="319"/>
      <c r="CB2" s="319"/>
      <c r="CC2" s="319" t="s">
        <v>325</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326</v>
      </c>
      <c r="DB2" s="319" t="s">
        <v>327</v>
      </c>
      <c r="DC2" s="319"/>
      <c r="DD2" s="319"/>
      <c r="DE2" s="319"/>
      <c r="DF2" s="319"/>
      <c r="DG2" s="319"/>
      <c r="DH2" s="319"/>
      <c r="DI2" s="320" t="s">
        <v>148</v>
      </c>
      <c r="DJ2" s="320" t="s">
        <v>100</v>
      </c>
      <c r="DK2" s="320" t="s">
        <v>149</v>
      </c>
      <c r="DL2" s="320" t="s">
        <v>326</v>
      </c>
      <c r="DM2" s="320" t="s">
        <v>327</v>
      </c>
      <c r="DN2" s="320" t="s">
        <v>328</v>
      </c>
      <c r="DO2" s="320" t="s">
        <v>151</v>
      </c>
      <c r="DP2" s="319" t="s">
        <v>329</v>
      </c>
      <c r="DQ2" s="319" t="s">
        <v>330</v>
      </c>
      <c r="DR2" s="319" t="s">
        <v>331</v>
      </c>
      <c r="DS2" s="319" t="s">
        <v>332</v>
      </c>
      <c r="DT2" s="319" t="s">
        <v>333</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322</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323</v>
      </c>
      <c r="FN2" s="319"/>
      <c r="FO2" s="319"/>
      <c r="FP2" s="319"/>
      <c r="FQ2" s="319"/>
      <c r="FR2" s="319"/>
      <c r="FS2" s="319"/>
      <c r="FT2" s="319"/>
      <c r="FU2" s="319"/>
      <c r="FV2" s="319"/>
      <c r="FW2" s="319"/>
      <c r="FX2" s="319"/>
      <c r="FY2" s="319"/>
      <c r="FZ2" s="319"/>
      <c r="GA2" s="319"/>
      <c r="GB2" s="319"/>
      <c r="GC2" s="319"/>
      <c r="GD2" s="319"/>
      <c r="GE2" s="319"/>
      <c r="GF2" s="319"/>
      <c r="GG2" s="319" t="s">
        <v>324</v>
      </c>
      <c r="GH2" s="319"/>
      <c r="GI2" s="319"/>
      <c r="GJ2" s="319"/>
      <c r="GK2" s="319"/>
      <c r="GL2" s="319"/>
      <c r="GM2" s="319"/>
      <c r="GN2" s="319"/>
      <c r="GO2" s="319"/>
      <c r="GP2" s="319"/>
      <c r="GQ2" s="319"/>
      <c r="GR2" s="319"/>
      <c r="GS2" s="319"/>
      <c r="GT2" s="319"/>
      <c r="GU2" s="319"/>
      <c r="GV2" s="319"/>
      <c r="GW2" s="319"/>
      <c r="GX2" s="319"/>
      <c r="GY2" s="319"/>
      <c r="GZ2" s="319"/>
      <c r="HA2" s="319" t="s">
        <v>325</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326</v>
      </c>
      <c r="HZ2" s="319" t="s">
        <v>327</v>
      </c>
      <c r="IA2" s="319"/>
      <c r="IB2" s="319"/>
      <c r="IC2" s="319"/>
      <c r="ID2" s="319"/>
      <c r="IE2" s="319"/>
      <c r="IF2" s="319"/>
      <c r="IG2" s="320" t="s">
        <v>148</v>
      </c>
      <c r="IH2" s="320" t="s">
        <v>100</v>
      </c>
      <c r="II2" s="320" t="s">
        <v>149</v>
      </c>
      <c r="IJ2" s="320" t="s">
        <v>326</v>
      </c>
      <c r="IK2" s="320" t="s">
        <v>327</v>
      </c>
      <c r="IL2" s="320" t="s">
        <v>328</v>
      </c>
      <c r="IM2" s="320" t="s">
        <v>151</v>
      </c>
      <c r="IN2" s="319" t="s">
        <v>329</v>
      </c>
      <c r="IO2" s="319" t="s">
        <v>330</v>
      </c>
      <c r="IP2" s="319" t="s">
        <v>331</v>
      </c>
      <c r="IQ2" s="319" t="s">
        <v>332</v>
      </c>
      <c r="IR2" s="319" t="s">
        <v>333</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322</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323</v>
      </c>
      <c r="KL2" s="319"/>
      <c r="KM2" s="319"/>
      <c r="KN2" s="319"/>
      <c r="KO2" s="319"/>
      <c r="KP2" s="319"/>
      <c r="KQ2" s="319"/>
      <c r="KR2" s="319"/>
      <c r="KS2" s="319"/>
      <c r="KT2" s="319"/>
      <c r="KU2" s="319"/>
      <c r="KV2" s="319"/>
      <c r="KW2" s="319"/>
      <c r="KX2" s="319"/>
      <c r="KY2" s="319"/>
      <c r="KZ2" s="319"/>
      <c r="LA2" s="319"/>
      <c r="LB2" s="319"/>
      <c r="LC2" s="319"/>
      <c r="LD2" s="319"/>
      <c r="LE2" s="319" t="s">
        <v>324</v>
      </c>
      <c r="LF2" s="319"/>
      <c r="LG2" s="319"/>
      <c r="LH2" s="319"/>
      <c r="LI2" s="319"/>
      <c r="LJ2" s="319"/>
      <c r="LK2" s="319"/>
      <c r="LL2" s="319"/>
      <c r="LM2" s="319"/>
      <c r="LN2" s="319"/>
      <c r="LO2" s="319"/>
      <c r="LP2" s="319"/>
      <c r="LQ2" s="319"/>
      <c r="LR2" s="319"/>
      <c r="LS2" s="319"/>
      <c r="LT2" s="319"/>
      <c r="LU2" s="319"/>
      <c r="LV2" s="319"/>
      <c r="LW2" s="319"/>
      <c r="LX2" s="319"/>
      <c r="LY2" s="319" t="s">
        <v>325</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326</v>
      </c>
      <c r="MX2" s="319" t="s">
        <v>327</v>
      </c>
      <c r="MY2" s="319"/>
      <c r="MZ2" s="319"/>
      <c r="NA2" s="319"/>
      <c r="NB2" s="319"/>
      <c r="NC2" s="319"/>
      <c r="ND2" s="319"/>
      <c r="NE2" s="320" t="s">
        <v>148</v>
      </c>
      <c r="NF2" s="320" t="s">
        <v>100</v>
      </c>
      <c r="NG2" s="320" t="s">
        <v>149</v>
      </c>
      <c r="NH2" s="320" t="s">
        <v>326</v>
      </c>
      <c r="NI2" s="320" t="s">
        <v>327</v>
      </c>
      <c r="NJ2" s="320" t="s">
        <v>328</v>
      </c>
      <c r="NK2" s="320" t="s">
        <v>151</v>
      </c>
      <c r="NL2" s="319" t="s">
        <v>329</v>
      </c>
      <c r="NM2" s="319" t="s">
        <v>330</v>
      </c>
      <c r="NN2" s="319" t="s">
        <v>331</v>
      </c>
      <c r="NO2" s="319" t="s">
        <v>332</v>
      </c>
      <c r="NP2" s="319" t="s">
        <v>333</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322</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323</v>
      </c>
      <c r="PJ2" s="319"/>
      <c r="PK2" s="319"/>
      <c r="PL2" s="319"/>
      <c r="PM2" s="319"/>
      <c r="PN2" s="319"/>
      <c r="PO2" s="319"/>
      <c r="PP2" s="319"/>
      <c r="PQ2" s="319"/>
      <c r="PR2" s="319"/>
      <c r="PS2" s="319"/>
      <c r="PT2" s="319"/>
      <c r="PU2" s="319"/>
      <c r="PV2" s="319"/>
      <c r="PW2" s="319"/>
      <c r="PX2" s="319"/>
      <c r="PY2" s="319"/>
      <c r="PZ2" s="319"/>
      <c r="QA2" s="319"/>
      <c r="QB2" s="319"/>
      <c r="QC2" s="319" t="s">
        <v>324</v>
      </c>
      <c r="QD2" s="319"/>
      <c r="QE2" s="319"/>
      <c r="QF2" s="319"/>
      <c r="QG2" s="319"/>
      <c r="QH2" s="319"/>
      <c r="QI2" s="319"/>
      <c r="QJ2" s="319"/>
      <c r="QK2" s="319"/>
      <c r="QL2" s="319"/>
      <c r="QM2" s="319"/>
      <c r="QN2" s="319"/>
      <c r="QO2" s="319"/>
      <c r="QP2" s="319"/>
      <c r="QQ2" s="319"/>
      <c r="QR2" s="319"/>
      <c r="QS2" s="319"/>
      <c r="QT2" s="319"/>
      <c r="QU2" s="319"/>
      <c r="QV2" s="319"/>
      <c r="QW2" s="319" t="s">
        <v>325</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326</v>
      </c>
      <c r="RV2" s="319" t="s">
        <v>327</v>
      </c>
      <c r="RW2" s="319"/>
      <c r="RX2" s="319"/>
      <c r="RY2" s="319"/>
      <c r="RZ2" s="319"/>
      <c r="SA2" s="319"/>
      <c r="SB2" s="319"/>
      <c r="SC2" s="320" t="s">
        <v>148</v>
      </c>
      <c r="SD2" s="320" t="s">
        <v>100</v>
      </c>
      <c r="SE2" s="320" t="s">
        <v>149</v>
      </c>
      <c r="SF2" s="320" t="s">
        <v>326</v>
      </c>
      <c r="SG2" s="320" t="s">
        <v>327</v>
      </c>
      <c r="SH2" s="320" t="s">
        <v>328</v>
      </c>
      <c r="SI2" s="320" t="s">
        <v>151</v>
      </c>
      <c r="SJ2" s="319" t="s">
        <v>329</v>
      </c>
      <c r="SK2" s="319" t="s">
        <v>330</v>
      </c>
      <c r="SL2" s="319" t="s">
        <v>331</v>
      </c>
      <c r="SM2" s="319" t="s">
        <v>332</v>
      </c>
      <c r="SN2" s="319" t="s">
        <v>333</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322</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323</v>
      </c>
      <c r="UH2" s="319"/>
      <c r="UI2" s="319"/>
      <c r="UJ2" s="319"/>
      <c r="UK2" s="319"/>
      <c r="UL2" s="319"/>
      <c r="UM2" s="319"/>
      <c r="UN2" s="319"/>
      <c r="UO2" s="319"/>
      <c r="UP2" s="319"/>
      <c r="UQ2" s="319"/>
      <c r="UR2" s="319"/>
      <c r="US2" s="319"/>
      <c r="UT2" s="319"/>
      <c r="UU2" s="319"/>
      <c r="UV2" s="319"/>
      <c r="UW2" s="319"/>
      <c r="UX2" s="319"/>
      <c r="UY2" s="319"/>
      <c r="UZ2" s="319"/>
      <c r="VA2" s="319" t="s">
        <v>324</v>
      </c>
      <c r="VB2" s="319"/>
      <c r="VC2" s="319"/>
      <c r="VD2" s="319"/>
      <c r="VE2" s="319"/>
      <c r="VF2" s="319"/>
      <c r="VG2" s="319"/>
      <c r="VH2" s="319"/>
      <c r="VI2" s="319"/>
      <c r="VJ2" s="319"/>
      <c r="VK2" s="319"/>
      <c r="VL2" s="319"/>
      <c r="VM2" s="319"/>
      <c r="VN2" s="319"/>
      <c r="VO2" s="319"/>
      <c r="VP2" s="319"/>
      <c r="VQ2" s="319"/>
      <c r="VR2" s="319"/>
      <c r="VS2" s="319"/>
      <c r="VT2" s="319"/>
      <c r="VU2" s="319" t="s">
        <v>325</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326</v>
      </c>
      <c r="WT2" s="319" t="s">
        <v>327</v>
      </c>
      <c r="WU2" s="319"/>
      <c r="WV2" s="319"/>
      <c r="WW2" s="319"/>
      <c r="WX2" s="319"/>
      <c r="WY2" s="319"/>
      <c r="WZ2" s="319"/>
      <c r="XA2" s="320" t="s">
        <v>148</v>
      </c>
      <c r="XB2" s="320" t="s">
        <v>100</v>
      </c>
      <c r="XC2" s="320" t="s">
        <v>149</v>
      </c>
      <c r="XD2" s="320" t="s">
        <v>326</v>
      </c>
      <c r="XE2" s="320" t="s">
        <v>327</v>
      </c>
      <c r="XF2" s="320" t="s">
        <v>328</v>
      </c>
      <c r="XG2" s="320" t="s">
        <v>151</v>
      </c>
      <c r="XH2" s="319" t="s">
        <v>329</v>
      </c>
      <c r="XI2" s="319" t="s">
        <v>330</v>
      </c>
      <c r="XJ2" s="319" t="s">
        <v>331</v>
      </c>
      <c r="XK2" s="319" t="s">
        <v>332</v>
      </c>
      <c r="XL2" s="319" t="s">
        <v>333</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322</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323</v>
      </c>
      <c r="ZF2" s="319"/>
      <c r="ZG2" s="319"/>
      <c r="ZH2" s="319"/>
      <c r="ZI2" s="319"/>
      <c r="ZJ2" s="319"/>
      <c r="ZK2" s="319"/>
      <c r="ZL2" s="319"/>
      <c r="ZM2" s="319"/>
      <c r="ZN2" s="319"/>
      <c r="ZO2" s="319"/>
      <c r="ZP2" s="319"/>
      <c r="ZQ2" s="319"/>
      <c r="ZR2" s="319"/>
      <c r="ZS2" s="319"/>
      <c r="ZT2" s="319"/>
      <c r="ZU2" s="319"/>
      <c r="ZV2" s="319"/>
      <c r="ZW2" s="319"/>
      <c r="ZX2" s="319"/>
      <c r="ZY2" s="319" t="s">
        <v>324</v>
      </c>
      <c r="ZZ2" s="319"/>
      <c r="AAA2" s="319"/>
      <c r="AAB2" s="319"/>
      <c r="AAC2" s="319"/>
      <c r="AAD2" s="319"/>
      <c r="AAE2" s="319"/>
      <c r="AAF2" s="319"/>
      <c r="AAG2" s="319"/>
      <c r="AAH2" s="319"/>
      <c r="AAI2" s="319"/>
      <c r="AAJ2" s="319"/>
      <c r="AAK2" s="319"/>
      <c r="AAL2" s="319"/>
      <c r="AAM2" s="319"/>
      <c r="AAN2" s="319"/>
      <c r="AAO2" s="319"/>
      <c r="AAP2" s="319"/>
      <c r="AAQ2" s="319"/>
      <c r="AAR2" s="319"/>
      <c r="AAS2" s="319" t="s">
        <v>325</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326</v>
      </c>
      <c r="ABR2" s="319" t="s">
        <v>327</v>
      </c>
      <c r="ABS2" s="319"/>
      <c r="ABT2" s="319"/>
      <c r="ABU2" s="319"/>
      <c r="ABV2" s="319"/>
      <c r="ABW2" s="319"/>
      <c r="ABX2" s="319"/>
      <c r="ABY2" s="320" t="s">
        <v>148</v>
      </c>
      <c r="ABZ2" s="320" t="s">
        <v>100</v>
      </c>
      <c r="ACA2" s="320" t="s">
        <v>149</v>
      </c>
      <c r="ACB2" s="320" t="s">
        <v>326</v>
      </c>
      <c r="ACC2" s="320" t="s">
        <v>327</v>
      </c>
      <c r="ACD2" s="320" t="s">
        <v>328</v>
      </c>
      <c r="ACE2" s="320" t="s">
        <v>151</v>
      </c>
      <c r="ACF2" s="319" t="s">
        <v>329</v>
      </c>
      <c r="ACG2" s="319" t="s">
        <v>330</v>
      </c>
      <c r="ACH2" s="319" t="s">
        <v>331</v>
      </c>
      <c r="ACI2" s="319" t="s">
        <v>332</v>
      </c>
      <c r="ACJ2" s="319" t="s">
        <v>333</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322</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323</v>
      </c>
      <c r="AED2" s="319"/>
      <c r="AEE2" s="319"/>
      <c r="AEF2" s="319"/>
      <c r="AEG2" s="319"/>
      <c r="AEH2" s="319"/>
      <c r="AEI2" s="319"/>
      <c r="AEJ2" s="319"/>
      <c r="AEK2" s="319"/>
      <c r="AEL2" s="319"/>
      <c r="AEM2" s="319"/>
      <c r="AEN2" s="319"/>
      <c r="AEO2" s="319"/>
      <c r="AEP2" s="319"/>
      <c r="AEQ2" s="319"/>
      <c r="AER2" s="319"/>
      <c r="AES2" s="319"/>
      <c r="AET2" s="319"/>
      <c r="AEU2" s="319"/>
      <c r="AEV2" s="319"/>
      <c r="AEW2" s="319" t="s">
        <v>324</v>
      </c>
      <c r="AEX2" s="319"/>
      <c r="AEY2" s="319"/>
      <c r="AEZ2" s="319"/>
      <c r="AFA2" s="319"/>
      <c r="AFB2" s="319"/>
      <c r="AFC2" s="319"/>
      <c r="AFD2" s="319"/>
      <c r="AFE2" s="319"/>
      <c r="AFF2" s="319"/>
      <c r="AFG2" s="319"/>
      <c r="AFH2" s="319"/>
      <c r="AFI2" s="319"/>
      <c r="AFJ2" s="319"/>
      <c r="AFK2" s="319"/>
      <c r="AFL2" s="319"/>
      <c r="AFM2" s="319"/>
      <c r="AFN2" s="319"/>
      <c r="AFO2" s="319"/>
      <c r="AFP2" s="319"/>
      <c r="AFQ2" s="319" t="s">
        <v>325</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326</v>
      </c>
      <c r="AGP2" s="319" t="s">
        <v>327</v>
      </c>
      <c r="AGQ2" s="319"/>
      <c r="AGR2" s="319"/>
      <c r="AGS2" s="319"/>
      <c r="AGT2" s="319"/>
      <c r="AGU2" s="319"/>
      <c r="AGV2" s="319"/>
      <c r="AGW2" s="320" t="s">
        <v>148</v>
      </c>
      <c r="AGX2" s="320" t="s">
        <v>100</v>
      </c>
      <c r="AGY2" s="320" t="s">
        <v>149</v>
      </c>
      <c r="AGZ2" s="320" t="s">
        <v>326</v>
      </c>
      <c r="AHA2" s="320" t="s">
        <v>327</v>
      </c>
      <c r="AHB2" s="320" t="s">
        <v>328</v>
      </c>
      <c r="AHC2" s="320" t="s">
        <v>151</v>
      </c>
      <c r="AHD2" s="319" t="s">
        <v>329</v>
      </c>
      <c r="AHE2" s="319" t="s">
        <v>330</v>
      </c>
      <c r="AHF2" s="319" t="s">
        <v>331</v>
      </c>
      <c r="AHG2" s="319" t="s">
        <v>332</v>
      </c>
      <c r="AHH2" s="319" t="s">
        <v>333</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322</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323</v>
      </c>
      <c r="AJB2" s="319"/>
      <c r="AJC2" s="319"/>
      <c r="AJD2" s="319"/>
      <c r="AJE2" s="319"/>
      <c r="AJF2" s="319"/>
      <c r="AJG2" s="319"/>
      <c r="AJH2" s="319"/>
      <c r="AJI2" s="319"/>
      <c r="AJJ2" s="319"/>
      <c r="AJK2" s="319"/>
      <c r="AJL2" s="319"/>
      <c r="AJM2" s="319"/>
      <c r="AJN2" s="319"/>
      <c r="AJO2" s="319"/>
      <c r="AJP2" s="319"/>
      <c r="AJQ2" s="319"/>
      <c r="AJR2" s="319"/>
      <c r="AJS2" s="319"/>
      <c r="AJT2" s="319"/>
      <c r="AJU2" s="319" t="s">
        <v>324</v>
      </c>
      <c r="AJV2" s="319"/>
      <c r="AJW2" s="319"/>
      <c r="AJX2" s="319"/>
      <c r="AJY2" s="319"/>
      <c r="AJZ2" s="319"/>
      <c r="AKA2" s="319"/>
      <c r="AKB2" s="319"/>
      <c r="AKC2" s="319"/>
      <c r="AKD2" s="319"/>
      <c r="AKE2" s="319"/>
      <c r="AKF2" s="319"/>
      <c r="AKG2" s="319"/>
      <c r="AKH2" s="319"/>
      <c r="AKI2" s="319"/>
      <c r="AKJ2" s="319"/>
      <c r="AKK2" s="319"/>
      <c r="AKL2" s="319"/>
      <c r="AKM2" s="319"/>
      <c r="AKN2" s="319"/>
      <c r="AKO2" s="319" t="s">
        <v>325</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326</v>
      </c>
      <c r="ALN2" s="319" t="s">
        <v>327</v>
      </c>
      <c r="ALO2" s="319"/>
      <c r="ALP2" s="319"/>
      <c r="ALQ2" s="319"/>
      <c r="ALR2" s="319"/>
      <c r="ALS2" s="319"/>
      <c r="ALT2" s="319"/>
      <c r="ALU2" s="320" t="s">
        <v>148</v>
      </c>
      <c r="ALV2" s="320" t="s">
        <v>100</v>
      </c>
      <c r="ALW2" s="320" t="s">
        <v>149</v>
      </c>
      <c r="ALX2" s="320" t="s">
        <v>326</v>
      </c>
      <c r="ALY2" s="320" t="s">
        <v>327</v>
      </c>
      <c r="ALZ2" s="320" t="s">
        <v>328</v>
      </c>
      <c r="AMA2" s="320" t="s">
        <v>151</v>
      </c>
      <c r="AMB2" s="319" t="s">
        <v>329</v>
      </c>
      <c r="AMC2" s="319" t="s">
        <v>330</v>
      </c>
      <c r="AMD2" s="319" t="s">
        <v>331</v>
      </c>
      <c r="AME2" s="319" t="s">
        <v>332</v>
      </c>
      <c r="AMF2" s="319" t="s">
        <v>333</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322</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323</v>
      </c>
      <c r="ANZ2" s="319"/>
      <c r="AOA2" s="319"/>
      <c r="AOB2" s="319"/>
      <c r="AOC2" s="319"/>
      <c r="AOD2" s="319"/>
      <c r="AOE2" s="319"/>
      <c r="AOF2" s="319"/>
      <c r="AOG2" s="319"/>
      <c r="AOH2" s="319"/>
      <c r="AOI2" s="319"/>
      <c r="AOJ2" s="319"/>
      <c r="AOK2" s="319"/>
      <c r="AOL2" s="319"/>
      <c r="AOM2" s="319"/>
      <c r="AON2" s="319"/>
      <c r="AOO2" s="319"/>
      <c r="AOP2" s="319"/>
      <c r="AOQ2" s="319"/>
      <c r="AOR2" s="319"/>
      <c r="AOS2" s="319" t="s">
        <v>324</v>
      </c>
      <c r="AOT2" s="319"/>
      <c r="AOU2" s="319"/>
      <c r="AOV2" s="319"/>
      <c r="AOW2" s="319"/>
      <c r="AOX2" s="319"/>
      <c r="AOY2" s="319"/>
      <c r="AOZ2" s="319"/>
      <c r="APA2" s="319"/>
      <c r="APB2" s="319"/>
      <c r="APC2" s="319"/>
      <c r="APD2" s="319"/>
      <c r="APE2" s="319"/>
      <c r="APF2" s="319"/>
      <c r="APG2" s="319"/>
      <c r="APH2" s="319"/>
      <c r="API2" s="319"/>
      <c r="APJ2" s="319"/>
      <c r="APK2" s="319"/>
      <c r="APL2" s="319"/>
      <c r="APM2" s="319" t="s">
        <v>325</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326</v>
      </c>
      <c r="AQL2" s="319" t="s">
        <v>327</v>
      </c>
      <c r="AQM2" s="319"/>
      <c r="AQN2" s="319"/>
      <c r="AQO2" s="319"/>
      <c r="AQP2" s="319"/>
      <c r="AQQ2" s="319"/>
      <c r="AQR2" s="319"/>
      <c r="AQS2" s="320" t="s">
        <v>148</v>
      </c>
      <c r="AQT2" s="320" t="s">
        <v>100</v>
      </c>
      <c r="AQU2" s="320" t="s">
        <v>149</v>
      </c>
      <c r="AQV2" s="320" t="s">
        <v>326</v>
      </c>
      <c r="AQW2" s="320" t="s">
        <v>327</v>
      </c>
      <c r="AQX2" s="320" t="s">
        <v>328</v>
      </c>
      <c r="AQY2" s="320" t="s">
        <v>151</v>
      </c>
      <c r="AQZ2" s="319" t="s">
        <v>329</v>
      </c>
      <c r="ARA2" s="319" t="s">
        <v>330</v>
      </c>
      <c r="ARB2" s="319" t="s">
        <v>331</v>
      </c>
      <c r="ARC2" s="319" t="s">
        <v>332</v>
      </c>
      <c r="ARD2" s="319" t="s">
        <v>333</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322</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323</v>
      </c>
      <c r="ASX2" s="319"/>
      <c r="ASY2" s="319"/>
      <c r="ASZ2" s="319"/>
      <c r="ATA2" s="319"/>
      <c r="ATB2" s="319"/>
      <c r="ATC2" s="319"/>
      <c r="ATD2" s="319"/>
      <c r="ATE2" s="319"/>
      <c r="ATF2" s="319"/>
      <c r="ATG2" s="319"/>
      <c r="ATH2" s="319"/>
      <c r="ATI2" s="319"/>
      <c r="ATJ2" s="319"/>
      <c r="ATK2" s="319"/>
      <c r="ATL2" s="319"/>
      <c r="ATM2" s="319"/>
      <c r="ATN2" s="319"/>
      <c r="ATO2" s="319"/>
      <c r="ATP2" s="319"/>
      <c r="ATQ2" s="319" t="s">
        <v>324</v>
      </c>
      <c r="ATR2" s="319"/>
      <c r="ATS2" s="319"/>
      <c r="ATT2" s="319"/>
      <c r="ATU2" s="319"/>
      <c r="ATV2" s="319"/>
      <c r="ATW2" s="319"/>
      <c r="ATX2" s="319"/>
      <c r="ATY2" s="319"/>
      <c r="ATZ2" s="319"/>
      <c r="AUA2" s="319"/>
      <c r="AUB2" s="319"/>
      <c r="AUC2" s="319"/>
      <c r="AUD2" s="319"/>
      <c r="AUE2" s="319"/>
      <c r="AUF2" s="319"/>
      <c r="AUG2" s="319"/>
      <c r="AUH2" s="319"/>
      <c r="AUI2" s="319"/>
      <c r="AUJ2" s="319"/>
      <c r="AUK2" s="319" t="s">
        <v>325</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326</v>
      </c>
      <c r="AVJ2" s="319" t="s">
        <v>327</v>
      </c>
      <c r="AVK2" s="319"/>
      <c r="AVL2" s="319"/>
      <c r="AVM2" s="319"/>
      <c r="AVN2" s="319"/>
      <c r="AVO2" s="319"/>
      <c r="AVP2" s="319"/>
      <c r="AVQ2" s="320" t="s">
        <v>148</v>
      </c>
      <c r="AVR2" s="320" t="s">
        <v>100</v>
      </c>
      <c r="AVS2" s="320" t="s">
        <v>149</v>
      </c>
      <c r="AVT2" s="320" t="s">
        <v>326</v>
      </c>
      <c r="AVU2" s="320" t="s">
        <v>327</v>
      </c>
      <c r="AVV2" s="320" t="s">
        <v>328</v>
      </c>
      <c r="AVW2" s="320" t="s">
        <v>151</v>
      </c>
      <c r="AVX2" s="319" t="s">
        <v>329</v>
      </c>
      <c r="AVY2" s="319" t="s">
        <v>330</v>
      </c>
      <c r="AVZ2" s="319" t="s">
        <v>331</v>
      </c>
      <c r="AWA2" s="319" t="s">
        <v>332</v>
      </c>
      <c r="AWB2" s="319" t="s">
        <v>333</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322</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323</v>
      </c>
      <c r="AXV2" s="319"/>
      <c r="AXW2" s="319"/>
      <c r="AXX2" s="319"/>
      <c r="AXY2" s="319"/>
      <c r="AXZ2" s="319"/>
      <c r="AYA2" s="319"/>
      <c r="AYB2" s="319"/>
      <c r="AYC2" s="319"/>
      <c r="AYD2" s="319"/>
      <c r="AYE2" s="319"/>
      <c r="AYF2" s="319"/>
      <c r="AYG2" s="319"/>
      <c r="AYH2" s="319"/>
      <c r="AYI2" s="319"/>
      <c r="AYJ2" s="319"/>
      <c r="AYK2" s="319"/>
      <c r="AYL2" s="319"/>
      <c r="AYM2" s="319"/>
      <c r="AYN2" s="319"/>
      <c r="AYO2" s="319" t="s">
        <v>324</v>
      </c>
      <c r="AYP2" s="319"/>
      <c r="AYQ2" s="319"/>
      <c r="AYR2" s="319"/>
      <c r="AYS2" s="319"/>
      <c r="AYT2" s="319"/>
      <c r="AYU2" s="319"/>
      <c r="AYV2" s="319"/>
      <c r="AYW2" s="319"/>
      <c r="AYX2" s="319"/>
      <c r="AYY2" s="319"/>
      <c r="AYZ2" s="319"/>
      <c r="AZA2" s="319"/>
      <c r="AZB2" s="319"/>
      <c r="AZC2" s="319"/>
      <c r="AZD2" s="319"/>
      <c r="AZE2" s="319"/>
      <c r="AZF2" s="319"/>
      <c r="AZG2" s="319"/>
      <c r="AZH2" s="319"/>
      <c r="AZI2" s="319" t="s">
        <v>325</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326</v>
      </c>
      <c r="BAH2" s="319" t="s">
        <v>327</v>
      </c>
      <c r="BAI2" s="319"/>
      <c r="BAJ2" s="319"/>
      <c r="BAK2" s="319"/>
      <c r="BAL2" s="319"/>
      <c r="BAM2" s="319"/>
      <c r="BAN2" s="319"/>
      <c r="BAO2" s="320" t="s">
        <v>148</v>
      </c>
      <c r="BAP2" s="320" t="s">
        <v>100</v>
      </c>
      <c r="BAQ2" s="320" t="s">
        <v>149</v>
      </c>
      <c r="BAR2" s="320" t="s">
        <v>326</v>
      </c>
      <c r="BAS2" s="320" t="s">
        <v>327</v>
      </c>
      <c r="BAT2" s="320" t="s">
        <v>328</v>
      </c>
      <c r="BAU2" s="320" t="s">
        <v>151</v>
      </c>
      <c r="BAV2" s="319" t="s">
        <v>329</v>
      </c>
      <c r="BAW2" s="319" t="s">
        <v>330</v>
      </c>
      <c r="BAX2" s="319" t="s">
        <v>331</v>
      </c>
      <c r="BAY2" s="319" t="s">
        <v>332</v>
      </c>
      <c r="BAZ2" s="319" t="s">
        <v>333</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322</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323</v>
      </c>
      <c r="BCT2" s="319"/>
      <c r="BCU2" s="319"/>
      <c r="BCV2" s="319"/>
      <c r="BCW2" s="319"/>
      <c r="BCX2" s="319"/>
      <c r="BCY2" s="319"/>
      <c r="BCZ2" s="319"/>
      <c r="BDA2" s="319"/>
      <c r="BDB2" s="319"/>
      <c r="BDC2" s="319"/>
      <c r="BDD2" s="319"/>
      <c r="BDE2" s="319"/>
      <c r="BDF2" s="319"/>
      <c r="BDG2" s="319"/>
      <c r="BDH2" s="319"/>
      <c r="BDI2" s="319"/>
      <c r="BDJ2" s="319"/>
      <c r="BDK2" s="319"/>
      <c r="BDL2" s="319"/>
      <c r="BDM2" s="319" t="s">
        <v>324</v>
      </c>
      <c r="BDN2" s="319"/>
      <c r="BDO2" s="319"/>
      <c r="BDP2" s="319"/>
      <c r="BDQ2" s="319"/>
      <c r="BDR2" s="319"/>
      <c r="BDS2" s="319"/>
      <c r="BDT2" s="319"/>
      <c r="BDU2" s="319"/>
      <c r="BDV2" s="319"/>
      <c r="BDW2" s="319"/>
      <c r="BDX2" s="319"/>
      <c r="BDY2" s="319"/>
      <c r="BDZ2" s="319"/>
      <c r="BEA2" s="319"/>
      <c r="BEB2" s="319"/>
      <c r="BEC2" s="319"/>
      <c r="BED2" s="319"/>
      <c r="BEE2" s="319"/>
      <c r="BEF2" s="319"/>
      <c r="BEG2" s="319" t="s">
        <v>325</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326</v>
      </c>
      <c r="BFF2" s="319" t="s">
        <v>327</v>
      </c>
      <c r="BFG2" s="319"/>
      <c r="BFH2" s="319"/>
      <c r="BFI2" s="319"/>
      <c r="BFJ2" s="319"/>
      <c r="BFK2" s="319"/>
      <c r="BFL2" s="319"/>
      <c r="BFM2" s="320" t="s">
        <v>148</v>
      </c>
      <c r="BFN2" s="320" t="s">
        <v>100</v>
      </c>
      <c r="BFO2" s="320" t="s">
        <v>149</v>
      </c>
      <c r="BFP2" s="320" t="s">
        <v>326</v>
      </c>
      <c r="BFQ2" s="320" t="s">
        <v>327</v>
      </c>
      <c r="BFR2" s="320" t="s">
        <v>328</v>
      </c>
      <c r="BFS2" s="320" t="s">
        <v>151</v>
      </c>
      <c r="BFT2" s="319" t="s">
        <v>329</v>
      </c>
      <c r="BFU2" s="319" t="s">
        <v>330</v>
      </c>
      <c r="BFV2" s="319" t="s">
        <v>331</v>
      </c>
      <c r="BFW2" s="319" t="s">
        <v>332</v>
      </c>
      <c r="BFX2" s="319" t="s">
        <v>333</v>
      </c>
      <c r="BFY2" s="319"/>
      <c r="BFZ2" s="319"/>
      <c r="BGA2" s="319"/>
      <c r="BGB2" s="319"/>
    </row>
    <row r="3" spans="1:1536" ht="13.8" x14ac:dyDescent="0.3">
      <c r="A3" s="319"/>
      <c r="B3" s="319"/>
      <c r="C3" s="319" t="s">
        <v>148</v>
      </c>
      <c r="D3" s="319" t="s">
        <v>100</v>
      </c>
      <c r="E3" s="319" t="s">
        <v>149</v>
      </c>
      <c r="F3" s="319" t="s">
        <v>326</v>
      </c>
      <c r="G3" s="319" t="s">
        <v>327</v>
      </c>
      <c r="H3" s="319" t="s">
        <v>334</v>
      </c>
      <c r="I3" s="319" t="s">
        <v>256</v>
      </c>
      <c r="J3" s="319" t="s">
        <v>335</v>
      </c>
      <c r="K3" s="319" t="s">
        <v>336</v>
      </c>
      <c r="L3" s="319"/>
      <c r="M3" s="319" t="s">
        <v>337</v>
      </c>
      <c r="N3" s="319"/>
      <c r="O3" s="319"/>
      <c r="P3" s="319" t="s">
        <v>338</v>
      </c>
      <c r="Q3" s="319" t="s">
        <v>339</v>
      </c>
      <c r="R3" s="319" t="s">
        <v>340</v>
      </c>
      <c r="S3" s="319" t="s">
        <v>341</v>
      </c>
      <c r="T3" s="319"/>
      <c r="U3" s="319" t="s">
        <v>342</v>
      </c>
      <c r="V3" s="319" t="s">
        <v>148</v>
      </c>
      <c r="W3" s="319" t="s">
        <v>100</v>
      </c>
      <c r="X3" s="319" t="s">
        <v>149</v>
      </c>
      <c r="Y3" s="319" t="s">
        <v>326</v>
      </c>
      <c r="Z3" s="319" t="s">
        <v>327</v>
      </c>
      <c r="AA3" s="319" t="s">
        <v>334</v>
      </c>
      <c r="AB3" s="319" t="s">
        <v>147</v>
      </c>
      <c r="AC3" s="319" t="s">
        <v>343</v>
      </c>
      <c r="AD3" s="319" t="s">
        <v>344</v>
      </c>
      <c r="AE3" s="319" t="s">
        <v>329</v>
      </c>
      <c r="AF3" s="319" t="s">
        <v>151</v>
      </c>
      <c r="AG3" s="319" t="s">
        <v>345</v>
      </c>
      <c r="AH3" s="319" t="s">
        <v>328</v>
      </c>
      <c r="AI3" s="319" t="s">
        <v>326</v>
      </c>
      <c r="AJ3" s="319" t="s">
        <v>346</v>
      </c>
      <c r="AK3" s="319" t="s">
        <v>344</v>
      </c>
      <c r="AL3" s="319" t="s">
        <v>329</v>
      </c>
      <c r="AM3" s="319" t="s">
        <v>347</v>
      </c>
      <c r="AN3" s="319"/>
      <c r="AO3" s="319" t="s">
        <v>342</v>
      </c>
      <c r="AP3" s="319" t="s">
        <v>148</v>
      </c>
      <c r="AQ3" s="319" t="s">
        <v>100</v>
      </c>
      <c r="AR3" s="319" t="s">
        <v>149</v>
      </c>
      <c r="AS3" s="319" t="s">
        <v>326</v>
      </c>
      <c r="AT3" s="319" t="s">
        <v>327</v>
      </c>
      <c r="AU3" s="319" t="s">
        <v>334</v>
      </c>
      <c r="AV3" s="319" t="s">
        <v>147</v>
      </c>
      <c r="AW3" s="319" t="s">
        <v>343</v>
      </c>
      <c r="AX3" s="319" t="s">
        <v>344</v>
      </c>
      <c r="AY3" s="319" t="s">
        <v>329</v>
      </c>
      <c r="AZ3" s="319" t="s">
        <v>151</v>
      </c>
      <c r="BA3" s="319" t="s">
        <v>345</v>
      </c>
      <c r="BB3" s="319" t="s">
        <v>328</v>
      </c>
      <c r="BC3" s="319" t="s">
        <v>326</v>
      </c>
      <c r="BD3" s="319" t="s">
        <v>346</v>
      </c>
      <c r="BE3" s="319" t="s">
        <v>344</v>
      </c>
      <c r="BF3" s="319" t="s">
        <v>329</v>
      </c>
      <c r="BG3" s="319" t="s">
        <v>347</v>
      </c>
      <c r="BH3" s="319"/>
      <c r="BI3" s="319" t="s">
        <v>342</v>
      </c>
      <c r="BJ3" s="319" t="s">
        <v>148</v>
      </c>
      <c r="BK3" s="319" t="s">
        <v>100</v>
      </c>
      <c r="BL3" s="319" t="s">
        <v>149</v>
      </c>
      <c r="BM3" s="319" t="s">
        <v>326</v>
      </c>
      <c r="BN3" s="319" t="s">
        <v>327</v>
      </c>
      <c r="BO3" s="319" t="s">
        <v>334</v>
      </c>
      <c r="BP3" s="319" t="s">
        <v>147</v>
      </c>
      <c r="BQ3" s="319" t="s">
        <v>343</v>
      </c>
      <c r="BR3" s="319" t="s">
        <v>344</v>
      </c>
      <c r="BS3" s="319" t="s">
        <v>329</v>
      </c>
      <c r="BT3" s="319" t="s">
        <v>151</v>
      </c>
      <c r="BU3" s="319" t="s">
        <v>345</v>
      </c>
      <c r="BV3" s="319" t="s">
        <v>328</v>
      </c>
      <c r="BW3" s="319" t="s">
        <v>326</v>
      </c>
      <c r="BX3" s="319" t="s">
        <v>343</v>
      </c>
      <c r="BY3" s="319" t="s">
        <v>344</v>
      </c>
      <c r="BZ3" s="319" t="s">
        <v>329</v>
      </c>
      <c r="CA3" s="319" t="s">
        <v>347</v>
      </c>
      <c r="CB3" s="319"/>
      <c r="CC3" s="319" t="s">
        <v>342</v>
      </c>
      <c r="CD3" s="319" t="s">
        <v>148</v>
      </c>
      <c r="CE3" s="319" t="s">
        <v>100</v>
      </c>
      <c r="CF3" s="319" t="s">
        <v>149</v>
      </c>
      <c r="CG3" s="319" t="s">
        <v>326</v>
      </c>
      <c r="CH3" s="319" t="s">
        <v>327</v>
      </c>
      <c r="CI3" s="319" t="s">
        <v>334</v>
      </c>
      <c r="CJ3" s="319" t="s">
        <v>147</v>
      </c>
      <c r="CK3" s="319" t="s">
        <v>343</v>
      </c>
      <c r="CL3" s="319" t="s">
        <v>344</v>
      </c>
      <c r="CM3" s="319" t="s">
        <v>329</v>
      </c>
      <c r="CN3" s="319" t="s">
        <v>151</v>
      </c>
      <c r="CO3" s="319" t="s">
        <v>345</v>
      </c>
      <c r="CP3" s="319" t="s">
        <v>328</v>
      </c>
      <c r="CQ3" s="319" t="s">
        <v>326</v>
      </c>
      <c r="CR3" s="319" t="s">
        <v>343</v>
      </c>
      <c r="CS3" s="319" t="s">
        <v>344</v>
      </c>
      <c r="CT3" s="319" t="s">
        <v>329</v>
      </c>
      <c r="CU3" s="319" t="s">
        <v>347</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4</v>
      </c>
      <c r="DR3" s="319">
        <f>SUMPRODUCT((DQ3:DQ8=DQ3)*(DN3:DN8&gt;DN3))</f>
        <v>2</v>
      </c>
      <c r="DS3" s="319">
        <f>SUMPRODUCT((DQ3:DQ8=DQ3)*(DN3:DN8=DN3)*(DL3:DL8&gt;DL3))</f>
        <v>0</v>
      </c>
      <c r="DT3" s="319">
        <f>SUMPRODUCT((DQ3:DQ8=DQ3)*(DN3:DN8=DN3)*(DL3:DL8=DL3)*(DP3:DP8&gt;DP3))</f>
        <v>0</v>
      </c>
      <c r="DU3" s="319">
        <f>IF('Player Scoreboard'!B20="© 2024 | journalSHEET.com",SUM(DQ3:DT3),1)</f>
        <v>6</v>
      </c>
      <c r="DV3" s="319" t="s">
        <v>97</v>
      </c>
      <c r="DW3" s="319">
        <v>1</v>
      </c>
      <c r="DX3" s="319"/>
      <c r="DY3" s="319"/>
      <c r="DZ3" s="319"/>
      <c r="EA3" s="319" t="s">
        <v>148</v>
      </c>
      <c r="EB3" s="319" t="s">
        <v>100</v>
      </c>
      <c r="EC3" s="319" t="s">
        <v>149</v>
      </c>
      <c r="ED3" s="319" t="s">
        <v>326</v>
      </c>
      <c r="EE3" s="319" t="s">
        <v>327</v>
      </c>
      <c r="EF3" s="319" t="s">
        <v>334</v>
      </c>
      <c r="EG3" s="319" t="s">
        <v>256</v>
      </c>
      <c r="EH3" s="319" t="s">
        <v>335</v>
      </c>
      <c r="EI3" s="319" t="s">
        <v>336</v>
      </c>
      <c r="EJ3" s="319"/>
      <c r="EK3" s="319" t="s">
        <v>337</v>
      </c>
      <c r="EL3" s="319"/>
      <c r="EM3" s="319"/>
      <c r="EN3" s="319" t="s">
        <v>338</v>
      </c>
      <c r="EO3" s="319" t="s">
        <v>339</v>
      </c>
      <c r="EP3" s="319" t="s">
        <v>340</v>
      </c>
      <c r="EQ3" s="319" t="s">
        <v>341</v>
      </c>
      <c r="ER3" s="319"/>
      <c r="ES3" s="319" t="s">
        <v>342</v>
      </c>
      <c r="ET3" s="319" t="s">
        <v>148</v>
      </c>
      <c r="EU3" s="319" t="s">
        <v>100</v>
      </c>
      <c r="EV3" s="319" t="s">
        <v>149</v>
      </c>
      <c r="EW3" s="319" t="s">
        <v>326</v>
      </c>
      <c r="EX3" s="319" t="s">
        <v>327</v>
      </c>
      <c r="EY3" s="319" t="s">
        <v>334</v>
      </c>
      <c r="EZ3" s="319" t="s">
        <v>147</v>
      </c>
      <c r="FA3" s="319" t="s">
        <v>343</v>
      </c>
      <c r="FB3" s="319" t="s">
        <v>344</v>
      </c>
      <c r="FC3" s="319" t="s">
        <v>329</v>
      </c>
      <c r="FD3" s="319" t="s">
        <v>151</v>
      </c>
      <c r="FE3" s="319" t="s">
        <v>345</v>
      </c>
      <c r="FF3" s="319" t="s">
        <v>328</v>
      </c>
      <c r="FG3" s="319" t="s">
        <v>326</v>
      </c>
      <c r="FH3" s="319" t="s">
        <v>346</v>
      </c>
      <c r="FI3" s="319" t="s">
        <v>344</v>
      </c>
      <c r="FJ3" s="319" t="s">
        <v>329</v>
      </c>
      <c r="FK3" s="319" t="s">
        <v>347</v>
      </c>
      <c r="FL3" s="319"/>
      <c r="FM3" s="319" t="s">
        <v>342</v>
      </c>
      <c r="FN3" s="319" t="s">
        <v>148</v>
      </c>
      <c r="FO3" s="319" t="s">
        <v>100</v>
      </c>
      <c r="FP3" s="319" t="s">
        <v>149</v>
      </c>
      <c r="FQ3" s="319" t="s">
        <v>326</v>
      </c>
      <c r="FR3" s="319" t="s">
        <v>327</v>
      </c>
      <c r="FS3" s="319" t="s">
        <v>334</v>
      </c>
      <c r="FT3" s="319" t="s">
        <v>147</v>
      </c>
      <c r="FU3" s="319" t="s">
        <v>343</v>
      </c>
      <c r="FV3" s="319" t="s">
        <v>344</v>
      </c>
      <c r="FW3" s="319" t="s">
        <v>329</v>
      </c>
      <c r="FX3" s="319" t="s">
        <v>151</v>
      </c>
      <c r="FY3" s="319" t="s">
        <v>345</v>
      </c>
      <c r="FZ3" s="319" t="s">
        <v>328</v>
      </c>
      <c r="GA3" s="319" t="s">
        <v>326</v>
      </c>
      <c r="GB3" s="319" t="s">
        <v>346</v>
      </c>
      <c r="GC3" s="319" t="s">
        <v>344</v>
      </c>
      <c r="GD3" s="319" t="s">
        <v>329</v>
      </c>
      <c r="GE3" s="319" t="s">
        <v>347</v>
      </c>
      <c r="GF3" s="319"/>
      <c r="GG3" s="319" t="s">
        <v>342</v>
      </c>
      <c r="GH3" s="319" t="s">
        <v>148</v>
      </c>
      <c r="GI3" s="319" t="s">
        <v>100</v>
      </c>
      <c r="GJ3" s="319" t="s">
        <v>149</v>
      </c>
      <c r="GK3" s="319" t="s">
        <v>326</v>
      </c>
      <c r="GL3" s="319" t="s">
        <v>327</v>
      </c>
      <c r="GM3" s="319" t="s">
        <v>334</v>
      </c>
      <c r="GN3" s="319" t="s">
        <v>147</v>
      </c>
      <c r="GO3" s="319" t="s">
        <v>343</v>
      </c>
      <c r="GP3" s="319" t="s">
        <v>344</v>
      </c>
      <c r="GQ3" s="319" t="s">
        <v>329</v>
      </c>
      <c r="GR3" s="319" t="s">
        <v>151</v>
      </c>
      <c r="GS3" s="319" t="s">
        <v>345</v>
      </c>
      <c r="GT3" s="319" t="s">
        <v>328</v>
      </c>
      <c r="GU3" s="319" t="s">
        <v>326</v>
      </c>
      <c r="GV3" s="319" t="s">
        <v>343</v>
      </c>
      <c r="GW3" s="319" t="s">
        <v>344</v>
      </c>
      <c r="GX3" s="319" t="s">
        <v>329</v>
      </c>
      <c r="GY3" s="319" t="s">
        <v>347</v>
      </c>
      <c r="GZ3" s="319"/>
      <c r="HA3" s="319" t="s">
        <v>342</v>
      </c>
      <c r="HB3" s="319" t="s">
        <v>148</v>
      </c>
      <c r="HC3" s="319" t="s">
        <v>100</v>
      </c>
      <c r="HD3" s="319" t="s">
        <v>149</v>
      </c>
      <c r="HE3" s="319" t="s">
        <v>326</v>
      </c>
      <c r="HF3" s="319" t="s">
        <v>327</v>
      </c>
      <c r="HG3" s="319" t="s">
        <v>334</v>
      </c>
      <c r="HH3" s="319" t="s">
        <v>147</v>
      </c>
      <c r="HI3" s="319" t="s">
        <v>343</v>
      </c>
      <c r="HJ3" s="319" t="s">
        <v>344</v>
      </c>
      <c r="HK3" s="319" t="s">
        <v>329</v>
      </c>
      <c r="HL3" s="319" t="s">
        <v>151</v>
      </c>
      <c r="HM3" s="319" t="s">
        <v>345</v>
      </c>
      <c r="HN3" s="319" t="s">
        <v>328</v>
      </c>
      <c r="HO3" s="319" t="s">
        <v>326</v>
      </c>
      <c r="HP3" s="319" t="s">
        <v>343</v>
      </c>
      <c r="HQ3" s="319" t="s">
        <v>344</v>
      </c>
      <c r="HR3" s="319" t="s">
        <v>329</v>
      </c>
      <c r="HS3" s="319" t="s">
        <v>347</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Switzerland</v>
      </c>
      <c r="IG3" s="320">
        <f ca="1">VLOOKUP(IF3,DZ4:EE40,2,FALSE)</f>
        <v>1</v>
      </c>
      <c r="IH3" s="320">
        <f ca="1">VLOOKUP(IF3,DZ4:EE40,3,FALSE)</f>
        <v>0</v>
      </c>
      <c r="II3" s="320">
        <f ca="1">VLOOKUP(IF3,DZ4:EE40,4,FALSE)</f>
        <v>2</v>
      </c>
      <c r="IJ3" s="320">
        <f ca="1">VLOOKUP(IF3,DZ4:EE40,5,FALSE)</f>
        <v>4</v>
      </c>
      <c r="IK3" s="320">
        <f ca="1">VLOOKUP(IF3,DZ4:EE40,6,FALSE)</f>
        <v>4</v>
      </c>
      <c r="IL3" s="320">
        <f ca="1">IJ3-IK3+1000</f>
        <v>1000</v>
      </c>
      <c r="IM3" s="320">
        <f ca="1">IG3*3+IH3*1</f>
        <v>3</v>
      </c>
      <c r="IN3" s="319">
        <f ca="1">VLOOKUP(IF3,B4:J40,9,FALSE)</f>
        <v>34</v>
      </c>
      <c r="IO3" s="319">
        <f ca="1">RANK(IM3,IM3:IM8)</f>
        <v>2</v>
      </c>
      <c r="IP3" s="319">
        <f ca="1">SUMPRODUCT((IO3:IO8=IO3)*(IL3:IL8&gt;IL3))</f>
        <v>1</v>
      </c>
      <c r="IQ3" s="319">
        <f ca="1">SUMPRODUCT((IO3:IO8=IO3)*(IL3:IL8=IL3)*(IJ3:IJ8&gt;IJ3))</f>
        <v>0</v>
      </c>
      <c r="IR3" s="319">
        <f ca="1">SUMPRODUCT((IO3:IO8=IO3)*(IL3:IL8=IL3)*(IJ3:IJ8=IJ3)*(IN3:IN8&gt;IN3))</f>
        <v>0</v>
      </c>
      <c r="IS3" s="319">
        <f ca="1">SUM(IO3:IR3)</f>
        <v>3</v>
      </c>
      <c r="IT3" s="319" t="s">
        <v>97</v>
      </c>
      <c r="IU3" s="319">
        <v>1</v>
      </c>
      <c r="IV3" s="319"/>
      <c r="IW3" s="319"/>
      <c r="IX3" s="319"/>
      <c r="IY3" s="319" t="s">
        <v>148</v>
      </c>
      <c r="IZ3" s="319" t="s">
        <v>100</v>
      </c>
      <c r="JA3" s="319" t="s">
        <v>149</v>
      </c>
      <c r="JB3" s="319" t="s">
        <v>326</v>
      </c>
      <c r="JC3" s="319" t="s">
        <v>327</v>
      </c>
      <c r="JD3" s="319" t="s">
        <v>334</v>
      </c>
      <c r="JE3" s="319" t="s">
        <v>256</v>
      </c>
      <c r="JF3" s="319" t="s">
        <v>335</v>
      </c>
      <c r="JG3" s="319" t="s">
        <v>336</v>
      </c>
      <c r="JH3" s="319"/>
      <c r="JI3" s="319" t="s">
        <v>337</v>
      </c>
      <c r="JJ3" s="319"/>
      <c r="JK3" s="319"/>
      <c r="JL3" s="319" t="s">
        <v>338</v>
      </c>
      <c r="JM3" s="319" t="s">
        <v>339</v>
      </c>
      <c r="JN3" s="319" t="s">
        <v>340</v>
      </c>
      <c r="JO3" s="319" t="s">
        <v>341</v>
      </c>
      <c r="JP3" s="319"/>
      <c r="JQ3" s="319" t="s">
        <v>342</v>
      </c>
      <c r="JR3" s="319" t="s">
        <v>148</v>
      </c>
      <c r="JS3" s="319" t="s">
        <v>100</v>
      </c>
      <c r="JT3" s="319" t="s">
        <v>149</v>
      </c>
      <c r="JU3" s="319" t="s">
        <v>326</v>
      </c>
      <c r="JV3" s="319" t="s">
        <v>327</v>
      </c>
      <c r="JW3" s="319" t="s">
        <v>334</v>
      </c>
      <c r="JX3" s="319" t="s">
        <v>147</v>
      </c>
      <c r="JY3" s="319" t="s">
        <v>343</v>
      </c>
      <c r="JZ3" s="319" t="s">
        <v>344</v>
      </c>
      <c r="KA3" s="319" t="s">
        <v>329</v>
      </c>
      <c r="KB3" s="319" t="s">
        <v>151</v>
      </c>
      <c r="KC3" s="319" t="s">
        <v>345</v>
      </c>
      <c r="KD3" s="319" t="s">
        <v>328</v>
      </c>
      <c r="KE3" s="319" t="s">
        <v>326</v>
      </c>
      <c r="KF3" s="319" t="s">
        <v>346</v>
      </c>
      <c r="KG3" s="319" t="s">
        <v>344</v>
      </c>
      <c r="KH3" s="319" t="s">
        <v>329</v>
      </c>
      <c r="KI3" s="319" t="s">
        <v>347</v>
      </c>
      <c r="KJ3" s="319"/>
      <c r="KK3" s="319" t="s">
        <v>342</v>
      </c>
      <c r="KL3" s="319" t="s">
        <v>148</v>
      </c>
      <c r="KM3" s="319" t="s">
        <v>100</v>
      </c>
      <c r="KN3" s="319" t="s">
        <v>149</v>
      </c>
      <c r="KO3" s="319" t="s">
        <v>326</v>
      </c>
      <c r="KP3" s="319" t="s">
        <v>327</v>
      </c>
      <c r="KQ3" s="319" t="s">
        <v>334</v>
      </c>
      <c r="KR3" s="319" t="s">
        <v>147</v>
      </c>
      <c r="KS3" s="319" t="s">
        <v>343</v>
      </c>
      <c r="KT3" s="319" t="s">
        <v>344</v>
      </c>
      <c r="KU3" s="319" t="s">
        <v>329</v>
      </c>
      <c r="KV3" s="319" t="s">
        <v>151</v>
      </c>
      <c r="KW3" s="319" t="s">
        <v>345</v>
      </c>
      <c r="KX3" s="319" t="s">
        <v>328</v>
      </c>
      <c r="KY3" s="319" t="s">
        <v>326</v>
      </c>
      <c r="KZ3" s="319" t="s">
        <v>346</v>
      </c>
      <c r="LA3" s="319" t="s">
        <v>344</v>
      </c>
      <c r="LB3" s="319" t="s">
        <v>329</v>
      </c>
      <c r="LC3" s="319" t="s">
        <v>347</v>
      </c>
      <c r="LD3" s="319"/>
      <c r="LE3" s="319" t="s">
        <v>342</v>
      </c>
      <c r="LF3" s="319" t="s">
        <v>148</v>
      </c>
      <c r="LG3" s="319" t="s">
        <v>100</v>
      </c>
      <c r="LH3" s="319" t="s">
        <v>149</v>
      </c>
      <c r="LI3" s="319" t="s">
        <v>326</v>
      </c>
      <c r="LJ3" s="319" t="s">
        <v>327</v>
      </c>
      <c r="LK3" s="319" t="s">
        <v>334</v>
      </c>
      <c r="LL3" s="319" t="s">
        <v>147</v>
      </c>
      <c r="LM3" s="319" t="s">
        <v>343</v>
      </c>
      <c r="LN3" s="319" t="s">
        <v>344</v>
      </c>
      <c r="LO3" s="319" t="s">
        <v>329</v>
      </c>
      <c r="LP3" s="319" t="s">
        <v>151</v>
      </c>
      <c r="LQ3" s="319" t="s">
        <v>345</v>
      </c>
      <c r="LR3" s="319" t="s">
        <v>328</v>
      </c>
      <c r="LS3" s="319" t="s">
        <v>326</v>
      </c>
      <c r="LT3" s="319" t="s">
        <v>343</v>
      </c>
      <c r="LU3" s="319" t="s">
        <v>344</v>
      </c>
      <c r="LV3" s="319" t="s">
        <v>329</v>
      </c>
      <c r="LW3" s="319" t="s">
        <v>347</v>
      </c>
      <c r="LX3" s="319"/>
      <c r="LY3" s="319" t="s">
        <v>342</v>
      </c>
      <c r="LZ3" s="319" t="s">
        <v>148</v>
      </c>
      <c r="MA3" s="319" t="s">
        <v>100</v>
      </c>
      <c r="MB3" s="319" t="s">
        <v>149</v>
      </c>
      <c r="MC3" s="319" t="s">
        <v>326</v>
      </c>
      <c r="MD3" s="319" t="s">
        <v>327</v>
      </c>
      <c r="ME3" s="319" t="s">
        <v>334</v>
      </c>
      <c r="MF3" s="319" t="s">
        <v>147</v>
      </c>
      <c r="MG3" s="319" t="s">
        <v>343</v>
      </c>
      <c r="MH3" s="319" t="s">
        <v>344</v>
      </c>
      <c r="MI3" s="319" t="s">
        <v>329</v>
      </c>
      <c r="MJ3" s="319" t="s">
        <v>151</v>
      </c>
      <c r="MK3" s="319" t="s">
        <v>345</v>
      </c>
      <c r="ML3" s="319" t="s">
        <v>328</v>
      </c>
      <c r="MM3" s="319" t="s">
        <v>326</v>
      </c>
      <c r="MN3" s="319" t="s">
        <v>343</v>
      </c>
      <c r="MO3" s="319" t="s">
        <v>344</v>
      </c>
      <c r="MP3" s="319" t="s">
        <v>329</v>
      </c>
      <c r="MQ3" s="319" t="s">
        <v>347</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1</v>
      </c>
      <c r="NG3" s="320">
        <f ca="1">VLOOKUP(ND3,IX4:JC40,4,FALSE)</f>
        <v>1</v>
      </c>
      <c r="NH3" s="320">
        <f ca="1">VLOOKUP(ND3,IX4:JC40,5,FALSE)</f>
        <v>2</v>
      </c>
      <c r="NI3" s="320">
        <f ca="1">VLOOKUP(ND3,IX4:JC40,6,FALSE)</f>
        <v>2</v>
      </c>
      <c r="NJ3" s="320">
        <f ca="1">NH3-NI3+1000</f>
        <v>1000</v>
      </c>
      <c r="NK3" s="320">
        <f ca="1">NE3*3+NF3*1</f>
        <v>4</v>
      </c>
      <c r="NL3" s="319">
        <f ca="1">VLOOKUP(ND3,B4:J40,9,FALSE)</f>
        <v>48</v>
      </c>
      <c r="NM3" s="319">
        <f ca="1">RANK(NK3,NK3:NK8)</f>
        <v>1</v>
      </c>
      <c r="NN3" s="319">
        <f ca="1">SUMPRODUCT((NM3:NM8=NM3)*(NJ3:NJ8&gt;NJ3))</f>
        <v>1</v>
      </c>
      <c r="NO3" s="319">
        <f ca="1">SUMPRODUCT((NM3:NM8=NM3)*(NJ3:NJ8=NJ3)*(NH3:NH8&gt;NH3))</f>
        <v>1</v>
      </c>
      <c r="NP3" s="319">
        <f ca="1">SUMPRODUCT((NM3:NM8=NM3)*(NJ3:NJ8=NJ3)*(NH3:NH8=NH3)*(NL3:NL8&gt;NL3))</f>
        <v>0</v>
      </c>
      <c r="NQ3" s="319">
        <f ca="1">SUM(NM3:NP3)</f>
        <v>3</v>
      </c>
      <c r="NR3" s="319" t="s">
        <v>97</v>
      </c>
      <c r="NS3" s="319">
        <v>1</v>
      </c>
      <c r="NT3" s="319"/>
      <c r="NU3" s="319"/>
      <c r="NV3" s="319"/>
      <c r="NW3" s="319" t="s">
        <v>148</v>
      </c>
      <c r="NX3" s="319" t="s">
        <v>100</v>
      </c>
      <c r="NY3" s="319" t="s">
        <v>149</v>
      </c>
      <c r="NZ3" s="319" t="s">
        <v>326</v>
      </c>
      <c r="OA3" s="319" t="s">
        <v>327</v>
      </c>
      <c r="OB3" s="319" t="s">
        <v>334</v>
      </c>
      <c r="OC3" s="319" t="s">
        <v>256</v>
      </c>
      <c r="OD3" s="319" t="s">
        <v>335</v>
      </c>
      <c r="OE3" s="319" t="s">
        <v>336</v>
      </c>
      <c r="OF3" s="319"/>
      <c r="OG3" s="319" t="s">
        <v>337</v>
      </c>
      <c r="OH3" s="319"/>
      <c r="OI3" s="319"/>
      <c r="OJ3" s="319" t="s">
        <v>338</v>
      </c>
      <c r="OK3" s="319" t="s">
        <v>339</v>
      </c>
      <c r="OL3" s="319" t="s">
        <v>340</v>
      </c>
      <c r="OM3" s="319" t="s">
        <v>341</v>
      </c>
      <c r="ON3" s="319"/>
      <c r="OO3" s="319" t="s">
        <v>342</v>
      </c>
      <c r="OP3" s="319" t="s">
        <v>148</v>
      </c>
      <c r="OQ3" s="319" t="s">
        <v>100</v>
      </c>
      <c r="OR3" s="319" t="s">
        <v>149</v>
      </c>
      <c r="OS3" s="319" t="s">
        <v>326</v>
      </c>
      <c r="OT3" s="319" t="s">
        <v>327</v>
      </c>
      <c r="OU3" s="319" t="s">
        <v>334</v>
      </c>
      <c r="OV3" s="319" t="s">
        <v>147</v>
      </c>
      <c r="OW3" s="319" t="s">
        <v>343</v>
      </c>
      <c r="OX3" s="319" t="s">
        <v>344</v>
      </c>
      <c r="OY3" s="319" t="s">
        <v>329</v>
      </c>
      <c r="OZ3" s="319" t="s">
        <v>151</v>
      </c>
      <c r="PA3" s="319" t="s">
        <v>345</v>
      </c>
      <c r="PB3" s="319" t="s">
        <v>328</v>
      </c>
      <c r="PC3" s="319" t="s">
        <v>326</v>
      </c>
      <c r="PD3" s="319" t="s">
        <v>346</v>
      </c>
      <c r="PE3" s="319" t="s">
        <v>344</v>
      </c>
      <c r="PF3" s="319" t="s">
        <v>329</v>
      </c>
      <c r="PG3" s="319" t="s">
        <v>347</v>
      </c>
      <c r="PH3" s="319"/>
      <c r="PI3" s="319" t="s">
        <v>342</v>
      </c>
      <c r="PJ3" s="319" t="s">
        <v>148</v>
      </c>
      <c r="PK3" s="319" t="s">
        <v>100</v>
      </c>
      <c r="PL3" s="319" t="s">
        <v>149</v>
      </c>
      <c r="PM3" s="319" t="s">
        <v>326</v>
      </c>
      <c r="PN3" s="319" t="s">
        <v>327</v>
      </c>
      <c r="PO3" s="319" t="s">
        <v>334</v>
      </c>
      <c r="PP3" s="319" t="s">
        <v>147</v>
      </c>
      <c r="PQ3" s="319" t="s">
        <v>343</v>
      </c>
      <c r="PR3" s="319" t="s">
        <v>344</v>
      </c>
      <c r="PS3" s="319" t="s">
        <v>329</v>
      </c>
      <c r="PT3" s="319" t="s">
        <v>151</v>
      </c>
      <c r="PU3" s="319" t="s">
        <v>345</v>
      </c>
      <c r="PV3" s="319" t="s">
        <v>328</v>
      </c>
      <c r="PW3" s="319" t="s">
        <v>326</v>
      </c>
      <c r="PX3" s="319" t="s">
        <v>346</v>
      </c>
      <c r="PY3" s="319" t="s">
        <v>344</v>
      </c>
      <c r="PZ3" s="319" t="s">
        <v>329</v>
      </c>
      <c r="QA3" s="319" t="s">
        <v>347</v>
      </c>
      <c r="QB3" s="319"/>
      <c r="QC3" s="319" t="s">
        <v>342</v>
      </c>
      <c r="QD3" s="319" t="s">
        <v>148</v>
      </c>
      <c r="QE3" s="319" t="s">
        <v>100</v>
      </c>
      <c r="QF3" s="319" t="s">
        <v>149</v>
      </c>
      <c r="QG3" s="319" t="s">
        <v>326</v>
      </c>
      <c r="QH3" s="319" t="s">
        <v>327</v>
      </c>
      <c r="QI3" s="319" t="s">
        <v>334</v>
      </c>
      <c r="QJ3" s="319" t="s">
        <v>147</v>
      </c>
      <c r="QK3" s="319" t="s">
        <v>343</v>
      </c>
      <c r="QL3" s="319" t="s">
        <v>344</v>
      </c>
      <c r="QM3" s="319" t="s">
        <v>329</v>
      </c>
      <c r="QN3" s="319" t="s">
        <v>151</v>
      </c>
      <c r="QO3" s="319" t="s">
        <v>345</v>
      </c>
      <c r="QP3" s="319" t="s">
        <v>328</v>
      </c>
      <c r="QQ3" s="319" t="s">
        <v>326</v>
      </c>
      <c r="QR3" s="319" t="s">
        <v>343</v>
      </c>
      <c r="QS3" s="319" t="s">
        <v>344</v>
      </c>
      <c r="QT3" s="319" t="s">
        <v>329</v>
      </c>
      <c r="QU3" s="319" t="s">
        <v>347</v>
      </c>
      <c r="QV3" s="319"/>
      <c r="QW3" s="319" t="s">
        <v>342</v>
      </c>
      <c r="QX3" s="319" t="s">
        <v>148</v>
      </c>
      <c r="QY3" s="319" t="s">
        <v>100</v>
      </c>
      <c r="QZ3" s="319" t="s">
        <v>149</v>
      </c>
      <c r="RA3" s="319" t="s">
        <v>326</v>
      </c>
      <c r="RB3" s="319" t="s">
        <v>327</v>
      </c>
      <c r="RC3" s="319" t="s">
        <v>334</v>
      </c>
      <c r="RD3" s="319" t="s">
        <v>147</v>
      </c>
      <c r="RE3" s="319" t="s">
        <v>343</v>
      </c>
      <c r="RF3" s="319" t="s">
        <v>344</v>
      </c>
      <c r="RG3" s="319" t="s">
        <v>329</v>
      </c>
      <c r="RH3" s="319" t="s">
        <v>151</v>
      </c>
      <c r="RI3" s="319" t="s">
        <v>345</v>
      </c>
      <c r="RJ3" s="319" t="s">
        <v>328</v>
      </c>
      <c r="RK3" s="319" t="s">
        <v>326</v>
      </c>
      <c r="RL3" s="319" t="s">
        <v>343</v>
      </c>
      <c r="RM3" s="319" t="s">
        <v>344</v>
      </c>
      <c r="RN3" s="319" t="s">
        <v>329</v>
      </c>
      <c r="RO3" s="319" t="s">
        <v>347</v>
      </c>
      <c r="RP3" s="319"/>
      <c r="RQ3" s="319"/>
      <c r="RR3" s="319"/>
      <c r="RS3" s="319">
        <v>1</v>
      </c>
      <c r="RT3" s="319" t="str">
        <f t="shared" ref="RT3:RT38" si="18">MV3</f>
        <v>Germany</v>
      </c>
      <c r="RU3" s="322">
        <f ca="1">IF(OFFSET('Player Game Board'!P10,0,RU1)&lt;&gt;"",OFFSET('Player Game Board'!P10,0,RU1),0)</f>
        <v>0</v>
      </c>
      <c r="RV3" s="322">
        <f ca="1">IF(OFFSET('Player Game Board'!Q10,0,RU1)&lt;&gt;"",OFFSET('Player Game Board'!Q10,0,RU1),0)</f>
        <v>0</v>
      </c>
      <c r="RW3" s="319" t="str">
        <f t="shared" ref="RW3:RW38" si="19">MY3</f>
        <v>Scotland</v>
      </c>
      <c r="RX3" s="319" t="str">
        <f ca="1">IF(AND(OFFSET('Player Game Board'!P10,0,RU1)&lt;&gt;"",OFFSET('Player Game Board'!Q10,0,RU1)&lt;&gt;""),IF(RU3&gt;RV3,"W",IF(RU3=RV3,"D","L")),"")</f>
        <v/>
      </c>
      <c r="RY3" s="319" t="str">
        <f t="shared" ref="RY3:RY18" ca="1" si="20">IF(RX3&lt;&gt;"",IF(RX3="W","L",IF(RX3="L","W","D")),"")</f>
        <v/>
      </c>
      <c r="RZ3" s="319"/>
      <c r="SA3" s="319"/>
      <c r="SB3" s="319" t="str">
        <f t="shared" ref="SB3" ca="1" si="21">VLOOKUP(3,NU4:NV7,2,FALSE)</f>
        <v>Scotland</v>
      </c>
      <c r="SC3" s="320">
        <f t="shared" ref="SC3" ca="1" si="22">VLOOKUP(SB3,NV4:OA40,2,FALSE)</f>
        <v>0</v>
      </c>
      <c r="SD3" s="320">
        <f t="shared" ref="SD3" ca="1" si="23">VLOOKUP(SB3,NV4:OA40,3,FALSE)</f>
        <v>0</v>
      </c>
      <c r="SE3" s="320">
        <f t="shared" ref="SE3" ca="1" si="24">VLOOKUP(SB3,NV4:OA40,4,FALSE)</f>
        <v>0</v>
      </c>
      <c r="SF3" s="320">
        <f t="shared" ref="SF3" ca="1" si="25">VLOOKUP(SB3,NV4:OA40,5,FALSE)</f>
        <v>0</v>
      </c>
      <c r="SG3" s="320">
        <f t="shared" ref="SG3" ca="1" si="26">VLOOKUP(SB3,NV4:OA40,6,FALSE)</f>
        <v>0</v>
      </c>
      <c r="SH3" s="320">
        <f t="shared" ref="SH3:SH8" ca="1" si="27">SF3-SG3+1000</f>
        <v>1000</v>
      </c>
      <c r="SI3" s="320">
        <f t="shared" ref="SI3:SI8" ca="1" si="28">SC3*3+SD3*1</f>
        <v>0</v>
      </c>
      <c r="SJ3" s="319">
        <f ca="1">VLOOKUP(SB3,B4:J40,9,FALSE)</f>
        <v>43</v>
      </c>
      <c r="SK3" s="319">
        <f t="shared" ref="SK3" ca="1" si="29">RANK(SI3,SI3:SI8)</f>
        <v>1</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1</v>
      </c>
      <c r="SP3" s="319" t="s">
        <v>97</v>
      </c>
      <c r="SQ3" s="319">
        <v>1</v>
      </c>
      <c r="SR3" s="319"/>
      <c r="SS3" s="319"/>
      <c r="ST3" s="319"/>
      <c r="SU3" s="319" t="s">
        <v>148</v>
      </c>
      <c r="SV3" s="319" t="s">
        <v>100</v>
      </c>
      <c r="SW3" s="319" t="s">
        <v>149</v>
      </c>
      <c r="SX3" s="319" t="s">
        <v>326</v>
      </c>
      <c r="SY3" s="319" t="s">
        <v>327</v>
      </c>
      <c r="SZ3" s="319" t="s">
        <v>334</v>
      </c>
      <c r="TA3" s="319" t="s">
        <v>256</v>
      </c>
      <c r="TB3" s="319" t="s">
        <v>335</v>
      </c>
      <c r="TC3" s="319" t="s">
        <v>336</v>
      </c>
      <c r="TD3" s="319"/>
      <c r="TE3" s="319" t="s">
        <v>337</v>
      </c>
      <c r="TF3" s="319"/>
      <c r="TG3" s="319"/>
      <c r="TH3" s="319" t="s">
        <v>338</v>
      </c>
      <c r="TI3" s="319" t="s">
        <v>339</v>
      </c>
      <c r="TJ3" s="319" t="s">
        <v>340</v>
      </c>
      <c r="TK3" s="319" t="s">
        <v>341</v>
      </c>
      <c r="TL3" s="319"/>
      <c r="TM3" s="319" t="s">
        <v>342</v>
      </c>
      <c r="TN3" s="319" t="s">
        <v>148</v>
      </c>
      <c r="TO3" s="319" t="s">
        <v>100</v>
      </c>
      <c r="TP3" s="319" t="s">
        <v>149</v>
      </c>
      <c r="TQ3" s="319" t="s">
        <v>326</v>
      </c>
      <c r="TR3" s="319" t="s">
        <v>327</v>
      </c>
      <c r="TS3" s="319" t="s">
        <v>334</v>
      </c>
      <c r="TT3" s="319" t="s">
        <v>147</v>
      </c>
      <c r="TU3" s="319" t="s">
        <v>343</v>
      </c>
      <c r="TV3" s="319" t="s">
        <v>344</v>
      </c>
      <c r="TW3" s="319" t="s">
        <v>329</v>
      </c>
      <c r="TX3" s="319" t="s">
        <v>151</v>
      </c>
      <c r="TY3" s="319" t="s">
        <v>345</v>
      </c>
      <c r="TZ3" s="319" t="s">
        <v>328</v>
      </c>
      <c r="UA3" s="319" t="s">
        <v>326</v>
      </c>
      <c r="UB3" s="319" t="s">
        <v>346</v>
      </c>
      <c r="UC3" s="319" t="s">
        <v>344</v>
      </c>
      <c r="UD3" s="319" t="s">
        <v>329</v>
      </c>
      <c r="UE3" s="319" t="s">
        <v>347</v>
      </c>
      <c r="UF3" s="319"/>
      <c r="UG3" s="319" t="s">
        <v>342</v>
      </c>
      <c r="UH3" s="319" t="s">
        <v>148</v>
      </c>
      <c r="UI3" s="319" t="s">
        <v>100</v>
      </c>
      <c r="UJ3" s="319" t="s">
        <v>149</v>
      </c>
      <c r="UK3" s="319" t="s">
        <v>326</v>
      </c>
      <c r="UL3" s="319" t="s">
        <v>327</v>
      </c>
      <c r="UM3" s="319" t="s">
        <v>334</v>
      </c>
      <c r="UN3" s="319" t="s">
        <v>147</v>
      </c>
      <c r="UO3" s="319" t="s">
        <v>343</v>
      </c>
      <c r="UP3" s="319" t="s">
        <v>344</v>
      </c>
      <c r="UQ3" s="319" t="s">
        <v>329</v>
      </c>
      <c r="UR3" s="319" t="s">
        <v>151</v>
      </c>
      <c r="US3" s="319" t="s">
        <v>345</v>
      </c>
      <c r="UT3" s="319" t="s">
        <v>328</v>
      </c>
      <c r="UU3" s="319" t="s">
        <v>326</v>
      </c>
      <c r="UV3" s="319" t="s">
        <v>346</v>
      </c>
      <c r="UW3" s="319" t="s">
        <v>344</v>
      </c>
      <c r="UX3" s="319" t="s">
        <v>329</v>
      </c>
      <c r="UY3" s="319" t="s">
        <v>347</v>
      </c>
      <c r="UZ3" s="319"/>
      <c r="VA3" s="319" t="s">
        <v>342</v>
      </c>
      <c r="VB3" s="319" t="s">
        <v>148</v>
      </c>
      <c r="VC3" s="319" t="s">
        <v>100</v>
      </c>
      <c r="VD3" s="319" t="s">
        <v>149</v>
      </c>
      <c r="VE3" s="319" t="s">
        <v>326</v>
      </c>
      <c r="VF3" s="319" t="s">
        <v>327</v>
      </c>
      <c r="VG3" s="319" t="s">
        <v>334</v>
      </c>
      <c r="VH3" s="319" t="s">
        <v>147</v>
      </c>
      <c r="VI3" s="319" t="s">
        <v>343</v>
      </c>
      <c r="VJ3" s="319" t="s">
        <v>344</v>
      </c>
      <c r="VK3" s="319" t="s">
        <v>329</v>
      </c>
      <c r="VL3" s="319" t="s">
        <v>151</v>
      </c>
      <c r="VM3" s="319" t="s">
        <v>345</v>
      </c>
      <c r="VN3" s="319" t="s">
        <v>328</v>
      </c>
      <c r="VO3" s="319" t="s">
        <v>326</v>
      </c>
      <c r="VP3" s="319" t="s">
        <v>343</v>
      </c>
      <c r="VQ3" s="319" t="s">
        <v>344</v>
      </c>
      <c r="VR3" s="319" t="s">
        <v>329</v>
      </c>
      <c r="VS3" s="319" t="s">
        <v>347</v>
      </c>
      <c r="VT3" s="319"/>
      <c r="VU3" s="319" t="s">
        <v>342</v>
      </c>
      <c r="VV3" s="319" t="s">
        <v>148</v>
      </c>
      <c r="VW3" s="319" t="s">
        <v>100</v>
      </c>
      <c r="VX3" s="319" t="s">
        <v>149</v>
      </c>
      <c r="VY3" s="319" t="s">
        <v>326</v>
      </c>
      <c r="VZ3" s="319" t="s">
        <v>327</v>
      </c>
      <c r="WA3" s="319" t="s">
        <v>334</v>
      </c>
      <c r="WB3" s="319" t="s">
        <v>147</v>
      </c>
      <c r="WC3" s="319" t="s">
        <v>343</v>
      </c>
      <c r="WD3" s="319" t="s">
        <v>344</v>
      </c>
      <c r="WE3" s="319" t="s">
        <v>329</v>
      </c>
      <c r="WF3" s="319" t="s">
        <v>151</v>
      </c>
      <c r="WG3" s="319" t="s">
        <v>345</v>
      </c>
      <c r="WH3" s="319" t="s">
        <v>328</v>
      </c>
      <c r="WI3" s="319" t="s">
        <v>326</v>
      </c>
      <c r="WJ3" s="319" t="s">
        <v>343</v>
      </c>
      <c r="WK3" s="319" t="s">
        <v>344</v>
      </c>
      <c r="WL3" s="319" t="s">
        <v>329</v>
      </c>
      <c r="WM3" s="319" t="s">
        <v>347</v>
      </c>
      <c r="WN3" s="319"/>
      <c r="WO3" s="319"/>
      <c r="WP3" s="319"/>
      <c r="WQ3" s="319">
        <v>1</v>
      </c>
      <c r="WR3" s="319" t="str">
        <f t="shared" ref="WR3:WR38" si="34">RT3</f>
        <v>Germany</v>
      </c>
      <c r="WS3" s="322">
        <f ca="1">IF(OFFSET('Player Game Board'!P10,0,WS1)&lt;&gt;"",OFFSET('Player Game Board'!P10,0,WS1),0)</f>
        <v>0</v>
      </c>
      <c r="WT3" s="322">
        <f ca="1">IF(OFFSET('Player Game Board'!Q10,0,WS1)&lt;&gt;"",OFFSET('Player Game Board'!Q10,0,WS1),0)</f>
        <v>0</v>
      </c>
      <c r="WU3" s="319" t="str">
        <f t="shared" ref="WU3:WU38" si="35">RW3</f>
        <v>Scotland</v>
      </c>
      <c r="WV3" s="319" t="str">
        <f ca="1">IF(AND(OFFSET('Player Game Board'!P10,0,WS1)&lt;&gt;"",OFFSET('Player Game Board'!Q10,0,WS1)&lt;&gt;""),IF(WS3&gt;WT3,"W",IF(WS3=WT3,"D","L")),"")</f>
        <v/>
      </c>
      <c r="WW3" s="319" t="str">
        <f t="shared" ref="WW3:WW18" ca="1" si="36">IF(WV3&lt;&gt;"",IF(WV3="W","L",IF(WV3="L","W","D")),"")</f>
        <v/>
      </c>
      <c r="WX3" s="319"/>
      <c r="WY3" s="319"/>
      <c r="WZ3" s="319" t="str">
        <f t="shared" ref="WZ3" ca="1" si="37">VLOOKUP(3,SS4:ST7,2,FALSE)</f>
        <v>Scotland</v>
      </c>
      <c r="XA3" s="320">
        <f t="shared" ref="XA3" ca="1" si="38">VLOOKUP(WZ3,ST4:SY40,2,FALSE)</f>
        <v>0</v>
      </c>
      <c r="XB3" s="320">
        <f t="shared" ref="XB3" ca="1" si="39">VLOOKUP(WZ3,ST4:SY40,3,FALSE)</f>
        <v>0</v>
      </c>
      <c r="XC3" s="320">
        <f t="shared" ref="XC3" ca="1" si="40">VLOOKUP(WZ3,ST4:SY40,4,FALSE)</f>
        <v>0</v>
      </c>
      <c r="XD3" s="320">
        <f t="shared" ref="XD3" ca="1" si="41">VLOOKUP(WZ3,ST4:SY40,5,FALSE)</f>
        <v>0</v>
      </c>
      <c r="XE3" s="320">
        <f t="shared" ref="XE3" ca="1" si="42">VLOOKUP(WZ3,ST4:SY40,6,FALSE)</f>
        <v>0</v>
      </c>
      <c r="XF3" s="320">
        <f t="shared" ref="XF3:XF8" ca="1" si="43">XD3-XE3+1000</f>
        <v>1000</v>
      </c>
      <c r="XG3" s="320">
        <f t="shared" ref="XG3:XG8" ca="1" si="44">XA3*3+XB3*1</f>
        <v>0</v>
      </c>
      <c r="XH3" s="319">
        <f ca="1">VLOOKUP(WZ3,B4:J40,9,FALSE)</f>
        <v>43</v>
      </c>
      <c r="XI3" s="319">
        <f t="shared" ref="XI3" ca="1" si="45">RANK(XG3,XG3:XG8)</f>
        <v>1</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1</v>
      </c>
      <c r="XN3" s="319" t="s">
        <v>97</v>
      </c>
      <c r="XO3" s="319">
        <v>1</v>
      </c>
      <c r="XP3" s="319"/>
      <c r="XQ3" s="319"/>
      <c r="XR3" s="319"/>
      <c r="XS3" s="319" t="s">
        <v>148</v>
      </c>
      <c r="XT3" s="319" t="s">
        <v>100</v>
      </c>
      <c r="XU3" s="319" t="s">
        <v>149</v>
      </c>
      <c r="XV3" s="319" t="s">
        <v>326</v>
      </c>
      <c r="XW3" s="319" t="s">
        <v>327</v>
      </c>
      <c r="XX3" s="319" t="s">
        <v>334</v>
      </c>
      <c r="XY3" s="319" t="s">
        <v>256</v>
      </c>
      <c r="XZ3" s="319" t="s">
        <v>335</v>
      </c>
      <c r="YA3" s="319" t="s">
        <v>336</v>
      </c>
      <c r="YB3" s="319"/>
      <c r="YC3" s="319" t="s">
        <v>337</v>
      </c>
      <c r="YD3" s="319"/>
      <c r="YE3" s="319"/>
      <c r="YF3" s="319" t="s">
        <v>338</v>
      </c>
      <c r="YG3" s="319" t="s">
        <v>339</v>
      </c>
      <c r="YH3" s="319" t="s">
        <v>340</v>
      </c>
      <c r="YI3" s="319" t="s">
        <v>341</v>
      </c>
      <c r="YJ3" s="319"/>
      <c r="YK3" s="319" t="s">
        <v>342</v>
      </c>
      <c r="YL3" s="319" t="s">
        <v>148</v>
      </c>
      <c r="YM3" s="319" t="s">
        <v>100</v>
      </c>
      <c r="YN3" s="319" t="s">
        <v>149</v>
      </c>
      <c r="YO3" s="319" t="s">
        <v>326</v>
      </c>
      <c r="YP3" s="319" t="s">
        <v>327</v>
      </c>
      <c r="YQ3" s="319" t="s">
        <v>334</v>
      </c>
      <c r="YR3" s="319" t="s">
        <v>147</v>
      </c>
      <c r="YS3" s="319" t="s">
        <v>343</v>
      </c>
      <c r="YT3" s="319" t="s">
        <v>344</v>
      </c>
      <c r="YU3" s="319" t="s">
        <v>329</v>
      </c>
      <c r="YV3" s="319" t="s">
        <v>151</v>
      </c>
      <c r="YW3" s="319" t="s">
        <v>345</v>
      </c>
      <c r="YX3" s="319" t="s">
        <v>328</v>
      </c>
      <c r="YY3" s="319" t="s">
        <v>326</v>
      </c>
      <c r="YZ3" s="319" t="s">
        <v>346</v>
      </c>
      <c r="ZA3" s="319" t="s">
        <v>344</v>
      </c>
      <c r="ZB3" s="319" t="s">
        <v>329</v>
      </c>
      <c r="ZC3" s="319" t="s">
        <v>347</v>
      </c>
      <c r="ZD3" s="319"/>
      <c r="ZE3" s="319" t="s">
        <v>342</v>
      </c>
      <c r="ZF3" s="319" t="s">
        <v>148</v>
      </c>
      <c r="ZG3" s="319" t="s">
        <v>100</v>
      </c>
      <c r="ZH3" s="319" t="s">
        <v>149</v>
      </c>
      <c r="ZI3" s="319" t="s">
        <v>326</v>
      </c>
      <c r="ZJ3" s="319" t="s">
        <v>327</v>
      </c>
      <c r="ZK3" s="319" t="s">
        <v>334</v>
      </c>
      <c r="ZL3" s="319" t="s">
        <v>147</v>
      </c>
      <c r="ZM3" s="319" t="s">
        <v>343</v>
      </c>
      <c r="ZN3" s="319" t="s">
        <v>344</v>
      </c>
      <c r="ZO3" s="319" t="s">
        <v>329</v>
      </c>
      <c r="ZP3" s="319" t="s">
        <v>151</v>
      </c>
      <c r="ZQ3" s="319" t="s">
        <v>345</v>
      </c>
      <c r="ZR3" s="319" t="s">
        <v>328</v>
      </c>
      <c r="ZS3" s="319" t="s">
        <v>326</v>
      </c>
      <c r="ZT3" s="319" t="s">
        <v>346</v>
      </c>
      <c r="ZU3" s="319" t="s">
        <v>344</v>
      </c>
      <c r="ZV3" s="319" t="s">
        <v>329</v>
      </c>
      <c r="ZW3" s="319" t="s">
        <v>347</v>
      </c>
      <c r="ZX3" s="319"/>
      <c r="ZY3" s="319" t="s">
        <v>342</v>
      </c>
      <c r="ZZ3" s="319" t="s">
        <v>148</v>
      </c>
      <c r="AAA3" s="319" t="s">
        <v>100</v>
      </c>
      <c r="AAB3" s="319" t="s">
        <v>149</v>
      </c>
      <c r="AAC3" s="319" t="s">
        <v>326</v>
      </c>
      <c r="AAD3" s="319" t="s">
        <v>327</v>
      </c>
      <c r="AAE3" s="319" t="s">
        <v>334</v>
      </c>
      <c r="AAF3" s="319" t="s">
        <v>147</v>
      </c>
      <c r="AAG3" s="319" t="s">
        <v>343</v>
      </c>
      <c r="AAH3" s="319" t="s">
        <v>344</v>
      </c>
      <c r="AAI3" s="319" t="s">
        <v>329</v>
      </c>
      <c r="AAJ3" s="319" t="s">
        <v>151</v>
      </c>
      <c r="AAK3" s="319" t="s">
        <v>345</v>
      </c>
      <c r="AAL3" s="319" t="s">
        <v>328</v>
      </c>
      <c r="AAM3" s="319" t="s">
        <v>326</v>
      </c>
      <c r="AAN3" s="319" t="s">
        <v>343</v>
      </c>
      <c r="AAO3" s="319" t="s">
        <v>344</v>
      </c>
      <c r="AAP3" s="319" t="s">
        <v>329</v>
      </c>
      <c r="AAQ3" s="319" t="s">
        <v>347</v>
      </c>
      <c r="AAR3" s="319"/>
      <c r="AAS3" s="319" t="s">
        <v>342</v>
      </c>
      <c r="AAT3" s="319" t="s">
        <v>148</v>
      </c>
      <c r="AAU3" s="319" t="s">
        <v>100</v>
      </c>
      <c r="AAV3" s="319" t="s">
        <v>149</v>
      </c>
      <c r="AAW3" s="319" t="s">
        <v>326</v>
      </c>
      <c r="AAX3" s="319" t="s">
        <v>327</v>
      </c>
      <c r="AAY3" s="319" t="s">
        <v>334</v>
      </c>
      <c r="AAZ3" s="319" t="s">
        <v>147</v>
      </c>
      <c r="ABA3" s="319" t="s">
        <v>343</v>
      </c>
      <c r="ABB3" s="319" t="s">
        <v>344</v>
      </c>
      <c r="ABC3" s="319" t="s">
        <v>329</v>
      </c>
      <c r="ABD3" s="319" t="s">
        <v>151</v>
      </c>
      <c r="ABE3" s="319" t="s">
        <v>345</v>
      </c>
      <c r="ABF3" s="319" t="s">
        <v>328</v>
      </c>
      <c r="ABG3" s="319" t="s">
        <v>326</v>
      </c>
      <c r="ABH3" s="319" t="s">
        <v>343</v>
      </c>
      <c r="ABI3" s="319" t="s">
        <v>344</v>
      </c>
      <c r="ABJ3" s="319" t="s">
        <v>329</v>
      </c>
      <c r="ABK3" s="319" t="s">
        <v>347</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97</v>
      </c>
      <c r="ACM3" s="319">
        <v>1</v>
      </c>
      <c r="ACN3" s="319"/>
      <c r="ACO3" s="319"/>
      <c r="ACP3" s="319"/>
      <c r="ACQ3" s="319" t="s">
        <v>148</v>
      </c>
      <c r="ACR3" s="319" t="s">
        <v>100</v>
      </c>
      <c r="ACS3" s="319" t="s">
        <v>149</v>
      </c>
      <c r="ACT3" s="319" t="s">
        <v>326</v>
      </c>
      <c r="ACU3" s="319" t="s">
        <v>327</v>
      </c>
      <c r="ACV3" s="319" t="s">
        <v>334</v>
      </c>
      <c r="ACW3" s="319" t="s">
        <v>256</v>
      </c>
      <c r="ACX3" s="319" t="s">
        <v>335</v>
      </c>
      <c r="ACY3" s="319" t="s">
        <v>336</v>
      </c>
      <c r="ACZ3" s="319"/>
      <c r="ADA3" s="319" t="s">
        <v>337</v>
      </c>
      <c r="ADB3" s="319"/>
      <c r="ADC3" s="319"/>
      <c r="ADD3" s="319" t="s">
        <v>338</v>
      </c>
      <c r="ADE3" s="319" t="s">
        <v>339</v>
      </c>
      <c r="ADF3" s="319" t="s">
        <v>340</v>
      </c>
      <c r="ADG3" s="319" t="s">
        <v>341</v>
      </c>
      <c r="ADH3" s="319"/>
      <c r="ADI3" s="319" t="s">
        <v>342</v>
      </c>
      <c r="ADJ3" s="319" t="s">
        <v>148</v>
      </c>
      <c r="ADK3" s="319" t="s">
        <v>100</v>
      </c>
      <c r="ADL3" s="319" t="s">
        <v>149</v>
      </c>
      <c r="ADM3" s="319" t="s">
        <v>326</v>
      </c>
      <c r="ADN3" s="319" t="s">
        <v>327</v>
      </c>
      <c r="ADO3" s="319" t="s">
        <v>334</v>
      </c>
      <c r="ADP3" s="319" t="s">
        <v>147</v>
      </c>
      <c r="ADQ3" s="319" t="s">
        <v>343</v>
      </c>
      <c r="ADR3" s="319" t="s">
        <v>344</v>
      </c>
      <c r="ADS3" s="319" t="s">
        <v>329</v>
      </c>
      <c r="ADT3" s="319" t="s">
        <v>151</v>
      </c>
      <c r="ADU3" s="319" t="s">
        <v>345</v>
      </c>
      <c r="ADV3" s="319" t="s">
        <v>328</v>
      </c>
      <c r="ADW3" s="319" t="s">
        <v>326</v>
      </c>
      <c r="ADX3" s="319" t="s">
        <v>346</v>
      </c>
      <c r="ADY3" s="319" t="s">
        <v>344</v>
      </c>
      <c r="ADZ3" s="319" t="s">
        <v>329</v>
      </c>
      <c r="AEA3" s="319" t="s">
        <v>347</v>
      </c>
      <c r="AEB3" s="319"/>
      <c r="AEC3" s="319" t="s">
        <v>342</v>
      </c>
      <c r="AED3" s="319" t="s">
        <v>148</v>
      </c>
      <c r="AEE3" s="319" t="s">
        <v>100</v>
      </c>
      <c r="AEF3" s="319" t="s">
        <v>149</v>
      </c>
      <c r="AEG3" s="319" t="s">
        <v>326</v>
      </c>
      <c r="AEH3" s="319" t="s">
        <v>327</v>
      </c>
      <c r="AEI3" s="319" t="s">
        <v>334</v>
      </c>
      <c r="AEJ3" s="319" t="s">
        <v>147</v>
      </c>
      <c r="AEK3" s="319" t="s">
        <v>343</v>
      </c>
      <c r="AEL3" s="319" t="s">
        <v>344</v>
      </c>
      <c r="AEM3" s="319" t="s">
        <v>329</v>
      </c>
      <c r="AEN3" s="319" t="s">
        <v>151</v>
      </c>
      <c r="AEO3" s="319" t="s">
        <v>345</v>
      </c>
      <c r="AEP3" s="319" t="s">
        <v>328</v>
      </c>
      <c r="AEQ3" s="319" t="s">
        <v>326</v>
      </c>
      <c r="AER3" s="319" t="s">
        <v>346</v>
      </c>
      <c r="AES3" s="319" t="s">
        <v>344</v>
      </c>
      <c r="AET3" s="319" t="s">
        <v>329</v>
      </c>
      <c r="AEU3" s="319" t="s">
        <v>347</v>
      </c>
      <c r="AEV3" s="319"/>
      <c r="AEW3" s="319" t="s">
        <v>342</v>
      </c>
      <c r="AEX3" s="319" t="s">
        <v>148</v>
      </c>
      <c r="AEY3" s="319" t="s">
        <v>100</v>
      </c>
      <c r="AEZ3" s="319" t="s">
        <v>149</v>
      </c>
      <c r="AFA3" s="319" t="s">
        <v>326</v>
      </c>
      <c r="AFB3" s="319" t="s">
        <v>327</v>
      </c>
      <c r="AFC3" s="319" t="s">
        <v>334</v>
      </c>
      <c r="AFD3" s="319" t="s">
        <v>147</v>
      </c>
      <c r="AFE3" s="319" t="s">
        <v>343</v>
      </c>
      <c r="AFF3" s="319" t="s">
        <v>344</v>
      </c>
      <c r="AFG3" s="319" t="s">
        <v>329</v>
      </c>
      <c r="AFH3" s="319" t="s">
        <v>151</v>
      </c>
      <c r="AFI3" s="319" t="s">
        <v>345</v>
      </c>
      <c r="AFJ3" s="319" t="s">
        <v>328</v>
      </c>
      <c r="AFK3" s="319" t="s">
        <v>326</v>
      </c>
      <c r="AFL3" s="319" t="s">
        <v>343</v>
      </c>
      <c r="AFM3" s="319" t="s">
        <v>344</v>
      </c>
      <c r="AFN3" s="319" t="s">
        <v>329</v>
      </c>
      <c r="AFO3" s="319" t="s">
        <v>347</v>
      </c>
      <c r="AFP3" s="319"/>
      <c r="AFQ3" s="319" t="s">
        <v>342</v>
      </c>
      <c r="AFR3" s="319" t="s">
        <v>148</v>
      </c>
      <c r="AFS3" s="319" t="s">
        <v>100</v>
      </c>
      <c r="AFT3" s="319" t="s">
        <v>149</v>
      </c>
      <c r="AFU3" s="319" t="s">
        <v>326</v>
      </c>
      <c r="AFV3" s="319" t="s">
        <v>327</v>
      </c>
      <c r="AFW3" s="319" t="s">
        <v>334</v>
      </c>
      <c r="AFX3" s="319" t="s">
        <v>147</v>
      </c>
      <c r="AFY3" s="319" t="s">
        <v>343</v>
      </c>
      <c r="AFZ3" s="319" t="s">
        <v>344</v>
      </c>
      <c r="AGA3" s="319" t="s">
        <v>329</v>
      </c>
      <c r="AGB3" s="319" t="s">
        <v>151</v>
      </c>
      <c r="AGC3" s="319" t="s">
        <v>345</v>
      </c>
      <c r="AGD3" s="319" t="s">
        <v>328</v>
      </c>
      <c r="AGE3" s="319" t="s">
        <v>326</v>
      </c>
      <c r="AGF3" s="319" t="s">
        <v>343</v>
      </c>
      <c r="AGG3" s="319" t="s">
        <v>344</v>
      </c>
      <c r="AGH3" s="319" t="s">
        <v>329</v>
      </c>
      <c r="AGI3" s="319" t="s">
        <v>347</v>
      </c>
      <c r="AGJ3" s="319"/>
      <c r="AGK3" s="319"/>
      <c r="AGL3" s="319"/>
      <c r="AGM3" s="319">
        <v>1</v>
      </c>
      <c r="AGN3" s="319" t="str">
        <f t="shared" ref="AGN3:AGN38" si="66">ABP3</f>
        <v>Germany</v>
      </c>
      <c r="AGO3" s="322">
        <f ca="1">IF(OFFSET('Player Game Board'!P10,0,AGO1)&lt;&gt;"",OFFSET('Player Game Board'!P10,0,AGO1),0)</f>
        <v>0</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
      </c>
      <c r="AGS3" s="319" t="str">
        <f t="shared" ref="AGS3:AGS18" ca="1" si="68">IF(AGR3&lt;&gt;"",IF(AGR3="W","L",IF(AGR3="L","W","D")),"")</f>
        <v/>
      </c>
      <c r="AGT3" s="319"/>
      <c r="AGU3" s="319"/>
      <c r="AGV3" s="319" t="str">
        <f t="shared" ref="AGV3" ca="1" si="69">VLOOKUP(3,ACO4:ACP7,2,FALSE)</f>
        <v>Scotland</v>
      </c>
      <c r="AGW3" s="320">
        <f t="shared" ref="AGW3" ca="1" si="70">VLOOKUP(AGV3,ACP4:ACU40,2,FALSE)</f>
        <v>0</v>
      </c>
      <c r="AGX3" s="320">
        <f t="shared" ref="AGX3" ca="1" si="71">VLOOKUP(AGV3,ACP4:ACU40,3,FALSE)</f>
        <v>0</v>
      </c>
      <c r="AGY3" s="320">
        <f t="shared" ref="AGY3" ca="1" si="72">VLOOKUP(AGV3,ACP4:ACU40,4,FALSE)</f>
        <v>0</v>
      </c>
      <c r="AGZ3" s="320">
        <f t="shared" ref="AGZ3" ca="1" si="73">VLOOKUP(AGV3,ACP4:ACU40,5,FALSE)</f>
        <v>0</v>
      </c>
      <c r="AHA3" s="320">
        <f t="shared" ref="AHA3" ca="1" si="74">VLOOKUP(AGV3,ACP4:ACU40,6,FALSE)</f>
        <v>0</v>
      </c>
      <c r="AHB3" s="320">
        <f t="shared" ref="AHB3:AHB8" ca="1" si="75">AGZ3-AHA3+1000</f>
        <v>1000</v>
      </c>
      <c r="AHC3" s="320">
        <f t="shared" ref="AHC3:AHC8" ca="1" si="76">AGW3*3+AGX3*1</f>
        <v>0</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1</v>
      </c>
      <c r="AHJ3" s="319" t="s">
        <v>97</v>
      </c>
      <c r="AHK3" s="319">
        <v>1</v>
      </c>
      <c r="AHL3" s="319"/>
      <c r="AHM3" s="319"/>
      <c r="AHN3" s="319"/>
      <c r="AHO3" s="319" t="s">
        <v>148</v>
      </c>
      <c r="AHP3" s="319" t="s">
        <v>100</v>
      </c>
      <c r="AHQ3" s="319" t="s">
        <v>149</v>
      </c>
      <c r="AHR3" s="319" t="s">
        <v>326</v>
      </c>
      <c r="AHS3" s="319" t="s">
        <v>327</v>
      </c>
      <c r="AHT3" s="319" t="s">
        <v>334</v>
      </c>
      <c r="AHU3" s="319" t="s">
        <v>256</v>
      </c>
      <c r="AHV3" s="319" t="s">
        <v>335</v>
      </c>
      <c r="AHW3" s="319" t="s">
        <v>336</v>
      </c>
      <c r="AHX3" s="319"/>
      <c r="AHY3" s="319" t="s">
        <v>337</v>
      </c>
      <c r="AHZ3" s="319"/>
      <c r="AIA3" s="319"/>
      <c r="AIB3" s="319" t="s">
        <v>338</v>
      </c>
      <c r="AIC3" s="319" t="s">
        <v>339</v>
      </c>
      <c r="AID3" s="319" t="s">
        <v>340</v>
      </c>
      <c r="AIE3" s="319" t="s">
        <v>341</v>
      </c>
      <c r="AIF3" s="319"/>
      <c r="AIG3" s="319" t="s">
        <v>342</v>
      </c>
      <c r="AIH3" s="319" t="s">
        <v>148</v>
      </c>
      <c r="AII3" s="319" t="s">
        <v>100</v>
      </c>
      <c r="AIJ3" s="319" t="s">
        <v>149</v>
      </c>
      <c r="AIK3" s="319" t="s">
        <v>326</v>
      </c>
      <c r="AIL3" s="319" t="s">
        <v>327</v>
      </c>
      <c r="AIM3" s="319" t="s">
        <v>334</v>
      </c>
      <c r="AIN3" s="319" t="s">
        <v>147</v>
      </c>
      <c r="AIO3" s="319" t="s">
        <v>343</v>
      </c>
      <c r="AIP3" s="319" t="s">
        <v>344</v>
      </c>
      <c r="AIQ3" s="319" t="s">
        <v>329</v>
      </c>
      <c r="AIR3" s="319" t="s">
        <v>151</v>
      </c>
      <c r="AIS3" s="319" t="s">
        <v>345</v>
      </c>
      <c r="AIT3" s="319" t="s">
        <v>328</v>
      </c>
      <c r="AIU3" s="319" t="s">
        <v>326</v>
      </c>
      <c r="AIV3" s="319" t="s">
        <v>346</v>
      </c>
      <c r="AIW3" s="319" t="s">
        <v>344</v>
      </c>
      <c r="AIX3" s="319" t="s">
        <v>329</v>
      </c>
      <c r="AIY3" s="319" t="s">
        <v>347</v>
      </c>
      <c r="AIZ3" s="319"/>
      <c r="AJA3" s="319" t="s">
        <v>342</v>
      </c>
      <c r="AJB3" s="319" t="s">
        <v>148</v>
      </c>
      <c r="AJC3" s="319" t="s">
        <v>100</v>
      </c>
      <c r="AJD3" s="319" t="s">
        <v>149</v>
      </c>
      <c r="AJE3" s="319" t="s">
        <v>326</v>
      </c>
      <c r="AJF3" s="319" t="s">
        <v>327</v>
      </c>
      <c r="AJG3" s="319" t="s">
        <v>334</v>
      </c>
      <c r="AJH3" s="319" t="s">
        <v>147</v>
      </c>
      <c r="AJI3" s="319" t="s">
        <v>343</v>
      </c>
      <c r="AJJ3" s="319" t="s">
        <v>344</v>
      </c>
      <c r="AJK3" s="319" t="s">
        <v>329</v>
      </c>
      <c r="AJL3" s="319" t="s">
        <v>151</v>
      </c>
      <c r="AJM3" s="319" t="s">
        <v>345</v>
      </c>
      <c r="AJN3" s="319" t="s">
        <v>328</v>
      </c>
      <c r="AJO3" s="319" t="s">
        <v>326</v>
      </c>
      <c r="AJP3" s="319" t="s">
        <v>346</v>
      </c>
      <c r="AJQ3" s="319" t="s">
        <v>344</v>
      </c>
      <c r="AJR3" s="319" t="s">
        <v>329</v>
      </c>
      <c r="AJS3" s="319" t="s">
        <v>347</v>
      </c>
      <c r="AJT3" s="319"/>
      <c r="AJU3" s="319" t="s">
        <v>342</v>
      </c>
      <c r="AJV3" s="319" t="s">
        <v>148</v>
      </c>
      <c r="AJW3" s="319" t="s">
        <v>100</v>
      </c>
      <c r="AJX3" s="319" t="s">
        <v>149</v>
      </c>
      <c r="AJY3" s="319" t="s">
        <v>326</v>
      </c>
      <c r="AJZ3" s="319" t="s">
        <v>327</v>
      </c>
      <c r="AKA3" s="319" t="s">
        <v>334</v>
      </c>
      <c r="AKB3" s="319" t="s">
        <v>147</v>
      </c>
      <c r="AKC3" s="319" t="s">
        <v>343</v>
      </c>
      <c r="AKD3" s="319" t="s">
        <v>344</v>
      </c>
      <c r="AKE3" s="319" t="s">
        <v>329</v>
      </c>
      <c r="AKF3" s="319" t="s">
        <v>151</v>
      </c>
      <c r="AKG3" s="319" t="s">
        <v>345</v>
      </c>
      <c r="AKH3" s="319" t="s">
        <v>328</v>
      </c>
      <c r="AKI3" s="319" t="s">
        <v>326</v>
      </c>
      <c r="AKJ3" s="319" t="s">
        <v>343</v>
      </c>
      <c r="AKK3" s="319" t="s">
        <v>344</v>
      </c>
      <c r="AKL3" s="319" t="s">
        <v>329</v>
      </c>
      <c r="AKM3" s="319" t="s">
        <v>347</v>
      </c>
      <c r="AKN3" s="319"/>
      <c r="AKO3" s="319" t="s">
        <v>342</v>
      </c>
      <c r="AKP3" s="319" t="s">
        <v>148</v>
      </c>
      <c r="AKQ3" s="319" t="s">
        <v>100</v>
      </c>
      <c r="AKR3" s="319" t="s">
        <v>149</v>
      </c>
      <c r="AKS3" s="319" t="s">
        <v>326</v>
      </c>
      <c r="AKT3" s="319" t="s">
        <v>327</v>
      </c>
      <c r="AKU3" s="319" t="s">
        <v>334</v>
      </c>
      <c r="AKV3" s="319" t="s">
        <v>147</v>
      </c>
      <c r="AKW3" s="319" t="s">
        <v>343</v>
      </c>
      <c r="AKX3" s="319" t="s">
        <v>344</v>
      </c>
      <c r="AKY3" s="319" t="s">
        <v>329</v>
      </c>
      <c r="AKZ3" s="319" t="s">
        <v>151</v>
      </c>
      <c r="ALA3" s="319" t="s">
        <v>345</v>
      </c>
      <c r="ALB3" s="319" t="s">
        <v>328</v>
      </c>
      <c r="ALC3" s="319" t="s">
        <v>326</v>
      </c>
      <c r="ALD3" s="319" t="s">
        <v>343</v>
      </c>
      <c r="ALE3" s="319" t="s">
        <v>344</v>
      </c>
      <c r="ALF3" s="319" t="s">
        <v>329</v>
      </c>
      <c r="ALG3" s="319" t="s">
        <v>347</v>
      </c>
      <c r="ALH3" s="319"/>
      <c r="ALI3" s="319"/>
      <c r="ALJ3" s="319"/>
      <c r="ALK3" s="319">
        <v>1</v>
      </c>
      <c r="ALL3" s="319" t="str">
        <f t="shared" ref="ALL3:ALL38" si="82">AGN3</f>
        <v>Germany</v>
      </c>
      <c r="ALM3" s="322">
        <f ca="1">IF(OFFSET('Player Game Board'!P10,0,ALM1)&lt;&gt;"",OFFSET('Player Game Board'!P10,0,ALM1),0)</f>
        <v>0</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
      </c>
      <c r="ALQ3" s="319" t="str">
        <f t="shared" ref="ALQ3:ALQ18" ca="1" si="84">IF(ALP3&lt;&gt;"",IF(ALP3="W","L",IF(ALP3="L","W","D")),"")</f>
        <v/>
      </c>
      <c r="ALR3" s="319"/>
      <c r="ALS3" s="319"/>
      <c r="ALT3" s="319" t="str">
        <f t="shared" ref="ALT3" ca="1" si="85">VLOOKUP(3,AHM4:AHN7,2,FALSE)</f>
        <v>Scotland</v>
      </c>
      <c r="ALU3" s="320">
        <f t="shared" ref="ALU3" ca="1" si="86">VLOOKUP(ALT3,AHN4:AHS40,2,FALSE)</f>
        <v>0</v>
      </c>
      <c r="ALV3" s="320">
        <f t="shared" ref="ALV3" ca="1" si="87">VLOOKUP(ALT3,AHN4:AHS40,3,FALSE)</f>
        <v>0</v>
      </c>
      <c r="ALW3" s="320">
        <f t="shared" ref="ALW3" ca="1" si="88">VLOOKUP(ALT3,AHN4:AHS40,4,FALSE)</f>
        <v>0</v>
      </c>
      <c r="ALX3" s="320">
        <f t="shared" ref="ALX3" ca="1" si="89">VLOOKUP(ALT3,AHN4:AHS40,5,FALSE)</f>
        <v>0</v>
      </c>
      <c r="ALY3" s="320">
        <f t="shared" ref="ALY3" ca="1" si="90">VLOOKUP(ALT3,AHN4:AHS40,6,FALSE)</f>
        <v>0</v>
      </c>
      <c r="ALZ3" s="320">
        <f t="shared" ref="ALZ3:ALZ8" ca="1" si="91">ALX3-ALY3+1000</f>
        <v>1000</v>
      </c>
      <c r="AMA3" s="320">
        <f t="shared" ref="AMA3:AMA8" ca="1" si="92">ALU3*3+ALV3*1</f>
        <v>0</v>
      </c>
      <c r="AMB3" s="319">
        <f ca="1">VLOOKUP(ALT3,B4:J40,9,FALSE)</f>
        <v>43</v>
      </c>
      <c r="AMC3" s="319">
        <f t="shared" ref="AMC3" ca="1" si="93">RANK(AMA3,AMA3:AMA8)</f>
        <v>1</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1</v>
      </c>
      <c r="AMH3" s="319" t="s">
        <v>97</v>
      </c>
      <c r="AMI3" s="319">
        <v>1</v>
      </c>
      <c r="AMJ3" s="319"/>
      <c r="AMK3" s="319"/>
      <c r="AML3" s="319"/>
      <c r="AMM3" s="319" t="s">
        <v>148</v>
      </c>
      <c r="AMN3" s="319" t="s">
        <v>100</v>
      </c>
      <c r="AMO3" s="319" t="s">
        <v>149</v>
      </c>
      <c r="AMP3" s="319" t="s">
        <v>326</v>
      </c>
      <c r="AMQ3" s="319" t="s">
        <v>327</v>
      </c>
      <c r="AMR3" s="319" t="s">
        <v>334</v>
      </c>
      <c r="AMS3" s="319" t="s">
        <v>256</v>
      </c>
      <c r="AMT3" s="319" t="s">
        <v>335</v>
      </c>
      <c r="AMU3" s="319" t="s">
        <v>336</v>
      </c>
      <c r="AMV3" s="319"/>
      <c r="AMW3" s="319" t="s">
        <v>337</v>
      </c>
      <c r="AMX3" s="319"/>
      <c r="AMY3" s="319"/>
      <c r="AMZ3" s="319" t="s">
        <v>338</v>
      </c>
      <c r="ANA3" s="319" t="s">
        <v>339</v>
      </c>
      <c r="ANB3" s="319" t="s">
        <v>340</v>
      </c>
      <c r="ANC3" s="319" t="s">
        <v>341</v>
      </c>
      <c r="AND3" s="319"/>
      <c r="ANE3" s="319" t="s">
        <v>342</v>
      </c>
      <c r="ANF3" s="319" t="s">
        <v>148</v>
      </c>
      <c r="ANG3" s="319" t="s">
        <v>100</v>
      </c>
      <c r="ANH3" s="319" t="s">
        <v>149</v>
      </c>
      <c r="ANI3" s="319" t="s">
        <v>326</v>
      </c>
      <c r="ANJ3" s="319" t="s">
        <v>327</v>
      </c>
      <c r="ANK3" s="319" t="s">
        <v>334</v>
      </c>
      <c r="ANL3" s="319" t="s">
        <v>147</v>
      </c>
      <c r="ANM3" s="319" t="s">
        <v>343</v>
      </c>
      <c r="ANN3" s="319" t="s">
        <v>344</v>
      </c>
      <c r="ANO3" s="319" t="s">
        <v>329</v>
      </c>
      <c r="ANP3" s="319" t="s">
        <v>151</v>
      </c>
      <c r="ANQ3" s="319" t="s">
        <v>345</v>
      </c>
      <c r="ANR3" s="319" t="s">
        <v>328</v>
      </c>
      <c r="ANS3" s="319" t="s">
        <v>326</v>
      </c>
      <c r="ANT3" s="319" t="s">
        <v>346</v>
      </c>
      <c r="ANU3" s="319" t="s">
        <v>344</v>
      </c>
      <c r="ANV3" s="319" t="s">
        <v>329</v>
      </c>
      <c r="ANW3" s="319" t="s">
        <v>347</v>
      </c>
      <c r="ANX3" s="319"/>
      <c r="ANY3" s="319" t="s">
        <v>342</v>
      </c>
      <c r="ANZ3" s="319" t="s">
        <v>148</v>
      </c>
      <c r="AOA3" s="319" t="s">
        <v>100</v>
      </c>
      <c r="AOB3" s="319" t="s">
        <v>149</v>
      </c>
      <c r="AOC3" s="319" t="s">
        <v>326</v>
      </c>
      <c r="AOD3" s="319" t="s">
        <v>327</v>
      </c>
      <c r="AOE3" s="319" t="s">
        <v>334</v>
      </c>
      <c r="AOF3" s="319" t="s">
        <v>147</v>
      </c>
      <c r="AOG3" s="319" t="s">
        <v>343</v>
      </c>
      <c r="AOH3" s="319" t="s">
        <v>344</v>
      </c>
      <c r="AOI3" s="319" t="s">
        <v>329</v>
      </c>
      <c r="AOJ3" s="319" t="s">
        <v>151</v>
      </c>
      <c r="AOK3" s="319" t="s">
        <v>345</v>
      </c>
      <c r="AOL3" s="319" t="s">
        <v>328</v>
      </c>
      <c r="AOM3" s="319" t="s">
        <v>326</v>
      </c>
      <c r="AON3" s="319" t="s">
        <v>346</v>
      </c>
      <c r="AOO3" s="319" t="s">
        <v>344</v>
      </c>
      <c r="AOP3" s="319" t="s">
        <v>329</v>
      </c>
      <c r="AOQ3" s="319" t="s">
        <v>347</v>
      </c>
      <c r="AOR3" s="319"/>
      <c r="AOS3" s="319" t="s">
        <v>342</v>
      </c>
      <c r="AOT3" s="319" t="s">
        <v>148</v>
      </c>
      <c r="AOU3" s="319" t="s">
        <v>100</v>
      </c>
      <c r="AOV3" s="319" t="s">
        <v>149</v>
      </c>
      <c r="AOW3" s="319" t="s">
        <v>326</v>
      </c>
      <c r="AOX3" s="319" t="s">
        <v>327</v>
      </c>
      <c r="AOY3" s="319" t="s">
        <v>334</v>
      </c>
      <c r="AOZ3" s="319" t="s">
        <v>147</v>
      </c>
      <c r="APA3" s="319" t="s">
        <v>343</v>
      </c>
      <c r="APB3" s="319" t="s">
        <v>344</v>
      </c>
      <c r="APC3" s="319" t="s">
        <v>329</v>
      </c>
      <c r="APD3" s="319" t="s">
        <v>151</v>
      </c>
      <c r="APE3" s="319" t="s">
        <v>345</v>
      </c>
      <c r="APF3" s="319" t="s">
        <v>328</v>
      </c>
      <c r="APG3" s="319" t="s">
        <v>326</v>
      </c>
      <c r="APH3" s="319" t="s">
        <v>343</v>
      </c>
      <c r="API3" s="319" t="s">
        <v>344</v>
      </c>
      <c r="APJ3" s="319" t="s">
        <v>329</v>
      </c>
      <c r="APK3" s="319" t="s">
        <v>347</v>
      </c>
      <c r="APL3" s="319"/>
      <c r="APM3" s="319" t="s">
        <v>342</v>
      </c>
      <c r="APN3" s="319" t="s">
        <v>148</v>
      </c>
      <c r="APO3" s="319" t="s">
        <v>100</v>
      </c>
      <c r="APP3" s="319" t="s">
        <v>149</v>
      </c>
      <c r="APQ3" s="319" t="s">
        <v>326</v>
      </c>
      <c r="APR3" s="319" t="s">
        <v>327</v>
      </c>
      <c r="APS3" s="319" t="s">
        <v>334</v>
      </c>
      <c r="APT3" s="319" t="s">
        <v>147</v>
      </c>
      <c r="APU3" s="319" t="s">
        <v>343</v>
      </c>
      <c r="APV3" s="319" t="s">
        <v>344</v>
      </c>
      <c r="APW3" s="319" t="s">
        <v>329</v>
      </c>
      <c r="APX3" s="319" t="s">
        <v>151</v>
      </c>
      <c r="APY3" s="319" t="s">
        <v>345</v>
      </c>
      <c r="APZ3" s="319" t="s">
        <v>328</v>
      </c>
      <c r="AQA3" s="319" t="s">
        <v>326</v>
      </c>
      <c r="AQB3" s="319" t="s">
        <v>343</v>
      </c>
      <c r="AQC3" s="319" t="s">
        <v>344</v>
      </c>
      <c r="AQD3" s="319" t="s">
        <v>329</v>
      </c>
      <c r="AQE3" s="319" t="s">
        <v>347</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97</v>
      </c>
      <c r="ARG3" s="319">
        <v>1</v>
      </c>
      <c r="ARH3" s="319"/>
      <c r="ARI3" s="319"/>
      <c r="ARJ3" s="319"/>
      <c r="ARK3" s="319" t="s">
        <v>148</v>
      </c>
      <c r="ARL3" s="319" t="s">
        <v>100</v>
      </c>
      <c r="ARM3" s="319" t="s">
        <v>149</v>
      </c>
      <c r="ARN3" s="319" t="s">
        <v>326</v>
      </c>
      <c r="ARO3" s="319" t="s">
        <v>327</v>
      </c>
      <c r="ARP3" s="319" t="s">
        <v>334</v>
      </c>
      <c r="ARQ3" s="319" t="s">
        <v>256</v>
      </c>
      <c r="ARR3" s="319" t="s">
        <v>335</v>
      </c>
      <c r="ARS3" s="319" t="s">
        <v>336</v>
      </c>
      <c r="ART3" s="319"/>
      <c r="ARU3" s="319" t="s">
        <v>337</v>
      </c>
      <c r="ARV3" s="319"/>
      <c r="ARW3" s="319"/>
      <c r="ARX3" s="319" t="s">
        <v>338</v>
      </c>
      <c r="ARY3" s="319" t="s">
        <v>339</v>
      </c>
      <c r="ARZ3" s="319" t="s">
        <v>340</v>
      </c>
      <c r="ASA3" s="319" t="s">
        <v>341</v>
      </c>
      <c r="ASB3" s="319"/>
      <c r="ASC3" s="319" t="s">
        <v>342</v>
      </c>
      <c r="ASD3" s="319" t="s">
        <v>148</v>
      </c>
      <c r="ASE3" s="319" t="s">
        <v>100</v>
      </c>
      <c r="ASF3" s="319" t="s">
        <v>149</v>
      </c>
      <c r="ASG3" s="319" t="s">
        <v>326</v>
      </c>
      <c r="ASH3" s="319" t="s">
        <v>327</v>
      </c>
      <c r="ASI3" s="319" t="s">
        <v>334</v>
      </c>
      <c r="ASJ3" s="319" t="s">
        <v>147</v>
      </c>
      <c r="ASK3" s="319" t="s">
        <v>343</v>
      </c>
      <c r="ASL3" s="319" t="s">
        <v>344</v>
      </c>
      <c r="ASM3" s="319" t="s">
        <v>329</v>
      </c>
      <c r="ASN3" s="319" t="s">
        <v>151</v>
      </c>
      <c r="ASO3" s="319" t="s">
        <v>345</v>
      </c>
      <c r="ASP3" s="319" t="s">
        <v>328</v>
      </c>
      <c r="ASQ3" s="319" t="s">
        <v>326</v>
      </c>
      <c r="ASR3" s="319" t="s">
        <v>346</v>
      </c>
      <c r="ASS3" s="319" t="s">
        <v>344</v>
      </c>
      <c r="AST3" s="319" t="s">
        <v>329</v>
      </c>
      <c r="ASU3" s="319" t="s">
        <v>347</v>
      </c>
      <c r="ASV3" s="319"/>
      <c r="ASW3" s="319" t="s">
        <v>342</v>
      </c>
      <c r="ASX3" s="319" t="s">
        <v>148</v>
      </c>
      <c r="ASY3" s="319" t="s">
        <v>100</v>
      </c>
      <c r="ASZ3" s="319" t="s">
        <v>149</v>
      </c>
      <c r="ATA3" s="319" t="s">
        <v>326</v>
      </c>
      <c r="ATB3" s="319" t="s">
        <v>327</v>
      </c>
      <c r="ATC3" s="319" t="s">
        <v>334</v>
      </c>
      <c r="ATD3" s="319" t="s">
        <v>147</v>
      </c>
      <c r="ATE3" s="319" t="s">
        <v>343</v>
      </c>
      <c r="ATF3" s="319" t="s">
        <v>344</v>
      </c>
      <c r="ATG3" s="319" t="s">
        <v>329</v>
      </c>
      <c r="ATH3" s="319" t="s">
        <v>151</v>
      </c>
      <c r="ATI3" s="319" t="s">
        <v>345</v>
      </c>
      <c r="ATJ3" s="319" t="s">
        <v>328</v>
      </c>
      <c r="ATK3" s="319" t="s">
        <v>326</v>
      </c>
      <c r="ATL3" s="319" t="s">
        <v>346</v>
      </c>
      <c r="ATM3" s="319" t="s">
        <v>344</v>
      </c>
      <c r="ATN3" s="319" t="s">
        <v>329</v>
      </c>
      <c r="ATO3" s="319" t="s">
        <v>347</v>
      </c>
      <c r="ATP3" s="319"/>
      <c r="ATQ3" s="319" t="s">
        <v>342</v>
      </c>
      <c r="ATR3" s="319" t="s">
        <v>148</v>
      </c>
      <c r="ATS3" s="319" t="s">
        <v>100</v>
      </c>
      <c r="ATT3" s="319" t="s">
        <v>149</v>
      </c>
      <c r="ATU3" s="319" t="s">
        <v>326</v>
      </c>
      <c r="ATV3" s="319" t="s">
        <v>327</v>
      </c>
      <c r="ATW3" s="319" t="s">
        <v>334</v>
      </c>
      <c r="ATX3" s="319" t="s">
        <v>147</v>
      </c>
      <c r="ATY3" s="319" t="s">
        <v>343</v>
      </c>
      <c r="ATZ3" s="319" t="s">
        <v>344</v>
      </c>
      <c r="AUA3" s="319" t="s">
        <v>329</v>
      </c>
      <c r="AUB3" s="319" t="s">
        <v>151</v>
      </c>
      <c r="AUC3" s="319" t="s">
        <v>345</v>
      </c>
      <c r="AUD3" s="319" t="s">
        <v>328</v>
      </c>
      <c r="AUE3" s="319" t="s">
        <v>326</v>
      </c>
      <c r="AUF3" s="319" t="s">
        <v>343</v>
      </c>
      <c r="AUG3" s="319" t="s">
        <v>344</v>
      </c>
      <c r="AUH3" s="319" t="s">
        <v>329</v>
      </c>
      <c r="AUI3" s="319" t="s">
        <v>347</v>
      </c>
      <c r="AUJ3" s="319"/>
      <c r="AUK3" s="319" t="s">
        <v>342</v>
      </c>
      <c r="AUL3" s="319" t="s">
        <v>148</v>
      </c>
      <c r="AUM3" s="319" t="s">
        <v>100</v>
      </c>
      <c r="AUN3" s="319" t="s">
        <v>149</v>
      </c>
      <c r="AUO3" s="319" t="s">
        <v>326</v>
      </c>
      <c r="AUP3" s="319" t="s">
        <v>327</v>
      </c>
      <c r="AUQ3" s="319" t="s">
        <v>334</v>
      </c>
      <c r="AUR3" s="319" t="s">
        <v>147</v>
      </c>
      <c r="AUS3" s="319" t="s">
        <v>343</v>
      </c>
      <c r="AUT3" s="319" t="s">
        <v>344</v>
      </c>
      <c r="AUU3" s="319" t="s">
        <v>329</v>
      </c>
      <c r="AUV3" s="319" t="s">
        <v>151</v>
      </c>
      <c r="AUW3" s="319" t="s">
        <v>345</v>
      </c>
      <c r="AUX3" s="319" t="s">
        <v>328</v>
      </c>
      <c r="AUY3" s="319" t="s">
        <v>326</v>
      </c>
      <c r="AUZ3" s="319" t="s">
        <v>343</v>
      </c>
      <c r="AVA3" s="319" t="s">
        <v>344</v>
      </c>
      <c r="AVB3" s="319" t="s">
        <v>329</v>
      </c>
      <c r="AVC3" s="319" t="s">
        <v>347</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97</v>
      </c>
      <c r="AWE3" s="319">
        <v>1</v>
      </c>
      <c r="AWF3" s="319"/>
      <c r="AWG3" s="319"/>
      <c r="AWH3" s="319"/>
      <c r="AWI3" s="319" t="s">
        <v>148</v>
      </c>
      <c r="AWJ3" s="319" t="s">
        <v>100</v>
      </c>
      <c r="AWK3" s="319" t="s">
        <v>149</v>
      </c>
      <c r="AWL3" s="319" t="s">
        <v>326</v>
      </c>
      <c r="AWM3" s="319" t="s">
        <v>327</v>
      </c>
      <c r="AWN3" s="319" t="s">
        <v>334</v>
      </c>
      <c r="AWO3" s="319" t="s">
        <v>256</v>
      </c>
      <c r="AWP3" s="319" t="s">
        <v>335</v>
      </c>
      <c r="AWQ3" s="319" t="s">
        <v>336</v>
      </c>
      <c r="AWR3" s="319"/>
      <c r="AWS3" s="319" t="s">
        <v>337</v>
      </c>
      <c r="AWT3" s="319"/>
      <c r="AWU3" s="319"/>
      <c r="AWV3" s="319" t="s">
        <v>338</v>
      </c>
      <c r="AWW3" s="319" t="s">
        <v>339</v>
      </c>
      <c r="AWX3" s="319" t="s">
        <v>340</v>
      </c>
      <c r="AWY3" s="319" t="s">
        <v>341</v>
      </c>
      <c r="AWZ3" s="319"/>
      <c r="AXA3" s="319" t="s">
        <v>342</v>
      </c>
      <c r="AXB3" s="319" t="s">
        <v>148</v>
      </c>
      <c r="AXC3" s="319" t="s">
        <v>100</v>
      </c>
      <c r="AXD3" s="319" t="s">
        <v>149</v>
      </c>
      <c r="AXE3" s="319" t="s">
        <v>326</v>
      </c>
      <c r="AXF3" s="319" t="s">
        <v>327</v>
      </c>
      <c r="AXG3" s="319" t="s">
        <v>334</v>
      </c>
      <c r="AXH3" s="319" t="s">
        <v>147</v>
      </c>
      <c r="AXI3" s="319" t="s">
        <v>343</v>
      </c>
      <c r="AXJ3" s="319" t="s">
        <v>344</v>
      </c>
      <c r="AXK3" s="319" t="s">
        <v>329</v>
      </c>
      <c r="AXL3" s="319" t="s">
        <v>151</v>
      </c>
      <c r="AXM3" s="319" t="s">
        <v>345</v>
      </c>
      <c r="AXN3" s="319" t="s">
        <v>328</v>
      </c>
      <c r="AXO3" s="319" t="s">
        <v>326</v>
      </c>
      <c r="AXP3" s="319" t="s">
        <v>346</v>
      </c>
      <c r="AXQ3" s="319" t="s">
        <v>344</v>
      </c>
      <c r="AXR3" s="319" t="s">
        <v>329</v>
      </c>
      <c r="AXS3" s="319" t="s">
        <v>347</v>
      </c>
      <c r="AXT3" s="319"/>
      <c r="AXU3" s="319" t="s">
        <v>342</v>
      </c>
      <c r="AXV3" s="319" t="s">
        <v>148</v>
      </c>
      <c r="AXW3" s="319" t="s">
        <v>100</v>
      </c>
      <c r="AXX3" s="319" t="s">
        <v>149</v>
      </c>
      <c r="AXY3" s="319" t="s">
        <v>326</v>
      </c>
      <c r="AXZ3" s="319" t="s">
        <v>327</v>
      </c>
      <c r="AYA3" s="319" t="s">
        <v>334</v>
      </c>
      <c r="AYB3" s="319" t="s">
        <v>147</v>
      </c>
      <c r="AYC3" s="319" t="s">
        <v>343</v>
      </c>
      <c r="AYD3" s="319" t="s">
        <v>344</v>
      </c>
      <c r="AYE3" s="319" t="s">
        <v>329</v>
      </c>
      <c r="AYF3" s="319" t="s">
        <v>151</v>
      </c>
      <c r="AYG3" s="319" t="s">
        <v>345</v>
      </c>
      <c r="AYH3" s="319" t="s">
        <v>328</v>
      </c>
      <c r="AYI3" s="319" t="s">
        <v>326</v>
      </c>
      <c r="AYJ3" s="319" t="s">
        <v>346</v>
      </c>
      <c r="AYK3" s="319" t="s">
        <v>344</v>
      </c>
      <c r="AYL3" s="319" t="s">
        <v>329</v>
      </c>
      <c r="AYM3" s="319" t="s">
        <v>347</v>
      </c>
      <c r="AYN3" s="319"/>
      <c r="AYO3" s="319" t="s">
        <v>342</v>
      </c>
      <c r="AYP3" s="319" t="s">
        <v>148</v>
      </c>
      <c r="AYQ3" s="319" t="s">
        <v>100</v>
      </c>
      <c r="AYR3" s="319" t="s">
        <v>149</v>
      </c>
      <c r="AYS3" s="319" t="s">
        <v>326</v>
      </c>
      <c r="AYT3" s="319" t="s">
        <v>327</v>
      </c>
      <c r="AYU3" s="319" t="s">
        <v>334</v>
      </c>
      <c r="AYV3" s="319" t="s">
        <v>147</v>
      </c>
      <c r="AYW3" s="319" t="s">
        <v>343</v>
      </c>
      <c r="AYX3" s="319" t="s">
        <v>344</v>
      </c>
      <c r="AYY3" s="319" t="s">
        <v>329</v>
      </c>
      <c r="AYZ3" s="319" t="s">
        <v>151</v>
      </c>
      <c r="AZA3" s="319" t="s">
        <v>345</v>
      </c>
      <c r="AZB3" s="319" t="s">
        <v>328</v>
      </c>
      <c r="AZC3" s="319" t="s">
        <v>326</v>
      </c>
      <c r="AZD3" s="319" t="s">
        <v>343</v>
      </c>
      <c r="AZE3" s="319" t="s">
        <v>344</v>
      </c>
      <c r="AZF3" s="319" t="s">
        <v>329</v>
      </c>
      <c r="AZG3" s="319" t="s">
        <v>347</v>
      </c>
      <c r="AZH3" s="319"/>
      <c r="AZI3" s="319" t="s">
        <v>342</v>
      </c>
      <c r="AZJ3" s="319" t="s">
        <v>148</v>
      </c>
      <c r="AZK3" s="319" t="s">
        <v>100</v>
      </c>
      <c r="AZL3" s="319" t="s">
        <v>149</v>
      </c>
      <c r="AZM3" s="319" t="s">
        <v>326</v>
      </c>
      <c r="AZN3" s="319" t="s">
        <v>327</v>
      </c>
      <c r="AZO3" s="319" t="s">
        <v>334</v>
      </c>
      <c r="AZP3" s="319" t="s">
        <v>147</v>
      </c>
      <c r="AZQ3" s="319" t="s">
        <v>343</v>
      </c>
      <c r="AZR3" s="319" t="s">
        <v>344</v>
      </c>
      <c r="AZS3" s="319" t="s">
        <v>329</v>
      </c>
      <c r="AZT3" s="319" t="s">
        <v>151</v>
      </c>
      <c r="AZU3" s="319" t="s">
        <v>345</v>
      </c>
      <c r="AZV3" s="319" t="s">
        <v>328</v>
      </c>
      <c r="AZW3" s="319" t="s">
        <v>326</v>
      </c>
      <c r="AZX3" s="319" t="s">
        <v>343</v>
      </c>
      <c r="AZY3" s="319" t="s">
        <v>344</v>
      </c>
      <c r="AZZ3" s="319" t="s">
        <v>329</v>
      </c>
      <c r="BAA3" s="319" t="s">
        <v>347</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97</v>
      </c>
      <c r="BBC3" s="319">
        <v>1</v>
      </c>
      <c r="BBD3" s="319"/>
      <c r="BBE3" s="319"/>
      <c r="BBF3" s="319"/>
      <c r="BBG3" s="319" t="s">
        <v>148</v>
      </c>
      <c r="BBH3" s="319" t="s">
        <v>100</v>
      </c>
      <c r="BBI3" s="319" t="s">
        <v>149</v>
      </c>
      <c r="BBJ3" s="319" t="s">
        <v>326</v>
      </c>
      <c r="BBK3" s="319" t="s">
        <v>327</v>
      </c>
      <c r="BBL3" s="319" t="s">
        <v>334</v>
      </c>
      <c r="BBM3" s="319" t="s">
        <v>256</v>
      </c>
      <c r="BBN3" s="319" t="s">
        <v>335</v>
      </c>
      <c r="BBO3" s="319" t="s">
        <v>336</v>
      </c>
      <c r="BBP3" s="319"/>
      <c r="BBQ3" s="319" t="s">
        <v>337</v>
      </c>
      <c r="BBR3" s="319"/>
      <c r="BBS3" s="319"/>
      <c r="BBT3" s="319" t="s">
        <v>338</v>
      </c>
      <c r="BBU3" s="319" t="s">
        <v>339</v>
      </c>
      <c r="BBV3" s="319" t="s">
        <v>340</v>
      </c>
      <c r="BBW3" s="319" t="s">
        <v>341</v>
      </c>
      <c r="BBX3" s="319"/>
      <c r="BBY3" s="319" t="s">
        <v>342</v>
      </c>
      <c r="BBZ3" s="319" t="s">
        <v>148</v>
      </c>
      <c r="BCA3" s="319" t="s">
        <v>100</v>
      </c>
      <c r="BCB3" s="319" t="s">
        <v>149</v>
      </c>
      <c r="BCC3" s="319" t="s">
        <v>326</v>
      </c>
      <c r="BCD3" s="319" t="s">
        <v>327</v>
      </c>
      <c r="BCE3" s="319" t="s">
        <v>334</v>
      </c>
      <c r="BCF3" s="319" t="s">
        <v>147</v>
      </c>
      <c r="BCG3" s="319" t="s">
        <v>343</v>
      </c>
      <c r="BCH3" s="319" t="s">
        <v>344</v>
      </c>
      <c r="BCI3" s="319" t="s">
        <v>329</v>
      </c>
      <c r="BCJ3" s="319" t="s">
        <v>151</v>
      </c>
      <c r="BCK3" s="319" t="s">
        <v>345</v>
      </c>
      <c r="BCL3" s="319" t="s">
        <v>328</v>
      </c>
      <c r="BCM3" s="319" t="s">
        <v>326</v>
      </c>
      <c r="BCN3" s="319" t="s">
        <v>346</v>
      </c>
      <c r="BCO3" s="319" t="s">
        <v>344</v>
      </c>
      <c r="BCP3" s="319" t="s">
        <v>329</v>
      </c>
      <c r="BCQ3" s="319" t="s">
        <v>347</v>
      </c>
      <c r="BCR3" s="319"/>
      <c r="BCS3" s="319" t="s">
        <v>342</v>
      </c>
      <c r="BCT3" s="319" t="s">
        <v>148</v>
      </c>
      <c r="BCU3" s="319" t="s">
        <v>100</v>
      </c>
      <c r="BCV3" s="319" t="s">
        <v>149</v>
      </c>
      <c r="BCW3" s="319" t="s">
        <v>326</v>
      </c>
      <c r="BCX3" s="319" t="s">
        <v>327</v>
      </c>
      <c r="BCY3" s="319" t="s">
        <v>334</v>
      </c>
      <c r="BCZ3" s="319" t="s">
        <v>147</v>
      </c>
      <c r="BDA3" s="319" t="s">
        <v>343</v>
      </c>
      <c r="BDB3" s="319" t="s">
        <v>344</v>
      </c>
      <c r="BDC3" s="319" t="s">
        <v>329</v>
      </c>
      <c r="BDD3" s="319" t="s">
        <v>151</v>
      </c>
      <c r="BDE3" s="319" t="s">
        <v>345</v>
      </c>
      <c r="BDF3" s="319" t="s">
        <v>328</v>
      </c>
      <c r="BDG3" s="319" t="s">
        <v>326</v>
      </c>
      <c r="BDH3" s="319" t="s">
        <v>346</v>
      </c>
      <c r="BDI3" s="319" t="s">
        <v>344</v>
      </c>
      <c r="BDJ3" s="319" t="s">
        <v>329</v>
      </c>
      <c r="BDK3" s="319" t="s">
        <v>347</v>
      </c>
      <c r="BDL3" s="319"/>
      <c r="BDM3" s="319" t="s">
        <v>342</v>
      </c>
      <c r="BDN3" s="319" t="s">
        <v>148</v>
      </c>
      <c r="BDO3" s="319" t="s">
        <v>100</v>
      </c>
      <c r="BDP3" s="319" t="s">
        <v>149</v>
      </c>
      <c r="BDQ3" s="319" t="s">
        <v>326</v>
      </c>
      <c r="BDR3" s="319" t="s">
        <v>327</v>
      </c>
      <c r="BDS3" s="319" t="s">
        <v>334</v>
      </c>
      <c r="BDT3" s="319" t="s">
        <v>147</v>
      </c>
      <c r="BDU3" s="319" t="s">
        <v>343</v>
      </c>
      <c r="BDV3" s="319" t="s">
        <v>344</v>
      </c>
      <c r="BDW3" s="319" t="s">
        <v>329</v>
      </c>
      <c r="BDX3" s="319" t="s">
        <v>151</v>
      </c>
      <c r="BDY3" s="319" t="s">
        <v>345</v>
      </c>
      <c r="BDZ3" s="319" t="s">
        <v>328</v>
      </c>
      <c r="BEA3" s="319" t="s">
        <v>326</v>
      </c>
      <c r="BEB3" s="319" t="s">
        <v>343</v>
      </c>
      <c r="BEC3" s="319" t="s">
        <v>344</v>
      </c>
      <c r="BED3" s="319" t="s">
        <v>329</v>
      </c>
      <c r="BEE3" s="319" t="s">
        <v>347</v>
      </c>
      <c r="BEF3" s="319"/>
      <c r="BEG3" s="319" t="s">
        <v>342</v>
      </c>
      <c r="BEH3" s="319" t="s">
        <v>148</v>
      </c>
      <c r="BEI3" s="319" t="s">
        <v>100</v>
      </c>
      <c r="BEJ3" s="319" t="s">
        <v>149</v>
      </c>
      <c r="BEK3" s="319" t="s">
        <v>326</v>
      </c>
      <c r="BEL3" s="319" t="s">
        <v>327</v>
      </c>
      <c r="BEM3" s="319" t="s">
        <v>334</v>
      </c>
      <c r="BEN3" s="319" t="s">
        <v>147</v>
      </c>
      <c r="BEO3" s="319" t="s">
        <v>343</v>
      </c>
      <c r="BEP3" s="319" t="s">
        <v>344</v>
      </c>
      <c r="BEQ3" s="319" t="s">
        <v>329</v>
      </c>
      <c r="BER3" s="319" t="s">
        <v>151</v>
      </c>
      <c r="BES3" s="319" t="s">
        <v>345</v>
      </c>
      <c r="BET3" s="319" t="s">
        <v>328</v>
      </c>
      <c r="BEU3" s="319" t="s">
        <v>326</v>
      </c>
      <c r="BEV3" s="319" t="s">
        <v>343</v>
      </c>
      <c r="BEW3" s="319" t="s">
        <v>344</v>
      </c>
      <c r="BEX3" s="319" t="s">
        <v>329</v>
      </c>
      <c r="BEY3" s="319" t="s">
        <v>347</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97</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4</v>
      </c>
      <c r="DR4" s="319">
        <f>SUMPRODUCT((DQ3:DQ8=DQ4)*(DN3:DN8&gt;DN4))</f>
        <v>0</v>
      </c>
      <c r="DS4" s="319">
        <f>SUMPRODUCT((DQ3:DQ8=DQ4)*(DN3:DN8=DN4)*(DL3:DL8&gt;DL4))</f>
        <v>0</v>
      </c>
      <c r="DT4" s="319">
        <f>SUMPRODUCT((DQ3:DQ8=DQ4)*(DN3:DN8=DN4)*(DL3:DL8=DL4)*(DP3:DP8&gt;DP4))</f>
        <v>0</v>
      </c>
      <c r="DU4" s="319">
        <f t="shared" ref="DU4:DU8" si="163">SUM(DQ4:DT4)</f>
        <v>4</v>
      </c>
      <c r="DV4" s="319" t="s">
        <v>98</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7</v>
      </c>
      <c r="EE4" s="319">
        <f ca="1">SUMIF(IA3:IA60,DZ4,HY3:HY60)+SUMIF(HX3:HX60,DZ4,HZ3:HZ60)</f>
        <v>2</v>
      </c>
      <c r="EF4" s="319">
        <f ca="1">ED4-EE4+1000</f>
        <v>1005</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Italy</v>
      </c>
      <c r="IG4" s="320">
        <f ca="1">VLOOKUP(IF4,DZ4:EE40,2,FALSE)</f>
        <v>1</v>
      </c>
      <c r="IH4" s="320">
        <f ca="1">VLOOKUP(IF4,DZ4:EE40,3,FALSE)</f>
        <v>1</v>
      </c>
      <c r="II4" s="320">
        <f ca="1">VLOOKUP(IF4,DZ4:EE40,4,FALSE)</f>
        <v>1</v>
      </c>
      <c r="IJ4" s="320">
        <f ca="1">VLOOKUP(IF4,DZ4:EE40,5,FALSE)</f>
        <v>5</v>
      </c>
      <c r="IK4" s="320">
        <f ca="1">VLOOKUP(IF4,DZ4:EE40,6,FALSE)</f>
        <v>5</v>
      </c>
      <c r="IL4" s="320">
        <f t="shared" ref="IL4:IL8" ca="1" si="167">IJ4-IK4+1000</f>
        <v>1000</v>
      </c>
      <c r="IM4" s="320">
        <f t="shared" ref="IM4:IM8" ca="1" si="168">IG4*3+IH4*1</f>
        <v>4</v>
      </c>
      <c r="IN4" s="319">
        <f ca="1">VLOOKUP(IF4,B4:J40,9,FALSE)</f>
        <v>36</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98</v>
      </c>
      <c r="IU4" s="319">
        <v>2</v>
      </c>
      <c r="IV4" s="319"/>
      <c r="IW4" s="319">
        <f ca="1">VLOOKUP(IX4,MS4:MT8,2,FALSE)</f>
        <v>1</v>
      </c>
      <c r="IX4" s="319" t="str">
        <f>DZ4</f>
        <v>Germany</v>
      </c>
      <c r="IY4" s="319">
        <f ca="1">SUMPRODUCT((MV3:MV42=IX4)*(MZ3:MZ42="W"))+SUMPRODUCT((MY3:MY42=IX4)*(NA3:NA42="W"))</f>
        <v>2</v>
      </c>
      <c r="IZ4" s="319">
        <f ca="1">SUMPRODUCT((MV3:MV42=IX4)*(MZ3:MZ42="D"))+SUMPRODUCT((MY3:MY42=IX4)*(NA3:NA42="D"))</f>
        <v>0</v>
      </c>
      <c r="JA4" s="319">
        <f ca="1">SUMPRODUCT((MV3:MV42=IX4)*(MZ3:MZ42="L"))+SUMPRODUCT((MY3:MY42=IX4)*(NA3:NA42="L"))</f>
        <v>1</v>
      </c>
      <c r="JB4" s="319">
        <f ca="1">SUMIF(MV3:MV60,IX4,MW3:MW60)+SUMIF(MY3:MY60,IX4,MX3:MX60)</f>
        <v>5</v>
      </c>
      <c r="JC4" s="319">
        <f ca="1">SUMIF(MY3:MY60,IX4,MW3:MW60)+SUMIF(MV3:MV60,IX4,MX3:MX60)</f>
        <v>4</v>
      </c>
      <c r="JD4" s="319">
        <f ca="1">JB4-JC4+1000</f>
        <v>1001</v>
      </c>
      <c r="JE4" s="319">
        <f ca="1">IY4*3+IZ4*1</f>
        <v>6</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Switzerland</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Italy</v>
      </c>
      <c r="NE4" s="320">
        <f ca="1">VLOOKUP(ND4,IX4:JC40,2,FALSE)</f>
        <v>1</v>
      </c>
      <c r="NF4" s="320">
        <f ca="1">VLOOKUP(ND4,IX4:JC40,3,FALSE)</f>
        <v>1</v>
      </c>
      <c r="NG4" s="320">
        <f ca="1">VLOOKUP(ND4,IX4:JC40,4,FALSE)</f>
        <v>1</v>
      </c>
      <c r="NH4" s="320">
        <f ca="1">VLOOKUP(ND4,IX4:JC40,5,FALSE)</f>
        <v>3</v>
      </c>
      <c r="NI4" s="320">
        <f ca="1">VLOOKUP(ND4,IX4:JC40,6,FALSE)</f>
        <v>2</v>
      </c>
      <c r="NJ4" s="320">
        <f t="shared" ref="NJ4:NJ8" ca="1" si="173">NH4-NI4+1000</f>
        <v>1001</v>
      </c>
      <c r="NK4" s="320">
        <f t="shared" ref="NK4:NK8" ca="1" si="174">NE4*3+NF4*1</f>
        <v>4</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98</v>
      </c>
      <c r="NS4" s="319">
        <v>2</v>
      </c>
      <c r="NT4" s="319"/>
      <c r="NU4" s="319">
        <f t="shared" ref="NU4" ca="1" si="176">VLOOKUP(NV4,RQ4:RR8,2,FALSE)</f>
        <v>1</v>
      </c>
      <c r="NV4" s="319" t="str">
        <f t="shared" ref="NV4:NV7" si="177">IX4</f>
        <v>Germany</v>
      </c>
      <c r="NW4" s="319">
        <f t="shared" ref="NW4" ca="1" si="178">SUMPRODUCT((RT3:RT42=NV4)*(RX3:RX42="W"))+SUMPRODUCT((RW3:RW42=NV4)*(RY3:RY42="W"))</f>
        <v>0</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0</v>
      </c>
      <c r="OA4" s="319">
        <f t="shared" ref="OA4" ca="1" si="182">SUMIF(RW3:RW60,NV4,RU3:RU60)+SUMIF(RT3:RT60,NV4,RV3:RV60)</f>
        <v>0</v>
      </c>
      <c r="OB4" s="319">
        <f t="shared" ref="OB4:OB7" ca="1" si="183">NZ4-OA4+1000</f>
        <v>1000</v>
      </c>
      <c r="OC4" s="319">
        <f t="shared" ref="OC4:OC7" ca="1" si="184">NW4*3+NX4*1</f>
        <v>0</v>
      </c>
      <c r="OD4" s="319">
        <f>JF4</f>
        <v>54</v>
      </c>
      <c r="OE4" s="319">
        <f t="shared" ref="OE4" ca="1" si="185">IF(COUNTIF(OC4:OC8,4)&lt;&gt;4,RANK(OC4,OC4:OC8),OC44)</f>
        <v>1</v>
      </c>
      <c r="OF4" s="319"/>
      <c r="OG4" s="319">
        <f t="shared" ref="OG4" ca="1" si="186">SUMPRODUCT((OE4:OE7=OE4)*(OD4:OD7&lt;OD4))+OE4</f>
        <v>4</v>
      </c>
      <c r="OH4" s="319" t="str">
        <f t="shared" ref="OH4" ca="1" si="187">INDEX(NV4:NV8,MATCH(1,OG4:OG8,0),0)</f>
        <v>Switzerland</v>
      </c>
      <c r="OI4" s="319">
        <f t="shared" ref="OI4" ca="1" si="188">INDEX(OE4:OE8,MATCH(OH4,NV4:NV8,0),0)</f>
        <v>1</v>
      </c>
      <c r="OJ4" s="319" t="str">
        <f t="shared" ref="OJ4" ca="1" si="189">IF(OI5=1,OH4,"")</f>
        <v>Switzerland</v>
      </c>
      <c r="OK4" s="319" t="str">
        <f t="shared" ref="OK4" ca="1" si="190">IF(OI6=2,OH5,"")</f>
        <v/>
      </c>
      <c r="OL4" s="319" t="str">
        <f t="shared" ref="OL4" ca="1" si="191">IF(OI7=3,OH6,"")</f>
        <v/>
      </c>
      <c r="OM4" s="319" t="str">
        <f t="shared" ref="OM4" si="192">IF(OI8=4,OH7,"")</f>
        <v/>
      </c>
      <c r="ON4" s="319"/>
      <c r="OO4" s="319" t="str">
        <f t="shared" ref="OO4:OO7" ca="1" si="193">IF(OJ4&lt;&gt;"",OJ4,"")</f>
        <v>Switzerland</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f t="shared" ref="OV4:OV7" ca="1" si="200">IF(OO4&lt;&gt;"",OP4*3+OQ4*1,"")</f>
        <v>0</v>
      </c>
      <c r="OW4" s="319">
        <f t="shared" ref="OW4" ca="1" si="201">IF(OO4&lt;&gt;"",VLOOKUP(OO4,NV4:OB40,7,FALSE),"")</f>
        <v>1000</v>
      </c>
      <c r="OX4" s="319">
        <f t="shared" ref="OX4" ca="1" si="202">IF(OO4&lt;&gt;"",VLOOKUP(OO4,NV4:OB40,5,FALSE),"")</f>
        <v>0</v>
      </c>
      <c r="OY4" s="319">
        <f t="shared" ref="OY4" ca="1" si="203">IF(OO4&lt;&gt;"",VLOOKUP(OO4,NV4:OD40,9,FALSE),"")</f>
        <v>34</v>
      </c>
      <c r="OZ4" s="319">
        <f t="shared" ref="OZ4:OZ7" ca="1" si="204">OV4</f>
        <v>0</v>
      </c>
      <c r="PA4" s="319">
        <f t="shared" ref="PA4" ca="1" si="205">IF(OO4&lt;&gt;"",RANK(OZ4,OZ4:OZ8),"")</f>
        <v>1</v>
      </c>
      <c r="PB4" s="319">
        <f t="shared" ref="PB4" ca="1" si="206">IF(OO4&lt;&gt;"",SUMPRODUCT((OZ4:OZ8=OZ4)*(OU4:OU8&gt;OU4)),"")</f>
        <v>0</v>
      </c>
      <c r="PC4" s="319">
        <f t="shared" ref="PC4" ca="1" si="207">IF(OO4&lt;&gt;"",SUMPRODUCT((OZ4:OZ8=OZ4)*(OU4:OU8=OU4)*(OS4:OS8&gt;OS4)),"")</f>
        <v>0</v>
      </c>
      <c r="PD4" s="319">
        <f t="shared" ref="PD4" ca="1" si="208">IF(OO4&lt;&gt;"",SUMPRODUCT((OZ4:OZ8=OZ4)*(OU4:OU8=OU4)*(OS4:OS8=OS4)*(OW4:OW8&gt;OW4)),"")</f>
        <v>0</v>
      </c>
      <c r="PE4" s="319">
        <f t="shared" ref="PE4" ca="1" si="209">IF(OO4&lt;&gt;"",SUMPRODUCT((OZ4:OZ8=OZ4)*(OU4:OU8=OU4)*(OS4:OS8=OS4)*(OW4:OW8=OW4)*(OX4:OX8&gt;OX4)),"")</f>
        <v>0</v>
      </c>
      <c r="PF4" s="319">
        <f t="shared" ref="PF4" ca="1" si="210">IF(OO4&lt;&gt;"",SUMPRODUCT((OZ4:OZ8=OZ4)*(OU4:OU8=OU4)*(OS4:OS8=OS4)*(OW4:OW8=OW4)*(OX4:OX8=OX4)*(OY4:OY8&gt;OY4)),"")</f>
        <v>3</v>
      </c>
      <c r="PG4" s="319">
        <f ca="1">IF(OO4&lt;&gt;"",IF(PG44&lt;&gt;"",IF(ON43=3,PG44,PG44+ON43),SUM(PA4:PF4)),"")</f>
        <v>4</v>
      </c>
      <c r="PH4" s="319" t="str">
        <f t="shared" ref="PH4" ca="1" si="211">IF(OO4&lt;&gt;"",INDEX(OO4:OO8,MATCH(1,PG4:PG8,0),0),"")</f>
        <v>Germany</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
      </c>
      <c r="RY4" s="319" t="str">
        <f t="shared" ca="1" si="20"/>
        <v/>
      </c>
      <c r="RZ4" s="319"/>
      <c r="SA4" s="319"/>
      <c r="SB4" s="319" t="str">
        <f t="shared" ref="SB4" ca="1" si="213">VLOOKUP(3,NU11:NV14,2,FALSE)</f>
        <v>Croatia</v>
      </c>
      <c r="SC4" s="320">
        <f t="shared" ref="SC4" ca="1" si="214">VLOOKUP(SB4,NV4:OA40,2,FALSE)</f>
        <v>0</v>
      </c>
      <c r="SD4" s="320">
        <f t="shared" ref="SD4" ca="1" si="215">VLOOKUP(SB4,NV4:OA40,3,FALSE)</f>
        <v>0</v>
      </c>
      <c r="SE4" s="320">
        <f t="shared" ref="SE4" ca="1" si="216">VLOOKUP(SB4,NV4:OA40,4,FALSE)</f>
        <v>0</v>
      </c>
      <c r="SF4" s="320">
        <f t="shared" ref="SF4" ca="1" si="217">VLOOKUP(SB4,NV4:OA40,5,FALSE)</f>
        <v>0</v>
      </c>
      <c r="SG4" s="320">
        <f t="shared" ref="SG4" ca="1" si="218">VLOOKUP(SB4,NV4:OA40,6,FALSE)</f>
        <v>0</v>
      </c>
      <c r="SH4" s="320">
        <f t="shared" ca="1" si="27"/>
        <v>1000</v>
      </c>
      <c r="SI4" s="320">
        <f t="shared" ca="1" si="28"/>
        <v>0</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2</v>
      </c>
      <c r="SO4" s="319">
        <f t="shared" ca="1" si="33"/>
        <v>3</v>
      </c>
      <c r="SP4" s="319" t="s">
        <v>98</v>
      </c>
      <c r="SQ4" s="319">
        <v>2</v>
      </c>
      <c r="SR4" s="319"/>
      <c r="SS4" s="319">
        <f t="shared" ref="SS4" ca="1" si="223">VLOOKUP(ST4,WO4:WP8,2,FALSE)</f>
        <v>1</v>
      </c>
      <c r="ST4" s="319" t="str">
        <f t="shared" ref="ST4:ST7" si="224">NV4</f>
        <v>Germany</v>
      </c>
      <c r="SU4" s="319">
        <f t="shared" ref="SU4" ca="1" si="225">SUMPRODUCT((WR3:WR42=ST4)*(WV3:WV42="W"))+SUMPRODUCT((WU3:WU42=ST4)*(WW3:WW42="W"))</f>
        <v>0</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0</v>
      </c>
      <c r="SY4" s="319">
        <f t="shared" ref="SY4" ca="1" si="229">SUMIF(WU3:WU60,ST4,WS3:WS60)+SUMIF(WR3:WR60,ST4,WT3:WT60)</f>
        <v>0</v>
      </c>
      <c r="SZ4" s="319">
        <f t="shared" ref="SZ4:SZ7" ca="1" si="230">SX4-SY4+1000</f>
        <v>1000</v>
      </c>
      <c r="TA4" s="319">
        <f t="shared" ref="TA4:TA7" ca="1" si="231">SU4*3+SV4*1</f>
        <v>0</v>
      </c>
      <c r="TB4" s="319">
        <f>OD4</f>
        <v>54</v>
      </c>
      <c r="TC4" s="319">
        <f t="shared" ref="TC4" ca="1" si="232">IF(COUNTIF(TA4:TA8,4)&lt;&gt;4,RANK(TA4,TA4:TA8),TA44)</f>
        <v>1</v>
      </c>
      <c r="TD4" s="319"/>
      <c r="TE4" s="319">
        <f t="shared" ref="TE4" ca="1" si="233">SUMPRODUCT((TC4:TC7=TC4)*(TB4:TB7&lt;TB4))+TC4</f>
        <v>4</v>
      </c>
      <c r="TF4" s="319" t="str">
        <f t="shared" ref="TF4" ca="1" si="234">INDEX(ST4:ST8,MATCH(1,TE4:TE8,0),0)</f>
        <v>Switzerland</v>
      </c>
      <c r="TG4" s="319">
        <f t="shared" ref="TG4" ca="1" si="235">INDEX(TC4:TC8,MATCH(TF4,ST4:ST8,0),0)</f>
        <v>1</v>
      </c>
      <c r="TH4" s="319" t="str">
        <f t="shared" ref="TH4" ca="1" si="236">IF(TG5=1,TF4,"")</f>
        <v>Switzerland</v>
      </c>
      <c r="TI4" s="319" t="str">
        <f t="shared" ref="TI4" ca="1" si="237">IF(TG6=2,TF5,"")</f>
        <v/>
      </c>
      <c r="TJ4" s="319" t="str">
        <f t="shared" ref="TJ4" ca="1" si="238">IF(TG7=3,TF6,"")</f>
        <v/>
      </c>
      <c r="TK4" s="319" t="str">
        <f t="shared" ref="TK4" si="239">IF(TG8=4,TF7,"")</f>
        <v/>
      </c>
      <c r="TL4" s="319"/>
      <c r="TM4" s="319" t="str">
        <f t="shared" ref="TM4:TM7" ca="1" si="240">IF(TH4&lt;&gt;"",TH4,"")</f>
        <v>Switzerland</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f t="shared" ref="TT4:TT7" ca="1" si="247">IF(TM4&lt;&gt;"",TN4*3+TO4*1,"")</f>
        <v>0</v>
      </c>
      <c r="TU4" s="319">
        <f t="shared" ref="TU4" ca="1" si="248">IF(TM4&lt;&gt;"",VLOOKUP(TM4,ST4:SZ40,7,FALSE),"")</f>
        <v>1000</v>
      </c>
      <c r="TV4" s="319">
        <f t="shared" ref="TV4" ca="1" si="249">IF(TM4&lt;&gt;"",VLOOKUP(TM4,ST4:SZ40,5,FALSE),"")</f>
        <v>0</v>
      </c>
      <c r="TW4" s="319">
        <f t="shared" ref="TW4" ca="1" si="250">IF(TM4&lt;&gt;"",VLOOKUP(TM4,ST4:TB40,9,FALSE),"")</f>
        <v>34</v>
      </c>
      <c r="TX4" s="319">
        <f t="shared" ref="TX4:TX7" ca="1" si="251">TT4</f>
        <v>0</v>
      </c>
      <c r="TY4" s="319">
        <f t="shared" ref="TY4" ca="1" si="252">IF(TM4&lt;&gt;"",RANK(TX4,TX4:TX8),"")</f>
        <v>1</v>
      </c>
      <c r="TZ4" s="319">
        <f t="shared" ref="TZ4" ca="1" si="253">IF(TM4&lt;&gt;"",SUMPRODUCT((TX4:TX8=TX4)*(TS4:TS8&gt;TS4)),"")</f>
        <v>0</v>
      </c>
      <c r="UA4" s="319">
        <f t="shared" ref="UA4" ca="1" si="254">IF(TM4&lt;&gt;"",SUMPRODUCT((TX4:TX8=TX4)*(TS4:TS8=TS4)*(TQ4:TQ8&gt;TQ4)),"")</f>
        <v>0</v>
      </c>
      <c r="UB4" s="319">
        <f t="shared" ref="UB4" ca="1" si="255">IF(TM4&lt;&gt;"",SUMPRODUCT((TX4:TX8=TX4)*(TS4:TS8=TS4)*(TQ4:TQ8=TQ4)*(TU4:TU8&gt;TU4)),"")</f>
        <v>0</v>
      </c>
      <c r="UC4" s="319">
        <f t="shared" ref="UC4" ca="1" si="256">IF(TM4&lt;&gt;"",SUMPRODUCT((TX4:TX8=TX4)*(TS4:TS8=TS4)*(TQ4:TQ8=TQ4)*(TU4:TU8=TU4)*(TV4:TV8&gt;TV4)),"")</f>
        <v>0</v>
      </c>
      <c r="UD4" s="319">
        <f t="shared" ref="UD4" ca="1" si="257">IF(TM4&lt;&gt;"",SUMPRODUCT((TX4:TX8=TX4)*(TS4:TS8=TS4)*(TQ4:TQ8=TQ4)*(TU4:TU8=TU4)*(TV4:TV8=TV4)*(TW4:TW8&gt;TW4)),"")</f>
        <v>3</v>
      </c>
      <c r="UE4" s="319">
        <f ca="1">IF(TM4&lt;&gt;"",IF(UE44&lt;&gt;"",IF(TL43=3,UE44,UE44+TL43),SUM(TY4:UD4)),"")</f>
        <v>4</v>
      </c>
      <c r="UF4" s="319" t="str">
        <f t="shared" ref="UF4" ca="1" si="258">IF(TM4&lt;&gt;"",INDEX(TM4:TM8,MATCH(1,UE4:UE8,0),0),"")</f>
        <v>Germany</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0</v>
      </c>
      <c r="WT4" s="322">
        <f ca="1">IF(OFFSET('Player Game Board'!Q11,0,WS1)&lt;&gt;"",OFFSET('Player Game Board'!Q11,0,WS1),0)</f>
        <v>0</v>
      </c>
      <c r="WU4" s="319" t="str">
        <f t="shared" si="35"/>
        <v>Switzerland</v>
      </c>
      <c r="WV4" s="319" t="str">
        <f ca="1">IF(AND(OFFSET('Player Game Board'!P11,0,WS1)&lt;&gt;"",OFFSET('Player Game Board'!Q11,0,WS1)&lt;&gt;""),IF(WS4&gt;WT4,"W",IF(WS4=WT4,"D","L")),"")</f>
        <v/>
      </c>
      <c r="WW4" s="319" t="str">
        <f t="shared" ca="1" si="36"/>
        <v/>
      </c>
      <c r="WX4" s="319"/>
      <c r="WY4" s="319"/>
      <c r="WZ4" s="319" t="str">
        <f t="shared" ref="WZ4" ca="1" si="260">VLOOKUP(3,SS11:ST14,2,FALSE)</f>
        <v>Croatia</v>
      </c>
      <c r="XA4" s="320">
        <f t="shared" ref="XA4" ca="1" si="261">VLOOKUP(WZ4,ST4:SY40,2,FALSE)</f>
        <v>0</v>
      </c>
      <c r="XB4" s="320">
        <f t="shared" ref="XB4" ca="1" si="262">VLOOKUP(WZ4,ST4:SY40,3,FALSE)</f>
        <v>0</v>
      </c>
      <c r="XC4" s="320">
        <f t="shared" ref="XC4" ca="1" si="263">VLOOKUP(WZ4,ST4:SY40,4,FALSE)</f>
        <v>0</v>
      </c>
      <c r="XD4" s="320">
        <f t="shared" ref="XD4" ca="1" si="264">VLOOKUP(WZ4,ST4:SY40,5,FALSE)</f>
        <v>0</v>
      </c>
      <c r="XE4" s="320">
        <f t="shared" ref="XE4" ca="1" si="265">VLOOKUP(WZ4,ST4:SY40,6,FALSE)</f>
        <v>0</v>
      </c>
      <c r="XF4" s="320">
        <f t="shared" ca="1" si="43"/>
        <v>1000</v>
      </c>
      <c r="XG4" s="320">
        <f t="shared" ca="1" si="44"/>
        <v>0</v>
      </c>
      <c r="XH4" s="319">
        <f ca="1">VLOOKUP(WZ4,B4:J40,9,FALSE)</f>
        <v>40</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2</v>
      </c>
      <c r="XM4" s="319">
        <f t="shared" ca="1" si="49"/>
        <v>3</v>
      </c>
      <c r="XN4" s="319" t="s">
        <v>98</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98</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0</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0</v>
      </c>
      <c r="ACU4" s="319">
        <f t="shared" ref="ACU4" ca="1" si="323">SUMIF(AGQ3:AGQ60,ACP4,AGO3:AGO60)+SUMIF(AGN3:AGN60,ACP4,AGP3:AGP60)</f>
        <v>0</v>
      </c>
      <c r="ACV4" s="319">
        <f t="shared" ref="ACV4:ACV7" ca="1" si="324">ACT4-ACU4+1000</f>
        <v>1000</v>
      </c>
      <c r="ACW4" s="319">
        <f t="shared" ref="ACW4:ACW7" ca="1" si="325">ACQ4*3+ACR4*1</f>
        <v>0</v>
      </c>
      <c r="ACX4" s="319">
        <f>XZ4</f>
        <v>54</v>
      </c>
      <c r="ACY4" s="319">
        <f t="shared" ref="ACY4" ca="1" si="326">IF(COUNTIF(ACW4:ACW8,4)&lt;&gt;4,RANK(ACW4,ACW4:ACW8),ACW44)</f>
        <v>1</v>
      </c>
      <c r="ACZ4" s="319"/>
      <c r="ADA4" s="319">
        <f t="shared" ref="ADA4" ca="1" si="327">SUMPRODUCT((ACY4:ACY7=ACY4)*(ACX4:ACX7&lt;ACX4))+ACY4</f>
        <v>4</v>
      </c>
      <c r="ADB4" s="319" t="str">
        <f t="shared" ref="ADB4" ca="1" si="328">INDEX(ACP4:ACP8,MATCH(1,ADA4:ADA8,0),0)</f>
        <v>Switzerland</v>
      </c>
      <c r="ADC4" s="319">
        <f t="shared" ref="ADC4" ca="1" si="329">INDEX(ACY4:ACY8,MATCH(ADB4,ACP4:ACP8,0),0)</f>
        <v>1</v>
      </c>
      <c r="ADD4" s="319" t="str">
        <f t="shared" ref="ADD4" ca="1" si="330">IF(ADC5=1,ADB4,"")</f>
        <v>Switzerland</v>
      </c>
      <c r="ADE4" s="319" t="str">
        <f t="shared" ref="ADE4" ca="1" si="331">IF(ADC6=2,ADB5,"")</f>
        <v/>
      </c>
      <c r="ADF4" s="319" t="str">
        <f t="shared" ref="ADF4" ca="1" si="332">IF(ADC7=3,ADB6,"")</f>
        <v/>
      </c>
      <c r="ADG4" s="319" t="str">
        <f t="shared" ref="ADG4" si="333">IF(ADC8=4,ADB7,"")</f>
        <v/>
      </c>
      <c r="ADH4" s="319"/>
      <c r="ADI4" s="319" t="str">
        <f t="shared" ref="ADI4:ADI7" ca="1" si="334">IF(ADD4&lt;&gt;"",ADD4,"")</f>
        <v>Switzerland</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f t="shared" ref="ADP4:ADP7" ca="1" si="341">IF(ADI4&lt;&gt;"",ADJ4*3+ADK4*1,"")</f>
        <v>0</v>
      </c>
      <c r="ADQ4" s="319">
        <f t="shared" ref="ADQ4" ca="1" si="342">IF(ADI4&lt;&gt;"",VLOOKUP(ADI4,ACP4:ACV40,7,FALSE),"")</f>
        <v>1000</v>
      </c>
      <c r="ADR4" s="319">
        <f t="shared" ref="ADR4" ca="1" si="343">IF(ADI4&lt;&gt;"",VLOOKUP(ADI4,ACP4:ACV40,5,FALSE),"")</f>
        <v>0</v>
      </c>
      <c r="ADS4" s="319">
        <f t="shared" ref="ADS4" ca="1" si="344">IF(ADI4&lt;&gt;"",VLOOKUP(ADI4,ACP4:ACX40,9,FALSE),"")</f>
        <v>34</v>
      </c>
      <c r="ADT4" s="319">
        <f t="shared" ref="ADT4:ADT7" ca="1" si="345">ADP4</f>
        <v>0</v>
      </c>
      <c r="ADU4" s="319">
        <f t="shared" ref="ADU4" ca="1" si="346">IF(ADI4&lt;&gt;"",RANK(ADT4,ADT4:ADT8),"")</f>
        <v>1</v>
      </c>
      <c r="ADV4" s="319">
        <f t="shared" ref="ADV4" ca="1" si="347">IF(ADI4&lt;&gt;"",SUMPRODUCT((ADT4:ADT8=ADT4)*(ADO4:ADO8&gt;ADO4)),"")</f>
        <v>0</v>
      </c>
      <c r="ADW4" s="319">
        <f t="shared" ref="ADW4" ca="1" si="348">IF(ADI4&lt;&gt;"",SUMPRODUCT((ADT4:ADT8=ADT4)*(ADO4:ADO8=ADO4)*(ADM4:ADM8&gt;ADM4)),"")</f>
        <v>0</v>
      </c>
      <c r="ADX4" s="319">
        <f t="shared" ref="ADX4" ca="1" si="349">IF(ADI4&lt;&gt;"",SUMPRODUCT((ADT4:ADT8=ADT4)*(ADO4:ADO8=ADO4)*(ADM4:ADM8=ADM4)*(ADQ4:ADQ8&gt;ADQ4)),"")</f>
        <v>0</v>
      </c>
      <c r="ADY4" s="319">
        <f t="shared" ref="ADY4" ca="1" si="350">IF(ADI4&lt;&gt;"",SUMPRODUCT((ADT4:ADT8=ADT4)*(ADO4:ADO8=ADO4)*(ADM4:ADM8=ADM4)*(ADQ4:ADQ8=ADQ4)*(ADR4:ADR8&gt;ADR4)),"")</f>
        <v>0</v>
      </c>
      <c r="ADZ4" s="319">
        <f t="shared" ref="ADZ4" ca="1" si="351">IF(ADI4&lt;&gt;"",SUMPRODUCT((ADT4:ADT8=ADT4)*(ADO4:ADO8=ADO4)*(ADM4:ADM8=ADM4)*(ADQ4:ADQ8=ADQ4)*(ADR4:ADR8=ADR4)*(ADS4:ADS8&gt;ADS4)),"")</f>
        <v>3</v>
      </c>
      <c r="AEA4" s="319">
        <f ca="1">IF(ADI4&lt;&gt;"",IF(AEA44&lt;&gt;"",IF(ADH43=3,AEA44,AEA44+ADH43),SUM(ADU4:ADZ4)),"")</f>
        <v>4</v>
      </c>
      <c r="AEB4" s="319" t="str">
        <f t="shared" ref="AEB4" ca="1" si="352">IF(ADI4&lt;&gt;"",INDEX(ADI4:ADI8,MATCH(1,AEA4:AEA8,0),0),"")</f>
        <v>Germany</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0</v>
      </c>
      <c r="AGP4" s="322">
        <f ca="1">IF(OFFSET('Player Game Board'!Q11,0,AGO1)&lt;&gt;"",OFFSET('Player Game Board'!Q11,0,AGO1),0)</f>
        <v>0</v>
      </c>
      <c r="AGQ4" s="319" t="str">
        <f t="shared" si="67"/>
        <v>Switzerland</v>
      </c>
      <c r="AGR4" s="319" t="str">
        <f ca="1">IF(AND(OFFSET('Player Game Board'!P11,0,AGO1)&lt;&gt;"",OFFSET('Player Game Board'!Q11,0,AGO1)&lt;&gt;""),IF(AGO4&gt;AGP4,"W",IF(AGO4=AGP4,"D","L")),"")</f>
        <v/>
      </c>
      <c r="AGS4" s="319" t="str">
        <f t="shared" ca="1" si="68"/>
        <v/>
      </c>
      <c r="AGT4" s="319"/>
      <c r="AGU4" s="319"/>
      <c r="AGV4" s="319" t="str">
        <f t="shared" ref="AGV4" ca="1" si="354">VLOOKUP(3,ACO11:ACP14,2,FALSE)</f>
        <v>Croatia</v>
      </c>
      <c r="AGW4" s="320">
        <f t="shared" ref="AGW4" ca="1" si="355">VLOOKUP(AGV4,ACP4:ACU40,2,FALSE)</f>
        <v>0</v>
      </c>
      <c r="AGX4" s="320">
        <f t="shared" ref="AGX4" ca="1" si="356">VLOOKUP(AGV4,ACP4:ACU40,3,FALSE)</f>
        <v>0</v>
      </c>
      <c r="AGY4" s="320">
        <f t="shared" ref="AGY4" ca="1" si="357">VLOOKUP(AGV4,ACP4:ACU40,4,FALSE)</f>
        <v>0</v>
      </c>
      <c r="AGZ4" s="320">
        <f t="shared" ref="AGZ4" ca="1" si="358">VLOOKUP(AGV4,ACP4:ACU40,5,FALSE)</f>
        <v>0</v>
      </c>
      <c r="AHA4" s="320">
        <f t="shared" ref="AHA4" ca="1" si="359">VLOOKUP(AGV4,ACP4:ACU40,6,FALSE)</f>
        <v>0</v>
      </c>
      <c r="AHB4" s="320">
        <f t="shared" ca="1" si="75"/>
        <v>1000</v>
      </c>
      <c r="AHC4" s="320">
        <f t="shared" ca="1" si="76"/>
        <v>0</v>
      </c>
      <c r="AHD4" s="319">
        <f ca="1">VLOOKUP(AGV4,B4:J40,9,FALSE)</f>
        <v>40</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2</v>
      </c>
      <c r="AHI4" s="319">
        <f t="shared" ca="1" si="81"/>
        <v>3</v>
      </c>
      <c r="AHJ4" s="319" t="s">
        <v>98</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0</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0</v>
      </c>
      <c r="AHS4" s="319">
        <f t="shared" ref="AHS4" ca="1" si="370">SUMIF(ALO3:ALO60,AHN4,ALM3:ALM60)+SUMIF(ALL3:ALL60,AHN4,ALN3:ALN60)</f>
        <v>0</v>
      </c>
      <c r="AHT4" s="319">
        <f t="shared" ref="AHT4:AHT7" ca="1" si="371">AHR4-AHS4+1000</f>
        <v>1000</v>
      </c>
      <c r="AHU4" s="319">
        <f t="shared" ref="AHU4:AHU7" ca="1" si="372">AHO4*3+AHP4*1</f>
        <v>0</v>
      </c>
      <c r="AHV4" s="319">
        <f>ACX4</f>
        <v>54</v>
      </c>
      <c r="AHW4" s="319">
        <f t="shared" ref="AHW4" ca="1" si="373">IF(COUNTIF(AHU4:AHU8,4)&lt;&gt;4,RANK(AHU4,AHU4:AHU8),AHU44)</f>
        <v>1</v>
      </c>
      <c r="AHX4" s="319"/>
      <c r="AHY4" s="319">
        <f t="shared" ref="AHY4" ca="1" si="374">SUMPRODUCT((AHW4:AHW7=AHW4)*(AHV4:AHV7&lt;AHV4))+AHW4</f>
        <v>4</v>
      </c>
      <c r="AHZ4" s="319" t="str">
        <f t="shared" ref="AHZ4" ca="1" si="375">INDEX(AHN4:AHN8,MATCH(1,AHY4:AHY8,0),0)</f>
        <v>Switzerland</v>
      </c>
      <c r="AIA4" s="319">
        <f t="shared" ref="AIA4" ca="1" si="376">INDEX(AHW4:AHW8,MATCH(AHZ4,AHN4:AHN8,0),0)</f>
        <v>1</v>
      </c>
      <c r="AIB4" s="319" t="str">
        <f t="shared" ref="AIB4" ca="1" si="377">IF(AIA5=1,AHZ4,"")</f>
        <v>Switzerland</v>
      </c>
      <c r="AIC4" s="319" t="str">
        <f t="shared" ref="AIC4" ca="1" si="378">IF(AIA6=2,AHZ5,"")</f>
        <v/>
      </c>
      <c r="AID4" s="319" t="str">
        <f t="shared" ref="AID4" ca="1" si="379">IF(AIA7=3,AHZ6,"")</f>
        <v/>
      </c>
      <c r="AIE4" s="319" t="str">
        <f t="shared" ref="AIE4" si="380">IF(AIA8=4,AHZ7,"")</f>
        <v/>
      </c>
      <c r="AIF4" s="319"/>
      <c r="AIG4" s="319" t="str">
        <f t="shared" ref="AIG4:AIG7" ca="1" si="381">IF(AIB4&lt;&gt;"",AIB4,"")</f>
        <v>Switzerland</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f t="shared" ref="AIN4:AIN7" ca="1" si="388">IF(AIG4&lt;&gt;"",AIH4*3+AII4*1,"")</f>
        <v>0</v>
      </c>
      <c r="AIO4" s="319">
        <f t="shared" ref="AIO4" ca="1" si="389">IF(AIG4&lt;&gt;"",VLOOKUP(AIG4,AHN4:AHT40,7,FALSE),"")</f>
        <v>1000</v>
      </c>
      <c r="AIP4" s="319">
        <f t="shared" ref="AIP4" ca="1" si="390">IF(AIG4&lt;&gt;"",VLOOKUP(AIG4,AHN4:AHT40,5,FALSE),"")</f>
        <v>0</v>
      </c>
      <c r="AIQ4" s="319">
        <f t="shared" ref="AIQ4" ca="1" si="391">IF(AIG4&lt;&gt;"",VLOOKUP(AIG4,AHN4:AHV40,9,FALSE),"")</f>
        <v>34</v>
      </c>
      <c r="AIR4" s="319">
        <f t="shared" ref="AIR4:AIR7" ca="1" si="392">AIN4</f>
        <v>0</v>
      </c>
      <c r="AIS4" s="319">
        <f t="shared" ref="AIS4" ca="1" si="393">IF(AIG4&lt;&gt;"",RANK(AIR4,AIR4:AIR8),"")</f>
        <v>1</v>
      </c>
      <c r="AIT4" s="319">
        <f t="shared" ref="AIT4" ca="1" si="394">IF(AIG4&lt;&gt;"",SUMPRODUCT((AIR4:AIR8=AIR4)*(AIM4:AIM8&gt;AIM4)),"")</f>
        <v>0</v>
      </c>
      <c r="AIU4" s="319">
        <f t="shared" ref="AIU4" ca="1" si="395">IF(AIG4&lt;&gt;"",SUMPRODUCT((AIR4:AIR8=AIR4)*(AIM4:AIM8=AIM4)*(AIK4:AIK8&gt;AIK4)),"")</f>
        <v>0</v>
      </c>
      <c r="AIV4" s="319">
        <f t="shared" ref="AIV4" ca="1" si="396">IF(AIG4&lt;&gt;"",SUMPRODUCT((AIR4:AIR8=AIR4)*(AIM4:AIM8=AIM4)*(AIK4:AIK8=AIK4)*(AIO4:AIO8&gt;AIO4)),"")</f>
        <v>0</v>
      </c>
      <c r="AIW4" s="319">
        <f t="shared" ref="AIW4" ca="1" si="397">IF(AIG4&lt;&gt;"",SUMPRODUCT((AIR4:AIR8=AIR4)*(AIM4:AIM8=AIM4)*(AIK4:AIK8=AIK4)*(AIO4:AIO8=AIO4)*(AIP4:AIP8&gt;AIP4)),"")</f>
        <v>0</v>
      </c>
      <c r="AIX4" s="319">
        <f t="shared" ref="AIX4" ca="1" si="398">IF(AIG4&lt;&gt;"",SUMPRODUCT((AIR4:AIR8=AIR4)*(AIM4:AIM8=AIM4)*(AIK4:AIK8=AIK4)*(AIO4:AIO8=AIO4)*(AIP4:AIP8=AIP4)*(AIQ4:AIQ8&gt;AIQ4)),"")</f>
        <v>3</v>
      </c>
      <c r="AIY4" s="319">
        <f ca="1">IF(AIG4&lt;&gt;"",IF(AIY44&lt;&gt;"",IF(AIF43=3,AIY44,AIY44+AIF43),SUM(AIS4:AIX4)),"")</f>
        <v>4</v>
      </c>
      <c r="AIZ4" s="319" t="str">
        <f t="shared" ref="AIZ4" ca="1" si="399">IF(AIG4&lt;&gt;"",INDEX(AIG4:AIG8,MATCH(1,AIY4:AIY8,0),0),"")</f>
        <v>Germany</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
      </c>
      <c r="ALQ4" s="319" t="str">
        <f t="shared" ca="1" si="84"/>
        <v/>
      </c>
      <c r="ALR4" s="319"/>
      <c r="ALS4" s="319"/>
      <c r="ALT4" s="319" t="str">
        <f t="shared" ref="ALT4" ca="1" si="401">VLOOKUP(3,AHM11:AHN14,2,FALSE)</f>
        <v>Croatia</v>
      </c>
      <c r="ALU4" s="320">
        <f t="shared" ref="ALU4" ca="1" si="402">VLOOKUP(ALT4,AHN4:AHS40,2,FALSE)</f>
        <v>0</v>
      </c>
      <c r="ALV4" s="320">
        <f t="shared" ref="ALV4" ca="1" si="403">VLOOKUP(ALT4,AHN4:AHS40,3,FALSE)</f>
        <v>0</v>
      </c>
      <c r="ALW4" s="320">
        <f t="shared" ref="ALW4" ca="1" si="404">VLOOKUP(ALT4,AHN4:AHS40,4,FALSE)</f>
        <v>0</v>
      </c>
      <c r="ALX4" s="320">
        <f t="shared" ref="ALX4" ca="1" si="405">VLOOKUP(ALT4,AHN4:AHS40,5,FALSE)</f>
        <v>0</v>
      </c>
      <c r="ALY4" s="320">
        <f t="shared" ref="ALY4" ca="1" si="406">VLOOKUP(ALT4,AHN4:AHS40,6,FALSE)</f>
        <v>0</v>
      </c>
      <c r="ALZ4" s="320">
        <f t="shared" ca="1" si="91"/>
        <v>1000</v>
      </c>
      <c r="AMA4" s="320">
        <f t="shared" ca="1" si="92"/>
        <v>0</v>
      </c>
      <c r="AMB4" s="319">
        <f ca="1">VLOOKUP(ALT4,B4:J40,9,FALSE)</f>
        <v>40</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2</v>
      </c>
      <c r="AMG4" s="319">
        <f t="shared" ca="1" si="97"/>
        <v>3</v>
      </c>
      <c r="AMH4" s="319" t="s">
        <v>98</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98</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98</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98</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98</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3</v>
      </c>
      <c r="DR5" s="319">
        <f>SUMPRODUCT((DQ3:DQ8=DQ5)*(DN3:DN8&gt;DN5))</f>
        <v>0</v>
      </c>
      <c r="DS5" s="319">
        <f>SUMPRODUCT((DQ3:DQ8=DQ5)*(DN3:DN8=DN5)*(DL3:DL8&gt;DL5))</f>
        <v>0</v>
      </c>
      <c r="DT5" s="319">
        <f>SUMPRODUCT((DQ3:DQ8=DQ5)*(DN3:DN8=DN5)*(DL3:DL8=DL5)*(DP3:DP8&gt;DP5))</f>
        <v>0</v>
      </c>
      <c r="DU5" s="319">
        <f t="shared" si="163"/>
        <v>3</v>
      </c>
      <c r="DV5" s="319" t="s">
        <v>99</v>
      </c>
      <c r="DW5" s="319">
        <v>3</v>
      </c>
      <c r="DX5" s="319"/>
      <c r="DY5" s="319">
        <f ca="1">VLOOKUP(DZ5,HU4:HV8,2,FALSE)</f>
        <v>2</v>
      </c>
      <c r="DZ5" s="319" t="str">
        <f t="shared" ref="DZ5:DZ7" si="606">B5</f>
        <v>Scotland</v>
      </c>
      <c r="EA5" s="319">
        <f ca="1">SUMPRODUCT((HX3:HX42=DZ5)*(IB3:IB42="W"))+SUMPRODUCT((IA3:IA42=DZ5)*(IC3:IC42="W"))</f>
        <v>2</v>
      </c>
      <c r="EB5" s="319">
        <f ca="1">SUMPRODUCT((HX3:HX42=DZ5)*(IB3:IB42="D"))+SUMPRODUCT((IA3:IA42=DZ5)*(IC3:IC42="D"))</f>
        <v>0</v>
      </c>
      <c r="EC5" s="319">
        <f ca="1">SUMPRODUCT((HX3:HX42=DZ5)*(IB3:IB42="L"))+SUMPRODUCT((IA3:IA42=DZ5)*(IC3:IC42="L"))</f>
        <v>1</v>
      </c>
      <c r="ED5" s="319">
        <f ca="1">SUMIF(HX3:HX60,DZ5,HY3:HY60)+SUMIF(IA3:IA60,DZ5,HZ3:HZ60)</f>
        <v>5</v>
      </c>
      <c r="EE5" s="319">
        <f ca="1">SUMIF(IA3:IA60,DZ5,HY3:HY60)+SUMIF(HX3:HX60,DZ5,HZ3:HZ60)</f>
        <v>5</v>
      </c>
      <c r="EF5" s="319">
        <f t="shared" ref="EF5:EF7" ca="1" si="607">ED5-EE5+1000</f>
        <v>1000</v>
      </c>
      <c r="EG5" s="319">
        <f t="shared" ref="EG5:EG7" ca="1" si="608">EA5*3+EB5*1</f>
        <v>6</v>
      </c>
      <c r="EH5" s="319">
        <f t="shared" ref="EH5:EH40" si="609">J5</f>
        <v>43</v>
      </c>
      <c r="EI5" s="319">
        <f ca="1">IF(COUNTIF(EG4:EG8,4)&lt;&gt;4,RANK(EG5,EG4:EG8),EG45)</f>
        <v>2</v>
      </c>
      <c r="EJ5" s="319"/>
      <c r="EK5" s="319">
        <f ca="1">SUMPRODUCT((EI4:EI7=EI5)*(EH4:EH7&lt;EH5))+EI5</f>
        <v>2</v>
      </c>
      <c r="EL5" s="319" t="str">
        <f ca="1">INDEX(DZ4:DZ8,MATCH(2,EK4:EK8,0),0)</f>
        <v>Scotland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Scotland</v>
      </c>
      <c r="HV5" s="319">
        <v>2</v>
      </c>
      <c r="HW5" s="319">
        <v>3</v>
      </c>
      <c r="HX5" s="319" t="str">
        <f t="shared" si="164"/>
        <v>Spain</v>
      </c>
      <c r="HY5" s="322">
        <f ca="1">IF(OFFSET('Player Game Board'!P12,0,HY1)&lt;&gt;"",OFFSET('Player Game Board'!P12,0,HY1),0)</f>
        <v>1</v>
      </c>
      <c r="HZ5" s="322">
        <f ca="1">IF(OFFSET('Player Game Board'!Q12,0,HY1)&lt;&gt;"",OFFSET('Player Game Board'!Q12,0,HY1),0)</f>
        <v>2</v>
      </c>
      <c r="IA5" s="319" t="str">
        <f t="shared" si="165"/>
        <v>Croatia</v>
      </c>
      <c r="IB5" s="319" t="str">
        <f ca="1">IF(AND(OFFSET('Player Game Board'!P12,0,HY1)&lt;&gt;"",OFFSET('Player Game Board'!Q12,0,HY1)&lt;&gt;""),IF(HY5&gt;HZ5,"W",IF(HY5=HZ5,"D","L")),"")</f>
        <v>L</v>
      </c>
      <c r="IC5" s="319" t="str">
        <f t="shared" ca="1" si="166"/>
        <v>W</v>
      </c>
      <c r="ID5" s="319"/>
      <c r="IE5" s="319"/>
      <c r="IF5" s="319" t="str">
        <f ca="1">VLOOKUP(3,DY18:DZ21,2,FALSE)</f>
        <v>Serbia</v>
      </c>
      <c r="IG5" s="320">
        <f ca="1">VLOOKUP(IF5,DZ4:EE40,2,FALSE)</f>
        <v>1</v>
      </c>
      <c r="IH5" s="320">
        <f ca="1">VLOOKUP(IF5,DZ4:EE40,3,FALSE)</f>
        <v>0</v>
      </c>
      <c r="II5" s="320">
        <f ca="1">VLOOKUP(IF5,DZ4:EE40,4,FALSE)</f>
        <v>2</v>
      </c>
      <c r="IJ5" s="320">
        <f ca="1">VLOOKUP(IF5,DZ4:EE40,5,FALSE)</f>
        <v>4</v>
      </c>
      <c r="IK5" s="320">
        <f ca="1">VLOOKUP(IF5,DZ4:EE40,6,FALSE)</f>
        <v>3</v>
      </c>
      <c r="IL5" s="320">
        <f t="shared" ca="1" si="167"/>
        <v>1001</v>
      </c>
      <c r="IM5" s="320">
        <f t="shared" ca="1" si="168"/>
        <v>3</v>
      </c>
      <c r="IN5" s="319">
        <f ca="1">VLOOKUP(IF5,B4:J40,9,FALSE)</f>
        <v>35</v>
      </c>
      <c r="IO5" s="319">
        <f ca="1">RANK(IM5,IM3:IM8)</f>
        <v>2</v>
      </c>
      <c r="IP5" s="319">
        <f ca="1">SUMPRODUCT((IO3:IO8=IO5)*(IL3:IL8&gt;IL5))</f>
        <v>0</v>
      </c>
      <c r="IQ5" s="319">
        <f ca="1">SUMPRODUCT((IO3:IO8=IO5)*(IL3:IL8=IL5)*(IJ3:IJ8&gt;IJ5))</f>
        <v>0</v>
      </c>
      <c r="IR5" s="319">
        <f ca="1">SUMPRODUCT((IO3:IO8=IO5)*(IL3:IL8=IL5)*(IJ3:IJ8=IJ5)*(IN3:IN8&gt;IN5))</f>
        <v>0</v>
      </c>
      <c r="IS5" s="319">
        <f t="shared" ca="1" si="169"/>
        <v>2</v>
      </c>
      <c r="IT5" s="319" t="s">
        <v>99</v>
      </c>
      <c r="IU5" s="319">
        <v>3</v>
      </c>
      <c r="IV5" s="319"/>
      <c r="IW5" s="319">
        <f ca="1">VLOOKUP(IX5,MS4:MT8,2,FALSE)</f>
        <v>4</v>
      </c>
      <c r="IX5" s="319" t="str">
        <f t="shared" ref="IX5:IX7" si="615">DZ5</f>
        <v>Scotland</v>
      </c>
      <c r="IY5" s="319">
        <f ca="1">SUMPRODUCT((MV3:MV42=IX5)*(MZ3:MZ42="W"))+SUMPRODUCT((MY3:MY42=IX5)*(NA3:NA42="W"))</f>
        <v>1</v>
      </c>
      <c r="IZ5" s="319">
        <f ca="1">SUMPRODUCT((MV3:MV42=IX5)*(MZ3:MZ42="D"))+SUMPRODUCT((MY3:MY42=IX5)*(NA3:NA42="D"))</f>
        <v>0</v>
      </c>
      <c r="JA5" s="319">
        <f ca="1">SUMPRODUCT((MV3:MV42=IX5)*(MZ3:MZ42="L"))+SUMPRODUCT((MY3:MY42=IX5)*(NA3:NA42="L"))</f>
        <v>2</v>
      </c>
      <c r="JB5" s="319">
        <f ca="1">SUMIF(MV3:MV60,IX5,MW3:MW60)+SUMIF(MY3:MY60,IX5,MX3:MX60)</f>
        <v>2</v>
      </c>
      <c r="JC5" s="319">
        <f ca="1">SUMIF(MY3:MY60,IX5,MW3:MW60)+SUMIF(MV3:MV60,IX5,MX3:MX60)</f>
        <v>3</v>
      </c>
      <c r="JD5" s="319">
        <f t="shared" ref="JD5:JD7" ca="1" si="616">JB5-JC5+1000</f>
        <v>999</v>
      </c>
      <c r="JE5" s="319">
        <f t="shared" ref="JE5:JE7" ca="1" si="617">IY5*3+IZ5*1</f>
        <v>3</v>
      </c>
      <c r="JF5" s="319">
        <f t="shared" ref="JF5:JF40" si="618">EH5</f>
        <v>43</v>
      </c>
      <c r="JG5" s="319">
        <f ca="1">IF(COUNTIF(JE4:JE8,4)&lt;&gt;4,RANK(JE5,JE4:JE8),JE45)</f>
        <v>4</v>
      </c>
      <c r="JH5" s="319"/>
      <c r="JI5" s="319">
        <f ca="1">SUMPRODUCT((JG4:JG7=JG5)*(JF4:JF7&lt;JF5))+JG5</f>
        <v>4</v>
      </c>
      <c r="JJ5" s="319" t="str">
        <f ca="1">INDEX(IX4:IX8,MATCH(2,JI4:JI8,0),0)</f>
        <v>Switzerland</v>
      </c>
      <c r="JK5" s="319">
        <f ca="1">INDEX(JG4:JG8,MATCH(JJ5,IX4:IX8,0),0)</f>
        <v>2</v>
      </c>
      <c r="JL5" s="319" t="str">
        <f ca="1">IF(JL4&lt;&gt;"",JJ5,"")</f>
        <v/>
      </c>
      <c r="JM5" s="319" t="str">
        <f ca="1">IF(JM4&lt;&gt;"",JJ6,"")</f>
        <v>Hungary</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Switzerland</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1</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1</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1</v>
      </c>
      <c r="KQ5" s="319">
        <f ca="1">KO5-KP5+1000</f>
        <v>1000</v>
      </c>
      <c r="KR5" s="319">
        <f t="shared" ref="KR5:KR7" ca="1" si="622">IF(KK5&lt;&gt;"",KL5*3+KM5*1,"")</f>
        <v>1</v>
      </c>
      <c r="KS5" s="319">
        <f ca="1">IF(KK5&lt;&gt;"",VLOOKUP(KK5,IX4:JD40,7,FALSE),"")</f>
        <v>1000</v>
      </c>
      <c r="KT5" s="319">
        <f ca="1">IF(KK5&lt;&gt;"",VLOOKUP(KK5,IX4:JD40,5,FALSE),"")</f>
        <v>4</v>
      </c>
      <c r="KU5" s="319">
        <f ca="1">IF(KK5&lt;&gt;"",VLOOKUP(KK5,IX4:JF40,9,FALSE),"")</f>
        <v>34</v>
      </c>
      <c r="KV5" s="319">
        <f t="shared" ref="KV5:KV7" ca="1" si="623">KR5</f>
        <v>1</v>
      </c>
      <c r="KW5" s="319">
        <f ca="1">IF(KK5&lt;&gt;"",RANK(KV5,KV4:KV8),"")</f>
        <v>1</v>
      </c>
      <c r="KX5" s="319">
        <f ca="1">IF(KK5&lt;&gt;"",SUMPRODUCT((KV4:KV8=KV5)*(KQ4:KQ8&gt;KQ5)),"")</f>
        <v>0</v>
      </c>
      <c r="KY5" s="319">
        <f ca="1">IF(KK5&lt;&gt;"",SUMPRODUCT((KV4:KV8=KV5)*(KQ4:KQ8=KQ5)*(KO4:KO8&gt;KO5)),"")</f>
        <v>0</v>
      </c>
      <c r="KZ5" s="319">
        <f ca="1">IF(KK5&lt;&gt;"",SUMPRODUCT((KV4:KV8=KV5)*(KQ4:KQ8=KQ5)*(KO4:KO8=KO5)*(KS4:KS8&gt;KS5)),"")</f>
        <v>0</v>
      </c>
      <c r="LA5" s="319">
        <f ca="1">IF(KK5&lt;&gt;"",SUMPRODUCT((KV4:KV8=KV5)*(KQ4:KQ8=KQ5)*(KO4:KO8=KO5)*(KS4:KS8=KS5)*(KT4:KT8&gt;KT5)),"")</f>
        <v>0</v>
      </c>
      <c r="LB5" s="319">
        <f ca="1">IF(KK5&lt;&gt;"",SUMPRODUCT((KV4:KV8=KV5)*(KQ4:KQ8=KQ5)*(KO4:KO8=KO5)*(KS4:KS8=KS5)*(KT4:KT8=KT5)*(KU4:KU8&gt;KU5)),"")</f>
        <v>0</v>
      </c>
      <c r="LC5" s="319">
        <f ca="1">IF(KK5&lt;&gt;"",IF(LC45&lt;&gt;"",IF(KJ43=3,LC45,LC45+KJ43),SUM(KW5:LB5)+1),"")</f>
        <v>2</v>
      </c>
      <c r="LD5" s="319" t="str">
        <f ca="1">IF(KK5&lt;&gt;"",INDEX(KK5:KK8,MATCH(2,LC5:LC8,0),0),"")</f>
        <v>Switzerland</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Switzerland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1</v>
      </c>
      <c r="NG5" s="320">
        <f ca="1">VLOOKUP(ND5,IX4:JC40,4,FALSE)</f>
        <v>2</v>
      </c>
      <c r="NH5" s="320">
        <f ca="1">VLOOKUP(ND5,IX4:JC40,5,FALSE)</f>
        <v>2</v>
      </c>
      <c r="NI5" s="320">
        <f ca="1">VLOOKUP(ND5,IX4:JC40,6,FALSE)</f>
        <v>5</v>
      </c>
      <c r="NJ5" s="320">
        <f t="shared" ca="1" si="173"/>
        <v>997</v>
      </c>
      <c r="NK5" s="320">
        <f t="shared" ca="1" si="174"/>
        <v>1</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99</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0</v>
      </c>
      <c r="NY5" s="319">
        <f t="shared" ref="NY5" ca="1" si="627">SUMPRODUCT((RT3:RT42=NV5)*(RX3:RX42="L"))+SUMPRODUCT((RW3:RW42=NV5)*(RY3:RY42="L"))</f>
        <v>0</v>
      </c>
      <c r="NZ5" s="319">
        <f t="shared" ref="NZ5" ca="1" si="628">SUMIF(RT3:RT60,NV5,RU3:RU60)+SUMIF(RW3:RW60,NV5,RV3:RV60)</f>
        <v>0</v>
      </c>
      <c r="OA5" s="319">
        <f t="shared" ref="OA5" ca="1" si="629">SUMIF(RW3:RW60,NV5,RU3:RU60)+SUMIF(RT3:RT60,NV5,RV3:RV60)</f>
        <v>0</v>
      </c>
      <c r="OB5" s="319">
        <f t="shared" ca="1" si="183"/>
        <v>1000</v>
      </c>
      <c r="OC5" s="319">
        <f t="shared" ca="1" si="184"/>
        <v>0</v>
      </c>
      <c r="OD5" s="319">
        <f t="shared" ref="OD5:OD40" si="630">JF5</f>
        <v>43</v>
      </c>
      <c r="OE5" s="319">
        <f t="shared" ref="OE5" ca="1" si="631">IF(COUNTIF(OC4:OC8,4)&lt;&gt;4,RANK(OC5,OC4:OC8),OC45)</f>
        <v>1</v>
      </c>
      <c r="OF5" s="319"/>
      <c r="OG5" s="319">
        <f t="shared" ref="OG5" ca="1" si="632">SUMPRODUCT((OE4:OE7=OE5)*(OD4:OD7&lt;OD5))+OE5</f>
        <v>2</v>
      </c>
      <c r="OH5" s="319" t="str">
        <f t="shared" ref="OH5" ca="1" si="633">INDEX(NV4:NV8,MATCH(2,OG4:OG8,0),0)</f>
        <v>Scotland</v>
      </c>
      <c r="OI5" s="319">
        <f t="shared" ref="OI5" ca="1" si="634">INDEX(OE4:OE8,MATCH(OH5,NV4:NV8,0),0)</f>
        <v>1</v>
      </c>
      <c r="OJ5" s="319" t="str">
        <f t="shared" ref="OJ5" ca="1" si="635">IF(OJ4&lt;&gt;"",OH5,"")</f>
        <v>Scotland</v>
      </c>
      <c r="OK5" s="319" t="str">
        <f t="shared" ref="OK5" ca="1" si="636">IF(OK4&lt;&gt;"",OH6,"")</f>
        <v/>
      </c>
      <c r="OL5" s="319" t="str">
        <f t="shared" ref="OL5" ca="1" si="637">IF(OL4&lt;&gt;"",OH7,"")</f>
        <v/>
      </c>
      <c r="OM5" s="319" t="str">
        <f t="shared" ref="OM5" si="638">IF(OM4&lt;&gt;"",OH8,"")</f>
        <v/>
      </c>
      <c r="ON5" s="319"/>
      <c r="OO5" s="319" t="str">
        <f t="shared" ca="1" si="193"/>
        <v>Scotland</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f t="shared" ca="1" si="200"/>
        <v>0</v>
      </c>
      <c r="OW5" s="319">
        <f t="shared" ref="OW5" ca="1" si="644">IF(OO5&lt;&gt;"",VLOOKUP(OO5,NV4:OB40,7,FALSE),"")</f>
        <v>1000</v>
      </c>
      <c r="OX5" s="319">
        <f t="shared" ref="OX5" ca="1" si="645">IF(OO5&lt;&gt;"",VLOOKUP(OO5,NV4:OB40,5,FALSE),"")</f>
        <v>0</v>
      </c>
      <c r="OY5" s="319">
        <f t="shared" ref="OY5" ca="1" si="646">IF(OO5&lt;&gt;"",VLOOKUP(OO5,NV4:OD40,9,FALSE),"")</f>
        <v>43</v>
      </c>
      <c r="OZ5" s="319">
        <f t="shared" ca="1" si="204"/>
        <v>0</v>
      </c>
      <c r="PA5" s="319">
        <f t="shared" ref="PA5" ca="1" si="647">IF(OO5&lt;&gt;"",RANK(OZ5,OZ4:OZ8),"")</f>
        <v>1</v>
      </c>
      <c r="PB5" s="319">
        <f t="shared" ref="PB5" ca="1" si="648">IF(OO5&lt;&gt;"",SUMPRODUCT((OZ4:OZ8=OZ5)*(OU4:OU8&gt;OU5)),"")</f>
        <v>0</v>
      </c>
      <c r="PC5" s="319">
        <f t="shared" ref="PC5" ca="1" si="649">IF(OO5&lt;&gt;"",SUMPRODUCT((OZ4:OZ8=OZ5)*(OU4:OU8=OU5)*(OS4:OS8&gt;OS5)),"")</f>
        <v>0</v>
      </c>
      <c r="PD5" s="319">
        <f t="shared" ref="PD5" ca="1" si="650">IF(OO5&lt;&gt;"",SUMPRODUCT((OZ4:OZ8=OZ5)*(OU4:OU8=OU5)*(OS4:OS8=OS5)*(OW4:OW8&gt;OW5)),"")</f>
        <v>0</v>
      </c>
      <c r="PE5" s="319">
        <f t="shared" ref="PE5" ca="1" si="651">IF(OO5&lt;&gt;"",SUMPRODUCT((OZ4:OZ8=OZ5)*(OU4:OU8=OU5)*(OS4:OS8=OS5)*(OW4:OW8=OW5)*(OX4:OX8&gt;OX5)),"")</f>
        <v>0</v>
      </c>
      <c r="PF5" s="319">
        <f t="shared" ref="PF5" ca="1" si="652">IF(OO5&lt;&gt;"",SUMPRODUCT((OZ4:OZ8=OZ5)*(OU4:OU8=OU5)*(OS4:OS8=OS5)*(OW4:OW8=OW5)*(OX4:OX8=OX5)*(OY4:OY8&gt;OY5)),"")</f>
        <v>2</v>
      </c>
      <c r="PG5" s="319">
        <f ca="1">IF(OO5&lt;&gt;"",IF(PG45&lt;&gt;"",IF(ON43=3,PG45,PG45+ON43),SUM(PA5:PF5)),"")</f>
        <v>3</v>
      </c>
      <c r="PH5" s="319" t="str">
        <f t="shared" ref="PH5" ca="1" si="653">IF(OO5&lt;&gt;"",INDEX(OO4:OO8,MATCH(2,PG4:PG8,0),0),"")</f>
        <v>Hungary</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0</v>
      </c>
      <c r="RV5" s="322">
        <f ca="1">IF(OFFSET('Player Game Board'!Q12,0,RU1)&lt;&gt;"",OFFSET('Player Game Board'!Q12,0,RU1),0)</f>
        <v>0</v>
      </c>
      <c r="RW5" s="319" t="str">
        <f t="shared" si="19"/>
        <v>Croatia</v>
      </c>
      <c r="RX5" s="319" t="str">
        <f ca="1">IF(AND(OFFSET('Player Game Board'!P12,0,RU1)&lt;&gt;"",OFFSET('Player Game Board'!Q12,0,RU1)&lt;&gt;""),IF(RU5&gt;RV5,"W",IF(RU5=RV5,"D","L")),"")</f>
        <v/>
      </c>
      <c r="RY5" s="319" t="str">
        <f t="shared" ca="1" si="20"/>
        <v/>
      </c>
      <c r="RZ5" s="319"/>
      <c r="SA5" s="319"/>
      <c r="SB5" s="319" t="str">
        <f t="shared" ref="SB5" ca="1" si="674">VLOOKUP(3,NU18:NV21,2,FALSE)</f>
        <v>Slovenia</v>
      </c>
      <c r="SC5" s="320">
        <f t="shared" ref="SC5" ca="1" si="675">VLOOKUP(SB5,NV4:OA40,2,FALSE)</f>
        <v>0</v>
      </c>
      <c r="SD5" s="320">
        <f t="shared" ref="SD5" ca="1" si="676">VLOOKUP(SB5,NV4:OA40,3,FALSE)</f>
        <v>0</v>
      </c>
      <c r="SE5" s="320">
        <f t="shared" ref="SE5" ca="1" si="677">VLOOKUP(SB5,NV4:OA40,4,FALSE)</f>
        <v>0</v>
      </c>
      <c r="SF5" s="320">
        <f t="shared" ref="SF5" ca="1" si="678">VLOOKUP(SB5,NV4:OA40,5,FALSE)</f>
        <v>0</v>
      </c>
      <c r="SG5" s="320">
        <f t="shared" ref="SG5" ca="1" si="679">VLOOKUP(SB5,NV4:OA40,6,FALSE)</f>
        <v>0</v>
      </c>
      <c r="SH5" s="320">
        <f t="shared" ca="1" si="27"/>
        <v>1000</v>
      </c>
      <c r="SI5" s="320">
        <f t="shared" ca="1" si="28"/>
        <v>0</v>
      </c>
      <c r="SJ5" s="319">
        <f ca="1">VLOOKUP(SB5,B4:J40,9,FALSE)</f>
        <v>39</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3</v>
      </c>
      <c r="SO5" s="319">
        <f t="shared" ca="1" si="33"/>
        <v>4</v>
      </c>
      <c r="SP5" s="319" t="s">
        <v>99</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0</v>
      </c>
      <c r="SW5" s="319">
        <f t="shared" ref="SW5" ca="1" si="687">SUMPRODUCT((WR3:WR42=ST5)*(WV3:WV42="L"))+SUMPRODUCT((WU3:WU42=ST5)*(WW3:WW42="L"))</f>
        <v>0</v>
      </c>
      <c r="SX5" s="319">
        <f t="shared" ref="SX5" ca="1" si="688">SUMIF(WR3:WR60,ST5,WS3:WS60)+SUMIF(WU3:WU60,ST5,WT3:WT60)</f>
        <v>0</v>
      </c>
      <c r="SY5" s="319">
        <f t="shared" ref="SY5" ca="1" si="689">SUMIF(WU3:WU60,ST5,WS3:WS60)+SUMIF(WR3:WR60,ST5,WT3:WT60)</f>
        <v>0</v>
      </c>
      <c r="SZ5" s="319">
        <f t="shared" ca="1" si="230"/>
        <v>1000</v>
      </c>
      <c r="TA5" s="319">
        <f t="shared" ca="1" si="231"/>
        <v>0</v>
      </c>
      <c r="TB5" s="319">
        <f t="shared" ref="TB5:TB40" si="690">OD5</f>
        <v>43</v>
      </c>
      <c r="TC5" s="319">
        <f t="shared" ref="TC5" ca="1" si="691">IF(COUNTIF(TA4:TA8,4)&lt;&gt;4,RANK(TA5,TA4:TA8),TA45)</f>
        <v>1</v>
      </c>
      <c r="TD5" s="319"/>
      <c r="TE5" s="319">
        <f t="shared" ref="TE5" ca="1" si="692">SUMPRODUCT((TC4:TC7=TC5)*(TB4:TB7&lt;TB5))+TC5</f>
        <v>2</v>
      </c>
      <c r="TF5" s="319" t="str">
        <f t="shared" ref="TF5" ca="1" si="693">INDEX(ST4:ST8,MATCH(2,TE4:TE8,0),0)</f>
        <v>Scotland</v>
      </c>
      <c r="TG5" s="319">
        <f t="shared" ref="TG5" ca="1" si="694">INDEX(TC4:TC8,MATCH(TF5,ST4:ST8,0),0)</f>
        <v>1</v>
      </c>
      <c r="TH5" s="319" t="str">
        <f t="shared" ref="TH5" ca="1" si="695">IF(TH4&lt;&gt;"",TF5,"")</f>
        <v>Scotland</v>
      </c>
      <c r="TI5" s="319" t="str">
        <f t="shared" ref="TI5" ca="1" si="696">IF(TI4&lt;&gt;"",TF6,"")</f>
        <v/>
      </c>
      <c r="TJ5" s="319" t="str">
        <f t="shared" ref="TJ5" ca="1" si="697">IF(TJ4&lt;&gt;"",TF7,"")</f>
        <v/>
      </c>
      <c r="TK5" s="319" t="str">
        <f t="shared" ref="TK5" si="698">IF(TK4&lt;&gt;"",TF8,"")</f>
        <v/>
      </c>
      <c r="TL5" s="319"/>
      <c r="TM5" s="319" t="str">
        <f t="shared" ca="1" si="240"/>
        <v>Scotland</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f t="shared" ca="1" si="247"/>
        <v>0</v>
      </c>
      <c r="TU5" s="319">
        <f t="shared" ref="TU5" ca="1" si="704">IF(TM5&lt;&gt;"",VLOOKUP(TM5,ST4:SZ40,7,FALSE),"")</f>
        <v>1000</v>
      </c>
      <c r="TV5" s="319">
        <f t="shared" ref="TV5" ca="1" si="705">IF(TM5&lt;&gt;"",VLOOKUP(TM5,ST4:SZ40,5,FALSE),"")</f>
        <v>0</v>
      </c>
      <c r="TW5" s="319">
        <f t="shared" ref="TW5" ca="1" si="706">IF(TM5&lt;&gt;"",VLOOKUP(TM5,ST4:TB40,9,FALSE),"")</f>
        <v>43</v>
      </c>
      <c r="TX5" s="319">
        <f t="shared" ca="1" si="251"/>
        <v>0</v>
      </c>
      <c r="TY5" s="319">
        <f t="shared" ref="TY5" ca="1" si="707">IF(TM5&lt;&gt;"",RANK(TX5,TX4:TX8),"")</f>
        <v>1</v>
      </c>
      <c r="TZ5" s="319">
        <f t="shared" ref="TZ5" ca="1" si="708">IF(TM5&lt;&gt;"",SUMPRODUCT((TX4:TX8=TX5)*(TS4:TS8&gt;TS5)),"")</f>
        <v>0</v>
      </c>
      <c r="UA5" s="319">
        <f t="shared" ref="UA5" ca="1" si="709">IF(TM5&lt;&gt;"",SUMPRODUCT((TX4:TX8=TX5)*(TS4:TS8=TS5)*(TQ4:TQ8&gt;TQ5)),"")</f>
        <v>0</v>
      </c>
      <c r="UB5" s="319">
        <f t="shared" ref="UB5" ca="1" si="710">IF(TM5&lt;&gt;"",SUMPRODUCT((TX4:TX8=TX5)*(TS4:TS8=TS5)*(TQ4:TQ8=TQ5)*(TU4:TU8&gt;TU5)),"")</f>
        <v>0</v>
      </c>
      <c r="UC5" s="319">
        <f t="shared" ref="UC5" ca="1" si="711">IF(TM5&lt;&gt;"",SUMPRODUCT((TX4:TX8=TX5)*(TS4:TS8=TS5)*(TQ4:TQ8=TQ5)*(TU4:TU8=TU5)*(TV4:TV8&gt;TV5)),"")</f>
        <v>0</v>
      </c>
      <c r="UD5" s="319">
        <f t="shared" ref="UD5" ca="1" si="712">IF(TM5&lt;&gt;"",SUMPRODUCT((TX4:TX8=TX5)*(TS4:TS8=TS5)*(TQ4:TQ8=TQ5)*(TU4:TU8=TU5)*(TV4:TV8=TV5)*(TW4:TW8&gt;TW5)),"")</f>
        <v>2</v>
      </c>
      <c r="UE5" s="319">
        <f ca="1">IF(TM5&lt;&gt;"",IF(UE45&lt;&gt;"",IF(TL43=3,UE45,UE45+TL43),SUM(TY5:UD5)),"")</f>
        <v>3</v>
      </c>
      <c r="UF5" s="319" t="str">
        <f t="shared" ref="UF5" ca="1" si="713">IF(TM5&lt;&gt;"",INDEX(TM4:TM8,MATCH(2,UE4:UE8,0),0),"")</f>
        <v>Hungary</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Hungary</v>
      </c>
      <c r="WP5" s="319">
        <v>2</v>
      </c>
      <c r="WQ5" s="319">
        <v>3</v>
      </c>
      <c r="WR5" s="319" t="str">
        <f t="shared" si="34"/>
        <v>Spain</v>
      </c>
      <c r="WS5" s="322">
        <f ca="1">IF(OFFSET('Player Game Board'!P12,0,WS1)&lt;&gt;"",OFFSET('Player Game Board'!P12,0,WS1),0)</f>
        <v>0</v>
      </c>
      <c r="WT5" s="322">
        <f ca="1">IF(OFFSET('Player Game Board'!Q12,0,WS1)&lt;&gt;"",OFFSET('Player Game Board'!Q12,0,WS1),0)</f>
        <v>0</v>
      </c>
      <c r="WU5" s="319" t="str">
        <f t="shared" si="35"/>
        <v>Croatia</v>
      </c>
      <c r="WV5" s="319" t="str">
        <f ca="1">IF(AND(OFFSET('Player Game Board'!P12,0,WS1)&lt;&gt;"",OFFSET('Player Game Board'!Q12,0,WS1)&lt;&gt;""),IF(WS5&gt;WT5,"W",IF(WS5=WT5,"D","L")),"")</f>
        <v/>
      </c>
      <c r="WW5" s="319" t="str">
        <f t="shared" ca="1" si="36"/>
        <v/>
      </c>
      <c r="WX5" s="319"/>
      <c r="WY5" s="319"/>
      <c r="WZ5" s="319" t="str">
        <f t="shared" ref="WZ5" ca="1" si="734">VLOOKUP(3,SS18:ST21,2,FALSE)</f>
        <v>Slovenia</v>
      </c>
      <c r="XA5" s="320">
        <f t="shared" ref="XA5" ca="1" si="735">VLOOKUP(WZ5,ST4:SY40,2,FALSE)</f>
        <v>0</v>
      </c>
      <c r="XB5" s="320">
        <f t="shared" ref="XB5" ca="1" si="736">VLOOKUP(WZ5,ST4:SY40,3,FALSE)</f>
        <v>0</v>
      </c>
      <c r="XC5" s="320">
        <f t="shared" ref="XC5" ca="1" si="737">VLOOKUP(WZ5,ST4:SY40,4,FALSE)</f>
        <v>0</v>
      </c>
      <c r="XD5" s="320">
        <f t="shared" ref="XD5" ca="1" si="738">VLOOKUP(WZ5,ST4:SY40,5,FALSE)</f>
        <v>0</v>
      </c>
      <c r="XE5" s="320">
        <f t="shared" ref="XE5" ca="1" si="739">VLOOKUP(WZ5,ST4:SY40,6,FALSE)</f>
        <v>0</v>
      </c>
      <c r="XF5" s="320">
        <f t="shared" ca="1" si="43"/>
        <v>1000</v>
      </c>
      <c r="XG5" s="320">
        <f t="shared" ca="1" si="44"/>
        <v>0</v>
      </c>
      <c r="XH5" s="319">
        <f ca="1">VLOOKUP(WZ5,B4:J40,9,FALSE)</f>
        <v>39</v>
      </c>
      <c r="XI5" s="319">
        <f t="shared" ref="XI5" ca="1" si="740">RANK(XG5,XG3:XG8)</f>
        <v>1</v>
      </c>
      <c r="XJ5" s="319">
        <f t="shared" ref="XJ5" ca="1" si="741">SUMPRODUCT((XI3:XI8=XI5)*(XF3:XF8&gt;XF5))</f>
        <v>0</v>
      </c>
      <c r="XK5" s="319">
        <f t="shared" ref="XK5" ca="1" si="742">SUMPRODUCT((XI3:XI8=XI5)*(XF3:XF8=XF5)*(XD3:XD8&gt;XD5))</f>
        <v>0</v>
      </c>
      <c r="XL5" s="319">
        <f t="shared" ref="XL5" ca="1" si="743">SUMPRODUCT((XI3:XI8=XI5)*(XF3:XF8=XF5)*(XD3:XD8=XD5)*(XH3:XH8&gt;XH5))</f>
        <v>3</v>
      </c>
      <c r="XM5" s="319">
        <f t="shared" ca="1" si="49"/>
        <v>4</v>
      </c>
      <c r="XN5" s="319" t="s">
        <v>99</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99</v>
      </c>
      <c r="ACM5" s="319">
        <v>3</v>
      </c>
      <c r="ACN5" s="319"/>
      <c r="ACO5" s="319">
        <f t="shared" ref="ACO5" ca="1" si="804">VLOOKUP(ACP5,AGK4:AGL8,2,FALSE)</f>
        <v>3</v>
      </c>
      <c r="ACP5" s="319" t="str">
        <f t="shared" si="318"/>
        <v>Scotland</v>
      </c>
      <c r="ACQ5" s="319">
        <f t="shared" ref="ACQ5" ca="1" si="805">SUMPRODUCT((AGN3:AGN42=ACP5)*(AGR3:AGR42="W"))+SUMPRODUCT((AGQ3:AGQ42=ACP5)*(AGS3:AGS42="W"))</f>
        <v>0</v>
      </c>
      <c r="ACR5" s="319">
        <f t="shared" ref="ACR5" ca="1" si="806">SUMPRODUCT((AGN3:AGN42=ACP5)*(AGR3:AGR42="D"))+SUMPRODUCT((AGQ3:AGQ42=ACP5)*(AGS3:AGS42="D"))</f>
        <v>0</v>
      </c>
      <c r="ACS5" s="319">
        <f t="shared" ref="ACS5" ca="1" si="807">SUMPRODUCT((AGN3:AGN42=ACP5)*(AGR3:AGR42="L"))+SUMPRODUCT((AGQ3:AGQ42=ACP5)*(AGS3:AGS42="L"))</f>
        <v>0</v>
      </c>
      <c r="ACT5" s="319">
        <f t="shared" ref="ACT5" ca="1" si="808">SUMIF(AGN3:AGN60,ACP5,AGO3:AGO60)+SUMIF(AGQ3:AGQ60,ACP5,AGP3:AGP60)</f>
        <v>0</v>
      </c>
      <c r="ACU5" s="319">
        <f t="shared" ref="ACU5" ca="1" si="809">SUMIF(AGQ3:AGQ60,ACP5,AGO3:AGO60)+SUMIF(AGN3:AGN60,ACP5,AGP3:AGP60)</f>
        <v>0</v>
      </c>
      <c r="ACV5" s="319">
        <f t="shared" ca="1" si="324"/>
        <v>1000</v>
      </c>
      <c r="ACW5" s="319">
        <f t="shared" ca="1" si="325"/>
        <v>0</v>
      </c>
      <c r="ACX5" s="319">
        <f t="shared" ref="ACX5:ACX40" si="810">XZ5</f>
        <v>43</v>
      </c>
      <c r="ACY5" s="319">
        <f t="shared" ref="ACY5" ca="1" si="811">IF(COUNTIF(ACW4:ACW8,4)&lt;&gt;4,RANK(ACW5,ACW4:ACW8),ACW45)</f>
        <v>1</v>
      </c>
      <c r="ACZ5" s="319"/>
      <c r="ADA5" s="319">
        <f t="shared" ref="ADA5" ca="1" si="812">SUMPRODUCT((ACY4:ACY7=ACY5)*(ACX4:ACX7&lt;ACX5))+ACY5</f>
        <v>2</v>
      </c>
      <c r="ADB5" s="319" t="str">
        <f t="shared" ref="ADB5" ca="1" si="813">INDEX(ACP4:ACP8,MATCH(2,ADA4:ADA8,0),0)</f>
        <v>Scotland</v>
      </c>
      <c r="ADC5" s="319">
        <f t="shared" ref="ADC5" ca="1" si="814">INDEX(ACY4:ACY8,MATCH(ADB5,ACP4:ACP8,0),0)</f>
        <v>1</v>
      </c>
      <c r="ADD5" s="319" t="str">
        <f t="shared" ref="ADD5" ca="1" si="815">IF(ADD4&lt;&gt;"",ADB5,"")</f>
        <v>Scotland</v>
      </c>
      <c r="ADE5" s="319" t="str">
        <f t="shared" ref="ADE5" ca="1" si="816">IF(ADE4&lt;&gt;"",ADB6,"")</f>
        <v/>
      </c>
      <c r="ADF5" s="319" t="str">
        <f t="shared" ref="ADF5" ca="1" si="817">IF(ADF4&lt;&gt;"",ADB7,"")</f>
        <v/>
      </c>
      <c r="ADG5" s="319" t="str">
        <f t="shared" ref="ADG5" si="818">IF(ADG4&lt;&gt;"",ADB8,"")</f>
        <v/>
      </c>
      <c r="ADH5" s="319"/>
      <c r="ADI5" s="319" t="str">
        <f t="shared" ca="1" si="334"/>
        <v>Scotland</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f t="shared" ca="1" si="341"/>
        <v>0</v>
      </c>
      <c r="ADQ5" s="319">
        <f t="shared" ref="ADQ5" ca="1" si="824">IF(ADI5&lt;&gt;"",VLOOKUP(ADI5,ACP4:ACV40,7,FALSE),"")</f>
        <v>1000</v>
      </c>
      <c r="ADR5" s="319">
        <f t="shared" ref="ADR5" ca="1" si="825">IF(ADI5&lt;&gt;"",VLOOKUP(ADI5,ACP4:ACV40,5,FALSE),"")</f>
        <v>0</v>
      </c>
      <c r="ADS5" s="319">
        <f t="shared" ref="ADS5" ca="1" si="826">IF(ADI5&lt;&gt;"",VLOOKUP(ADI5,ACP4:ACX40,9,FALSE),"")</f>
        <v>43</v>
      </c>
      <c r="ADT5" s="319">
        <f t="shared" ca="1" si="345"/>
        <v>0</v>
      </c>
      <c r="ADU5" s="319">
        <f t="shared" ref="ADU5" ca="1" si="827">IF(ADI5&lt;&gt;"",RANK(ADT5,ADT4:ADT8),"")</f>
        <v>1</v>
      </c>
      <c r="ADV5" s="319">
        <f t="shared" ref="ADV5" ca="1" si="828">IF(ADI5&lt;&gt;"",SUMPRODUCT((ADT4:ADT8=ADT5)*(ADO4:ADO8&gt;ADO5)),"")</f>
        <v>0</v>
      </c>
      <c r="ADW5" s="319">
        <f t="shared" ref="ADW5" ca="1" si="829">IF(ADI5&lt;&gt;"",SUMPRODUCT((ADT4:ADT8=ADT5)*(ADO4:ADO8=ADO5)*(ADM4:ADM8&gt;ADM5)),"")</f>
        <v>0</v>
      </c>
      <c r="ADX5" s="319">
        <f t="shared" ref="ADX5" ca="1" si="830">IF(ADI5&lt;&gt;"",SUMPRODUCT((ADT4:ADT8=ADT5)*(ADO4:ADO8=ADO5)*(ADM4:ADM8=ADM5)*(ADQ4:ADQ8&gt;ADQ5)),"")</f>
        <v>0</v>
      </c>
      <c r="ADY5" s="319">
        <f t="shared" ref="ADY5" ca="1" si="831">IF(ADI5&lt;&gt;"",SUMPRODUCT((ADT4:ADT8=ADT5)*(ADO4:ADO8=ADO5)*(ADM4:ADM8=ADM5)*(ADQ4:ADQ8=ADQ5)*(ADR4:ADR8&gt;ADR5)),"")</f>
        <v>0</v>
      </c>
      <c r="ADZ5" s="319">
        <f t="shared" ref="ADZ5" ca="1" si="832">IF(ADI5&lt;&gt;"",SUMPRODUCT((ADT4:ADT8=ADT5)*(ADO4:ADO8=ADO5)*(ADM4:ADM8=ADM5)*(ADQ4:ADQ8=ADQ5)*(ADR4:ADR8=ADR5)*(ADS4:ADS8&gt;ADS5)),"")</f>
        <v>2</v>
      </c>
      <c r="AEA5" s="319">
        <f ca="1">IF(ADI5&lt;&gt;"",IF(AEA45&lt;&gt;"",IF(ADH43=3,AEA45,AEA45+ADH43),SUM(ADU5:ADZ5)),"")</f>
        <v>3</v>
      </c>
      <c r="AEB5" s="319" t="str">
        <f t="shared" ref="AEB5" ca="1" si="833">IF(ADI5&lt;&gt;"",INDEX(ADI4:ADI8,MATCH(2,AEA4:AEA8,0),0),"")</f>
        <v>Hungary</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Hungary</v>
      </c>
      <c r="AGL5" s="319">
        <v>2</v>
      </c>
      <c r="AGM5" s="319">
        <v>3</v>
      </c>
      <c r="AGN5" s="319" t="str">
        <f t="shared" si="66"/>
        <v>Spain</v>
      </c>
      <c r="AGO5" s="322">
        <f ca="1">IF(OFFSET('Player Game Board'!P12,0,AGO1)&lt;&gt;"",OFFSET('Player Game Board'!P12,0,AGO1),0)</f>
        <v>0</v>
      </c>
      <c r="AGP5" s="322">
        <f ca="1">IF(OFFSET('Player Game Board'!Q12,0,AGO1)&lt;&gt;"",OFFSET('Player Game Board'!Q12,0,AGO1),0)</f>
        <v>0</v>
      </c>
      <c r="AGQ5" s="319" t="str">
        <f t="shared" si="67"/>
        <v>Croatia</v>
      </c>
      <c r="AGR5" s="319" t="str">
        <f ca="1">IF(AND(OFFSET('Player Game Board'!P12,0,AGO1)&lt;&gt;"",OFFSET('Player Game Board'!Q12,0,AGO1)&lt;&gt;""),IF(AGO5&gt;AGP5,"W",IF(AGO5=AGP5,"D","L")),"")</f>
        <v/>
      </c>
      <c r="AGS5" s="319" t="str">
        <f t="shared" ca="1" si="68"/>
        <v/>
      </c>
      <c r="AGT5" s="319"/>
      <c r="AGU5" s="319"/>
      <c r="AGV5" s="319" t="str">
        <f t="shared" ref="AGV5" ca="1" si="854">VLOOKUP(3,ACO18:ACP21,2,FALSE)</f>
        <v>Slovenia</v>
      </c>
      <c r="AGW5" s="320">
        <f t="shared" ref="AGW5" ca="1" si="855">VLOOKUP(AGV5,ACP4:ACU40,2,FALSE)</f>
        <v>0</v>
      </c>
      <c r="AGX5" s="320">
        <f t="shared" ref="AGX5" ca="1" si="856">VLOOKUP(AGV5,ACP4:ACU40,3,FALSE)</f>
        <v>0</v>
      </c>
      <c r="AGY5" s="320">
        <f t="shared" ref="AGY5" ca="1" si="857">VLOOKUP(AGV5,ACP4:ACU40,4,FALSE)</f>
        <v>0</v>
      </c>
      <c r="AGZ5" s="320">
        <f t="shared" ref="AGZ5" ca="1" si="858">VLOOKUP(AGV5,ACP4:ACU40,5,FALSE)</f>
        <v>0</v>
      </c>
      <c r="AHA5" s="320">
        <f t="shared" ref="AHA5" ca="1" si="859">VLOOKUP(AGV5,ACP4:ACU40,6,FALSE)</f>
        <v>0</v>
      </c>
      <c r="AHB5" s="320">
        <f t="shared" ca="1" si="75"/>
        <v>1000</v>
      </c>
      <c r="AHC5" s="320">
        <f t="shared" ca="1" si="76"/>
        <v>0</v>
      </c>
      <c r="AHD5" s="319">
        <f ca="1">VLOOKUP(AGV5,B4:J40,9,FALSE)</f>
        <v>39</v>
      </c>
      <c r="AHE5" s="319">
        <f t="shared" ref="AHE5" ca="1" si="860">RANK(AHC5,AHC3:AHC8)</f>
        <v>1</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3</v>
      </c>
      <c r="AHI5" s="319">
        <f t="shared" ca="1" si="81"/>
        <v>4</v>
      </c>
      <c r="AHJ5" s="319" t="s">
        <v>99</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0</v>
      </c>
      <c r="AHQ5" s="319">
        <f t="shared" ref="AHQ5" ca="1" si="867">SUMPRODUCT((ALL3:ALL42=AHN5)*(ALP3:ALP42="L"))+SUMPRODUCT((ALO3:ALO42=AHN5)*(ALQ3:ALQ42="L"))</f>
        <v>0</v>
      </c>
      <c r="AHR5" s="319">
        <f t="shared" ref="AHR5" ca="1" si="868">SUMIF(ALL3:ALL60,AHN5,ALM3:ALM60)+SUMIF(ALO3:ALO60,AHN5,ALN3:ALN60)</f>
        <v>0</v>
      </c>
      <c r="AHS5" s="319">
        <f t="shared" ref="AHS5" ca="1" si="869">SUMIF(ALO3:ALO60,AHN5,ALM3:ALM60)+SUMIF(ALL3:ALL60,AHN5,ALN3:ALN60)</f>
        <v>0</v>
      </c>
      <c r="AHT5" s="319">
        <f t="shared" ca="1" si="371"/>
        <v>1000</v>
      </c>
      <c r="AHU5" s="319">
        <f t="shared" ca="1" si="372"/>
        <v>0</v>
      </c>
      <c r="AHV5" s="319">
        <f t="shared" ref="AHV5:AHV40" si="870">ACX5</f>
        <v>43</v>
      </c>
      <c r="AHW5" s="319">
        <f t="shared" ref="AHW5" ca="1" si="871">IF(COUNTIF(AHU4:AHU8,4)&lt;&gt;4,RANK(AHU5,AHU4:AHU8),AHU45)</f>
        <v>1</v>
      </c>
      <c r="AHX5" s="319"/>
      <c r="AHY5" s="319">
        <f t="shared" ref="AHY5" ca="1" si="872">SUMPRODUCT((AHW4:AHW7=AHW5)*(AHV4:AHV7&lt;AHV5))+AHW5</f>
        <v>2</v>
      </c>
      <c r="AHZ5" s="319" t="str">
        <f t="shared" ref="AHZ5" ca="1" si="873">INDEX(AHN4:AHN8,MATCH(2,AHY4:AHY8,0),0)</f>
        <v>Scotland</v>
      </c>
      <c r="AIA5" s="319">
        <f t="shared" ref="AIA5" ca="1" si="874">INDEX(AHW4:AHW8,MATCH(AHZ5,AHN4:AHN8,0),0)</f>
        <v>1</v>
      </c>
      <c r="AIB5" s="319" t="str">
        <f t="shared" ref="AIB5" ca="1" si="875">IF(AIB4&lt;&gt;"",AHZ5,"")</f>
        <v>Scotland</v>
      </c>
      <c r="AIC5" s="319" t="str">
        <f t="shared" ref="AIC5" ca="1" si="876">IF(AIC4&lt;&gt;"",AHZ6,"")</f>
        <v/>
      </c>
      <c r="AID5" s="319" t="str">
        <f t="shared" ref="AID5" ca="1" si="877">IF(AID4&lt;&gt;"",AHZ7,"")</f>
        <v/>
      </c>
      <c r="AIE5" s="319" t="str">
        <f t="shared" ref="AIE5" si="878">IF(AIE4&lt;&gt;"",AHZ8,"")</f>
        <v/>
      </c>
      <c r="AIF5" s="319"/>
      <c r="AIG5" s="319" t="str">
        <f t="shared" ca="1" si="381"/>
        <v>Scotland</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f t="shared" ca="1" si="388"/>
        <v>0</v>
      </c>
      <c r="AIO5" s="319">
        <f t="shared" ref="AIO5" ca="1" si="884">IF(AIG5&lt;&gt;"",VLOOKUP(AIG5,AHN4:AHT40,7,FALSE),"")</f>
        <v>1000</v>
      </c>
      <c r="AIP5" s="319">
        <f t="shared" ref="AIP5" ca="1" si="885">IF(AIG5&lt;&gt;"",VLOOKUP(AIG5,AHN4:AHT40,5,FALSE),"")</f>
        <v>0</v>
      </c>
      <c r="AIQ5" s="319">
        <f t="shared" ref="AIQ5" ca="1" si="886">IF(AIG5&lt;&gt;"",VLOOKUP(AIG5,AHN4:AHV40,9,FALSE),"")</f>
        <v>43</v>
      </c>
      <c r="AIR5" s="319">
        <f t="shared" ca="1" si="392"/>
        <v>0</v>
      </c>
      <c r="AIS5" s="319">
        <f t="shared" ref="AIS5" ca="1" si="887">IF(AIG5&lt;&gt;"",RANK(AIR5,AIR4:AIR8),"")</f>
        <v>1</v>
      </c>
      <c r="AIT5" s="319">
        <f t="shared" ref="AIT5" ca="1" si="888">IF(AIG5&lt;&gt;"",SUMPRODUCT((AIR4:AIR8=AIR5)*(AIM4:AIM8&gt;AIM5)),"")</f>
        <v>0</v>
      </c>
      <c r="AIU5" s="319">
        <f t="shared" ref="AIU5" ca="1" si="889">IF(AIG5&lt;&gt;"",SUMPRODUCT((AIR4:AIR8=AIR5)*(AIM4:AIM8=AIM5)*(AIK4:AIK8&gt;AIK5)),"")</f>
        <v>0</v>
      </c>
      <c r="AIV5" s="319">
        <f t="shared" ref="AIV5" ca="1" si="890">IF(AIG5&lt;&gt;"",SUMPRODUCT((AIR4:AIR8=AIR5)*(AIM4:AIM8=AIM5)*(AIK4:AIK8=AIK5)*(AIO4:AIO8&gt;AIO5)),"")</f>
        <v>0</v>
      </c>
      <c r="AIW5" s="319">
        <f t="shared" ref="AIW5" ca="1" si="891">IF(AIG5&lt;&gt;"",SUMPRODUCT((AIR4:AIR8=AIR5)*(AIM4:AIM8=AIM5)*(AIK4:AIK8=AIK5)*(AIO4:AIO8=AIO5)*(AIP4:AIP8&gt;AIP5)),"")</f>
        <v>0</v>
      </c>
      <c r="AIX5" s="319">
        <f t="shared" ref="AIX5" ca="1" si="892">IF(AIG5&lt;&gt;"",SUMPRODUCT((AIR4:AIR8=AIR5)*(AIM4:AIM8=AIM5)*(AIK4:AIK8=AIK5)*(AIO4:AIO8=AIO5)*(AIP4:AIP8=AIP5)*(AIQ4:AIQ8&gt;AIQ5)),"")</f>
        <v>2</v>
      </c>
      <c r="AIY5" s="319">
        <f ca="1">IF(AIG5&lt;&gt;"",IF(AIY45&lt;&gt;"",IF(AIF43=3,AIY45,AIY45+AIF43),SUM(AIS5:AIX5)),"")</f>
        <v>3</v>
      </c>
      <c r="AIZ5" s="319" t="str">
        <f t="shared" ref="AIZ5" ca="1" si="893">IF(AIG5&lt;&gt;"",INDEX(AIG4:AIG8,MATCH(2,AIY4:AIY8,0),0),"")</f>
        <v>Hungary</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Hungary</v>
      </c>
      <c r="ALJ5" s="319">
        <v>2</v>
      </c>
      <c r="ALK5" s="319">
        <v>3</v>
      </c>
      <c r="ALL5" s="319" t="str">
        <f t="shared" si="82"/>
        <v>Spain</v>
      </c>
      <c r="ALM5" s="322">
        <f ca="1">IF(OFFSET('Player Game Board'!P12,0,ALM1)&lt;&gt;"",OFFSET('Player Game Board'!P12,0,ALM1),0)</f>
        <v>0</v>
      </c>
      <c r="ALN5" s="322">
        <f ca="1">IF(OFFSET('Player Game Board'!Q12,0,ALM1)&lt;&gt;"",OFFSET('Player Game Board'!Q12,0,ALM1),0)</f>
        <v>0</v>
      </c>
      <c r="ALO5" s="319" t="str">
        <f t="shared" si="83"/>
        <v>Croatia</v>
      </c>
      <c r="ALP5" s="319" t="str">
        <f ca="1">IF(AND(OFFSET('Player Game Board'!P12,0,ALM1)&lt;&gt;"",OFFSET('Player Game Board'!Q12,0,ALM1)&lt;&gt;""),IF(ALM5&gt;ALN5,"W",IF(ALM5=ALN5,"D","L")),"")</f>
        <v/>
      </c>
      <c r="ALQ5" s="319" t="str">
        <f t="shared" ca="1" si="84"/>
        <v/>
      </c>
      <c r="ALR5" s="319"/>
      <c r="ALS5" s="319"/>
      <c r="ALT5" s="319" t="str">
        <f t="shared" ref="ALT5" ca="1" si="914">VLOOKUP(3,AHM18:AHN21,2,FALSE)</f>
        <v>Slovenia</v>
      </c>
      <c r="ALU5" s="320">
        <f t="shared" ref="ALU5" ca="1" si="915">VLOOKUP(ALT5,AHN4:AHS40,2,FALSE)</f>
        <v>0</v>
      </c>
      <c r="ALV5" s="320">
        <f t="shared" ref="ALV5" ca="1" si="916">VLOOKUP(ALT5,AHN4:AHS40,3,FALSE)</f>
        <v>0</v>
      </c>
      <c r="ALW5" s="320">
        <f t="shared" ref="ALW5" ca="1" si="917">VLOOKUP(ALT5,AHN4:AHS40,4,FALSE)</f>
        <v>0</v>
      </c>
      <c r="ALX5" s="320">
        <f t="shared" ref="ALX5" ca="1" si="918">VLOOKUP(ALT5,AHN4:AHS40,5,FALSE)</f>
        <v>0</v>
      </c>
      <c r="ALY5" s="320">
        <f t="shared" ref="ALY5" ca="1" si="919">VLOOKUP(ALT5,AHN4:AHS40,6,FALSE)</f>
        <v>0</v>
      </c>
      <c r="ALZ5" s="320">
        <f t="shared" ca="1" si="91"/>
        <v>1000</v>
      </c>
      <c r="AMA5" s="320">
        <f t="shared" ca="1" si="92"/>
        <v>0</v>
      </c>
      <c r="AMB5" s="319">
        <f ca="1">VLOOKUP(ALT5,B4:J40,9,FALSE)</f>
        <v>39</v>
      </c>
      <c r="AMC5" s="319">
        <f t="shared" ref="AMC5" ca="1" si="920">RANK(AMA5,AMA3:AMA8)</f>
        <v>1</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3</v>
      </c>
      <c r="AMG5" s="319">
        <f t="shared" ca="1" si="97"/>
        <v>4</v>
      </c>
      <c r="AMH5" s="319" t="s">
        <v>99</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99</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99</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99</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99</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Austria</v>
      </c>
      <c r="DI6" s="320">
        <f>Matches!U24</f>
        <v>1</v>
      </c>
      <c r="DJ6" s="320">
        <f>Matches!V24</f>
        <v>0</v>
      </c>
      <c r="DK6" s="320">
        <f>Matches!W24</f>
        <v>1</v>
      </c>
      <c r="DL6" s="320">
        <f>Matches!X24</f>
        <v>3</v>
      </c>
      <c r="DM6" s="320">
        <f>Matches!Z24</f>
        <v>2</v>
      </c>
      <c r="DN6" s="320">
        <f>Matches!AA24</f>
        <v>1</v>
      </c>
      <c r="DO6" s="320">
        <f>Matches!AB24</f>
        <v>3</v>
      </c>
      <c r="DP6" s="319">
        <f>VLOOKUP(DH6,B4:J40,9,FALSE)</f>
        <v>41</v>
      </c>
      <c r="DQ6" s="319">
        <f>RANK(DO6,DO3:DO8)</f>
        <v>1</v>
      </c>
      <c r="DR6" s="319">
        <f>SUMPRODUCT((DQ3:DQ8=DQ6)*(DN3:DN8&gt;DN6))</f>
        <v>0</v>
      </c>
      <c r="DS6" s="319">
        <f>SUMPRODUCT((DQ3:DQ8=DQ6)*(DN3:DN8=DN6)*(DL3:DL8&gt;DL6))</f>
        <v>0</v>
      </c>
      <c r="DT6" s="319">
        <f>SUMPRODUCT((DQ3:DQ8=DQ6)*(DN3:DN8=DN6)*(DL3:DL8=DL6)*(DP3:DP8&gt;DP6))</f>
        <v>0</v>
      </c>
      <c r="DU6" s="319">
        <f t="shared" si="163"/>
        <v>1</v>
      </c>
      <c r="DV6" s="319" t="s">
        <v>100</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6</v>
      </c>
      <c r="EF6" s="319">
        <f t="shared" ca="1" si="607"/>
        <v>995</v>
      </c>
      <c r="EG6" s="319">
        <f t="shared" ca="1" si="608"/>
        <v>0</v>
      </c>
      <c r="EH6" s="319">
        <f t="shared" si="609"/>
        <v>48</v>
      </c>
      <c r="EI6" s="319">
        <f ca="1">IF(COUNTIF(EG4:EG8,4)&lt;&gt;4,RANK(EG6,EG4:EG8),EG46)</f>
        <v>4</v>
      </c>
      <c r="EJ6" s="319"/>
      <c r="EK6" s="319">
        <f ca="1">SUMPRODUCT((EI4:EI7=EI6)*(EH4:EH7&lt;EH6))+EI6</f>
        <v>4</v>
      </c>
      <c r="EL6" s="319" t="str">
        <f ca="1">INDEX(DZ4:DZ8,MATCH(3,EK4:EK8,0),0)</f>
        <v>Switzerland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Switzerland</v>
      </c>
      <c r="HV6" s="319">
        <v>3</v>
      </c>
      <c r="HW6" s="319">
        <v>4</v>
      </c>
      <c r="HX6" s="319" t="str">
        <f t="shared" si="164"/>
        <v>Italy</v>
      </c>
      <c r="HY6" s="322">
        <f ca="1">IF(OFFSET('Player Game Board'!P13,0,HY1)&lt;&gt;"",OFFSET('Player Game Board'!P13,0,HY1),0)</f>
        <v>1</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0</v>
      </c>
      <c r="IH6" s="320">
        <f ca="1">VLOOKUP(IF6,DZ4:EE40,3,FALSE)</f>
        <v>2</v>
      </c>
      <c r="II6" s="320">
        <f ca="1">VLOOKUP(IF6,DZ4:EE40,4,FALSE)</f>
        <v>1</v>
      </c>
      <c r="IJ6" s="320">
        <f ca="1">VLOOKUP(IF6,DZ4:EE40,5,FALSE)</f>
        <v>2</v>
      </c>
      <c r="IK6" s="320">
        <f ca="1">VLOOKUP(IF6,DZ4:EE40,6,FALSE)</f>
        <v>4</v>
      </c>
      <c r="IL6" s="320">
        <f t="shared" ca="1" si="167"/>
        <v>998</v>
      </c>
      <c r="IM6" s="320">
        <f t="shared" ca="1" si="168"/>
        <v>2</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100</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1</v>
      </c>
      <c r="JA6" s="319">
        <f ca="1">SUMPRODUCT((MV3:MV42=IX6)*(MZ3:MZ42="L"))+SUMPRODUCT((MY3:MY42=IX6)*(NA3:NA42="L"))</f>
        <v>1</v>
      </c>
      <c r="JB6" s="319">
        <f ca="1">SUMIF(MV3:MV60,IX6,MW3:MW60)+SUMIF(MY3:MY60,IX6,MX3:MX60)</f>
        <v>2</v>
      </c>
      <c r="JC6" s="319">
        <f ca="1">SUMIF(MY3:MY60,IX6,MW3:MW60)+SUMIF(MV3:MV60,IX6,MX3:MX60)</f>
        <v>2</v>
      </c>
      <c r="JD6" s="319">
        <f t="shared" ca="1" si="616"/>
        <v>1000</v>
      </c>
      <c r="JE6" s="319">
        <f t="shared" ca="1" si="617"/>
        <v>4</v>
      </c>
      <c r="JF6" s="319">
        <f t="shared" si="618"/>
        <v>48</v>
      </c>
      <c r="JG6" s="319">
        <f ca="1">IF(COUNTIF(JE4:JE8,4)&lt;&gt;4,RANK(JE6,JE4:JE8),JE46)</f>
        <v>2</v>
      </c>
      <c r="JH6" s="319"/>
      <c r="JI6" s="319">
        <f ca="1">SUMPRODUCT((JG4:JG7=JG6)*(JF4:JF7&lt;JF6))+JG6</f>
        <v>3</v>
      </c>
      <c r="JJ6" s="319" t="str">
        <f ca="1">INDEX(IX4:IX8,MATCH(3,JI4:JI8,0),0)</f>
        <v>Hungary</v>
      </c>
      <c r="JK6" s="319">
        <f ca="1">INDEX(JG4:JG8,MATCH(JJ6,IX4:IX8,0),0)</f>
        <v>2</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Hungary</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1</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1</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1</v>
      </c>
      <c r="KQ6" s="319">
        <f ca="1">KO6-KP6+1000</f>
        <v>1000</v>
      </c>
      <c r="KR6" s="319">
        <f t="shared" ca="1" si="622"/>
        <v>1</v>
      </c>
      <c r="KS6" s="319">
        <f ca="1">IF(KK6&lt;&gt;"",VLOOKUP(KK6,IX4:JD40,7,FALSE),"")</f>
        <v>1000</v>
      </c>
      <c r="KT6" s="319">
        <f ca="1">IF(KK6&lt;&gt;"",VLOOKUP(KK6,IX4:JD40,5,FALSE),"")</f>
        <v>2</v>
      </c>
      <c r="KU6" s="319">
        <f ca="1">IF(KK6&lt;&gt;"",VLOOKUP(KK6,IX4:JF40,9,FALSE),"")</f>
        <v>48</v>
      </c>
      <c r="KV6" s="319">
        <f t="shared" ca="1" si="623"/>
        <v>1</v>
      </c>
      <c r="KW6" s="319">
        <f ca="1">IF(KK6&lt;&gt;"",RANK(KV6,KV4:KV8),"")</f>
        <v>1</v>
      </c>
      <c r="KX6" s="319">
        <f ca="1">IF(KK6&lt;&gt;"",SUMPRODUCT((KV4:KV8=KV6)*(KQ4:KQ8&gt;KQ6)),"")</f>
        <v>0</v>
      </c>
      <c r="KY6" s="319">
        <f ca="1">IF(KK6&lt;&gt;"",SUMPRODUCT((KV4:KV8=KV6)*(KQ4:KQ8=KQ6)*(KO4:KO8&gt;KO6)),"")</f>
        <v>0</v>
      </c>
      <c r="KZ6" s="319">
        <f ca="1">IF(KK6&lt;&gt;"",SUMPRODUCT((KV4:KV8=KV6)*(KQ4:KQ8=KQ6)*(KO4:KO8=KO6)*(KS4:KS8&gt;KS6)),"")</f>
        <v>0</v>
      </c>
      <c r="LA6" s="319">
        <f ca="1">IF(KK6&lt;&gt;"",SUMPRODUCT((KV4:KV8=KV6)*(KQ4:KQ8=KQ6)*(KO4:KO8=KO6)*(KS4:KS8=KS6)*(KT4:KT8&gt;KT6)),"")</f>
        <v>1</v>
      </c>
      <c r="LB6" s="319">
        <f ca="1">IF(KK6&lt;&gt;"",SUMPRODUCT((KV4:KV8=KV6)*(KQ4:KQ8=KQ6)*(KO4:KO8=KO6)*(KS4:KS8=KS6)*(KT4:KT8=KT6)*(KU4:KU8&gt;KU6)),"")</f>
        <v>0</v>
      </c>
      <c r="LC6" s="319">
        <f ca="1">IF(KK6&lt;&gt;"",IF(LC46&lt;&gt;"",IF(KJ43=3,LC46,LC46+KJ43),SUM(KW6:LB6)+1),"")</f>
        <v>3</v>
      </c>
      <c r="LD6" s="319" t="str">
        <f ca="1">IF(KK6&lt;&gt;"",INDEX(KK5:KK8,MATCH(3,LC5:LC8,0),0),"")</f>
        <v>Hungary</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6</v>
      </c>
      <c r="NJ6" s="320">
        <f t="shared" ca="1" si="173"/>
        <v>998</v>
      </c>
      <c r="NK6" s="320">
        <f t="shared" ca="1" si="174"/>
        <v>3</v>
      </c>
      <c r="NL6" s="319">
        <f ca="1">VLOOKUP(ND6,B4:J40,9,FALSE)</f>
        <v>0</v>
      </c>
      <c r="NM6" s="319">
        <f ca="1">RANK(NK6,NK3:NK8)</f>
        <v>4</v>
      </c>
      <c r="NN6" s="319">
        <f ca="1">SUMPRODUCT((NM3:NM8=NM6)*(NJ3:NJ8&gt;NJ6))</f>
        <v>0</v>
      </c>
      <c r="NO6" s="319">
        <f ca="1">SUMPRODUCT((NM3:NM8=NM6)*(NJ3:NJ8=NJ6)*(NH3:NH8&gt;NH6))</f>
        <v>0</v>
      </c>
      <c r="NP6" s="319">
        <f ca="1">SUMPRODUCT((NM3:NM8=NM6)*(NJ3:NJ8=NJ6)*(NH3:NH8=NH6)*(NL3:NL8&gt;NL6))</f>
        <v>0</v>
      </c>
      <c r="NQ6" s="319">
        <f t="shared" ca="1" si="175"/>
        <v>4</v>
      </c>
      <c r="NR6" s="319" t="s">
        <v>100</v>
      </c>
      <c r="NS6" s="319">
        <v>4</v>
      </c>
      <c r="NT6" s="319"/>
      <c r="NU6" s="319">
        <f t="shared" ref="NU6" ca="1" si="1170">VLOOKUP(NV6,RQ4:RR8,2,FALSE)</f>
        <v>2</v>
      </c>
      <c r="NV6" s="319" t="str">
        <f t="shared" si="177"/>
        <v>Hungary</v>
      </c>
      <c r="NW6" s="319">
        <f t="shared" ref="NW6" ca="1" si="1171">SUMPRODUCT((RT3:RT42=NV6)*(RX3:RX42="W"))+SUMPRODUCT((RW3:RW42=NV6)*(RY3:RY42="W"))</f>
        <v>0</v>
      </c>
      <c r="NX6" s="319">
        <f t="shared" ref="NX6" ca="1" si="1172">SUMPRODUCT((RT3:RT42=NV6)*(RX3:RX42="D"))+SUMPRODUCT((RW3:RW42=NV6)*(RY3:RY42="D"))</f>
        <v>0</v>
      </c>
      <c r="NY6" s="319">
        <f t="shared" ref="NY6" ca="1" si="1173">SUMPRODUCT((RT3:RT42=NV6)*(RX3:RX42="L"))+SUMPRODUCT((RW3:RW42=NV6)*(RY3:RY42="L"))</f>
        <v>0</v>
      </c>
      <c r="NZ6" s="319">
        <f t="shared" ref="NZ6" ca="1" si="1174">SUMIF(RT3:RT60,NV6,RU3:RU60)+SUMIF(RW3:RW60,NV6,RV3:RV60)</f>
        <v>0</v>
      </c>
      <c r="OA6" s="319">
        <f t="shared" ref="OA6" ca="1" si="1175">SUMIF(RW3:RW60,NV6,RU3:RU60)+SUMIF(RT3:RT60,NV6,RV3:RV60)</f>
        <v>0</v>
      </c>
      <c r="OB6" s="319">
        <f t="shared" ca="1" si="183"/>
        <v>1000</v>
      </c>
      <c r="OC6" s="319">
        <f t="shared" ca="1" si="184"/>
        <v>0</v>
      </c>
      <c r="OD6" s="319">
        <f t="shared" si="630"/>
        <v>48</v>
      </c>
      <c r="OE6" s="319">
        <f t="shared" ref="OE6" ca="1" si="1176">IF(COUNTIF(OC4:OC8,4)&lt;&gt;4,RANK(OC6,OC4:OC8),OC46)</f>
        <v>1</v>
      </c>
      <c r="OF6" s="319"/>
      <c r="OG6" s="319">
        <f t="shared" ref="OG6" ca="1" si="1177">SUMPRODUCT((OE4:OE7=OE6)*(OD4:OD7&lt;OD6))+OE6</f>
        <v>3</v>
      </c>
      <c r="OH6" s="319" t="str">
        <f t="shared" ref="OH6" ca="1" si="1178">INDEX(NV4:NV8,MATCH(3,OG4:OG8,0),0)</f>
        <v>Hungary</v>
      </c>
      <c r="OI6" s="319">
        <f t="shared" ref="OI6" ca="1" si="1179">INDEX(OE4:OE8,MATCH(OH6,NV4:NV8,0),0)</f>
        <v>1</v>
      </c>
      <c r="OJ6" s="319" t="str">
        <f t="shared" ref="OJ6:OJ7" ca="1" si="1180">IF(AND(OJ5&lt;&gt;"",OI6=1),OH6,"")</f>
        <v>Hungary</v>
      </c>
      <c r="OK6" s="319" t="str">
        <f t="shared" ref="OK6:OK7" ca="1" si="1181">IF(AND(OK5&lt;&gt;"",OI7=2),OH7,"")</f>
        <v/>
      </c>
      <c r="OL6" s="319" t="str">
        <f t="shared" ref="OL6" ca="1" si="1182">IF(AND(OL5&lt;&gt;"",OI8=3),OH8,"")</f>
        <v/>
      </c>
      <c r="OM6" s="319"/>
      <c r="ON6" s="319"/>
      <c r="OO6" s="319" t="str">
        <f t="shared" ca="1" si="193"/>
        <v>Hungary</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f t="shared" ca="1" si="200"/>
        <v>0</v>
      </c>
      <c r="OW6" s="319">
        <f t="shared" ref="OW6" ca="1" si="1188">IF(OO6&lt;&gt;"",VLOOKUP(OO6,NV4:OB40,7,FALSE),"")</f>
        <v>1000</v>
      </c>
      <c r="OX6" s="319">
        <f t="shared" ref="OX6" ca="1" si="1189">IF(OO6&lt;&gt;"",VLOOKUP(OO6,NV4:OB40,5,FALSE),"")</f>
        <v>0</v>
      </c>
      <c r="OY6" s="319">
        <f t="shared" ref="OY6" ca="1" si="1190">IF(OO6&lt;&gt;"",VLOOKUP(OO6,NV4:OD40,9,FALSE),"")</f>
        <v>48</v>
      </c>
      <c r="OZ6" s="319">
        <f t="shared" ca="1" si="204"/>
        <v>0</v>
      </c>
      <c r="PA6" s="319">
        <f t="shared" ref="PA6" ca="1" si="1191">IF(OO6&lt;&gt;"",RANK(OZ6,OZ4:OZ8),"")</f>
        <v>1</v>
      </c>
      <c r="PB6" s="319">
        <f t="shared" ref="PB6" ca="1" si="1192">IF(OO6&lt;&gt;"",SUMPRODUCT((OZ4:OZ8=OZ6)*(OU4:OU8&gt;OU6)),"")</f>
        <v>0</v>
      </c>
      <c r="PC6" s="319">
        <f t="shared" ref="PC6" ca="1" si="1193">IF(OO6&lt;&gt;"",SUMPRODUCT((OZ4:OZ8=OZ6)*(OU4:OU8=OU6)*(OS4:OS8&gt;OS6)),"")</f>
        <v>0</v>
      </c>
      <c r="PD6" s="319">
        <f t="shared" ref="PD6" ca="1" si="1194">IF(OO6&lt;&gt;"",SUMPRODUCT((OZ4:OZ8=OZ6)*(OU4:OU8=OU6)*(OS4:OS8=OS6)*(OW4:OW8&gt;OW6)),"")</f>
        <v>0</v>
      </c>
      <c r="PE6" s="319">
        <f t="shared" ref="PE6" ca="1" si="1195">IF(OO6&lt;&gt;"",SUMPRODUCT((OZ4:OZ8=OZ6)*(OU4:OU8=OU6)*(OS4:OS8=OS6)*(OW4:OW8=OW6)*(OX4:OX8&gt;OX6)),"")</f>
        <v>0</v>
      </c>
      <c r="PF6" s="319">
        <f t="shared" ref="PF6" ca="1" si="1196">IF(OO6&lt;&gt;"",SUMPRODUCT((OZ4:OZ8=OZ6)*(OU4:OU8=OU6)*(OS4:OS8=OS6)*(OW4:OW8=OW6)*(OX4:OX8=OX6)*(OY4:OY8&gt;OY6)),"")</f>
        <v>1</v>
      </c>
      <c r="PG6" s="319">
        <f ca="1">IF(OO6&lt;&gt;"",IF(PG46&lt;&gt;"",IF(ON43=3,PG46,PG46+ON43),SUM(PA6:PF6)),"")</f>
        <v>2</v>
      </c>
      <c r="PH6" s="319" t="str">
        <f t="shared" ref="PH6" ca="1" si="1197">IF(OO6&lt;&gt;"",INDEX(OO4:OO8,MATCH(3,PG4:PG8,0),0),"")</f>
        <v>Scotland</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0</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t="str">
        <f t="shared" ref="QJ6:QJ7" ca="1" si="1220">IF(QC6&lt;&gt;"",QD6*3+QE6*1,"")</f>
        <v/>
      </c>
      <c r="QK6" s="319" t="str">
        <f t="shared" ref="QK6" ca="1" si="1221">IF(QC6&lt;&gt;"",VLOOKUP(QC6,NV4:OB40,7,FALSE),"")</f>
        <v/>
      </c>
      <c r="QL6" s="319" t="str">
        <f t="shared" ref="QL6" ca="1" si="1222">IF(QC6&lt;&gt;"",VLOOKUP(QC6,NV4:OB40,5,FALSE),"")</f>
        <v/>
      </c>
      <c r="QM6" s="319" t="str">
        <f t="shared" ref="QM6" ca="1" si="1223">IF(QC6&lt;&gt;"",VLOOKUP(QC6,NV4:OD40,9,FALSE),"")</f>
        <v/>
      </c>
      <c r="QN6" s="319" t="str">
        <f t="shared" ref="QN6:QN7" ca="1" si="1224">QJ6</f>
        <v/>
      </c>
      <c r="QO6" s="319" t="str">
        <f t="shared" ref="QO6" ca="1" si="1225">IF(QC6&lt;&gt;"",RANK(QN6,QN4:QN8),"")</f>
        <v/>
      </c>
      <c r="QP6" s="319" t="str">
        <f t="shared" ref="QP6" ca="1" si="1226">IF(QC6&lt;&gt;"",SUMPRODUCT((QN4:QN8=QN6)*(QI4:QI8&gt;QI6)),"")</f>
        <v/>
      </c>
      <c r="QQ6" s="319" t="str">
        <f t="shared" ref="QQ6" ca="1" si="1227">IF(QC6&lt;&gt;"",SUMPRODUCT((QN4:QN8=QN6)*(QI4:QI8=QI6)*(QG4:QG8&gt;QG6)),"")</f>
        <v/>
      </c>
      <c r="QR6" s="319" t="str">
        <f t="shared" ref="QR6" ca="1" si="1228">IF(QC6&lt;&gt;"",SUMPRODUCT((QN4:QN8=QN6)*(QI4:QI8=QI6)*(QG4:QG8=QG6)*(QK4:QK8&gt;QK6)),"")</f>
        <v/>
      </c>
      <c r="QS6" s="319" t="str">
        <f t="shared" ref="QS6" ca="1" si="1229">IF(QC6&lt;&gt;"",SUMPRODUCT((QN4:QN8=QN6)*(QI4:QI8=QI6)*(QG4:QG8=QG6)*(QK4:QK8=QK6)*(QL4:QL8&gt;QL6)),"")</f>
        <v/>
      </c>
      <c r="QT6" s="319" t="str">
        <f t="shared" ref="QT6" ca="1" si="1230">IF(QC6&lt;&gt;"",SUMPRODUCT((QN4:QN8=QN6)*(QI4:QI8=QI6)*(QG4:QG8=QG6)*(QK4:QK8=QK6)*(QL4:QL8=QL6)*(QM4:QM8&gt;QM6)),"")</f>
        <v/>
      </c>
      <c r="QU6" s="319" t="str">
        <f t="shared" ref="QU6:QU7" ca="1" si="1231">IF(QC6&lt;&gt;"",SUM(QO6:QT6)+2,"")</f>
        <v/>
      </c>
      <c r="QV6" s="319" t="str">
        <f t="shared" ref="QV6" ca="1" si="1232">IF(QC6&lt;&gt;"",INDEX(QC6:QC8,MATCH(3,QU6:QU8,0),0),"")</f>
        <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0</v>
      </c>
      <c r="RV6" s="322">
        <f ca="1">IF(OFFSET('Player Game Board'!Q13,0,RU1)&lt;&gt;"",OFFSET('Player Game Board'!Q13,0,RU1),0)</f>
        <v>0</v>
      </c>
      <c r="RW6" s="319" t="str">
        <f t="shared" si="19"/>
        <v>Albania</v>
      </c>
      <c r="RX6" s="319" t="str">
        <f ca="1">IF(AND(OFFSET('Player Game Board'!P13,0,RU1)&lt;&gt;"",OFFSET('Player Game Board'!Q13,0,RU1)&lt;&gt;""),IF(RU6&gt;RV6,"W",IF(RU6=RV6,"D","L")),"")</f>
        <v/>
      </c>
      <c r="RY6" s="319" t="str">
        <f t="shared" ca="1" si="20"/>
        <v/>
      </c>
      <c r="RZ6" s="319"/>
      <c r="SA6" s="319"/>
      <c r="SB6" s="319" t="str">
        <f t="shared" ref="SB6" ca="1" si="1234">VLOOKUP(3,NU25:NV28,2,FALSE)</f>
        <v>Austria</v>
      </c>
      <c r="SC6" s="320">
        <f t="shared" ref="SC6" ca="1" si="1235">VLOOKUP(SB6,NV4:OA40,2,FALSE)</f>
        <v>0</v>
      </c>
      <c r="SD6" s="320">
        <f t="shared" ref="SD6" ca="1" si="1236">VLOOKUP(SB6,NV4:OA40,3,FALSE)</f>
        <v>0</v>
      </c>
      <c r="SE6" s="320">
        <f t="shared" ref="SE6" ca="1" si="1237">VLOOKUP(SB6,NV4:OA40,4,FALSE)</f>
        <v>0</v>
      </c>
      <c r="SF6" s="320">
        <f t="shared" ref="SF6" ca="1" si="1238">VLOOKUP(SB6,NV4:OA40,5,FALSE)</f>
        <v>0</v>
      </c>
      <c r="SG6" s="320">
        <f t="shared" ref="SG6" ca="1" si="1239">VLOOKUP(SB6,NV4:OA40,6,FALSE)</f>
        <v>0</v>
      </c>
      <c r="SH6" s="320">
        <f t="shared" ca="1" si="27"/>
        <v>1000</v>
      </c>
      <c r="SI6" s="320">
        <f t="shared" ca="1" si="28"/>
        <v>0</v>
      </c>
      <c r="SJ6" s="319">
        <f ca="1">VLOOKUP(SB6,B4:J40,9,FALSE)</f>
        <v>41</v>
      </c>
      <c r="SK6" s="319">
        <f t="shared" ref="SK6" ca="1" si="1240">RANK(SI6,SI3:SI8)</f>
        <v>1</v>
      </c>
      <c r="SL6" s="319">
        <f t="shared" ref="SL6" ca="1" si="1241">SUMPRODUCT((SK3:SK8=SK6)*(SH3:SH8&gt;SH6))</f>
        <v>0</v>
      </c>
      <c r="SM6" s="319">
        <f t="shared" ref="SM6" ca="1" si="1242">SUMPRODUCT((SK3:SK8=SK6)*(SH3:SH8=SH6)*(SF3:SF8&gt;SF6))</f>
        <v>0</v>
      </c>
      <c r="SN6" s="319">
        <f t="shared" ref="SN6" ca="1" si="1243">SUMPRODUCT((SK3:SK8=SK6)*(SH3:SH8=SH6)*(SF3:SF8=SF6)*(SJ3:SJ8&gt;SJ6))</f>
        <v>1</v>
      </c>
      <c r="SO6" s="319">
        <f t="shared" ca="1" si="33"/>
        <v>2</v>
      </c>
      <c r="SP6" s="319" t="s">
        <v>100</v>
      </c>
      <c r="SQ6" s="319">
        <v>4</v>
      </c>
      <c r="SR6" s="319"/>
      <c r="SS6" s="319">
        <f t="shared" ref="SS6" ca="1" si="1244">VLOOKUP(ST6,WO4:WP8,2,FALSE)</f>
        <v>2</v>
      </c>
      <c r="ST6" s="319" t="str">
        <f t="shared" si="224"/>
        <v>Hungary</v>
      </c>
      <c r="SU6" s="319">
        <f t="shared" ref="SU6" ca="1" si="1245">SUMPRODUCT((WR3:WR42=ST6)*(WV3:WV42="W"))+SUMPRODUCT((WU3:WU42=ST6)*(WW3:WW42="W"))</f>
        <v>0</v>
      </c>
      <c r="SV6" s="319">
        <f t="shared" ref="SV6" ca="1" si="1246">SUMPRODUCT((WR3:WR42=ST6)*(WV3:WV42="D"))+SUMPRODUCT((WU3:WU42=ST6)*(WW3:WW42="D"))</f>
        <v>0</v>
      </c>
      <c r="SW6" s="319">
        <f t="shared" ref="SW6" ca="1" si="1247">SUMPRODUCT((WR3:WR42=ST6)*(WV3:WV42="L"))+SUMPRODUCT((WU3:WU42=ST6)*(WW3:WW42="L"))</f>
        <v>0</v>
      </c>
      <c r="SX6" s="319">
        <f t="shared" ref="SX6" ca="1" si="1248">SUMIF(WR3:WR60,ST6,WS3:WS60)+SUMIF(WU3:WU60,ST6,WT3:WT60)</f>
        <v>0</v>
      </c>
      <c r="SY6" s="319">
        <f t="shared" ref="SY6" ca="1" si="1249">SUMIF(WU3:WU60,ST6,WS3:WS60)+SUMIF(WR3:WR60,ST6,WT3:WT60)</f>
        <v>0</v>
      </c>
      <c r="SZ6" s="319">
        <f t="shared" ca="1" si="230"/>
        <v>1000</v>
      </c>
      <c r="TA6" s="319">
        <f t="shared" ca="1" si="231"/>
        <v>0</v>
      </c>
      <c r="TB6" s="319">
        <f t="shared" si="690"/>
        <v>48</v>
      </c>
      <c r="TC6" s="319">
        <f t="shared" ref="TC6" ca="1" si="1250">IF(COUNTIF(TA4:TA8,4)&lt;&gt;4,RANK(TA6,TA4:TA8),TA46)</f>
        <v>1</v>
      </c>
      <c r="TD6" s="319"/>
      <c r="TE6" s="319">
        <f t="shared" ref="TE6" ca="1" si="1251">SUMPRODUCT((TC4:TC7=TC6)*(TB4:TB7&lt;TB6))+TC6</f>
        <v>3</v>
      </c>
      <c r="TF6" s="319" t="str">
        <f t="shared" ref="TF6" ca="1" si="1252">INDEX(ST4:ST8,MATCH(3,TE4:TE8,0),0)</f>
        <v>Hungary</v>
      </c>
      <c r="TG6" s="319">
        <f t="shared" ref="TG6" ca="1" si="1253">INDEX(TC4:TC8,MATCH(TF6,ST4:ST8,0),0)</f>
        <v>1</v>
      </c>
      <c r="TH6" s="319" t="str">
        <f t="shared" ref="TH6:TH7" ca="1" si="1254">IF(AND(TH5&lt;&gt;"",TG6=1),TF6,"")</f>
        <v>Hungary</v>
      </c>
      <c r="TI6" s="319" t="str">
        <f t="shared" ref="TI6:TI7" ca="1" si="1255">IF(AND(TI5&lt;&gt;"",TG7=2),TF7,"")</f>
        <v/>
      </c>
      <c r="TJ6" s="319" t="str">
        <f t="shared" ref="TJ6" ca="1" si="1256">IF(AND(TJ5&lt;&gt;"",TG8=3),TF8,"")</f>
        <v/>
      </c>
      <c r="TK6" s="319"/>
      <c r="TL6" s="319"/>
      <c r="TM6" s="319" t="str">
        <f t="shared" ca="1" si="240"/>
        <v>Hungary</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f t="shared" ca="1" si="247"/>
        <v>0</v>
      </c>
      <c r="TU6" s="319">
        <f t="shared" ref="TU6" ca="1" si="1262">IF(TM6&lt;&gt;"",VLOOKUP(TM6,ST4:SZ40,7,FALSE),"")</f>
        <v>1000</v>
      </c>
      <c r="TV6" s="319">
        <f t="shared" ref="TV6" ca="1" si="1263">IF(TM6&lt;&gt;"",VLOOKUP(TM6,ST4:SZ40,5,FALSE),"")</f>
        <v>0</v>
      </c>
      <c r="TW6" s="319">
        <f t="shared" ref="TW6" ca="1" si="1264">IF(TM6&lt;&gt;"",VLOOKUP(TM6,ST4:TB40,9,FALSE),"")</f>
        <v>48</v>
      </c>
      <c r="TX6" s="319">
        <f t="shared" ca="1" si="251"/>
        <v>0</v>
      </c>
      <c r="TY6" s="319">
        <f t="shared" ref="TY6" ca="1" si="1265">IF(TM6&lt;&gt;"",RANK(TX6,TX4:TX8),"")</f>
        <v>1</v>
      </c>
      <c r="TZ6" s="319">
        <f t="shared" ref="TZ6" ca="1" si="1266">IF(TM6&lt;&gt;"",SUMPRODUCT((TX4:TX8=TX6)*(TS4:TS8&gt;TS6)),"")</f>
        <v>0</v>
      </c>
      <c r="UA6" s="319">
        <f t="shared" ref="UA6" ca="1" si="1267">IF(TM6&lt;&gt;"",SUMPRODUCT((TX4:TX8=TX6)*(TS4:TS8=TS6)*(TQ4:TQ8&gt;TQ6)),"")</f>
        <v>0</v>
      </c>
      <c r="UB6" s="319">
        <f t="shared" ref="UB6" ca="1" si="1268">IF(TM6&lt;&gt;"",SUMPRODUCT((TX4:TX8=TX6)*(TS4:TS8=TS6)*(TQ4:TQ8=TQ6)*(TU4:TU8&gt;TU6)),"")</f>
        <v>0</v>
      </c>
      <c r="UC6" s="319">
        <f t="shared" ref="UC6" ca="1" si="1269">IF(TM6&lt;&gt;"",SUMPRODUCT((TX4:TX8=TX6)*(TS4:TS8=TS6)*(TQ4:TQ8=TQ6)*(TU4:TU8=TU6)*(TV4:TV8&gt;TV6)),"")</f>
        <v>0</v>
      </c>
      <c r="UD6" s="319">
        <f t="shared" ref="UD6" ca="1" si="1270">IF(TM6&lt;&gt;"",SUMPRODUCT((TX4:TX8=TX6)*(TS4:TS8=TS6)*(TQ4:TQ8=TQ6)*(TU4:TU8=TU6)*(TV4:TV8=TV6)*(TW4:TW8&gt;TW6)),"")</f>
        <v>1</v>
      </c>
      <c r="UE6" s="319">
        <f ca="1">IF(TM6&lt;&gt;"",IF(UE46&lt;&gt;"",IF(TL43=3,UE46,UE46+TL43),SUM(TY6:UD6)),"")</f>
        <v>2</v>
      </c>
      <c r="UF6" s="319" t="str">
        <f t="shared" ref="UF6" ca="1" si="1271">IF(TM6&lt;&gt;"",INDEX(TM4:TM8,MATCH(3,UE4:UE8,0),0),"")</f>
        <v>Scotland</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0</v>
      </c>
      <c r="WT6" s="322">
        <f ca="1">IF(OFFSET('Player Game Board'!Q13,0,WS1)&lt;&gt;"",OFFSET('Player Game Board'!Q13,0,WS1),0)</f>
        <v>0</v>
      </c>
      <c r="WU6" s="319" t="str">
        <f t="shared" si="35"/>
        <v>Albania</v>
      </c>
      <c r="WV6" s="319" t="str">
        <f ca="1">IF(AND(OFFSET('Player Game Board'!P13,0,WS1)&lt;&gt;"",OFFSET('Player Game Board'!Q13,0,WS1)&lt;&gt;""),IF(WS6&gt;WT6,"W",IF(WS6=WT6,"D","L")),"")</f>
        <v/>
      </c>
      <c r="WW6" s="319" t="str">
        <f t="shared" ca="1" si="36"/>
        <v/>
      </c>
      <c r="WX6" s="319"/>
      <c r="WY6" s="319"/>
      <c r="WZ6" s="319" t="str">
        <f t="shared" ref="WZ6" ca="1" si="1308">VLOOKUP(3,SS25:ST28,2,FALSE)</f>
        <v>Austria</v>
      </c>
      <c r="XA6" s="320">
        <f t="shared" ref="XA6" ca="1" si="1309">VLOOKUP(WZ6,ST4:SY40,2,FALSE)</f>
        <v>0</v>
      </c>
      <c r="XB6" s="320">
        <f t="shared" ref="XB6" ca="1" si="1310">VLOOKUP(WZ6,ST4:SY40,3,FALSE)</f>
        <v>0</v>
      </c>
      <c r="XC6" s="320">
        <f t="shared" ref="XC6" ca="1" si="1311">VLOOKUP(WZ6,ST4:SY40,4,FALSE)</f>
        <v>0</v>
      </c>
      <c r="XD6" s="320">
        <f t="shared" ref="XD6" ca="1" si="1312">VLOOKUP(WZ6,ST4:SY40,5,FALSE)</f>
        <v>0</v>
      </c>
      <c r="XE6" s="320">
        <f t="shared" ref="XE6" ca="1" si="1313">VLOOKUP(WZ6,ST4:SY40,6,FALSE)</f>
        <v>0</v>
      </c>
      <c r="XF6" s="320">
        <f t="shared" ca="1" si="43"/>
        <v>1000</v>
      </c>
      <c r="XG6" s="320">
        <f t="shared" ca="1" si="44"/>
        <v>0</v>
      </c>
      <c r="XH6" s="319">
        <f ca="1">VLOOKUP(WZ6,B4:J40,9,FALSE)</f>
        <v>41</v>
      </c>
      <c r="XI6" s="319">
        <f t="shared" ref="XI6" ca="1" si="1314">RANK(XG6,XG3:XG8)</f>
        <v>1</v>
      </c>
      <c r="XJ6" s="319">
        <f t="shared" ref="XJ6" ca="1" si="1315">SUMPRODUCT((XI3:XI8=XI6)*(XF3:XF8&gt;XF6))</f>
        <v>0</v>
      </c>
      <c r="XK6" s="319">
        <f t="shared" ref="XK6" ca="1" si="1316">SUMPRODUCT((XI3:XI8=XI6)*(XF3:XF8=XF6)*(XD3:XD8&gt;XD6))</f>
        <v>0</v>
      </c>
      <c r="XL6" s="319">
        <f t="shared" ref="XL6" ca="1" si="1317">SUMPRODUCT((XI3:XI8=XI6)*(XF3:XF8=XF6)*(XD3:XD8=XD6)*(XH3:XH8&gt;XH6))</f>
        <v>1</v>
      </c>
      <c r="XM6" s="319">
        <f t="shared" ca="1" si="49"/>
        <v>2</v>
      </c>
      <c r="XN6" s="319" t="s">
        <v>100</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100</v>
      </c>
      <c r="ACM6" s="319">
        <v>4</v>
      </c>
      <c r="ACN6" s="319"/>
      <c r="ACO6" s="319">
        <f t="shared" ref="ACO6" ca="1" si="1392">VLOOKUP(ACP6,AGK4:AGL8,2,FALSE)</f>
        <v>2</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0</v>
      </c>
      <c r="ACT6" s="319">
        <f t="shared" ref="ACT6" ca="1" si="1396">SUMIF(AGN3:AGN60,ACP6,AGO3:AGO60)+SUMIF(AGQ3:AGQ60,ACP6,AGP3:AGP60)</f>
        <v>0</v>
      </c>
      <c r="ACU6" s="319">
        <f t="shared" ref="ACU6" ca="1" si="1397">SUMIF(AGQ3:AGQ60,ACP6,AGO3:AGO60)+SUMIF(AGN3:AGN60,ACP6,AGP3:AGP60)</f>
        <v>0</v>
      </c>
      <c r="ACV6" s="319">
        <f t="shared" ca="1" si="324"/>
        <v>1000</v>
      </c>
      <c r="ACW6" s="319">
        <f t="shared" ca="1" si="325"/>
        <v>0</v>
      </c>
      <c r="ACX6" s="319">
        <f t="shared" si="810"/>
        <v>48</v>
      </c>
      <c r="ACY6" s="319">
        <f t="shared" ref="ACY6" ca="1" si="1398">IF(COUNTIF(ACW4:ACW8,4)&lt;&gt;4,RANK(ACW6,ACW4:ACW8),ACW46)</f>
        <v>1</v>
      </c>
      <c r="ACZ6" s="319"/>
      <c r="ADA6" s="319">
        <f t="shared" ref="ADA6" ca="1" si="1399">SUMPRODUCT((ACY4:ACY7=ACY6)*(ACX4:ACX7&lt;ACX6))+ACY6</f>
        <v>3</v>
      </c>
      <c r="ADB6" s="319" t="str">
        <f t="shared" ref="ADB6" ca="1" si="1400">INDEX(ACP4:ACP8,MATCH(3,ADA4:ADA8,0),0)</f>
        <v>Hungary</v>
      </c>
      <c r="ADC6" s="319">
        <f t="shared" ref="ADC6" ca="1" si="1401">INDEX(ACY4:ACY8,MATCH(ADB6,ACP4:ACP8,0),0)</f>
        <v>1</v>
      </c>
      <c r="ADD6" s="319" t="str">
        <f t="shared" ref="ADD6:ADD7" ca="1" si="1402">IF(AND(ADD5&lt;&gt;"",ADC6=1),ADB6,"")</f>
        <v>Hungary</v>
      </c>
      <c r="ADE6" s="319" t="str">
        <f t="shared" ref="ADE6:ADE7" ca="1" si="1403">IF(AND(ADE5&lt;&gt;"",ADC7=2),ADB7,"")</f>
        <v/>
      </c>
      <c r="ADF6" s="319" t="str">
        <f t="shared" ref="ADF6" ca="1" si="1404">IF(AND(ADF5&lt;&gt;"",ADC8=3),ADB8,"")</f>
        <v/>
      </c>
      <c r="ADG6" s="319"/>
      <c r="ADH6" s="319"/>
      <c r="ADI6" s="319" t="str">
        <f t="shared" ca="1" si="334"/>
        <v>Hungary</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f t="shared" ca="1" si="341"/>
        <v>0</v>
      </c>
      <c r="ADQ6" s="319">
        <f t="shared" ref="ADQ6" ca="1" si="1410">IF(ADI6&lt;&gt;"",VLOOKUP(ADI6,ACP4:ACV40,7,FALSE),"")</f>
        <v>1000</v>
      </c>
      <c r="ADR6" s="319">
        <f t="shared" ref="ADR6" ca="1" si="1411">IF(ADI6&lt;&gt;"",VLOOKUP(ADI6,ACP4:ACV40,5,FALSE),"")</f>
        <v>0</v>
      </c>
      <c r="ADS6" s="319">
        <f t="shared" ref="ADS6" ca="1" si="1412">IF(ADI6&lt;&gt;"",VLOOKUP(ADI6,ACP4:ACX40,9,FALSE),"")</f>
        <v>48</v>
      </c>
      <c r="ADT6" s="319">
        <f t="shared" ca="1" si="345"/>
        <v>0</v>
      </c>
      <c r="ADU6" s="319">
        <f t="shared" ref="ADU6" ca="1" si="1413">IF(ADI6&lt;&gt;"",RANK(ADT6,ADT4:ADT8),"")</f>
        <v>1</v>
      </c>
      <c r="ADV6" s="319">
        <f t="shared" ref="ADV6" ca="1" si="1414">IF(ADI6&lt;&gt;"",SUMPRODUCT((ADT4:ADT8=ADT6)*(ADO4:ADO8&gt;ADO6)),"")</f>
        <v>0</v>
      </c>
      <c r="ADW6" s="319">
        <f t="shared" ref="ADW6" ca="1" si="1415">IF(ADI6&lt;&gt;"",SUMPRODUCT((ADT4:ADT8=ADT6)*(ADO4:ADO8=ADO6)*(ADM4:ADM8&gt;ADM6)),"")</f>
        <v>0</v>
      </c>
      <c r="ADX6" s="319">
        <f t="shared" ref="ADX6" ca="1" si="1416">IF(ADI6&lt;&gt;"",SUMPRODUCT((ADT4:ADT8=ADT6)*(ADO4:ADO8=ADO6)*(ADM4:ADM8=ADM6)*(ADQ4:ADQ8&gt;ADQ6)),"")</f>
        <v>0</v>
      </c>
      <c r="ADY6" s="319">
        <f t="shared" ref="ADY6" ca="1" si="1417">IF(ADI6&lt;&gt;"",SUMPRODUCT((ADT4:ADT8=ADT6)*(ADO4:ADO8=ADO6)*(ADM4:ADM8=ADM6)*(ADQ4:ADQ8=ADQ6)*(ADR4:ADR8&gt;ADR6)),"")</f>
        <v>0</v>
      </c>
      <c r="ADZ6" s="319">
        <f t="shared" ref="ADZ6" ca="1" si="1418">IF(ADI6&lt;&gt;"",SUMPRODUCT((ADT4:ADT8=ADT6)*(ADO4:ADO8=ADO6)*(ADM4:ADM8=ADM6)*(ADQ4:ADQ8=ADQ6)*(ADR4:ADR8=ADR6)*(ADS4:ADS8&gt;ADS6)),"")</f>
        <v>1</v>
      </c>
      <c r="AEA6" s="319">
        <f ca="1">IF(ADI6&lt;&gt;"",IF(AEA46&lt;&gt;"",IF(ADH43=3,AEA46,AEA46+ADH43),SUM(ADU6:ADZ6)),"")</f>
        <v>2</v>
      </c>
      <c r="AEB6" s="319" t="str">
        <f t="shared" ref="AEB6" ca="1" si="1419">IF(ADI6&lt;&gt;"",INDEX(ADI4:ADI8,MATCH(3,AEA4:AEA8,0),0),"")</f>
        <v>Scotland</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0</v>
      </c>
      <c r="AGP6" s="322">
        <f ca="1">IF(OFFSET('Player Game Board'!Q13,0,AGO1)&lt;&gt;"",OFFSET('Player Game Board'!Q13,0,AGO1),0)</f>
        <v>0</v>
      </c>
      <c r="AGQ6" s="319" t="str">
        <f t="shared" si="67"/>
        <v>Albania</v>
      </c>
      <c r="AGR6" s="319" t="str">
        <f ca="1">IF(AND(OFFSET('Player Game Board'!P13,0,AGO1)&lt;&gt;"",OFFSET('Player Game Board'!Q13,0,AGO1)&lt;&gt;""),IF(AGO6&gt;AGP6,"W",IF(AGO6=AGP6,"D","L")),"")</f>
        <v/>
      </c>
      <c r="AGS6" s="319" t="str">
        <f t="shared" ca="1" si="68"/>
        <v/>
      </c>
      <c r="AGT6" s="319"/>
      <c r="AGU6" s="319"/>
      <c r="AGV6" s="319" t="str">
        <f t="shared" ref="AGV6" ca="1" si="1456">VLOOKUP(3,ACO25:ACP28,2,FALSE)</f>
        <v>Austria</v>
      </c>
      <c r="AGW6" s="320">
        <f t="shared" ref="AGW6" ca="1" si="1457">VLOOKUP(AGV6,ACP4:ACU40,2,FALSE)</f>
        <v>0</v>
      </c>
      <c r="AGX6" s="320">
        <f t="shared" ref="AGX6" ca="1" si="1458">VLOOKUP(AGV6,ACP4:ACU40,3,FALSE)</f>
        <v>0</v>
      </c>
      <c r="AGY6" s="320">
        <f t="shared" ref="AGY6" ca="1" si="1459">VLOOKUP(AGV6,ACP4:ACU40,4,FALSE)</f>
        <v>0</v>
      </c>
      <c r="AGZ6" s="320">
        <f t="shared" ref="AGZ6" ca="1" si="1460">VLOOKUP(AGV6,ACP4:ACU40,5,FALSE)</f>
        <v>0</v>
      </c>
      <c r="AHA6" s="320">
        <f t="shared" ref="AHA6" ca="1" si="1461">VLOOKUP(AGV6,ACP4:ACU40,6,FALSE)</f>
        <v>0</v>
      </c>
      <c r="AHB6" s="320">
        <f t="shared" ca="1" si="75"/>
        <v>1000</v>
      </c>
      <c r="AHC6" s="320">
        <f t="shared" ca="1" si="76"/>
        <v>0</v>
      </c>
      <c r="AHD6" s="319">
        <f ca="1">VLOOKUP(AGV6,B4:J40,9,FALSE)</f>
        <v>41</v>
      </c>
      <c r="AHE6" s="319">
        <f t="shared" ref="AHE6" ca="1" si="1462">RANK(AHC6,AHC3:AHC8)</f>
        <v>1</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1</v>
      </c>
      <c r="AHI6" s="319">
        <f t="shared" ca="1" si="81"/>
        <v>2</v>
      </c>
      <c r="AHJ6" s="319" t="s">
        <v>100</v>
      </c>
      <c r="AHK6" s="319">
        <v>4</v>
      </c>
      <c r="AHL6" s="319"/>
      <c r="AHM6" s="319">
        <f t="shared" ref="AHM6" ca="1" si="1466">VLOOKUP(AHN6,ALI4:ALJ8,2,FALSE)</f>
        <v>2</v>
      </c>
      <c r="AHN6" s="319" t="str">
        <f t="shared" si="365"/>
        <v>Hungary</v>
      </c>
      <c r="AHO6" s="319">
        <f t="shared" ref="AHO6" ca="1" si="1467">SUMPRODUCT((ALL3:ALL42=AHN6)*(ALP3:ALP42="W"))+SUMPRODUCT((ALO3:ALO42=AHN6)*(ALQ3:ALQ42="W"))</f>
        <v>0</v>
      </c>
      <c r="AHP6" s="319">
        <f t="shared" ref="AHP6" ca="1" si="1468">SUMPRODUCT((ALL3:ALL42=AHN6)*(ALP3:ALP42="D"))+SUMPRODUCT((ALO3:ALO42=AHN6)*(ALQ3:ALQ42="D"))</f>
        <v>0</v>
      </c>
      <c r="AHQ6" s="319">
        <f t="shared" ref="AHQ6" ca="1" si="1469">SUMPRODUCT((ALL3:ALL42=AHN6)*(ALP3:ALP42="L"))+SUMPRODUCT((ALO3:ALO42=AHN6)*(ALQ3:ALQ42="L"))</f>
        <v>0</v>
      </c>
      <c r="AHR6" s="319">
        <f t="shared" ref="AHR6" ca="1" si="1470">SUMIF(ALL3:ALL60,AHN6,ALM3:ALM60)+SUMIF(ALO3:ALO60,AHN6,ALN3:ALN60)</f>
        <v>0</v>
      </c>
      <c r="AHS6" s="319">
        <f t="shared" ref="AHS6" ca="1" si="1471">SUMIF(ALO3:ALO60,AHN6,ALM3:ALM60)+SUMIF(ALL3:ALL60,AHN6,ALN3:ALN60)</f>
        <v>0</v>
      </c>
      <c r="AHT6" s="319">
        <f t="shared" ca="1" si="371"/>
        <v>1000</v>
      </c>
      <c r="AHU6" s="319">
        <f t="shared" ca="1" si="372"/>
        <v>0</v>
      </c>
      <c r="AHV6" s="319">
        <f t="shared" si="870"/>
        <v>48</v>
      </c>
      <c r="AHW6" s="319">
        <f t="shared" ref="AHW6" ca="1" si="1472">IF(COUNTIF(AHU4:AHU8,4)&lt;&gt;4,RANK(AHU6,AHU4:AHU8),AHU46)</f>
        <v>1</v>
      </c>
      <c r="AHX6" s="319"/>
      <c r="AHY6" s="319">
        <f t="shared" ref="AHY6" ca="1" si="1473">SUMPRODUCT((AHW4:AHW7=AHW6)*(AHV4:AHV7&lt;AHV6))+AHW6</f>
        <v>3</v>
      </c>
      <c r="AHZ6" s="319" t="str">
        <f t="shared" ref="AHZ6" ca="1" si="1474">INDEX(AHN4:AHN8,MATCH(3,AHY4:AHY8,0),0)</f>
        <v>Hungary</v>
      </c>
      <c r="AIA6" s="319">
        <f t="shared" ref="AIA6" ca="1" si="1475">INDEX(AHW4:AHW8,MATCH(AHZ6,AHN4:AHN8,0),0)</f>
        <v>1</v>
      </c>
      <c r="AIB6" s="319" t="str">
        <f t="shared" ref="AIB6:AIB7" ca="1" si="1476">IF(AND(AIB5&lt;&gt;"",AIA6=1),AHZ6,"")</f>
        <v>Hungary</v>
      </c>
      <c r="AIC6" s="319" t="str">
        <f t="shared" ref="AIC6:AIC7" ca="1" si="1477">IF(AND(AIC5&lt;&gt;"",AIA7=2),AHZ7,"")</f>
        <v/>
      </c>
      <c r="AID6" s="319" t="str">
        <f t="shared" ref="AID6" ca="1" si="1478">IF(AND(AID5&lt;&gt;"",AIA8=3),AHZ8,"")</f>
        <v/>
      </c>
      <c r="AIE6" s="319"/>
      <c r="AIF6" s="319"/>
      <c r="AIG6" s="319" t="str">
        <f t="shared" ca="1" si="381"/>
        <v>Hungary</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f t="shared" ca="1" si="388"/>
        <v>0</v>
      </c>
      <c r="AIO6" s="319">
        <f t="shared" ref="AIO6" ca="1" si="1484">IF(AIG6&lt;&gt;"",VLOOKUP(AIG6,AHN4:AHT40,7,FALSE),"")</f>
        <v>1000</v>
      </c>
      <c r="AIP6" s="319">
        <f t="shared" ref="AIP6" ca="1" si="1485">IF(AIG6&lt;&gt;"",VLOOKUP(AIG6,AHN4:AHT40,5,FALSE),"")</f>
        <v>0</v>
      </c>
      <c r="AIQ6" s="319">
        <f t="shared" ref="AIQ6" ca="1" si="1486">IF(AIG6&lt;&gt;"",VLOOKUP(AIG6,AHN4:AHV40,9,FALSE),"")</f>
        <v>48</v>
      </c>
      <c r="AIR6" s="319">
        <f t="shared" ca="1" si="392"/>
        <v>0</v>
      </c>
      <c r="AIS6" s="319">
        <f t="shared" ref="AIS6" ca="1" si="1487">IF(AIG6&lt;&gt;"",RANK(AIR6,AIR4:AIR8),"")</f>
        <v>1</v>
      </c>
      <c r="AIT6" s="319">
        <f t="shared" ref="AIT6" ca="1" si="1488">IF(AIG6&lt;&gt;"",SUMPRODUCT((AIR4:AIR8=AIR6)*(AIM4:AIM8&gt;AIM6)),"")</f>
        <v>0</v>
      </c>
      <c r="AIU6" s="319">
        <f t="shared" ref="AIU6" ca="1" si="1489">IF(AIG6&lt;&gt;"",SUMPRODUCT((AIR4:AIR8=AIR6)*(AIM4:AIM8=AIM6)*(AIK4:AIK8&gt;AIK6)),"")</f>
        <v>0</v>
      </c>
      <c r="AIV6" s="319">
        <f t="shared" ref="AIV6" ca="1" si="1490">IF(AIG6&lt;&gt;"",SUMPRODUCT((AIR4:AIR8=AIR6)*(AIM4:AIM8=AIM6)*(AIK4:AIK8=AIK6)*(AIO4:AIO8&gt;AIO6)),"")</f>
        <v>0</v>
      </c>
      <c r="AIW6" s="319">
        <f t="shared" ref="AIW6" ca="1" si="1491">IF(AIG6&lt;&gt;"",SUMPRODUCT((AIR4:AIR8=AIR6)*(AIM4:AIM8=AIM6)*(AIK4:AIK8=AIK6)*(AIO4:AIO8=AIO6)*(AIP4:AIP8&gt;AIP6)),"")</f>
        <v>0</v>
      </c>
      <c r="AIX6" s="319">
        <f t="shared" ref="AIX6" ca="1" si="1492">IF(AIG6&lt;&gt;"",SUMPRODUCT((AIR4:AIR8=AIR6)*(AIM4:AIM8=AIM6)*(AIK4:AIK8=AIK6)*(AIO4:AIO8=AIO6)*(AIP4:AIP8=AIP6)*(AIQ4:AIQ8&gt;AIQ6)),"")</f>
        <v>1</v>
      </c>
      <c r="AIY6" s="319">
        <f ca="1">IF(AIG6&lt;&gt;"",IF(AIY46&lt;&gt;"",IF(AIF43=3,AIY46,AIY46+AIF43),SUM(AIS6:AIX6)),"")</f>
        <v>2</v>
      </c>
      <c r="AIZ6" s="319" t="str">
        <f t="shared" ref="AIZ6" ca="1" si="1493">IF(AIG6&lt;&gt;"",INDEX(AIG4:AIG8,MATCH(3,AIY4:AIY8,0),0),"")</f>
        <v>Scotland</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0</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t="str">
        <f t="shared" ref="AKB6:AKB7" ca="1" si="1516">IF(AJU6&lt;&gt;"",AJV6*3+AJW6*1,"")</f>
        <v/>
      </c>
      <c r="AKC6" s="319" t="str">
        <f t="shared" ref="AKC6" ca="1" si="1517">IF(AJU6&lt;&gt;"",VLOOKUP(AJU6,AHN4:AHT40,7,FALSE),"")</f>
        <v/>
      </c>
      <c r="AKD6" s="319" t="str">
        <f t="shared" ref="AKD6" ca="1" si="1518">IF(AJU6&lt;&gt;"",VLOOKUP(AJU6,AHN4:AHT40,5,FALSE),"")</f>
        <v/>
      </c>
      <c r="AKE6" s="319" t="str">
        <f t="shared" ref="AKE6" ca="1" si="1519">IF(AJU6&lt;&gt;"",VLOOKUP(AJU6,AHN4:AHV40,9,FALSE),"")</f>
        <v/>
      </c>
      <c r="AKF6" s="319" t="str">
        <f t="shared" ref="AKF6:AKF7" ca="1" si="1520">AKB6</f>
        <v/>
      </c>
      <c r="AKG6" s="319" t="str">
        <f t="shared" ref="AKG6" ca="1" si="1521">IF(AJU6&lt;&gt;"",RANK(AKF6,AKF4:AKF8),"")</f>
        <v/>
      </c>
      <c r="AKH6" s="319" t="str">
        <f t="shared" ref="AKH6" ca="1" si="1522">IF(AJU6&lt;&gt;"",SUMPRODUCT((AKF4:AKF8=AKF6)*(AKA4:AKA8&gt;AKA6)),"")</f>
        <v/>
      </c>
      <c r="AKI6" s="319" t="str">
        <f t="shared" ref="AKI6" ca="1" si="1523">IF(AJU6&lt;&gt;"",SUMPRODUCT((AKF4:AKF8=AKF6)*(AKA4:AKA8=AKA6)*(AJY4:AJY8&gt;AJY6)),"")</f>
        <v/>
      </c>
      <c r="AKJ6" s="319" t="str">
        <f t="shared" ref="AKJ6" ca="1" si="1524">IF(AJU6&lt;&gt;"",SUMPRODUCT((AKF4:AKF8=AKF6)*(AKA4:AKA8=AKA6)*(AJY4:AJY8=AJY6)*(AKC4:AKC8&gt;AKC6)),"")</f>
        <v/>
      </c>
      <c r="AKK6" s="319" t="str">
        <f t="shared" ref="AKK6" ca="1" si="1525">IF(AJU6&lt;&gt;"",SUMPRODUCT((AKF4:AKF8=AKF6)*(AKA4:AKA8=AKA6)*(AJY4:AJY8=AJY6)*(AKC4:AKC8=AKC6)*(AKD4:AKD8&gt;AKD6)),"")</f>
        <v/>
      </c>
      <c r="AKL6" s="319" t="str">
        <f t="shared" ref="AKL6" ca="1" si="1526">IF(AJU6&lt;&gt;"",SUMPRODUCT((AKF4:AKF8=AKF6)*(AKA4:AKA8=AKA6)*(AJY4:AJY8=AJY6)*(AKC4:AKC8=AKC6)*(AKD4:AKD8=AKD6)*(AKE4:AKE8&gt;AKE6)),"")</f>
        <v/>
      </c>
      <c r="AKM6" s="319" t="str">
        <f t="shared" ref="AKM6:AKM7" ca="1" si="1527">IF(AJU6&lt;&gt;"",SUM(AKG6:AKL6)+2,"")</f>
        <v/>
      </c>
      <c r="AKN6" s="319" t="str">
        <f t="shared" ref="AKN6" ca="1" si="1528">IF(AJU6&lt;&gt;"",INDEX(AJU6:AJU8,MATCH(3,AKM6:AKM8,0),0),"")</f>
        <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0</v>
      </c>
      <c r="ALN6" s="322">
        <f ca="1">IF(OFFSET('Player Game Board'!Q13,0,ALM1)&lt;&gt;"",OFFSET('Player Game Board'!Q13,0,ALM1),0)</f>
        <v>0</v>
      </c>
      <c r="ALO6" s="319" t="str">
        <f t="shared" si="83"/>
        <v>Albania</v>
      </c>
      <c r="ALP6" s="319" t="str">
        <f ca="1">IF(AND(OFFSET('Player Game Board'!P13,0,ALM1)&lt;&gt;"",OFFSET('Player Game Board'!Q13,0,ALM1)&lt;&gt;""),IF(ALM6&gt;ALN6,"W",IF(ALM6=ALN6,"D","L")),"")</f>
        <v/>
      </c>
      <c r="ALQ6" s="319" t="str">
        <f t="shared" ca="1" si="84"/>
        <v/>
      </c>
      <c r="ALR6" s="319"/>
      <c r="ALS6" s="319"/>
      <c r="ALT6" s="319" t="str">
        <f t="shared" ref="ALT6" ca="1" si="1530">VLOOKUP(3,AHM25:AHN28,2,FALSE)</f>
        <v>Austria</v>
      </c>
      <c r="ALU6" s="320">
        <f t="shared" ref="ALU6" ca="1" si="1531">VLOOKUP(ALT6,AHN4:AHS40,2,FALSE)</f>
        <v>0</v>
      </c>
      <c r="ALV6" s="320">
        <f t="shared" ref="ALV6" ca="1" si="1532">VLOOKUP(ALT6,AHN4:AHS40,3,FALSE)</f>
        <v>0</v>
      </c>
      <c r="ALW6" s="320">
        <f t="shared" ref="ALW6" ca="1" si="1533">VLOOKUP(ALT6,AHN4:AHS40,4,FALSE)</f>
        <v>0</v>
      </c>
      <c r="ALX6" s="320">
        <f t="shared" ref="ALX6" ca="1" si="1534">VLOOKUP(ALT6,AHN4:AHS40,5,FALSE)</f>
        <v>0</v>
      </c>
      <c r="ALY6" s="320">
        <f t="shared" ref="ALY6" ca="1" si="1535">VLOOKUP(ALT6,AHN4:AHS40,6,FALSE)</f>
        <v>0</v>
      </c>
      <c r="ALZ6" s="320">
        <f t="shared" ca="1" si="91"/>
        <v>1000</v>
      </c>
      <c r="AMA6" s="320">
        <f t="shared" ca="1" si="92"/>
        <v>0</v>
      </c>
      <c r="AMB6" s="319">
        <f ca="1">VLOOKUP(ALT6,B4:J40,9,FALSE)</f>
        <v>41</v>
      </c>
      <c r="AMC6" s="319">
        <f t="shared" ref="AMC6" ca="1" si="1536">RANK(AMA6,AMA3:AMA8)</f>
        <v>1</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2</v>
      </c>
      <c r="AMH6" s="319" t="s">
        <v>100</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100</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100</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100</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100</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1</v>
      </c>
      <c r="DR7" s="319">
        <f>SUMPRODUCT((DQ3:DQ8=DQ7)*(DN3:DN8&gt;DN7))</f>
        <v>1</v>
      </c>
      <c r="DS7" s="319">
        <f>SUMPRODUCT((DQ3:DQ8=DQ7)*(DN3:DN8=DN7)*(DL3:DL8&gt;DL7))</f>
        <v>0</v>
      </c>
      <c r="DT7" s="319">
        <f>SUMPRODUCT((DQ3:DQ8=DQ7)*(DN3:DN8=DN7)*(DL3:DL8=DL7)*(DP3:DP8&gt;DP7))</f>
        <v>0</v>
      </c>
      <c r="DU7" s="319">
        <f t="shared" si="163"/>
        <v>2</v>
      </c>
      <c r="DV7" s="319" t="s">
        <v>101</v>
      </c>
      <c r="DW7" s="319">
        <v>5</v>
      </c>
      <c r="DX7" s="319"/>
      <c r="DY7" s="319">
        <f ca="1">VLOOKUP(DZ7,HU4:HV8,2,FALSE)</f>
        <v>3</v>
      </c>
      <c r="DZ7" s="319" t="str">
        <f t="shared" si="606"/>
        <v>Switzerland</v>
      </c>
      <c r="EA7" s="319">
        <f ca="1">SUMPRODUCT((HX3:HX42=DZ7)*(IB3:IB42="W"))+SUMPRODUCT((IA3:IA42=DZ7)*(IC3:IC42="W"))</f>
        <v>1</v>
      </c>
      <c r="EB7" s="319">
        <f ca="1">SUMPRODUCT((HX3:HX42=DZ7)*(IB3:IB42="D"))+SUMPRODUCT((IA3:IA42=DZ7)*(IC3:IC42="D"))</f>
        <v>0</v>
      </c>
      <c r="EC7" s="319">
        <f ca="1">SUMPRODUCT((HX3:HX42=DZ7)*(IB3:IB42="L"))+SUMPRODUCT((IA3:IA42=DZ7)*(IC3:IC42="L"))</f>
        <v>2</v>
      </c>
      <c r="ED7" s="319">
        <f ca="1">SUMIF(HX3:HX60,DZ7,HY3:HY60)+SUMIF(IA3:IA60,DZ7,HZ3:HZ60)</f>
        <v>4</v>
      </c>
      <c r="EE7" s="319">
        <f ca="1">SUMIF(IA3:IA60,DZ7,HY3:HY60)+SUMIF(HX3:HX60,DZ7,HZ3:HZ60)</f>
        <v>4</v>
      </c>
      <c r="EF7" s="319">
        <f t="shared" ca="1" si="607"/>
        <v>1000</v>
      </c>
      <c r="EG7" s="319">
        <f t="shared" ca="1" si="608"/>
        <v>3</v>
      </c>
      <c r="EH7" s="319">
        <f t="shared" si="609"/>
        <v>34</v>
      </c>
      <c r="EI7" s="319">
        <f ca="1">IF(COUNTIF(EG4:EG8,4)&lt;&gt;4,RANK(EG7,EG4:EG8),EG47)</f>
        <v>3</v>
      </c>
      <c r="EJ7" s="319"/>
      <c r="EK7" s="319">
        <f ca="1">SUMPRODUCT((EI4:EI7=EI7)*(EH4:EH7&lt;EH7))+EI7</f>
        <v>3</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0</v>
      </c>
      <c r="HZ7" s="322">
        <f ca="1">IF(OFFSET('Player Game Board'!Q14,0,HY1)&lt;&gt;"",OFFSET('Player Game Board'!Q14,0,HY1),0)</f>
        <v>1</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Romania</v>
      </c>
      <c r="IG7" s="320">
        <f ca="1">VLOOKUP(IF7,DZ4:EE40,2,FALSE)</f>
        <v>0</v>
      </c>
      <c r="IH7" s="320">
        <f ca="1">VLOOKUP(IF7,DZ4:EE40,3,FALSE)</f>
        <v>2</v>
      </c>
      <c r="II7" s="320">
        <f ca="1">VLOOKUP(IF7,DZ4:EE40,4,FALSE)</f>
        <v>1</v>
      </c>
      <c r="IJ7" s="320">
        <f ca="1">VLOOKUP(IF7,DZ4:EE40,5,FALSE)</f>
        <v>1</v>
      </c>
      <c r="IK7" s="320">
        <f ca="1">VLOOKUP(IF7,DZ4:EE40,6,FALSE)</f>
        <v>2</v>
      </c>
      <c r="IL7" s="320">
        <f t="shared" ca="1" si="167"/>
        <v>999</v>
      </c>
      <c r="IM7" s="320">
        <f t="shared" ca="1" si="168"/>
        <v>2</v>
      </c>
      <c r="IN7" s="319">
        <f ca="1">VLOOKUP(IF7,B4:J40,9,FALSE)</f>
        <v>46</v>
      </c>
      <c r="IO7" s="319">
        <f ca="1">RANK(IM7,IM3:IM8)</f>
        <v>4</v>
      </c>
      <c r="IP7" s="319">
        <f ca="1">SUMPRODUCT((IO3:IO8=IO7)*(IL3:IL8&gt;IL7))</f>
        <v>0</v>
      </c>
      <c r="IQ7" s="319">
        <f ca="1">SUMPRODUCT((IO3:IO8=IO7)*(IL3:IL8=IL7)*(IJ3:IJ8&gt;IJ7))</f>
        <v>0</v>
      </c>
      <c r="IR7" s="319">
        <f ca="1">SUMPRODUCT((IO3:IO8=IO7)*(IL3:IL8=IL7)*(IJ3:IJ8=IJ7)*(IN3:IN8&gt;IN7))</f>
        <v>0</v>
      </c>
      <c r="IS7" s="319">
        <f t="shared" ca="1" si="169"/>
        <v>4</v>
      </c>
      <c r="IT7" s="319" t="s">
        <v>101</v>
      </c>
      <c r="IU7" s="319">
        <v>5</v>
      </c>
      <c r="IV7" s="319"/>
      <c r="IW7" s="319">
        <f ca="1">VLOOKUP(IX7,MS4:MT8,2,FALSE)</f>
        <v>2</v>
      </c>
      <c r="IX7" s="319" t="str">
        <f t="shared" si="615"/>
        <v>Switzerland</v>
      </c>
      <c r="IY7" s="319">
        <f ca="1">SUMPRODUCT((MV3:MV42=IX7)*(MZ3:MZ42="W"))+SUMPRODUCT((MY3:MY42=IX7)*(NA3:NA42="W"))</f>
        <v>1</v>
      </c>
      <c r="IZ7" s="319">
        <f ca="1">SUMPRODUCT((MV3:MV42=IX7)*(MZ3:MZ42="D"))+SUMPRODUCT((MY3:MY42=IX7)*(NA3:NA42="D"))</f>
        <v>1</v>
      </c>
      <c r="JA7" s="319">
        <f ca="1">SUMPRODUCT((MV3:MV42=IX7)*(MZ3:MZ42="L"))+SUMPRODUCT((MY3:MY42=IX7)*(NA3:NA42="L"))</f>
        <v>1</v>
      </c>
      <c r="JB7" s="319">
        <f ca="1">SUMIF(MV3:MV60,IX7,MW3:MW60)+SUMIF(MY3:MY60,IX7,MX3:MX60)</f>
        <v>4</v>
      </c>
      <c r="JC7" s="319">
        <f ca="1">SUMIF(MY3:MY60,IX7,MW3:MW60)+SUMIF(MV3:MV60,IX7,MX3:MX60)</f>
        <v>4</v>
      </c>
      <c r="JD7" s="319">
        <f t="shared" ca="1" si="616"/>
        <v>1000</v>
      </c>
      <c r="JE7" s="319">
        <f t="shared" ca="1" si="617"/>
        <v>4</v>
      </c>
      <c r="JF7" s="319">
        <f t="shared" si="618"/>
        <v>34</v>
      </c>
      <c r="JG7" s="319">
        <f ca="1">IF(COUNTIF(JE4:JE8,4)&lt;&gt;4,RANK(JE7,JE4:JE8),JE47)</f>
        <v>2</v>
      </c>
      <c r="JH7" s="319"/>
      <c r="JI7" s="319">
        <f ca="1">SUMPRODUCT((JG4:JG7=JG7)*(JF4:JF7&lt;JF7))+JG7</f>
        <v>2</v>
      </c>
      <c r="JJ7" s="319" t="str">
        <f ca="1">INDEX(IX4:IX8,MATCH(4,JI4:JI8,0),0)</f>
        <v>Scotland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Scotland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0</v>
      </c>
      <c r="NF7" s="320">
        <f ca="1">VLOOKUP(ND7,IX4:JC40,3,FALSE)</f>
        <v>1</v>
      </c>
      <c r="NG7" s="320">
        <f ca="1">VLOOKUP(ND7,IX4:JC40,4,FALSE)</f>
        <v>2</v>
      </c>
      <c r="NH7" s="320">
        <f ca="1">VLOOKUP(ND7,IX4:JC40,5,FALSE)</f>
        <v>2</v>
      </c>
      <c r="NI7" s="320">
        <f ca="1">VLOOKUP(ND7,IX4:JC40,6,FALSE)</f>
        <v>4</v>
      </c>
      <c r="NJ7" s="320">
        <f t="shared" ca="1" si="173"/>
        <v>998</v>
      </c>
      <c r="NK7" s="320">
        <f t="shared" ca="1" si="174"/>
        <v>1</v>
      </c>
      <c r="NL7" s="319">
        <f ca="1">VLOOKUP(ND7,B4:J40,9,FALSE)</f>
        <v>38</v>
      </c>
      <c r="NM7" s="319">
        <f ca="1">RANK(NK7,NK3:NK8)</f>
        <v>5</v>
      </c>
      <c r="NN7" s="319">
        <f ca="1">SUMPRODUCT((NM3:NM8=NM7)*(NJ3:NJ8&gt;NJ7))</f>
        <v>0</v>
      </c>
      <c r="NO7" s="319">
        <f ca="1">SUMPRODUCT((NM3:NM8=NM7)*(NJ3:NJ8=NJ7)*(NH3:NH8&gt;NH7))</f>
        <v>0</v>
      </c>
      <c r="NP7" s="319">
        <f ca="1">SUMPRODUCT((NM3:NM8=NM7)*(NJ3:NJ8=NJ7)*(NH3:NH8=NH7)*(NL3:NL8&gt;NL7))</f>
        <v>0</v>
      </c>
      <c r="NQ7" s="319">
        <f t="shared" ca="1" si="175"/>
        <v>5</v>
      </c>
      <c r="NR7" s="319" t="s">
        <v>101</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0</v>
      </c>
      <c r="NY7" s="319">
        <f t="shared" ref="NY7" ca="1" si="1845">SUMPRODUCT((RT3:RT42=NV7)*(RX3:RX42="L"))+SUMPRODUCT((RW3:RW42=NV7)*(RY3:RY42="L"))</f>
        <v>0</v>
      </c>
      <c r="NZ7" s="319">
        <f t="shared" ref="NZ7" ca="1" si="1846">SUMIF(RT3:RT60,NV7,RU3:RU60)+SUMIF(RW3:RW60,NV7,RV3:RV60)</f>
        <v>0</v>
      </c>
      <c r="OA7" s="319">
        <f t="shared" ref="OA7" ca="1" si="1847">SUMIF(RW3:RW60,NV7,RU3:RU60)+SUMIF(RT3:RT60,NV7,RV3:RV60)</f>
        <v>0</v>
      </c>
      <c r="OB7" s="319">
        <f t="shared" ca="1" si="183"/>
        <v>1000</v>
      </c>
      <c r="OC7" s="319">
        <f t="shared" ca="1" si="184"/>
        <v>0</v>
      </c>
      <c r="OD7" s="319">
        <f t="shared" si="630"/>
        <v>34</v>
      </c>
      <c r="OE7" s="319">
        <f t="shared" ref="OE7" ca="1" si="1848">IF(COUNTIF(OC4:OC8,4)&lt;&gt;4,RANK(OC7,OC4:OC8),OC47)</f>
        <v>1</v>
      </c>
      <c r="OF7" s="319"/>
      <c r="OG7" s="319">
        <f t="shared" ref="OG7" ca="1" si="1849">SUMPRODUCT((OE4:OE7=OE7)*(OD4:OD7&lt;OD7))+OE7</f>
        <v>1</v>
      </c>
      <c r="OH7" s="319" t="str">
        <f t="shared" ref="OH7" ca="1" si="1850">INDEX(NV4:NV8,MATCH(4,OG4:OG8,0),0)</f>
        <v>Germany</v>
      </c>
      <c r="OI7" s="319">
        <f t="shared" ref="OI7" ca="1" si="1851">INDEX(OE4:OE8,MATCH(OH7,NV4:NV8,0),0)</f>
        <v>1</v>
      </c>
      <c r="OJ7" s="319" t="str">
        <f t="shared" ca="1" si="1180"/>
        <v>Germany</v>
      </c>
      <c r="OK7" s="319" t="str">
        <f t="shared" ca="1" si="1181"/>
        <v/>
      </c>
      <c r="OL7" s="319"/>
      <c r="OM7" s="319"/>
      <c r="ON7" s="319"/>
      <c r="OO7" s="319" t="str">
        <f t="shared" ca="1" si="193"/>
        <v>Germany</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f t="shared" ca="1" si="200"/>
        <v>0</v>
      </c>
      <c r="OW7" s="319">
        <f t="shared" ref="OW7" ca="1" si="1857">IF(OO7&lt;&gt;"",VLOOKUP(OO7,NV4:OB40,7,FALSE),"")</f>
        <v>1000</v>
      </c>
      <c r="OX7" s="319">
        <f t="shared" ref="OX7" ca="1" si="1858">IF(OO7&lt;&gt;"",VLOOKUP(OO7,NV4:OB40,5,FALSE),"")</f>
        <v>0</v>
      </c>
      <c r="OY7" s="319">
        <f t="shared" ref="OY7" ca="1" si="1859">IF(OO7&lt;&gt;"",VLOOKUP(OO7,NV4:OD40,9,FALSE),"")</f>
        <v>54</v>
      </c>
      <c r="OZ7" s="319">
        <f t="shared" ca="1" si="204"/>
        <v>0</v>
      </c>
      <c r="PA7" s="319">
        <f t="shared" ref="PA7" ca="1" si="1860">IF(OO7&lt;&gt;"",RANK(OZ7,OZ4:OZ8),"")</f>
        <v>1</v>
      </c>
      <c r="PB7" s="319">
        <f t="shared" ref="PB7" ca="1" si="1861">IF(OO7&lt;&gt;"",SUMPRODUCT((OZ4:OZ8=OZ7)*(OU4:OU8&gt;OU7)),"")</f>
        <v>0</v>
      </c>
      <c r="PC7" s="319">
        <f t="shared" ref="PC7" ca="1" si="1862">IF(OO7&lt;&gt;"",SUMPRODUCT((OZ4:OZ8=OZ7)*(OU4:OU8=OU7)*(OS4:OS8&gt;OS7)),"")</f>
        <v>0</v>
      </c>
      <c r="PD7" s="319">
        <f t="shared" ref="PD7" ca="1" si="1863">IF(OO7&lt;&gt;"",SUMPRODUCT((OZ4:OZ8=OZ7)*(OU4:OU8=OU7)*(OS4:OS8=OS7)*(OW4:OW8&gt;OW7)),"")</f>
        <v>0</v>
      </c>
      <c r="PE7" s="319">
        <f t="shared" ref="PE7" ca="1" si="1864">IF(OO7&lt;&gt;"",SUMPRODUCT((OZ4:OZ8=OZ7)*(OU4:OU8=OU7)*(OS4:OS8=OS7)*(OW4:OW8=OW7)*(OX4:OX8&gt;OX7)),"")</f>
        <v>0</v>
      </c>
      <c r="PF7" s="319">
        <f t="shared" ref="PF7" ca="1" si="1865">IF(OO7&lt;&gt;"",SUMPRODUCT((OZ4:OZ8=OZ7)*(OU4:OU8=OU7)*(OS4:OS8=OS7)*(OW4:OW8=OW7)*(OX4:OX8=OX7)*(OY4:OY8&gt;OY7)),"")</f>
        <v>0</v>
      </c>
      <c r="PG7" s="319">
        <f ca="1">IF(OO7&lt;&gt;"",IF(PG47&lt;&gt;"",IF(ON43=3,PG47,PG47+ON43),SUM(PA7:PF7)),"")</f>
        <v>1</v>
      </c>
      <c r="PH7" s="319" t="str">
        <f t="shared" ref="PH7" ca="1" si="1866">IF(OO7&lt;&gt;"",INDEX(OO4:OO8,MATCH(4,PG4:PG8,0),0),"")</f>
        <v>Switzerland</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0</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t="str">
        <f t="shared" ca="1" si="1220"/>
        <v/>
      </c>
      <c r="QK7" s="319" t="str">
        <f t="shared" ref="QK7" ca="1" si="1887">IF(QC7&lt;&gt;"",VLOOKUP(QC7,NV4:OB40,7,FALSE),"")</f>
        <v/>
      </c>
      <c r="QL7" s="319" t="str">
        <f t="shared" ref="QL7" ca="1" si="1888">IF(QC7&lt;&gt;"",VLOOKUP(QC7,NV4:OB40,5,FALSE),"")</f>
        <v/>
      </c>
      <c r="QM7" s="319" t="str">
        <f t="shared" ref="QM7" ca="1" si="1889">IF(QC7&lt;&gt;"",VLOOKUP(QC7,NV4:OD40,9,FALSE),"")</f>
        <v/>
      </c>
      <c r="QN7" s="319" t="str">
        <f t="shared" ca="1" si="1224"/>
        <v/>
      </c>
      <c r="QO7" s="319" t="str">
        <f t="shared" ref="QO7" ca="1" si="1890">IF(QC7&lt;&gt;"",RANK(QN7,QN4:QN8),"")</f>
        <v/>
      </c>
      <c r="QP7" s="319" t="str">
        <f t="shared" ref="QP7" ca="1" si="1891">IF(QC7&lt;&gt;"",SUMPRODUCT((QN4:QN8=QN7)*(QI4:QI8&gt;QI7)),"")</f>
        <v/>
      </c>
      <c r="QQ7" s="319" t="str">
        <f t="shared" ref="QQ7" ca="1" si="1892">IF(QC7&lt;&gt;"",SUMPRODUCT((QN4:QN8=QN7)*(QI4:QI8=QI7)*(QG4:QG8&gt;QG7)),"")</f>
        <v/>
      </c>
      <c r="QR7" s="319" t="str">
        <f t="shared" ref="QR7" ca="1" si="1893">IF(QC7&lt;&gt;"",SUMPRODUCT((QN4:QN8=QN7)*(QI4:QI8=QI7)*(QG4:QG8=QG7)*(QK4:QK8&gt;QK7)),"")</f>
        <v/>
      </c>
      <c r="QS7" s="319" t="str">
        <f t="shared" ref="QS7" ca="1" si="1894">IF(QC7&lt;&gt;"",SUMPRODUCT((QN4:QN8=QN7)*(QI4:QI8=QI7)*(QG4:QG8=QG7)*(QK4:QK8=QK7)*(QL4:QL8&gt;QL7)),"")</f>
        <v/>
      </c>
      <c r="QT7" s="319" t="str">
        <f t="shared" ref="QT7" ca="1" si="1895">IF(QC7&lt;&gt;"",SUMPRODUCT((QN4:QN8=QN7)*(QI4:QI8=QI7)*(QG4:QG8=QG7)*(QK4:QK8=QK7)*(QL4:QL8=QL7)*(QM4:QM8&gt;QM7)),"")</f>
        <v/>
      </c>
      <c r="QU7" s="319" t="str">
        <f t="shared" ca="1" si="1231"/>
        <v/>
      </c>
      <c r="QV7" s="319" t="str">
        <f t="shared" ref="QV7" ca="1" si="1896">IF(QC7&lt;&gt;"",INDEX(QC6:QC8,MATCH(4,QU6:QU8,0),0),"")</f>
        <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0</v>
      </c>
      <c r="RV7" s="322">
        <f ca="1">IF(OFFSET('Player Game Board'!Q14,0,RU1)&lt;&gt;"",OFFSET('Player Game Board'!Q14,0,RU1),0)</f>
        <v>0</v>
      </c>
      <c r="RW7" s="319" t="str">
        <f t="shared" si="19"/>
        <v>England</v>
      </c>
      <c r="RX7" s="319" t="str">
        <f ca="1">IF(AND(OFFSET('Player Game Board'!P14,0,RU1)&lt;&gt;"",OFFSET('Player Game Board'!Q14,0,RU1)&lt;&gt;""),IF(RU7&gt;RV7,"W",IF(RU7=RV7,"D","L")),"")</f>
        <v/>
      </c>
      <c r="RY7" s="319" t="str">
        <f t="shared" ca="1" si="20"/>
        <v/>
      </c>
      <c r="RZ7" s="319"/>
      <c r="SA7" s="319"/>
      <c r="SB7" s="319" t="str">
        <f t="shared" ref="SB7" ca="1" si="1918">VLOOKUP(3,NU31:NV34,2,FALSE)</f>
        <v>Slovakia</v>
      </c>
      <c r="SC7" s="320">
        <f t="shared" ref="SC7" ca="1" si="1919">VLOOKUP(SB7,NV4:OA40,2,FALSE)</f>
        <v>0</v>
      </c>
      <c r="SD7" s="320">
        <f t="shared" ref="SD7" ca="1" si="1920">VLOOKUP(SB7,NV4:OA40,3,FALSE)</f>
        <v>0</v>
      </c>
      <c r="SE7" s="320">
        <f t="shared" ref="SE7" ca="1" si="1921">VLOOKUP(SB7,NV4:OA40,4,FALSE)</f>
        <v>0</v>
      </c>
      <c r="SF7" s="320">
        <f t="shared" ref="SF7" ca="1" si="1922">VLOOKUP(SB7,NV4:OA40,5,FALSE)</f>
        <v>0</v>
      </c>
      <c r="SG7" s="320">
        <f t="shared" ref="SG7" ca="1" si="1923">VLOOKUP(SB7,NV4:OA40,6,FALSE)</f>
        <v>0</v>
      </c>
      <c r="SH7" s="320">
        <f t="shared" ca="1" si="27"/>
        <v>1000</v>
      </c>
      <c r="SI7" s="320">
        <f t="shared" ca="1" si="28"/>
        <v>0</v>
      </c>
      <c r="SJ7" s="319">
        <f ca="1">VLOOKUP(SB7,B4:J40,9,FALSE)</f>
        <v>38</v>
      </c>
      <c r="SK7" s="319">
        <f t="shared" ref="SK7" ca="1" si="1924">RANK(SI7,SI3:SI8)</f>
        <v>1</v>
      </c>
      <c r="SL7" s="319">
        <f t="shared" ref="SL7" ca="1" si="1925">SUMPRODUCT((SK3:SK8=SK7)*(SH3:SH8&gt;SH7))</f>
        <v>0</v>
      </c>
      <c r="SM7" s="319">
        <f t="shared" ref="SM7" ca="1" si="1926">SUMPRODUCT((SK3:SK8=SK7)*(SH3:SH8=SH7)*(SF3:SF8&gt;SF7))</f>
        <v>0</v>
      </c>
      <c r="SN7" s="319">
        <f t="shared" ref="SN7" ca="1" si="1927">SUMPRODUCT((SK3:SK8=SK7)*(SH3:SH8=SH7)*(SF3:SF8=SF7)*(SJ3:SJ8&gt;SJ7))</f>
        <v>4</v>
      </c>
      <c r="SO7" s="319">
        <f t="shared" ca="1" si="33"/>
        <v>5</v>
      </c>
      <c r="SP7" s="319" t="s">
        <v>101</v>
      </c>
      <c r="SQ7" s="319">
        <v>5</v>
      </c>
      <c r="SR7" s="319"/>
      <c r="SS7" s="319">
        <f t="shared" ref="SS7" ca="1" si="1928">VLOOKUP(ST7,WO4:WP8,2,FALSE)</f>
        <v>4</v>
      </c>
      <c r="ST7" s="319" t="str">
        <f t="shared" si="224"/>
        <v>Switzerland</v>
      </c>
      <c r="SU7" s="319">
        <f t="shared" ref="SU7" ca="1" si="1929">SUMPRODUCT((WR3:WR42=ST7)*(WV3:WV42="W"))+SUMPRODUCT((WU3:WU42=ST7)*(WW3:WW42="W"))</f>
        <v>0</v>
      </c>
      <c r="SV7" s="319">
        <f t="shared" ref="SV7" ca="1" si="1930">SUMPRODUCT((WR3:WR42=ST7)*(WV3:WV42="D"))+SUMPRODUCT((WU3:WU42=ST7)*(WW3:WW42="D"))</f>
        <v>0</v>
      </c>
      <c r="SW7" s="319">
        <f t="shared" ref="SW7" ca="1" si="1931">SUMPRODUCT((WR3:WR42=ST7)*(WV3:WV42="L"))+SUMPRODUCT((WU3:WU42=ST7)*(WW3:WW42="L"))</f>
        <v>0</v>
      </c>
      <c r="SX7" s="319">
        <f t="shared" ref="SX7" ca="1" si="1932">SUMIF(WR3:WR60,ST7,WS3:WS60)+SUMIF(WU3:WU60,ST7,WT3:WT60)</f>
        <v>0</v>
      </c>
      <c r="SY7" s="319">
        <f t="shared" ref="SY7" ca="1" si="1933">SUMIF(WU3:WU60,ST7,WS3:WS60)+SUMIF(WR3:WR60,ST7,WT3:WT60)</f>
        <v>0</v>
      </c>
      <c r="SZ7" s="319">
        <f t="shared" ca="1" si="230"/>
        <v>1000</v>
      </c>
      <c r="TA7" s="319">
        <f t="shared" ca="1" si="231"/>
        <v>0</v>
      </c>
      <c r="TB7" s="319">
        <f t="shared" si="690"/>
        <v>34</v>
      </c>
      <c r="TC7" s="319">
        <f t="shared" ref="TC7" ca="1" si="1934">IF(COUNTIF(TA4:TA8,4)&lt;&gt;4,RANK(TA7,TA4:TA8),TA47)</f>
        <v>1</v>
      </c>
      <c r="TD7" s="319"/>
      <c r="TE7" s="319">
        <f t="shared" ref="TE7" ca="1" si="1935">SUMPRODUCT((TC4:TC7=TC7)*(TB4:TB7&lt;TB7))+TC7</f>
        <v>1</v>
      </c>
      <c r="TF7" s="319" t="str">
        <f t="shared" ref="TF7" ca="1" si="1936">INDEX(ST4:ST8,MATCH(4,TE4:TE8,0),0)</f>
        <v>Germany</v>
      </c>
      <c r="TG7" s="319">
        <f t="shared" ref="TG7" ca="1" si="1937">INDEX(TC4:TC8,MATCH(TF7,ST4:ST8,0),0)</f>
        <v>1</v>
      </c>
      <c r="TH7" s="319" t="str">
        <f t="shared" ca="1" si="1254"/>
        <v>Germany</v>
      </c>
      <c r="TI7" s="319" t="str">
        <f t="shared" ca="1" si="1255"/>
        <v/>
      </c>
      <c r="TJ7" s="319"/>
      <c r="TK7" s="319"/>
      <c r="TL7" s="319"/>
      <c r="TM7" s="319" t="str">
        <f t="shared" ca="1" si="240"/>
        <v>Germany</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f t="shared" ca="1" si="247"/>
        <v>0</v>
      </c>
      <c r="TU7" s="319">
        <f t="shared" ref="TU7" ca="1" si="1943">IF(TM7&lt;&gt;"",VLOOKUP(TM7,ST4:SZ40,7,FALSE),"")</f>
        <v>1000</v>
      </c>
      <c r="TV7" s="319">
        <f t="shared" ref="TV7" ca="1" si="1944">IF(TM7&lt;&gt;"",VLOOKUP(TM7,ST4:SZ40,5,FALSE),"")</f>
        <v>0</v>
      </c>
      <c r="TW7" s="319">
        <f t="shared" ref="TW7" ca="1" si="1945">IF(TM7&lt;&gt;"",VLOOKUP(TM7,ST4:TB40,9,FALSE),"")</f>
        <v>54</v>
      </c>
      <c r="TX7" s="319">
        <f t="shared" ca="1" si="251"/>
        <v>0</v>
      </c>
      <c r="TY7" s="319">
        <f t="shared" ref="TY7" ca="1" si="1946">IF(TM7&lt;&gt;"",RANK(TX7,TX4:TX8),"")</f>
        <v>1</v>
      </c>
      <c r="TZ7" s="319">
        <f t="shared" ref="TZ7" ca="1" si="1947">IF(TM7&lt;&gt;"",SUMPRODUCT((TX4:TX8=TX7)*(TS4:TS8&gt;TS7)),"")</f>
        <v>0</v>
      </c>
      <c r="UA7" s="319">
        <f t="shared" ref="UA7" ca="1" si="1948">IF(TM7&lt;&gt;"",SUMPRODUCT((TX4:TX8=TX7)*(TS4:TS8=TS7)*(TQ4:TQ8&gt;TQ7)),"")</f>
        <v>0</v>
      </c>
      <c r="UB7" s="319">
        <f t="shared" ref="UB7" ca="1" si="1949">IF(TM7&lt;&gt;"",SUMPRODUCT((TX4:TX8=TX7)*(TS4:TS8=TS7)*(TQ4:TQ8=TQ7)*(TU4:TU8&gt;TU7)),"")</f>
        <v>0</v>
      </c>
      <c r="UC7" s="319">
        <f t="shared" ref="UC7" ca="1" si="1950">IF(TM7&lt;&gt;"",SUMPRODUCT((TX4:TX8=TX7)*(TS4:TS8=TS7)*(TQ4:TQ8=TQ7)*(TU4:TU8=TU7)*(TV4:TV8&gt;TV7)),"")</f>
        <v>0</v>
      </c>
      <c r="UD7" s="319">
        <f t="shared" ref="UD7" ca="1" si="1951">IF(TM7&lt;&gt;"",SUMPRODUCT((TX4:TX8=TX7)*(TS4:TS8=TS7)*(TQ4:TQ8=TQ7)*(TU4:TU8=TU7)*(TV4:TV8=TV7)*(TW4:TW8&gt;TW7)),"")</f>
        <v>0</v>
      </c>
      <c r="UE7" s="319">
        <f ca="1">IF(TM7&lt;&gt;"",IF(UE47&lt;&gt;"",IF(TL43=3,UE47,UE47+TL43),SUM(TY7:UD7)),"")</f>
        <v>1</v>
      </c>
      <c r="UF7" s="319" t="str">
        <f t="shared" ref="UF7" ca="1" si="1952">IF(TM7&lt;&gt;"",INDEX(TM4:TM8,MATCH(4,UE4:UE8,0),0),"")</f>
        <v>Switzerland</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Switzerland</v>
      </c>
      <c r="WP7" s="319">
        <v>4</v>
      </c>
      <c r="WQ7" s="319">
        <v>5</v>
      </c>
      <c r="WR7" s="319" t="str">
        <f t="shared" si="34"/>
        <v>Serbia</v>
      </c>
      <c r="WS7" s="322">
        <f ca="1">IF(OFFSET('Player Game Board'!P14,0,WS1)&lt;&gt;"",OFFSET('Player Game Board'!P14,0,WS1),0)</f>
        <v>0</v>
      </c>
      <c r="WT7" s="322">
        <f ca="1">IF(OFFSET('Player Game Board'!Q14,0,WS1)&lt;&gt;"",OFFSET('Player Game Board'!Q14,0,WS1),0)</f>
        <v>0</v>
      </c>
      <c r="WU7" s="319" t="str">
        <f t="shared" si="35"/>
        <v>England</v>
      </c>
      <c r="WV7" s="319" t="str">
        <f ca="1">IF(AND(OFFSET('Player Game Board'!P14,0,WS1)&lt;&gt;"",OFFSET('Player Game Board'!Q14,0,WS1)&lt;&gt;""),IF(WS7&gt;WT7,"W",IF(WS7=WT7,"D","L")),"")</f>
        <v/>
      </c>
      <c r="WW7" s="319" t="str">
        <f t="shared" ca="1" si="36"/>
        <v/>
      </c>
      <c r="WX7" s="319"/>
      <c r="WY7" s="319"/>
      <c r="WZ7" s="319" t="str">
        <f t="shared" ref="WZ7" ca="1" si="2004">VLOOKUP(3,SS31:ST34,2,FALSE)</f>
        <v>Slovakia</v>
      </c>
      <c r="XA7" s="320">
        <f t="shared" ref="XA7" ca="1" si="2005">VLOOKUP(WZ7,ST4:SY40,2,FALSE)</f>
        <v>0</v>
      </c>
      <c r="XB7" s="320">
        <f t="shared" ref="XB7" ca="1" si="2006">VLOOKUP(WZ7,ST4:SY40,3,FALSE)</f>
        <v>0</v>
      </c>
      <c r="XC7" s="320">
        <f t="shared" ref="XC7" ca="1" si="2007">VLOOKUP(WZ7,ST4:SY40,4,FALSE)</f>
        <v>0</v>
      </c>
      <c r="XD7" s="320">
        <f t="shared" ref="XD7" ca="1" si="2008">VLOOKUP(WZ7,ST4:SY40,5,FALSE)</f>
        <v>0</v>
      </c>
      <c r="XE7" s="320">
        <f t="shared" ref="XE7" ca="1" si="2009">VLOOKUP(WZ7,ST4:SY40,6,FALSE)</f>
        <v>0</v>
      </c>
      <c r="XF7" s="320">
        <f t="shared" ca="1" si="43"/>
        <v>1000</v>
      </c>
      <c r="XG7" s="320">
        <f t="shared" ca="1" si="44"/>
        <v>0</v>
      </c>
      <c r="XH7" s="319">
        <f ca="1">VLOOKUP(WZ7,B4:J40,9,FALSE)</f>
        <v>38</v>
      </c>
      <c r="XI7" s="319">
        <f t="shared" ref="XI7" ca="1" si="2010">RANK(XG7,XG3:XG8)</f>
        <v>1</v>
      </c>
      <c r="XJ7" s="319">
        <f t="shared" ref="XJ7" ca="1" si="2011">SUMPRODUCT((XI3:XI8=XI7)*(XF3:XF8&gt;XF7))</f>
        <v>0</v>
      </c>
      <c r="XK7" s="319">
        <f t="shared" ref="XK7" ca="1" si="2012">SUMPRODUCT((XI3:XI8=XI7)*(XF3:XF8=XF7)*(XD3:XD8&gt;XD7))</f>
        <v>0</v>
      </c>
      <c r="XL7" s="319">
        <f t="shared" ref="XL7" ca="1" si="2013">SUMPRODUCT((XI3:XI8=XI7)*(XF3:XF8=XF7)*(XD3:XD8=XD7)*(XH3:XH8&gt;XH7))</f>
        <v>4</v>
      </c>
      <c r="XM7" s="319">
        <f t="shared" ca="1" si="49"/>
        <v>5</v>
      </c>
      <c r="XN7" s="319" t="s">
        <v>101</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101</v>
      </c>
      <c r="ACM7" s="319">
        <v>5</v>
      </c>
      <c r="ACN7" s="319"/>
      <c r="ACO7" s="319">
        <f t="shared" ref="ACO7" ca="1" si="2100">VLOOKUP(ACP7,AGK4:AGL8,2,FALSE)</f>
        <v>4</v>
      </c>
      <c r="ACP7" s="319" t="str">
        <f t="shared" si="318"/>
        <v>Switzerland</v>
      </c>
      <c r="ACQ7" s="319">
        <f t="shared" ref="ACQ7" ca="1" si="2101">SUMPRODUCT((AGN3:AGN42=ACP7)*(AGR3:AGR42="W"))+SUMPRODUCT((AGQ3:AGQ42=ACP7)*(AGS3:AGS42="W"))</f>
        <v>0</v>
      </c>
      <c r="ACR7" s="319">
        <f t="shared" ref="ACR7" ca="1" si="2102">SUMPRODUCT((AGN3:AGN42=ACP7)*(AGR3:AGR42="D"))+SUMPRODUCT((AGQ3:AGQ42=ACP7)*(AGS3:AGS42="D"))</f>
        <v>0</v>
      </c>
      <c r="ACS7" s="319">
        <f t="shared" ref="ACS7" ca="1" si="2103">SUMPRODUCT((AGN3:AGN42=ACP7)*(AGR3:AGR42="L"))+SUMPRODUCT((AGQ3:AGQ42=ACP7)*(AGS3:AGS42="L"))</f>
        <v>0</v>
      </c>
      <c r="ACT7" s="319">
        <f t="shared" ref="ACT7" ca="1" si="2104">SUMIF(AGN3:AGN60,ACP7,AGO3:AGO60)+SUMIF(AGQ3:AGQ60,ACP7,AGP3:AGP60)</f>
        <v>0</v>
      </c>
      <c r="ACU7" s="319">
        <f t="shared" ref="ACU7" ca="1" si="2105">SUMIF(AGQ3:AGQ60,ACP7,AGO3:AGO60)+SUMIF(AGN3:AGN60,ACP7,AGP3:AGP60)</f>
        <v>0</v>
      </c>
      <c r="ACV7" s="319">
        <f t="shared" ca="1" si="324"/>
        <v>1000</v>
      </c>
      <c r="ACW7" s="319">
        <f t="shared" ca="1" si="325"/>
        <v>0</v>
      </c>
      <c r="ACX7" s="319">
        <f t="shared" si="810"/>
        <v>34</v>
      </c>
      <c r="ACY7" s="319">
        <f t="shared" ref="ACY7" ca="1" si="2106">IF(COUNTIF(ACW4:ACW8,4)&lt;&gt;4,RANK(ACW7,ACW4:ACW8),ACW47)</f>
        <v>1</v>
      </c>
      <c r="ACZ7" s="319"/>
      <c r="ADA7" s="319">
        <f t="shared" ref="ADA7" ca="1" si="2107">SUMPRODUCT((ACY4:ACY7=ACY7)*(ACX4:ACX7&lt;ACX7))+ACY7</f>
        <v>1</v>
      </c>
      <c r="ADB7" s="319" t="str">
        <f t="shared" ref="ADB7" ca="1" si="2108">INDEX(ACP4:ACP8,MATCH(4,ADA4:ADA8,0),0)</f>
        <v>Germany</v>
      </c>
      <c r="ADC7" s="319">
        <f t="shared" ref="ADC7" ca="1" si="2109">INDEX(ACY4:ACY8,MATCH(ADB7,ACP4:ACP8,0),0)</f>
        <v>1</v>
      </c>
      <c r="ADD7" s="319" t="str">
        <f t="shared" ca="1" si="1402"/>
        <v>Germany</v>
      </c>
      <c r="ADE7" s="319" t="str">
        <f t="shared" ca="1" si="1403"/>
        <v/>
      </c>
      <c r="ADF7" s="319"/>
      <c r="ADG7" s="319"/>
      <c r="ADH7" s="319"/>
      <c r="ADI7" s="319" t="str">
        <f t="shared" ca="1" si="334"/>
        <v>Germany</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f t="shared" ca="1" si="341"/>
        <v>0</v>
      </c>
      <c r="ADQ7" s="319">
        <f t="shared" ref="ADQ7" ca="1" si="2115">IF(ADI7&lt;&gt;"",VLOOKUP(ADI7,ACP4:ACV40,7,FALSE),"")</f>
        <v>1000</v>
      </c>
      <c r="ADR7" s="319">
        <f t="shared" ref="ADR7" ca="1" si="2116">IF(ADI7&lt;&gt;"",VLOOKUP(ADI7,ACP4:ACV40,5,FALSE),"")</f>
        <v>0</v>
      </c>
      <c r="ADS7" s="319">
        <f t="shared" ref="ADS7" ca="1" si="2117">IF(ADI7&lt;&gt;"",VLOOKUP(ADI7,ACP4:ACX40,9,FALSE),"")</f>
        <v>54</v>
      </c>
      <c r="ADT7" s="319">
        <f t="shared" ca="1" si="345"/>
        <v>0</v>
      </c>
      <c r="ADU7" s="319">
        <f t="shared" ref="ADU7" ca="1" si="2118">IF(ADI7&lt;&gt;"",RANK(ADT7,ADT4:ADT8),"")</f>
        <v>1</v>
      </c>
      <c r="ADV7" s="319">
        <f t="shared" ref="ADV7" ca="1" si="2119">IF(ADI7&lt;&gt;"",SUMPRODUCT((ADT4:ADT8=ADT7)*(ADO4:ADO8&gt;ADO7)),"")</f>
        <v>0</v>
      </c>
      <c r="ADW7" s="319">
        <f t="shared" ref="ADW7" ca="1" si="2120">IF(ADI7&lt;&gt;"",SUMPRODUCT((ADT4:ADT8=ADT7)*(ADO4:ADO8=ADO7)*(ADM4:ADM8&gt;ADM7)),"")</f>
        <v>0</v>
      </c>
      <c r="ADX7" s="319">
        <f t="shared" ref="ADX7" ca="1" si="2121">IF(ADI7&lt;&gt;"",SUMPRODUCT((ADT4:ADT8=ADT7)*(ADO4:ADO8=ADO7)*(ADM4:ADM8=ADM7)*(ADQ4:ADQ8&gt;ADQ7)),"")</f>
        <v>0</v>
      </c>
      <c r="ADY7" s="319">
        <f t="shared" ref="ADY7" ca="1" si="2122">IF(ADI7&lt;&gt;"",SUMPRODUCT((ADT4:ADT8=ADT7)*(ADO4:ADO8=ADO7)*(ADM4:ADM8=ADM7)*(ADQ4:ADQ8=ADQ7)*(ADR4:ADR8&gt;ADR7)),"")</f>
        <v>0</v>
      </c>
      <c r="ADZ7" s="319">
        <f t="shared" ref="ADZ7" ca="1" si="2123">IF(ADI7&lt;&gt;"",SUMPRODUCT((ADT4:ADT8=ADT7)*(ADO4:ADO8=ADO7)*(ADM4:ADM8=ADM7)*(ADQ4:ADQ8=ADQ7)*(ADR4:ADR8=ADR7)*(ADS4:ADS8&gt;ADS7)),"")</f>
        <v>0</v>
      </c>
      <c r="AEA7" s="319">
        <f ca="1">IF(ADI7&lt;&gt;"",IF(AEA47&lt;&gt;"",IF(ADH43=3,AEA47,AEA47+ADH43),SUM(ADU7:ADZ7)),"")</f>
        <v>1</v>
      </c>
      <c r="AEB7" s="319" t="str">
        <f t="shared" ref="AEB7" ca="1" si="2124">IF(ADI7&lt;&gt;"",INDEX(ADI4:ADI8,MATCH(4,AEA4:AEA8,0),0),"")</f>
        <v>Switzerland</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Switzerland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
      </c>
      <c r="AGS7" s="319" t="str">
        <f t="shared" ca="1" si="68"/>
        <v/>
      </c>
      <c r="AGT7" s="319"/>
      <c r="AGU7" s="319"/>
      <c r="AGV7" s="319" t="str">
        <f t="shared" ref="AGV7" ca="1" si="2176">VLOOKUP(3,ACO31:ACP34,2,FALSE)</f>
        <v>Slovakia</v>
      </c>
      <c r="AGW7" s="320">
        <f t="shared" ref="AGW7" ca="1" si="2177">VLOOKUP(AGV7,ACP4:ACU40,2,FALSE)</f>
        <v>0</v>
      </c>
      <c r="AGX7" s="320">
        <f t="shared" ref="AGX7" ca="1" si="2178">VLOOKUP(AGV7,ACP4:ACU40,3,FALSE)</f>
        <v>0</v>
      </c>
      <c r="AGY7" s="320">
        <f t="shared" ref="AGY7" ca="1" si="2179">VLOOKUP(AGV7,ACP4:ACU40,4,FALSE)</f>
        <v>0</v>
      </c>
      <c r="AGZ7" s="320">
        <f t="shared" ref="AGZ7" ca="1" si="2180">VLOOKUP(AGV7,ACP4:ACU40,5,FALSE)</f>
        <v>0</v>
      </c>
      <c r="AHA7" s="320">
        <f t="shared" ref="AHA7" ca="1" si="2181">VLOOKUP(AGV7,ACP4:ACU40,6,FALSE)</f>
        <v>0</v>
      </c>
      <c r="AHB7" s="320">
        <f t="shared" ca="1" si="75"/>
        <v>1000</v>
      </c>
      <c r="AHC7" s="320">
        <f t="shared" ca="1" si="76"/>
        <v>0</v>
      </c>
      <c r="AHD7" s="319">
        <f ca="1">VLOOKUP(AGV7,B4:J40,9,FALSE)</f>
        <v>38</v>
      </c>
      <c r="AHE7" s="319">
        <f t="shared" ref="AHE7" ca="1" si="2182">RANK(AHC7,AHC3:AHC8)</f>
        <v>1</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4</v>
      </c>
      <c r="AHI7" s="319">
        <f t="shared" ca="1" si="81"/>
        <v>5</v>
      </c>
      <c r="AHJ7" s="319" t="s">
        <v>101</v>
      </c>
      <c r="AHK7" s="319">
        <v>5</v>
      </c>
      <c r="AHL7" s="319"/>
      <c r="AHM7" s="319">
        <f t="shared" ref="AHM7" ca="1" si="2186">VLOOKUP(AHN7,ALI4:ALJ8,2,FALSE)</f>
        <v>4</v>
      </c>
      <c r="AHN7" s="319" t="str">
        <f t="shared" si="365"/>
        <v>Switzerland</v>
      </c>
      <c r="AHO7" s="319">
        <f t="shared" ref="AHO7" ca="1" si="2187">SUMPRODUCT((ALL3:ALL42=AHN7)*(ALP3:ALP42="W"))+SUMPRODUCT((ALO3:ALO42=AHN7)*(ALQ3:ALQ42="W"))</f>
        <v>0</v>
      </c>
      <c r="AHP7" s="319">
        <f t="shared" ref="AHP7" ca="1" si="2188">SUMPRODUCT((ALL3:ALL42=AHN7)*(ALP3:ALP42="D"))+SUMPRODUCT((ALO3:ALO42=AHN7)*(ALQ3:ALQ42="D"))</f>
        <v>0</v>
      </c>
      <c r="AHQ7" s="319">
        <f t="shared" ref="AHQ7" ca="1" si="2189">SUMPRODUCT((ALL3:ALL42=AHN7)*(ALP3:ALP42="L"))+SUMPRODUCT((ALO3:ALO42=AHN7)*(ALQ3:ALQ42="L"))</f>
        <v>0</v>
      </c>
      <c r="AHR7" s="319">
        <f t="shared" ref="AHR7" ca="1" si="2190">SUMIF(ALL3:ALL60,AHN7,ALM3:ALM60)+SUMIF(ALO3:ALO60,AHN7,ALN3:ALN60)</f>
        <v>0</v>
      </c>
      <c r="AHS7" s="319">
        <f t="shared" ref="AHS7" ca="1" si="2191">SUMIF(ALO3:ALO60,AHN7,ALM3:ALM60)+SUMIF(ALL3:ALL60,AHN7,ALN3:ALN60)</f>
        <v>0</v>
      </c>
      <c r="AHT7" s="319">
        <f t="shared" ca="1" si="371"/>
        <v>1000</v>
      </c>
      <c r="AHU7" s="319">
        <f t="shared" ca="1" si="372"/>
        <v>0</v>
      </c>
      <c r="AHV7" s="319">
        <f t="shared" si="870"/>
        <v>34</v>
      </c>
      <c r="AHW7" s="319">
        <f t="shared" ref="AHW7" ca="1" si="2192">IF(COUNTIF(AHU4:AHU8,4)&lt;&gt;4,RANK(AHU7,AHU4:AHU8),AHU47)</f>
        <v>1</v>
      </c>
      <c r="AHX7" s="319"/>
      <c r="AHY7" s="319">
        <f t="shared" ref="AHY7" ca="1" si="2193">SUMPRODUCT((AHW4:AHW7=AHW7)*(AHV4:AHV7&lt;AHV7))+AHW7</f>
        <v>1</v>
      </c>
      <c r="AHZ7" s="319" t="str">
        <f t="shared" ref="AHZ7" ca="1" si="2194">INDEX(AHN4:AHN8,MATCH(4,AHY4:AHY8,0),0)</f>
        <v>Germany</v>
      </c>
      <c r="AIA7" s="319">
        <f t="shared" ref="AIA7" ca="1" si="2195">INDEX(AHW4:AHW8,MATCH(AHZ7,AHN4:AHN8,0),0)</f>
        <v>1</v>
      </c>
      <c r="AIB7" s="319" t="str">
        <f t="shared" ca="1" si="1476"/>
        <v>Germany</v>
      </c>
      <c r="AIC7" s="319" t="str">
        <f t="shared" ca="1" si="1477"/>
        <v/>
      </c>
      <c r="AID7" s="319"/>
      <c r="AIE7" s="319"/>
      <c r="AIF7" s="319"/>
      <c r="AIG7" s="319" t="str">
        <f t="shared" ca="1" si="381"/>
        <v>Germany</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f t="shared" ca="1" si="388"/>
        <v>0</v>
      </c>
      <c r="AIO7" s="319">
        <f t="shared" ref="AIO7" ca="1" si="2201">IF(AIG7&lt;&gt;"",VLOOKUP(AIG7,AHN4:AHT40,7,FALSE),"")</f>
        <v>1000</v>
      </c>
      <c r="AIP7" s="319">
        <f t="shared" ref="AIP7" ca="1" si="2202">IF(AIG7&lt;&gt;"",VLOOKUP(AIG7,AHN4:AHT40,5,FALSE),"")</f>
        <v>0</v>
      </c>
      <c r="AIQ7" s="319">
        <f t="shared" ref="AIQ7" ca="1" si="2203">IF(AIG7&lt;&gt;"",VLOOKUP(AIG7,AHN4:AHV40,9,FALSE),"")</f>
        <v>54</v>
      </c>
      <c r="AIR7" s="319">
        <f t="shared" ca="1" si="392"/>
        <v>0</v>
      </c>
      <c r="AIS7" s="319">
        <f t="shared" ref="AIS7" ca="1" si="2204">IF(AIG7&lt;&gt;"",RANK(AIR7,AIR4:AIR8),"")</f>
        <v>1</v>
      </c>
      <c r="AIT7" s="319">
        <f t="shared" ref="AIT7" ca="1" si="2205">IF(AIG7&lt;&gt;"",SUMPRODUCT((AIR4:AIR8=AIR7)*(AIM4:AIM8&gt;AIM7)),"")</f>
        <v>0</v>
      </c>
      <c r="AIU7" s="319">
        <f t="shared" ref="AIU7" ca="1" si="2206">IF(AIG7&lt;&gt;"",SUMPRODUCT((AIR4:AIR8=AIR7)*(AIM4:AIM8=AIM7)*(AIK4:AIK8&gt;AIK7)),"")</f>
        <v>0</v>
      </c>
      <c r="AIV7" s="319">
        <f t="shared" ref="AIV7" ca="1" si="2207">IF(AIG7&lt;&gt;"",SUMPRODUCT((AIR4:AIR8=AIR7)*(AIM4:AIM8=AIM7)*(AIK4:AIK8=AIK7)*(AIO4:AIO8&gt;AIO7)),"")</f>
        <v>0</v>
      </c>
      <c r="AIW7" s="319">
        <f t="shared" ref="AIW7" ca="1" si="2208">IF(AIG7&lt;&gt;"",SUMPRODUCT((AIR4:AIR8=AIR7)*(AIM4:AIM8=AIM7)*(AIK4:AIK8=AIK7)*(AIO4:AIO8=AIO7)*(AIP4:AIP8&gt;AIP7)),"")</f>
        <v>0</v>
      </c>
      <c r="AIX7" s="319">
        <f t="shared" ref="AIX7" ca="1" si="2209">IF(AIG7&lt;&gt;"",SUMPRODUCT((AIR4:AIR8=AIR7)*(AIM4:AIM8=AIM7)*(AIK4:AIK8=AIK7)*(AIO4:AIO8=AIO7)*(AIP4:AIP8=AIP7)*(AIQ4:AIQ8&gt;AIQ7)),"")</f>
        <v>0</v>
      </c>
      <c r="AIY7" s="319">
        <f ca="1">IF(AIG7&lt;&gt;"",IF(AIY47&lt;&gt;"",IF(AIF43=3,AIY47,AIY47+AIF43),SUM(AIS7:AIX7)),"")</f>
        <v>1</v>
      </c>
      <c r="AIZ7" s="319" t="str">
        <f t="shared" ref="AIZ7" ca="1" si="2210">IF(AIG7&lt;&gt;"",INDEX(AIG4:AIG8,MATCH(4,AIY4:AIY8,0),0),"")</f>
        <v>Switzerland</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0</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t="str">
        <f t="shared" ca="1" si="1516"/>
        <v/>
      </c>
      <c r="AKC7" s="319" t="str">
        <f t="shared" ref="AKC7" ca="1" si="2231">IF(AJU7&lt;&gt;"",VLOOKUP(AJU7,AHN4:AHT40,7,FALSE),"")</f>
        <v/>
      </c>
      <c r="AKD7" s="319" t="str">
        <f t="shared" ref="AKD7" ca="1" si="2232">IF(AJU7&lt;&gt;"",VLOOKUP(AJU7,AHN4:AHT40,5,FALSE),"")</f>
        <v/>
      </c>
      <c r="AKE7" s="319" t="str">
        <f t="shared" ref="AKE7" ca="1" si="2233">IF(AJU7&lt;&gt;"",VLOOKUP(AJU7,AHN4:AHV40,9,FALSE),"")</f>
        <v/>
      </c>
      <c r="AKF7" s="319" t="str">
        <f t="shared" ca="1" si="1520"/>
        <v/>
      </c>
      <c r="AKG7" s="319" t="str">
        <f t="shared" ref="AKG7" ca="1" si="2234">IF(AJU7&lt;&gt;"",RANK(AKF7,AKF4:AKF8),"")</f>
        <v/>
      </c>
      <c r="AKH7" s="319" t="str">
        <f t="shared" ref="AKH7" ca="1" si="2235">IF(AJU7&lt;&gt;"",SUMPRODUCT((AKF4:AKF8=AKF7)*(AKA4:AKA8&gt;AKA7)),"")</f>
        <v/>
      </c>
      <c r="AKI7" s="319" t="str">
        <f t="shared" ref="AKI7" ca="1" si="2236">IF(AJU7&lt;&gt;"",SUMPRODUCT((AKF4:AKF8=AKF7)*(AKA4:AKA8=AKA7)*(AJY4:AJY8&gt;AJY7)),"")</f>
        <v/>
      </c>
      <c r="AKJ7" s="319" t="str">
        <f t="shared" ref="AKJ7" ca="1" si="2237">IF(AJU7&lt;&gt;"",SUMPRODUCT((AKF4:AKF8=AKF7)*(AKA4:AKA8=AKA7)*(AJY4:AJY8=AJY7)*(AKC4:AKC8&gt;AKC7)),"")</f>
        <v/>
      </c>
      <c r="AKK7" s="319" t="str">
        <f t="shared" ref="AKK7" ca="1" si="2238">IF(AJU7&lt;&gt;"",SUMPRODUCT((AKF4:AKF8=AKF7)*(AKA4:AKA8=AKA7)*(AJY4:AJY8=AJY7)*(AKC4:AKC8=AKC7)*(AKD4:AKD8&gt;AKD7)),"")</f>
        <v/>
      </c>
      <c r="AKL7" s="319" t="str">
        <f t="shared" ref="AKL7" ca="1" si="2239">IF(AJU7&lt;&gt;"",SUMPRODUCT((AKF4:AKF8=AKF7)*(AKA4:AKA8=AKA7)*(AJY4:AJY8=AJY7)*(AKC4:AKC8=AKC7)*(AKD4:AKD8=AKD7)*(AKE4:AKE8&gt;AKE7)),"")</f>
        <v/>
      </c>
      <c r="AKM7" s="319" t="str">
        <f t="shared" ca="1" si="1527"/>
        <v/>
      </c>
      <c r="AKN7" s="319" t="str">
        <f t="shared" ref="AKN7" ca="1" si="2240">IF(AJU7&lt;&gt;"",INDEX(AJU6:AJU8,MATCH(4,AKM6:AKM8,0),0),"")</f>
        <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Switzerland</v>
      </c>
      <c r="ALJ7" s="319">
        <v>4</v>
      </c>
      <c r="ALK7" s="319">
        <v>5</v>
      </c>
      <c r="ALL7" s="319" t="str">
        <f t="shared" si="82"/>
        <v>Serbia</v>
      </c>
      <c r="ALM7" s="322">
        <f ca="1">IF(OFFSET('Player Game Board'!P14,0,ALM1)&lt;&gt;"",OFFSET('Player Game Board'!P14,0,ALM1),0)</f>
        <v>0</v>
      </c>
      <c r="ALN7" s="322">
        <f ca="1">IF(OFFSET('Player Game Board'!Q14,0,ALM1)&lt;&gt;"",OFFSET('Player Game Board'!Q14,0,ALM1),0)</f>
        <v>0</v>
      </c>
      <c r="ALO7" s="319" t="str">
        <f t="shared" si="83"/>
        <v>England</v>
      </c>
      <c r="ALP7" s="319" t="str">
        <f ca="1">IF(AND(OFFSET('Player Game Board'!P14,0,ALM1)&lt;&gt;"",OFFSET('Player Game Board'!Q14,0,ALM1)&lt;&gt;""),IF(ALM7&gt;ALN7,"W",IF(ALM7=ALN7,"D","L")),"")</f>
        <v/>
      </c>
      <c r="ALQ7" s="319" t="str">
        <f t="shared" ca="1" si="84"/>
        <v/>
      </c>
      <c r="ALR7" s="319"/>
      <c r="ALS7" s="319"/>
      <c r="ALT7" s="319" t="str">
        <f t="shared" ref="ALT7" ca="1" si="2262">VLOOKUP(3,AHM31:AHN34,2,FALSE)</f>
        <v>Slovakia</v>
      </c>
      <c r="ALU7" s="320">
        <f t="shared" ref="ALU7" ca="1" si="2263">VLOOKUP(ALT7,AHN4:AHS40,2,FALSE)</f>
        <v>0</v>
      </c>
      <c r="ALV7" s="320">
        <f t="shared" ref="ALV7" ca="1" si="2264">VLOOKUP(ALT7,AHN4:AHS40,3,FALSE)</f>
        <v>0</v>
      </c>
      <c r="ALW7" s="320">
        <f t="shared" ref="ALW7" ca="1" si="2265">VLOOKUP(ALT7,AHN4:AHS40,4,FALSE)</f>
        <v>0</v>
      </c>
      <c r="ALX7" s="320">
        <f t="shared" ref="ALX7" ca="1" si="2266">VLOOKUP(ALT7,AHN4:AHS40,5,FALSE)</f>
        <v>0</v>
      </c>
      <c r="ALY7" s="320">
        <f t="shared" ref="ALY7" ca="1" si="2267">VLOOKUP(ALT7,AHN4:AHS40,6,FALSE)</f>
        <v>0</v>
      </c>
      <c r="ALZ7" s="320">
        <f t="shared" ca="1" si="91"/>
        <v>1000</v>
      </c>
      <c r="AMA7" s="320">
        <f t="shared" ca="1" si="92"/>
        <v>0</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4</v>
      </c>
      <c r="AMG7" s="319">
        <f t="shared" ca="1" si="97"/>
        <v>5</v>
      </c>
      <c r="AMH7" s="319" t="s">
        <v>101</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101</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101</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101</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101</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1</v>
      </c>
      <c r="DK8" s="320">
        <f>Matches!W34</f>
        <v>1</v>
      </c>
      <c r="DL8" s="320">
        <f>Matches!X34</f>
        <v>2</v>
      </c>
      <c r="DM8" s="320">
        <f>Matches!Z34</f>
        <v>3</v>
      </c>
      <c r="DN8" s="320">
        <f>Matches!AA34</f>
        <v>-1</v>
      </c>
      <c r="DO8" s="320">
        <f>Matches!AB34</f>
        <v>1</v>
      </c>
      <c r="DP8" s="319">
        <f>VLOOKUP(DH8,B4:J40,9,FALSE)</f>
        <v>37</v>
      </c>
      <c r="DQ8" s="319">
        <f>RANK(DO8,DO3:DO8)</f>
        <v>4</v>
      </c>
      <c r="DR8" s="319">
        <f>SUMPRODUCT((DQ3:DQ8=DQ8)*(DN3:DN8&gt;DN8))</f>
        <v>0</v>
      </c>
      <c r="DS8" s="319">
        <f>SUMPRODUCT((DQ3:DQ8=DQ8)*(DN3:DN8=DN8)*(DL3:DL8&gt;DL8))</f>
        <v>1</v>
      </c>
      <c r="DT8" s="319">
        <f>SUMPRODUCT((DQ3:DQ8=DQ8)*(DN3:DN8=DN8)*(DL3:DL8=DL8)*(DP3:DP8&gt;DP8))</f>
        <v>0</v>
      </c>
      <c r="DU8" s="319">
        <f t="shared" si="163"/>
        <v>5</v>
      </c>
      <c r="DV8" s="319" t="s">
        <v>102</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1</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0</v>
      </c>
      <c r="IH8" s="320">
        <f ca="1">VLOOKUP(IF8,DZ4:EE40,3,FALSE)</f>
        <v>2</v>
      </c>
      <c r="II8" s="320">
        <f ca="1">VLOOKUP(IF8,DZ4:EE40,4,FALSE)</f>
        <v>1</v>
      </c>
      <c r="IJ8" s="320">
        <f ca="1">VLOOKUP(IF8,DZ4:EE40,5,FALSE)</f>
        <v>3</v>
      </c>
      <c r="IK8" s="320">
        <f ca="1">VLOOKUP(IF8,DZ4:EE40,6,FALSE)</f>
        <v>6</v>
      </c>
      <c r="IL8" s="320">
        <f t="shared" ca="1" si="167"/>
        <v>997</v>
      </c>
      <c r="IM8" s="320">
        <f t="shared" ca="1" si="168"/>
        <v>2</v>
      </c>
      <c r="IN8" s="319">
        <f ca="1">VLOOKUP(IF8,B4:J40,9,FALSE)</f>
        <v>37</v>
      </c>
      <c r="IO8" s="319">
        <f ca="1">RANK(IM8,IM3:IM8)</f>
        <v>4</v>
      </c>
      <c r="IP8" s="319">
        <f ca="1">SUMPRODUCT((IO3:IO8=IO8)*(IL3:IL8&gt;IL8))</f>
        <v>2</v>
      </c>
      <c r="IQ8" s="319">
        <f ca="1">SUMPRODUCT((IO3:IO8=IO8)*(IL3:IL8=IL8)*(IJ3:IJ8&gt;IJ8))</f>
        <v>0</v>
      </c>
      <c r="IR8" s="319">
        <f ca="1">SUMPRODUCT((IO3:IO8=IO8)*(IL3:IL8=IL8)*(IJ3:IJ8=IJ8)*(IN3:IN8&gt;IN8))</f>
        <v>0</v>
      </c>
      <c r="IS8" s="319">
        <f t="shared" ca="1" si="169"/>
        <v>6</v>
      </c>
      <c r="IT8" s="319" t="s">
        <v>102</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3</v>
      </c>
      <c r="MY8" s="319" t="str">
        <f t="shared" si="171"/>
        <v>Denmark</v>
      </c>
      <c r="MZ8" s="319" t="str">
        <f ca="1">IF(AND(OFFSET('Player Game Board'!P15,0,MW1)&lt;&gt;"",OFFSET('Player Game Board'!Q15,0,MW1)&lt;&gt;""),IF(MW8&gt;MX8,"W",IF(MW8=MX8,"D","L")),"")</f>
        <v>L</v>
      </c>
      <c r="NA8" s="319" t="str">
        <f t="shared" ca="1" si="172"/>
        <v>W</v>
      </c>
      <c r="NB8" s="319"/>
      <c r="NC8" s="319"/>
      <c r="ND8" s="319" t="str">
        <f ca="1">VLOOKUP(3,IW37:IX40,2,FALSE)</f>
        <v>Czechia</v>
      </c>
      <c r="NE8" s="320">
        <f ca="1">VLOOKUP(ND8,IX4:JC40,2,FALSE)</f>
        <v>1</v>
      </c>
      <c r="NF8" s="320">
        <f ca="1">VLOOKUP(ND8,IX4:JC40,3,FALSE)</f>
        <v>1</v>
      </c>
      <c r="NG8" s="320">
        <f ca="1">VLOOKUP(ND8,IX4:JC40,4,FALSE)</f>
        <v>1</v>
      </c>
      <c r="NH8" s="320">
        <f ca="1">VLOOKUP(ND8,IX4:JC40,5,FALSE)</f>
        <v>4</v>
      </c>
      <c r="NI8" s="320">
        <f ca="1">VLOOKUP(ND8,IX4:JC40,6,FALSE)</f>
        <v>4</v>
      </c>
      <c r="NJ8" s="320">
        <f t="shared" ca="1" si="173"/>
        <v>1000</v>
      </c>
      <c r="NK8" s="320">
        <f t="shared" ca="1" si="174"/>
        <v>4</v>
      </c>
      <c r="NL8" s="319">
        <f ca="1">VLOOKUP(ND8,B4:J40,9,FALSE)</f>
        <v>37</v>
      </c>
      <c r="NM8" s="319">
        <f ca="1">RANK(NK8,NK3:NK8)</f>
        <v>1</v>
      </c>
      <c r="NN8" s="319">
        <f ca="1">SUMPRODUCT((NM3:NM8=NM8)*(NJ3:NJ8&gt;NJ8))</f>
        <v>1</v>
      </c>
      <c r="NO8" s="319">
        <f ca="1">SUMPRODUCT((NM3:NM8=NM8)*(NJ3:NJ8=NJ8)*(NH3:NH8&gt;NH8))</f>
        <v>0</v>
      </c>
      <c r="NP8" s="319">
        <f ca="1">SUMPRODUCT((NM3:NM8=NM8)*(NJ3:NJ8=NJ8)*(NH3:NH8=NH8)*(NL3:NL8&gt;NL8))</f>
        <v>0</v>
      </c>
      <c r="NQ8" s="319">
        <f t="shared" ca="1" si="175"/>
        <v>2</v>
      </c>
      <c r="NR8" s="319" t="s">
        <v>102</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0</v>
      </c>
      <c r="RV8" s="322">
        <f ca="1">IF(OFFSET('Player Game Board'!Q15,0,RU1)&lt;&gt;"",OFFSET('Player Game Board'!Q15,0,RU1),0)</f>
        <v>0</v>
      </c>
      <c r="RW8" s="319" t="str">
        <f t="shared" si="19"/>
        <v>Denmark</v>
      </c>
      <c r="RX8" s="319" t="str">
        <f ca="1">IF(AND(OFFSET('Player Game Board'!P15,0,RU1)&lt;&gt;"",OFFSET('Player Game Board'!Q15,0,RU1)&lt;&gt;""),IF(RU8&gt;RV8,"W",IF(RU8=RV8,"D","L")),"")</f>
        <v/>
      </c>
      <c r="RY8" s="319" t="str">
        <f t="shared" ca="1" si="20"/>
        <v/>
      </c>
      <c r="RZ8" s="319"/>
      <c r="SA8" s="319"/>
      <c r="SB8" s="319" t="str">
        <f t="shared" ref="SB8" ca="1" si="2616">VLOOKUP(3,NU37:NV40,2,FALSE)</f>
        <v>Czechia</v>
      </c>
      <c r="SC8" s="320">
        <f t="shared" ref="SC8" ca="1" si="2617">VLOOKUP(SB8,NV4:OA40,2,FALSE)</f>
        <v>0</v>
      </c>
      <c r="SD8" s="320">
        <f t="shared" ref="SD8" ca="1" si="2618">VLOOKUP(SB8,NV4:OA40,3,FALSE)</f>
        <v>0</v>
      </c>
      <c r="SE8" s="320">
        <f t="shared" ref="SE8" ca="1" si="2619">VLOOKUP(SB8,NV4:OA40,4,FALSE)</f>
        <v>0</v>
      </c>
      <c r="SF8" s="320">
        <f t="shared" ref="SF8" ca="1" si="2620">VLOOKUP(SB8,NV4:OA40,5,FALSE)</f>
        <v>0</v>
      </c>
      <c r="SG8" s="320">
        <f t="shared" ref="SG8" ca="1" si="2621">VLOOKUP(SB8,NV4:OA40,6,FALSE)</f>
        <v>0</v>
      </c>
      <c r="SH8" s="320">
        <f t="shared" ca="1" si="27"/>
        <v>1000</v>
      </c>
      <c r="SI8" s="320">
        <f t="shared" ca="1" si="28"/>
        <v>0</v>
      </c>
      <c r="SJ8" s="319">
        <f ca="1">VLOOKUP(SB8,B4:J40,9,FALSE)</f>
        <v>37</v>
      </c>
      <c r="SK8" s="319">
        <f t="shared" ref="SK8" ca="1" si="2622">RANK(SI8,SI3:SI8)</f>
        <v>1</v>
      </c>
      <c r="SL8" s="319">
        <f t="shared" ref="SL8" ca="1" si="2623">SUMPRODUCT((SK3:SK8=SK8)*(SH3:SH8&gt;SH8))</f>
        <v>0</v>
      </c>
      <c r="SM8" s="319">
        <f t="shared" ref="SM8" ca="1" si="2624">SUMPRODUCT((SK3:SK8=SK8)*(SH3:SH8=SH8)*(SF3:SF8&gt;SF8))</f>
        <v>0</v>
      </c>
      <c r="SN8" s="319">
        <f t="shared" ref="SN8" ca="1" si="2625">SUMPRODUCT((SK3:SK8=SK8)*(SH3:SH8=SH8)*(SF3:SF8=SF8)*(SJ3:SJ8&gt;SJ8))</f>
        <v>5</v>
      </c>
      <c r="SO8" s="319">
        <f t="shared" ca="1" si="33"/>
        <v>6</v>
      </c>
      <c r="SP8" s="319" t="s">
        <v>102</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0</v>
      </c>
      <c r="WT8" s="322">
        <f ca="1">IF(OFFSET('Player Game Board'!Q15,0,WS1)&lt;&gt;"",OFFSET('Player Game Board'!Q15,0,WS1),0)</f>
        <v>0</v>
      </c>
      <c r="WU8" s="319" t="str">
        <f t="shared" si="35"/>
        <v>Denmark</v>
      </c>
      <c r="WV8" s="319" t="str">
        <f ca="1">IF(AND(OFFSET('Player Game Board'!P15,0,WS1)&lt;&gt;"",OFFSET('Player Game Board'!Q15,0,WS1)&lt;&gt;""),IF(WS8&gt;WT8,"W",IF(WS8=WT8,"D","L")),"")</f>
        <v/>
      </c>
      <c r="WW8" s="319" t="str">
        <f t="shared" ca="1" si="36"/>
        <v/>
      </c>
      <c r="WX8" s="319"/>
      <c r="WY8" s="319"/>
      <c r="WZ8" s="319" t="str">
        <f t="shared" ref="WZ8" ca="1" si="2626">VLOOKUP(3,SS37:ST40,2,FALSE)</f>
        <v>Czechia</v>
      </c>
      <c r="XA8" s="320">
        <f t="shared" ref="XA8" ca="1" si="2627">VLOOKUP(WZ8,ST4:SY40,2,FALSE)</f>
        <v>0</v>
      </c>
      <c r="XB8" s="320">
        <f t="shared" ref="XB8" ca="1" si="2628">VLOOKUP(WZ8,ST4:SY40,3,FALSE)</f>
        <v>0</v>
      </c>
      <c r="XC8" s="320">
        <f t="shared" ref="XC8" ca="1" si="2629">VLOOKUP(WZ8,ST4:SY40,4,FALSE)</f>
        <v>0</v>
      </c>
      <c r="XD8" s="320">
        <f t="shared" ref="XD8" ca="1" si="2630">VLOOKUP(WZ8,ST4:SY40,5,FALSE)</f>
        <v>0</v>
      </c>
      <c r="XE8" s="320">
        <f t="shared" ref="XE8" ca="1" si="2631">VLOOKUP(WZ8,ST4:SY40,6,FALSE)</f>
        <v>0</v>
      </c>
      <c r="XF8" s="320">
        <f t="shared" ca="1" si="43"/>
        <v>1000</v>
      </c>
      <c r="XG8" s="320">
        <f t="shared" ca="1" si="44"/>
        <v>0</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5</v>
      </c>
      <c r="XM8" s="319">
        <f t="shared" ca="1" si="49"/>
        <v>6</v>
      </c>
      <c r="XN8" s="319" t="s">
        <v>102</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102</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0</v>
      </c>
      <c r="AGQ8" s="319" t="str">
        <f t="shared" si="67"/>
        <v>Denmark</v>
      </c>
      <c r="AGR8" s="319" t="str">
        <f ca="1">IF(AND(OFFSET('Player Game Board'!P15,0,AGO1)&lt;&gt;"",OFFSET('Player Game Board'!Q15,0,AGO1)&lt;&gt;""),IF(AGO8&gt;AGP8,"W",IF(AGO8=AGP8,"D","L")),"")</f>
        <v/>
      </c>
      <c r="AGS8" s="319" t="str">
        <f t="shared" ca="1" si="68"/>
        <v/>
      </c>
      <c r="AGT8" s="319"/>
      <c r="AGU8" s="319"/>
      <c r="AGV8" s="319" t="str">
        <f t="shared" ref="AGV8" ca="1" si="2646">VLOOKUP(3,ACO37:ACP40,2,FALSE)</f>
        <v>Czechia</v>
      </c>
      <c r="AGW8" s="320">
        <f t="shared" ref="AGW8" ca="1" si="2647">VLOOKUP(AGV8,ACP4:ACU40,2,FALSE)</f>
        <v>0</v>
      </c>
      <c r="AGX8" s="320">
        <f t="shared" ref="AGX8" ca="1" si="2648">VLOOKUP(AGV8,ACP4:ACU40,3,FALSE)</f>
        <v>0</v>
      </c>
      <c r="AGY8" s="320">
        <f t="shared" ref="AGY8" ca="1" si="2649">VLOOKUP(AGV8,ACP4:ACU40,4,FALSE)</f>
        <v>0</v>
      </c>
      <c r="AGZ8" s="320">
        <f t="shared" ref="AGZ8" ca="1" si="2650">VLOOKUP(AGV8,ACP4:ACU40,5,FALSE)</f>
        <v>0</v>
      </c>
      <c r="AHA8" s="320">
        <f t="shared" ref="AHA8" ca="1" si="2651">VLOOKUP(AGV8,ACP4:ACU40,6,FALSE)</f>
        <v>0</v>
      </c>
      <c r="AHB8" s="320">
        <f t="shared" ca="1" si="75"/>
        <v>1000</v>
      </c>
      <c r="AHC8" s="320">
        <f t="shared" ca="1" si="76"/>
        <v>0</v>
      </c>
      <c r="AHD8" s="319">
        <f ca="1">VLOOKUP(AGV8,B4:J40,9,FALSE)</f>
        <v>37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5</v>
      </c>
      <c r="AHI8" s="319">
        <f t="shared" ca="1" si="81"/>
        <v>6</v>
      </c>
      <c r="AHJ8" s="319" t="s">
        <v>102</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
      </c>
      <c r="ALQ8" s="319" t="str">
        <f t="shared" ca="1" si="84"/>
        <v/>
      </c>
      <c r="ALR8" s="319"/>
      <c r="ALS8" s="319"/>
      <c r="ALT8" s="319" t="str">
        <f t="shared" ref="ALT8" ca="1" si="2656">VLOOKUP(3,AHM37:AHN40,2,FALSE)</f>
        <v>Czechia</v>
      </c>
      <c r="ALU8" s="320">
        <f t="shared" ref="ALU8" ca="1" si="2657">VLOOKUP(ALT8,AHN4:AHS40,2,FALSE)</f>
        <v>0</v>
      </c>
      <c r="ALV8" s="320">
        <f t="shared" ref="ALV8" ca="1" si="2658">VLOOKUP(ALT8,AHN4:AHS40,3,FALSE)</f>
        <v>0</v>
      </c>
      <c r="ALW8" s="320">
        <f t="shared" ref="ALW8" ca="1" si="2659">VLOOKUP(ALT8,AHN4:AHS40,4,FALSE)</f>
        <v>0</v>
      </c>
      <c r="ALX8" s="320">
        <f t="shared" ref="ALX8" ca="1" si="2660">VLOOKUP(ALT8,AHN4:AHS40,5,FALSE)</f>
        <v>0</v>
      </c>
      <c r="ALY8" s="320">
        <f t="shared" ref="ALY8" ca="1" si="2661">VLOOKUP(ALT8,AHN4:AHS40,6,FALSE)</f>
        <v>0</v>
      </c>
      <c r="ALZ8" s="320">
        <f t="shared" ca="1" si="91"/>
        <v>1000</v>
      </c>
      <c r="AMA8" s="320">
        <f t="shared" ca="1" si="92"/>
        <v>0</v>
      </c>
      <c r="AMB8" s="319">
        <f ca="1">VLOOKUP(ALT8,B4:J40,9,FALSE)</f>
        <v>37</v>
      </c>
      <c r="AMC8" s="319">
        <f t="shared" ref="AMC8" ca="1" si="2662">RANK(AMA8,AMA3:AMA8)</f>
        <v>1</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5</v>
      </c>
      <c r="AMG8" s="319">
        <f t="shared" ca="1" si="97"/>
        <v>6</v>
      </c>
      <c r="AMH8" s="319" t="s">
        <v>102</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102</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102</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102</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102</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90</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90</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1</v>
      </c>
      <c r="IA9" s="319" t="str">
        <f t="shared" si="165"/>
        <v>Netherlands</v>
      </c>
      <c r="IB9" s="319" t="str">
        <f ca="1">IF(AND(OFFSET('Player Game Board'!P16,0,HY1)&lt;&gt;"",OFFSET('Player Game Board'!Q16,0,HY1)&lt;&gt;""),IF(HY9&gt;HZ9,"W",IF(HY9=HZ9,"D","L")),"")</f>
        <v>D</v>
      </c>
      <c r="IC9" s="319" t="str">
        <f t="shared" ca="1" si="166"/>
        <v>D</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90</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90</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0</v>
      </c>
      <c r="RV9" s="322">
        <f ca="1">IF(OFFSET('Player Game Board'!Q16,0,RU1)&lt;&gt;"",OFFSET('Player Game Board'!Q16,0,RU1),0)</f>
        <v>0</v>
      </c>
      <c r="RW9" s="319" t="str">
        <f t="shared" si="19"/>
        <v>Netherlands</v>
      </c>
      <c r="RX9" s="319" t="str">
        <f ca="1">IF(AND(OFFSET('Player Game Board'!P16,0,RU1)&lt;&gt;"",OFFSET('Player Game Board'!Q16,0,RU1)&lt;&gt;""),IF(RU9&gt;RV9,"W",IF(RU9=RV9,"D","L")),"")</f>
        <v/>
      </c>
      <c r="RY9" s="319" t="str">
        <f t="shared" ca="1" si="20"/>
        <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90</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
      </c>
      <c r="WW9" s="319" t="str">
        <f t="shared" ca="1" si="36"/>
        <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90</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90</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0</v>
      </c>
      <c r="AGP9" s="322">
        <f ca="1">IF(OFFSET('Player Game Board'!Q16,0,AGO1)&lt;&gt;"",OFFSET('Player Game Board'!Q16,0,AGO1),0)</f>
        <v>0</v>
      </c>
      <c r="AGQ9" s="319" t="str">
        <f t="shared" si="67"/>
        <v>Netherlands</v>
      </c>
      <c r="AGR9" s="319" t="str">
        <f ca="1">IF(AND(OFFSET('Player Game Board'!P16,0,AGO1)&lt;&gt;"",OFFSET('Player Game Board'!Q16,0,AGO1)&lt;&gt;""),IF(AGO9&gt;AGP9,"W",IF(AGO9=AGP9,"D","L")),"")</f>
        <v/>
      </c>
      <c r="AGS9" s="319" t="str">
        <f t="shared" ca="1" si="68"/>
        <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90</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0</v>
      </c>
      <c r="ALO9" s="319" t="str">
        <f t="shared" si="83"/>
        <v>Netherlands</v>
      </c>
      <c r="ALP9" s="319" t="str">
        <f ca="1">IF(AND(OFFSET('Player Game Board'!P16,0,ALM1)&lt;&gt;"",OFFSET('Player Game Board'!Q16,0,ALM1)&lt;&gt;""),IF(ALM9&gt;ALN9,"W",IF(ALM9=ALN9,"D","L")),"")</f>
        <v/>
      </c>
      <c r="ALQ9" s="319" t="str">
        <f t="shared" ca="1" si="84"/>
        <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90</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90</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90</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90</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2</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0</v>
      </c>
      <c r="RW10" s="319" t="str">
        <f t="shared" si="19"/>
        <v>France</v>
      </c>
      <c r="RX10" s="319" t="str">
        <f ca="1">IF(AND(OFFSET('Player Game Board'!P17,0,RU1)&lt;&gt;"",OFFSET('Player Game Board'!Q17,0,RU1)&lt;&gt;""),IF(RU10&gt;RV10,"W",IF(RU10=RV10,"D","L")),"")</f>
        <v/>
      </c>
      <c r="RY10" s="319" t="str">
        <f t="shared" ca="1" si="20"/>
        <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0</v>
      </c>
      <c r="WU10" s="319" t="str">
        <f t="shared" si="35"/>
        <v>France</v>
      </c>
      <c r="WV10" s="319" t="str">
        <f ca="1">IF(AND(OFFSET('Player Game Board'!P17,0,WS1)&lt;&gt;"",OFFSET('Player Game Board'!Q17,0,WS1)&lt;&gt;""),IF(WS10&gt;WT10,"W",IF(WS10=WT10,"D","L")),"")</f>
        <v/>
      </c>
      <c r="WW10" s="319" t="str">
        <f t="shared" ca="1" si="36"/>
        <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0</v>
      </c>
      <c r="AGQ10" s="319" t="str">
        <f t="shared" si="67"/>
        <v>France</v>
      </c>
      <c r="AGR10" s="319" t="str">
        <f ca="1">IF(AND(OFFSET('Player Game Board'!P17,0,AGO1)&lt;&gt;"",OFFSET('Player Game Board'!Q17,0,AGO1)&lt;&gt;""),IF(AGO10&gt;AGP10,"W",IF(AGO10=AGP10,"D","L")),"")</f>
        <v/>
      </c>
      <c r="AGS10" s="319" t="str">
        <f t="shared" ca="1" si="68"/>
        <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0</v>
      </c>
      <c r="ALO10" s="319" t="str">
        <f t="shared" si="83"/>
        <v>France</v>
      </c>
      <c r="ALP10" s="319" t="str">
        <f ca="1">IF(AND(OFFSET('Player Game Board'!P17,0,ALM1)&lt;&gt;"",OFFSET('Player Game Board'!Q17,0,ALM1)&lt;&gt;""),IF(ALM10&gt;ALN10,"W",IF(ALM10=ALN10,"D","L")),"")</f>
        <v/>
      </c>
      <c r="ALQ10" s="319" t="str">
        <f t="shared" ca="1" si="84"/>
        <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3</v>
      </c>
      <c r="DZ11" s="319" t="str">
        <f>B11</f>
        <v>Italy</v>
      </c>
      <c r="EA11" s="319">
        <f ca="1">SUMPRODUCT((HX3:HX42=DZ11)*(IB3:IB42="W"))+SUMPRODUCT((IA3:IA42=DZ11)*(IC3:IC42="W"))</f>
        <v>1</v>
      </c>
      <c r="EB11" s="319">
        <f ca="1">SUMPRODUCT((HX3:HX42=DZ11)*(IB3:IB42="D"))+SUMPRODUCT((IA3:IA42=DZ11)*(IC3:IC42="D"))</f>
        <v>1</v>
      </c>
      <c r="EC11" s="319">
        <f ca="1">SUMPRODUCT((HX3:HX42=DZ11)*(IB3:IB42="L"))+SUMPRODUCT((IA3:IA42=DZ11)*(IC3:IC42="L"))</f>
        <v>1</v>
      </c>
      <c r="ED11" s="319">
        <f ca="1">SUMIF(HX3:HX60,DZ11,HY3:HY60)+SUMIF(IA3:IA60,DZ11,HZ3:HZ60)</f>
        <v>5</v>
      </c>
      <c r="EE11" s="319">
        <f ca="1">SUMIF(IA3:IA60,DZ11,HY3:HY60)+SUMIF(HX3:HX60,DZ11,HZ3:HZ60)</f>
        <v>5</v>
      </c>
      <c r="EF11" s="319">
        <f t="shared" ref="EF11:EF14" ca="1" si="2710">ED11-EE11+1000</f>
        <v>1000</v>
      </c>
      <c r="EG11" s="319">
        <f t="shared" ref="EG11:EG14" ca="1" si="2711">EA11*3+EB11*1</f>
        <v>4</v>
      </c>
      <c r="EH11" s="319">
        <f t="shared" si="609"/>
        <v>36</v>
      </c>
      <c r="EI11" s="319">
        <f ca="1">IF(COUNTIF(EG11:EG15,4)&lt;&gt;4,RANK(EG11,EG11:EG15),EG51)</f>
        <v>2</v>
      </c>
      <c r="EJ11" s="319"/>
      <c r="EK11" s="319">
        <f ca="1">SUMPRODUCT((EI11:EI14=EI11)*(EH11:EH14&lt;EH11))+EI11</f>
        <v>2</v>
      </c>
      <c r="EL11" s="319" t="str">
        <f ca="1">INDEX(DZ11:DZ15,MATCH(1,EK11:EK15,0),0)</f>
        <v>Croatia</v>
      </c>
      <c r="EM11" s="319">
        <f ca="1">INDEX(EI11:EI15,MATCH(EL11,DZ11:DZ15,0),0)</f>
        <v>1</v>
      </c>
      <c r="EN11" s="319" t="str">
        <f ca="1">IF(EM12=1,EL11,"")</f>
        <v/>
      </c>
      <c r="EO11" s="319" t="str">
        <f ca="1">IF(EM13=2,EL12,"")</f>
        <v>Italy</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Croatia</v>
      </c>
      <c r="HV11" s="319">
        <v>1</v>
      </c>
      <c r="HW11" s="319">
        <v>9</v>
      </c>
      <c r="HX11" s="319" t="str">
        <f t="shared" si="164"/>
        <v>Belgium</v>
      </c>
      <c r="HY11" s="322">
        <f ca="1">IF(OFFSET('Player Game Board'!P18,0,HY1)&lt;&gt;"",OFFSET('Player Game Board'!P18,0,HY1),0)</f>
        <v>1</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1</v>
      </c>
      <c r="JA11" s="319">
        <f ca="1">SUMPRODUCT((MV3:MV42=IX11)*(MZ3:MZ42="L"))+SUMPRODUCT((MY3:MY42=IX11)*(NA3:NA42="L"))</f>
        <v>1</v>
      </c>
      <c r="JB11" s="319">
        <f ca="1">SUMIF(MV3:MV60,IX11,MW3:MW60)+SUMIF(MY3:MY60,IX11,MX3:MX60)</f>
        <v>3</v>
      </c>
      <c r="JC11" s="319">
        <f ca="1">SUMIF(MY3:MY60,IX11,MW3:MW60)+SUMIF(MV3:MV60,IX11,MX3:MX60)</f>
        <v>2</v>
      </c>
      <c r="JD11" s="319">
        <f t="shared" ref="JD11:JD14" ca="1" si="2714">JB11-JC11+1000</f>
        <v>1001</v>
      </c>
      <c r="JE11" s="319">
        <f t="shared" ref="JE11:JE14" ca="1" si="2715">IY11*3+IZ11*1</f>
        <v>4</v>
      </c>
      <c r="JF11" s="319">
        <f t="shared" si="618"/>
        <v>36</v>
      </c>
      <c r="JG11" s="319">
        <f ca="1">IF(COUNTIF(JE11:JE15,4)&lt;&gt;4,RANK(JE11,JE11:JE15),JE51)</f>
        <v>3</v>
      </c>
      <c r="JH11" s="319"/>
      <c r="JI11" s="319">
        <f ca="1">SUMPRODUCT((JG11:JG14=JG11)*(JF11:JF14&lt;JF11))+JG11</f>
        <v>3</v>
      </c>
      <c r="JJ11" s="319" t="str">
        <f ca="1">INDEX(IX11:IX15,MATCH(1,JI11:JI15,0),0)</f>
        <v>Croatia</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Croatia</v>
      </c>
      <c r="MT11" s="319">
        <v>1</v>
      </c>
      <c r="MU11" s="319">
        <v>9</v>
      </c>
      <c r="MV11" s="319" t="str">
        <f t="shared" si="170"/>
        <v>Belgium</v>
      </c>
      <c r="MW11" s="322">
        <f ca="1">IF(OFFSET('Player Game Board'!P18,0,MW1)&lt;&gt;"",OFFSET('Player Game Board'!P18,0,MW1),0)</f>
        <v>1</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4</v>
      </c>
      <c r="NV11" s="319" t="str">
        <f t="shared" ref="NV11:NV14" si="2719">IX11</f>
        <v>Italy</v>
      </c>
      <c r="NW11" s="319">
        <f t="shared" ref="NW11" ca="1" si="2720">SUMPRODUCT((RT3:RT42=NV11)*(RX3:RX42="W"))+SUMPRODUCT((RW3:RW42=NV11)*(RY3:RY42="W"))</f>
        <v>0</v>
      </c>
      <c r="NX11" s="319">
        <f t="shared" ref="NX11" ca="1" si="2721">SUMPRODUCT((RT3:RT42=NV11)*(RX3:RX42="D"))+SUMPRODUCT((RW3:RW42=NV11)*(RY3:RY42="D"))</f>
        <v>0</v>
      </c>
      <c r="NY11" s="319">
        <f t="shared" ref="NY11" ca="1" si="2722">SUMPRODUCT((RT3:RT42=NV11)*(RX3:RX42="L"))+SUMPRODUCT((RW3:RW42=NV11)*(RY3:RY42="L"))</f>
        <v>0</v>
      </c>
      <c r="NZ11" s="319">
        <f t="shared" ref="NZ11" ca="1" si="2723">SUMIF(RT3:RT60,NV11,RU3:RU60)+SUMIF(RW3:RW60,NV11,RV3:RV60)</f>
        <v>0</v>
      </c>
      <c r="OA11" s="319">
        <f t="shared" ref="OA11" ca="1" si="2724">SUMIF(RW3:RW60,NV11,RU3:RU60)+SUMIF(RT3:RT60,NV11,RV3:RV60)</f>
        <v>0</v>
      </c>
      <c r="OB11" s="319">
        <f t="shared" ref="OB11:OB14" ca="1" si="2725">NZ11-OA11+1000</f>
        <v>1000</v>
      </c>
      <c r="OC11" s="319">
        <f t="shared" ref="OC11:OC14" ca="1" si="2726">NW11*3+NX11*1</f>
        <v>0</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f t="shared" ref="OV11:OV14" ca="1" si="2742">IF(OO11&lt;&gt;"",OP11*3+OQ11*1,"")</f>
        <v>0</v>
      </c>
      <c r="OW11" s="319">
        <f t="shared" ref="OW11" ca="1" si="2743">IF(OO11&lt;&gt;"",VLOOKUP(OO11,NV4:OB40,7,FALSE),"")</f>
        <v>1000</v>
      </c>
      <c r="OX11" s="319">
        <f t="shared" ref="OX11" ca="1" si="2744">IF(OO11&lt;&gt;"",VLOOKUP(OO11,NV4:OB40,5,FALSE),"")</f>
        <v>0</v>
      </c>
      <c r="OY11" s="319">
        <f t="shared" ref="OY11" ca="1" si="2745">IF(OO11&lt;&gt;"",VLOOKUP(OO11,NV4:OD40,9,FALSE),"")</f>
        <v>36</v>
      </c>
      <c r="OZ11" s="319">
        <f t="shared" ref="OZ11:OZ14" ca="1" si="2746">OV11</f>
        <v>0</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3</v>
      </c>
      <c r="PG11" s="319">
        <f ca="1">IF(OO11&lt;&gt;"",IF(PG51&lt;&gt;"",IF(ON50=3,PG51,PG51+ON50),SUM(PA11:PF11)),"")</f>
        <v>4</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
      </c>
      <c r="RY11" s="319" t="str">
        <f t="shared" ca="1" si="20"/>
        <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4</v>
      </c>
      <c r="ST11" s="319" t="str">
        <f t="shared" ref="ST11:ST14" si="2756">NV11</f>
        <v>Italy</v>
      </c>
      <c r="SU11" s="319">
        <f t="shared" ref="SU11" ca="1" si="2757">SUMPRODUCT((WR3:WR42=ST11)*(WV3:WV42="W"))+SUMPRODUCT((WU3:WU42=ST11)*(WW3:WW42="W"))</f>
        <v>0</v>
      </c>
      <c r="SV11" s="319">
        <f t="shared" ref="SV11" ca="1" si="2758">SUMPRODUCT((WR3:WR42=ST11)*(WV3:WV42="D"))+SUMPRODUCT((WU3:WU42=ST11)*(WW3:WW42="D"))</f>
        <v>0</v>
      </c>
      <c r="SW11" s="319">
        <f t="shared" ref="SW11" ca="1" si="2759">SUMPRODUCT((WR3:WR42=ST11)*(WV3:WV42="L"))+SUMPRODUCT((WU3:WU42=ST11)*(WW3:WW42="L"))</f>
        <v>0</v>
      </c>
      <c r="SX11" s="319">
        <f t="shared" ref="SX11" ca="1" si="2760">SUMIF(WR3:WR60,ST11,WS3:WS60)+SUMIF(WU3:WU60,ST11,WT3:WT60)</f>
        <v>0</v>
      </c>
      <c r="SY11" s="319">
        <f t="shared" ref="SY11" ca="1" si="2761">SUMIF(WU3:WU60,ST11,WS3:WS60)+SUMIF(WR3:WR60,ST11,WT3:WT60)</f>
        <v>0</v>
      </c>
      <c r="SZ11" s="319">
        <f t="shared" ref="SZ11:SZ14" ca="1" si="2762">SX11-SY11+1000</f>
        <v>1000</v>
      </c>
      <c r="TA11" s="319">
        <f t="shared" ref="TA11:TA14" ca="1" si="2763">SU11*3+SV11*1</f>
        <v>0</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f t="shared" ref="TT11:TT14" ca="1" si="2779">IF(TM11&lt;&gt;"",TN11*3+TO11*1,"")</f>
        <v>0</v>
      </c>
      <c r="TU11" s="319">
        <f t="shared" ref="TU11" ca="1" si="2780">IF(TM11&lt;&gt;"",VLOOKUP(TM11,ST4:SZ40,7,FALSE),"")</f>
        <v>1000</v>
      </c>
      <c r="TV11" s="319">
        <f t="shared" ref="TV11" ca="1" si="2781">IF(TM11&lt;&gt;"",VLOOKUP(TM11,ST4:SZ40,5,FALSE),"")</f>
        <v>0</v>
      </c>
      <c r="TW11" s="319">
        <f t="shared" ref="TW11" ca="1" si="2782">IF(TM11&lt;&gt;"",VLOOKUP(TM11,ST4:TB40,9,FALSE),"")</f>
        <v>36</v>
      </c>
      <c r="TX11" s="319">
        <f t="shared" ref="TX11:TX14" ca="1" si="2783">TT11</f>
        <v>0</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0</v>
      </c>
      <c r="UC11" s="319">
        <f t="shared" ref="UC11" ca="1" si="2788">IF(TM11&lt;&gt;"",SUMPRODUCT((TX11:TX15=TX11)*(TS11:TS15=TS11)*(TQ11:TQ15=TQ11)*(TU11:TU15=TU11)*(TV11:TV15&gt;TV11)),"")</f>
        <v>0</v>
      </c>
      <c r="UD11" s="319">
        <f t="shared" ref="UD11" ca="1" si="2789">IF(TM11&lt;&gt;"",SUMPRODUCT((TX11:TX15=TX11)*(TS11:TS15=TS11)*(TQ11:TQ15=TQ11)*(TU11:TU15=TU11)*(TV11:TV15=TV11)*(TW11:TW15&gt;TW11)),"")</f>
        <v>3</v>
      </c>
      <c r="UE11" s="319">
        <f ca="1">IF(TM11&lt;&gt;"",IF(UE51&lt;&gt;"",IF(TL50=3,UE51,UE51+TL50),SUM(TY11:UD11)),"")</f>
        <v>4</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0</v>
      </c>
      <c r="WT11" s="322">
        <f ca="1">IF(OFFSET('Player Game Board'!Q18,0,WS1)&lt;&gt;"",OFFSET('Player Game Board'!Q18,0,WS1),0)</f>
        <v>0</v>
      </c>
      <c r="WU11" s="319" t="str">
        <f t="shared" si="35"/>
        <v>Slovakia</v>
      </c>
      <c r="WV11" s="319" t="str">
        <f ca="1">IF(AND(OFFSET('Player Game Board'!P18,0,WS1)&lt;&gt;"",OFFSET('Player Game Board'!Q18,0,WS1)&lt;&gt;""),IF(WS11&gt;WT11,"W",IF(WS11=WT11,"D","L")),"")</f>
        <v/>
      </c>
      <c r="WW11" s="319" t="str">
        <f t="shared" ca="1" si="36"/>
        <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4</v>
      </c>
      <c r="ACP11" s="319" t="str">
        <f t="shared" ref="ACP11:ACP14" si="2830">XR11</f>
        <v>Italy</v>
      </c>
      <c r="ACQ11" s="319">
        <f t="shared" ref="ACQ11" ca="1" si="2831">SUMPRODUCT((AGN3:AGN42=ACP11)*(AGR3:AGR42="W"))+SUMPRODUCT((AGQ3:AGQ42=ACP11)*(AGS3:AGS42="W"))</f>
        <v>0</v>
      </c>
      <c r="ACR11" s="319">
        <f t="shared" ref="ACR11" ca="1" si="2832">SUMPRODUCT((AGN3:AGN42=ACP11)*(AGR3:AGR42="D"))+SUMPRODUCT((AGQ3:AGQ42=ACP11)*(AGS3:AGS42="D"))</f>
        <v>0</v>
      </c>
      <c r="ACS11" s="319">
        <f t="shared" ref="ACS11" ca="1" si="2833">SUMPRODUCT((AGN3:AGN42=ACP11)*(AGR3:AGR42="L"))+SUMPRODUCT((AGQ3:AGQ42=ACP11)*(AGS3:AGS42="L"))</f>
        <v>0</v>
      </c>
      <c r="ACT11" s="319">
        <f t="shared" ref="ACT11" ca="1" si="2834">SUMIF(AGN3:AGN60,ACP11,AGO3:AGO60)+SUMIF(AGQ3:AGQ60,ACP11,AGP3:AGP60)</f>
        <v>0</v>
      </c>
      <c r="ACU11" s="319">
        <f t="shared" ref="ACU11" ca="1" si="2835">SUMIF(AGQ3:AGQ60,ACP11,AGO3:AGO60)+SUMIF(AGN3:AGN60,ACP11,AGP3:AGP60)</f>
        <v>0</v>
      </c>
      <c r="ACV11" s="319">
        <f t="shared" ref="ACV11:ACV14" ca="1" si="2836">ACT11-ACU11+1000</f>
        <v>1000</v>
      </c>
      <c r="ACW11" s="319">
        <f t="shared" ref="ACW11:ACW14" ca="1" si="2837">ACQ11*3+ACR11*1</f>
        <v>0</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f t="shared" ref="ADP11:ADP14" ca="1" si="2853">IF(ADI11&lt;&gt;"",ADJ11*3+ADK11*1,"")</f>
        <v>0</v>
      </c>
      <c r="ADQ11" s="319">
        <f t="shared" ref="ADQ11" ca="1" si="2854">IF(ADI11&lt;&gt;"",VLOOKUP(ADI11,ACP4:ACV40,7,FALSE),"")</f>
        <v>1000</v>
      </c>
      <c r="ADR11" s="319">
        <f t="shared" ref="ADR11" ca="1" si="2855">IF(ADI11&lt;&gt;"",VLOOKUP(ADI11,ACP4:ACV40,5,FALSE),"")</f>
        <v>0</v>
      </c>
      <c r="ADS11" s="319">
        <f t="shared" ref="ADS11" ca="1" si="2856">IF(ADI11&lt;&gt;"",VLOOKUP(ADI11,ACP4:ACX40,9,FALSE),"")</f>
        <v>36</v>
      </c>
      <c r="ADT11" s="319">
        <f t="shared" ref="ADT11:ADT14" ca="1" si="2857">ADP11</f>
        <v>0</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3</v>
      </c>
      <c r="AEA11" s="319">
        <f ca="1">IF(ADI11&lt;&gt;"",IF(AEA51&lt;&gt;"",IF(ADH50=3,AEA51,AEA51+ADH50),SUM(ADU11:ADZ11)),"")</f>
        <v>4</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0</v>
      </c>
      <c r="AGP11" s="322">
        <f ca="1">IF(OFFSET('Player Game Board'!Q18,0,AGO1)&lt;&gt;"",OFFSET('Player Game Board'!Q18,0,AGO1),0)</f>
        <v>0</v>
      </c>
      <c r="AGQ11" s="319" t="str">
        <f t="shared" si="67"/>
        <v>Slovakia</v>
      </c>
      <c r="AGR11" s="319" t="str">
        <f ca="1">IF(AND(OFFSET('Player Game Board'!P18,0,AGO1)&lt;&gt;"",OFFSET('Player Game Board'!Q18,0,AGO1)&lt;&gt;""),IF(AGO11&gt;AGP11,"W",IF(AGO11=AGP11,"D","L")),"")</f>
        <v/>
      </c>
      <c r="AGS11" s="319" t="str">
        <f t="shared" ca="1" si="68"/>
        <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4</v>
      </c>
      <c r="AHN11" s="319" t="str">
        <f t="shared" ref="AHN11:AHN14" si="2867">ACP11</f>
        <v>Italy</v>
      </c>
      <c r="AHO11" s="319">
        <f t="shared" ref="AHO11" ca="1" si="2868">SUMPRODUCT((ALL3:ALL42=AHN11)*(ALP3:ALP42="W"))+SUMPRODUCT((ALO3:ALO42=AHN11)*(ALQ3:ALQ42="W"))</f>
        <v>0</v>
      </c>
      <c r="AHP11" s="319">
        <f t="shared" ref="AHP11" ca="1" si="2869">SUMPRODUCT((ALL3:ALL42=AHN11)*(ALP3:ALP42="D"))+SUMPRODUCT((ALO3:ALO42=AHN11)*(ALQ3:ALQ42="D"))</f>
        <v>0</v>
      </c>
      <c r="AHQ11" s="319">
        <f t="shared" ref="AHQ11" ca="1" si="2870">SUMPRODUCT((ALL3:ALL42=AHN11)*(ALP3:ALP42="L"))+SUMPRODUCT((ALO3:ALO42=AHN11)*(ALQ3:ALQ42="L"))</f>
        <v>0</v>
      </c>
      <c r="AHR11" s="319">
        <f t="shared" ref="AHR11" ca="1" si="2871">SUMIF(ALL3:ALL60,AHN11,ALM3:ALM60)+SUMIF(ALO3:ALO60,AHN11,ALN3:ALN60)</f>
        <v>0</v>
      </c>
      <c r="AHS11" s="319">
        <f t="shared" ref="AHS11" ca="1" si="2872">SUMIF(ALO3:ALO60,AHN11,ALM3:ALM60)+SUMIF(ALL3:ALL60,AHN11,ALN3:ALN60)</f>
        <v>0</v>
      </c>
      <c r="AHT11" s="319">
        <f t="shared" ref="AHT11:AHT14" ca="1" si="2873">AHR11-AHS11+1000</f>
        <v>1000</v>
      </c>
      <c r="AHU11" s="319">
        <f t="shared" ref="AHU11:AHU14" ca="1" si="2874">AHO11*3+AHP11*1</f>
        <v>0</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f t="shared" ref="AIN11:AIN14" ca="1" si="2890">IF(AIG11&lt;&gt;"",AIH11*3+AII11*1,"")</f>
        <v>0</v>
      </c>
      <c r="AIO11" s="319">
        <f t="shared" ref="AIO11" ca="1" si="2891">IF(AIG11&lt;&gt;"",VLOOKUP(AIG11,AHN4:AHT40,7,FALSE),"")</f>
        <v>1000</v>
      </c>
      <c r="AIP11" s="319">
        <f t="shared" ref="AIP11" ca="1" si="2892">IF(AIG11&lt;&gt;"",VLOOKUP(AIG11,AHN4:AHT40,5,FALSE),"")</f>
        <v>0</v>
      </c>
      <c r="AIQ11" s="319">
        <f t="shared" ref="AIQ11" ca="1" si="2893">IF(AIG11&lt;&gt;"",VLOOKUP(AIG11,AHN4:AHV40,9,FALSE),"")</f>
        <v>36</v>
      </c>
      <c r="AIR11" s="319">
        <f t="shared" ref="AIR11:AIR14" ca="1" si="2894">AIN11</f>
        <v>0</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3</v>
      </c>
      <c r="AIY11" s="319">
        <f ca="1">IF(AIG11&lt;&gt;"",IF(AIY51&lt;&gt;"",IF(AIF50=3,AIY51,AIY51+AIF50),SUM(AIS11:AIX11)),"")</f>
        <v>4</v>
      </c>
      <c r="AIZ11" s="319" t="str">
        <f t="shared" ref="AIZ11" ca="1" si="2901">IF(AIG11&lt;&gt;"",INDEX(AIG11:AIG15,MATCH(1,AIY11:AIY15,0),0),"")</f>
        <v>Spain</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0</v>
      </c>
      <c r="ALN11" s="322">
        <f ca="1">IF(OFFSET('Player Game Board'!Q18,0,ALM1)&lt;&gt;"",OFFSET('Player Game Board'!Q18,0,ALM1),0)</f>
        <v>0</v>
      </c>
      <c r="ALO11" s="319" t="str">
        <f t="shared" si="83"/>
        <v>Slovakia</v>
      </c>
      <c r="ALP11" s="319" t="str">
        <f ca="1">IF(AND(OFFSET('Player Game Board'!P18,0,ALM1)&lt;&gt;"",OFFSET('Player Game Board'!Q18,0,ALM1)&lt;&gt;""),IF(ALM11&gt;ALN11,"W",IF(ALM11=ALN11,"D","L")),"")</f>
        <v/>
      </c>
      <c r="ALQ11" s="319" t="str">
        <f t="shared" ca="1" si="84"/>
        <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348</v>
      </c>
      <c r="DI12" s="323"/>
      <c r="DJ12" s="323"/>
      <c r="DK12" s="323"/>
      <c r="DL12" s="324" t="s">
        <v>349</v>
      </c>
      <c r="DM12" s="324" t="s">
        <v>350</v>
      </c>
      <c r="DN12" s="324" t="s">
        <v>351</v>
      </c>
      <c r="DO12" s="324" t="s">
        <v>352</v>
      </c>
      <c r="DP12" s="325"/>
      <c r="DQ12" s="324" t="str">
        <f>Matches!AC39</f>
        <v>D</v>
      </c>
      <c r="DR12" s="326" t="str">
        <f>Matches!AC40</f>
        <v>E</v>
      </c>
      <c r="DS12" s="326" t="str">
        <f>Matches!AC41</f>
        <v>C</v>
      </c>
      <c r="DT12" s="326" t="str">
        <f>Matches!AC42</f>
        <v>B</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7</v>
      </c>
      <c r="EF12" s="319">
        <f t="shared" ca="1" si="2710"/>
        <v>993</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Spain</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Italy</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1</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2</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2</v>
      </c>
      <c r="FS12" s="319">
        <f ca="1">FQ12-FR12+1000</f>
        <v>1000</v>
      </c>
      <c r="FT12" s="319">
        <f t="shared" ref="FT12:FT14" ca="1" si="3056">IF(FM12&lt;&gt;"",FN12*3+FO12*1,"")</f>
        <v>1</v>
      </c>
      <c r="FU12" s="319">
        <f ca="1">IF(FM12&lt;&gt;"",VLOOKUP(FM12,DZ4:EF40,7,FALSE),"")</f>
        <v>1000</v>
      </c>
      <c r="FV12" s="319">
        <f ca="1">IF(FM12&lt;&gt;"",VLOOKUP(FM12,DZ4:EF40,5,FALSE),"")</f>
        <v>5</v>
      </c>
      <c r="FW12" s="319">
        <f ca="1">IF(FM12&lt;&gt;"",VLOOKUP(FM12,DZ4:EH40,9,FALSE),"")</f>
        <v>36</v>
      </c>
      <c r="FX12" s="319">
        <f t="shared" ref="FX12:FX14" ca="1" si="3057">FT12</f>
        <v>1</v>
      </c>
      <c r="FY12" s="319">
        <f ca="1">IF(FM12&lt;&gt;"",RANK(FX12,FX11:FX15),"")</f>
        <v>1</v>
      </c>
      <c r="FZ12" s="319">
        <f ca="1">IF(FM12&lt;&gt;"",SUMPRODUCT((FX11:FX15=FX12)*(FS11:FS15&gt;FS12)),"")</f>
        <v>0</v>
      </c>
      <c r="GA12" s="319">
        <f ca="1">IF(FM12&lt;&gt;"",SUMPRODUCT((FX11:FX15=FX12)*(FS11:FS15=FS12)*(FQ11:FQ15&gt;FQ12)),"")</f>
        <v>0</v>
      </c>
      <c r="GB12" s="319">
        <f ca="1">IF(FM12&lt;&gt;"",SUMPRODUCT((FX11:FX15=FX12)*(FS11:FS15=FS12)*(FQ11:FQ15=FQ12)*(FU11:FU15&gt;FU12)),"")</f>
        <v>1</v>
      </c>
      <c r="GC12" s="319">
        <f ca="1">IF(FM12&lt;&gt;"",SUMPRODUCT((FX11:FX15=FX12)*(FS11:FS15=FS12)*(FQ11:FQ15=FQ12)*(FU11:FU15=FU12)*(FV11:FV15&gt;FV12)),"")</f>
        <v>0</v>
      </c>
      <c r="GD12" s="319">
        <f ca="1">IF(FM12&lt;&gt;"",SUMPRODUCT((FX11:FX15=FX12)*(FS11:FS15=FS12)*(FQ11:FQ15=FQ12)*(FU11:FU15=FU12)*(FV11:FV15=FV12)*(FW11:FW15&gt;FW12)),"")</f>
        <v>0</v>
      </c>
      <c r="GE12" s="319">
        <f ca="1">IF(FM12&lt;&gt;"",IF(GE52&lt;&gt;"",IF(FL50=3,GE52,GE52+FL50),SUM(FY12:GD12)+1),"")</f>
        <v>3</v>
      </c>
      <c r="GF12" s="319" t="str">
        <f ca="1">IF(FM12&lt;&gt;"",INDEX(FM12:FM15,MATCH(2,GE12:GE15,0),0),"")</f>
        <v>Spain</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Spain</v>
      </c>
      <c r="HV12" s="319">
        <v>2</v>
      </c>
      <c r="HW12" s="319">
        <v>10</v>
      </c>
      <c r="HX12" s="319" t="str">
        <f t="shared" si="164"/>
        <v>Romania</v>
      </c>
      <c r="HY12" s="322">
        <f ca="1">IF(OFFSET('Player Game Board'!P19,0,HY1)&lt;&gt;"",OFFSET('Player Game Board'!P19,0,HY1),0)</f>
        <v>0</v>
      </c>
      <c r="HZ12" s="322">
        <f ca="1">IF(OFFSET('Player Game Board'!Q19,0,HY1)&lt;&gt;"",OFFSET('Player Game Board'!Q19,0,HY1),0)</f>
        <v>0</v>
      </c>
      <c r="IA12" s="319" t="str">
        <f t="shared" si="165"/>
        <v>Ukraine</v>
      </c>
      <c r="IB12" s="319" t="str">
        <f ca="1">IF(AND(OFFSET('Player Game Board'!P19,0,HY1)&lt;&gt;"",OFFSET('Player Game Board'!Q19,0,HY1)&lt;&gt;""),IF(HY12&gt;HZ12,"W",IF(HY12=HZ12,"D","L")),"")</f>
        <v>D</v>
      </c>
      <c r="IC12" s="319" t="str">
        <f t="shared" ca="1" si="166"/>
        <v>D</v>
      </c>
      <c r="ID12" s="319"/>
      <c r="IE12" s="319"/>
      <c r="IF12" s="323" t="s">
        <v>348</v>
      </c>
      <c r="IG12" s="323"/>
      <c r="IH12" s="323"/>
      <c r="II12" s="323"/>
      <c r="IJ12" s="324" t="s">
        <v>349</v>
      </c>
      <c r="IK12" s="324" t="s">
        <v>350</v>
      </c>
      <c r="IL12" s="324" t="s">
        <v>351</v>
      </c>
      <c r="IM12" s="324" t="s">
        <v>352</v>
      </c>
      <c r="IN12" s="325"/>
      <c r="IO12" s="324" t="str">
        <f ca="1">INDEX(IT3:IT8,MATCH(1,IS3:IS8,0),0)</f>
        <v>B</v>
      </c>
      <c r="IP12" s="326" t="str">
        <f ca="1">INDEX(IT3:IT8,MATCH(2,IS3:IS8,0),0)</f>
        <v>C</v>
      </c>
      <c r="IQ12" s="326" t="str">
        <f ca="1">INDEX(IT3:IT8,MATCH(3,IS3:IS8,0),0)</f>
        <v>A</v>
      </c>
      <c r="IR12" s="326" t="str">
        <f ca="1">INDEX(IT3:IT8,MATCH(4,IS3:IS8,0),0)</f>
        <v>E</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Spain</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Spain</v>
      </c>
      <c r="MT12" s="319">
        <v>2</v>
      </c>
      <c r="MU12" s="319">
        <v>10</v>
      </c>
      <c r="MV12" s="319" t="str">
        <f t="shared" si="170"/>
        <v>Romania</v>
      </c>
      <c r="MW12" s="322">
        <f ca="1">IF(OFFSET('Player Game Board'!P19,0,MW1)&lt;&gt;"",OFFSET('Player Game Board'!P19,0,MW1),0)</f>
        <v>0</v>
      </c>
      <c r="MX12" s="322">
        <f ca="1">IF(OFFSET('Player Game Board'!Q19,0,MW1)&lt;&gt;"",OFFSET('Player Game Board'!Q19,0,MW1),0)</f>
        <v>1</v>
      </c>
      <c r="MY12" s="319" t="str">
        <f t="shared" si="171"/>
        <v>Ukraine</v>
      </c>
      <c r="MZ12" s="319" t="str">
        <f ca="1">IF(AND(OFFSET('Player Game Board'!P19,0,MW1)&lt;&gt;"",OFFSET('Player Game Board'!Q19,0,MW1)&lt;&gt;""),IF(MW12&gt;MX12,"W",IF(MW12=MX12,"D","L")),"")</f>
        <v>L</v>
      </c>
      <c r="NA12" s="319" t="str">
        <f t="shared" ca="1" si="172"/>
        <v>W</v>
      </c>
      <c r="NB12" s="319"/>
      <c r="NC12" s="319"/>
      <c r="ND12" s="323" t="s">
        <v>348</v>
      </c>
      <c r="NE12" s="323"/>
      <c r="NF12" s="323"/>
      <c r="NG12" s="323"/>
      <c r="NH12" s="324" t="s">
        <v>349</v>
      </c>
      <c r="NI12" s="324" t="s">
        <v>350</v>
      </c>
      <c r="NJ12" s="324" t="s">
        <v>351</v>
      </c>
      <c r="NK12" s="324" t="s">
        <v>352</v>
      </c>
      <c r="NL12" s="325"/>
      <c r="NM12" s="324" t="str">
        <f ca="1">INDEX(NR3:NR8,MATCH(1,NQ3:NQ8,0),0)</f>
        <v>B</v>
      </c>
      <c r="NN12" s="326" t="str">
        <f ca="1">INDEX(NR3:NR8,MATCH(2,NQ3:NQ8,0),0)</f>
        <v>F</v>
      </c>
      <c r="NO12" s="326" t="str">
        <f ca="1">INDEX(NR3:NR8,MATCH(3,NQ3:NQ8,0),0)</f>
        <v>A</v>
      </c>
      <c r="NP12" s="326" t="str">
        <f ca="1">INDEX(NR3:NR8,MATCH(4,NQ3:NQ8,0),0)</f>
        <v>D</v>
      </c>
      <c r="NQ12" s="326"/>
      <c r="NR12" s="325"/>
      <c r="NS12" s="325"/>
      <c r="NT12" s="325"/>
      <c r="NU12" s="319">
        <f t="shared" ref="NU12" ca="1" si="3062">VLOOKUP(NV12,RQ11:RR15,2,FALSE)</f>
        <v>2</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0</v>
      </c>
      <c r="NZ12" s="319">
        <f t="shared" ref="NZ12" ca="1" si="3066">SUMIF(RT3:RT60,NV12,RU3:RU60)+SUMIF(RW3:RW60,NV12,RV3:RV60)</f>
        <v>0</v>
      </c>
      <c r="OA12" s="319">
        <f t="shared" ref="OA12" ca="1" si="3067">SUMIF(RW3:RW60,NV12,RU3:RU60)+SUMIF(RT3:RT60,NV12,RV3:RV60)</f>
        <v>0</v>
      </c>
      <c r="OB12" s="319">
        <f t="shared" ca="1" si="2725"/>
        <v>1000</v>
      </c>
      <c r="OC12" s="319">
        <f t="shared" ca="1" si="2726"/>
        <v>0</v>
      </c>
      <c r="OD12" s="319">
        <f t="shared" si="630"/>
        <v>44</v>
      </c>
      <c r="OE12" s="319">
        <f t="shared" ref="OE12" ca="1" si="3068">IF(COUNTIF(OC11:OC15,4)&lt;&gt;4,RANK(OC12,OC11:OC15),OC52)</f>
        <v>1</v>
      </c>
      <c r="OF12" s="319"/>
      <c r="OG12" s="319">
        <f t="shared" ref="OG12" ca="1" si="3069">SUMPRODUCT((OE11:OE14=OE12)*(OD11:OD14&lt;OD12))+OE12</f>
        <v>3</v>
      </c>
      <c r="OH12" s="319" t="str">
        <f t="shared" ref="OH12" ca="1" si="3070">INDEX(NV11:NV15,MATCH(2,OG11:OG15,0),0)</f>
        <v>Croatia</v>
      </c>
      <c r="OI12" s="319">
        <f t="shared" ref="OI12" ca="1" si="3071">INDEX(OE11:OE15,MATCH(OH12,NV11:NV15,0),0)</f>
        <v>1</v>
      </c>
      <c r="OJ12" s="319" t="str">
        <f t="shared" ref="OJ12" ca="1" si="3072">IF(OJ11&lt;&gt;"",OH12,"")</f>
        <v>Croatia</v>
      </c>
      <c r="OK12" s="319" t="str">
        <f t="shared" ref="OK12" ca="1" si="3073">IF(OK11&lt;&gt;"",OH13,"")</f>
        <v/>
      </c>
      <c r="OL12" s="319" t="str">
        <f t="shared" ref="OL12" ca="1" si="3074">IF(OL11&lt;&gt;"",OH14,"")</f>
        <v/>
      </c>
      <c r="OM12" s="319" t="str">
        <f t="shared" ref="OM12" si="3075">IF(OM11&lt;&gt;"",OH15,"")</f>
        <v/>
      </c>
      <c r="ON12" s="319"/>
      <c r="OO12" s="319" t="str">
        <f t="shared" ca="1" si="2735"/>
        <v>Croatia</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f t="shared" ca="1" si="2742"/>
        <v>0</v>
      </c>
      <c r="OW12" s="319">
        <f t="shared" ref="OW12" ca="1" si="3081">IF(OO12&lt;&gt;"",VLOOKUP(OO12,NV4:OB40,7,FALSE),"")</f>
        <v>1000</v>
      </c>
      <c r="OX12" s="319">
        <f t="shared" ref="OX12" ca="1" si="3082">IF(OO12&lt;&gt;"",VLOOKUP(OO12,NV4:OB40,5,FALSE),"")</f>
        <v>0</v>
      </c>
      <c r="OY12" s="319">
        <f t="shared" ref="OY12" ca="1" si="3083">IF(OO12&lt;&gt;"",VLOOKUP(OO12,NV4:OD40,9,FALSE),"")</f>
        <v>40</v>
      </c>
      <c r="OZ12" s="319">
        <f t="shared" ca="1" si="2746"/>
        <v>0</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2</v>
      </c>
      <c r="PG12" s="319">
        <f ca="1">IF(OO12&lt;&gt;"",IF(PG52&lt;&gt;"",IF(ON50=3,PG52,PG52+ON50),SUM(PA12:PF12)),"")</f>
        <v>3</v>
      </c>
      <c r="PH12" s="319" t="str">
        <f t="shared" ref="PH12" ca="1" si="3090">IF(OO12&lt;&gt;"",INDEX(OO11:OO15,MATCH(2,PG11:PG15,0),0),"")</f>
        <v>Albania</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Albania</v>
      </c>
      <c r="RR12" s="319">
        <v>2</v>
      </c>
      <c r="RS12" s="319">
        <v>10</v>
      </c>
      <c r="RT12" s="319" t="str">
        <f t="shared" si="18"/>
        <v>Romania</v>
      </c>
      <c r="RU12" s="322">
        <f ca="1">IF(OFFSET('Player Game Board'!P19,0,RU1)&lt;&gt;"",OFFSET('Player Game Board'!P19,0,RU1),0)</f>
        <v>0</v>
      </c>
      <c r="RV12" s="322">
        <f ca="1">IF(OFFSET('Player Game Board'!Q19,0,RU1)&lt;&gt;"",OFFSET('Player Game Board'!Q19,0,RU1),0)</f>
        <v>0</v>
      </c>
      <c r="RW12" s="319" t="str">
        <f t="shared" si="19"/>
        <v>Ukraine</v>
      </c>
      <c r="RX12" s="319" t="str">
        <f ca="1">IF(AND(OFFSET('Player Game Board'!P19,0,RU1)&lt;&gt;"",OFFSET('Player Game Board'!Q19,0,RU1)&lt;&gt;""),IF(RU12&gt;RV12,"W",IF(RU12=RV12,"D","L")),"")</f>
        <v/>
      </c>
      <c r="RY12" s="319" t="str">
        <f t="shared" ca="1" si="20"/>
        <v/>
      </c>
      <c r="RZ12" s="319"/>
      <c r="SA12" s="319"/>
      <c r="SB12" s="323" t="s">
        <v>348</v>
      </c>
      <c r="SC12" s="323"/>
      <c r="SD12" s="323"/>
      <c r="SE12" s="323"/>
      <c r="SF12" s="324" t="s">
        <v>349</v>
      </c>
      <c r="SG12" s="324" t="s">
        <v>350</v>
      </c>
      <c r="SH12" s="324" t="s">
        <v>351</v>
      </c>
      <c r="SI12" s="324" t="s">
        <v>352</v>
      </c>
      <c r="SJ12" s="325"/>
      <c r="SK12" s="324" t="str">
        <f t="shared" ref="SK12" ca="1" si="3111">INDEX(SP3:SP8,MATCH(1,SO3:SO8,0),0)</f>
        <v>A</v>
      </c>
      <c r="SL12" s="326" t="str">
        <f t="shared" ref="SL12" ca="1" si="3112">INDEX(SP3:SP8,MATCH(2,SO3:SO8,0),0)</f>
        <v>D</v>
      </c>
      <c r="SM12" s="326" t="str">
        <f t="shared" ref="SM12" ca="1" si="3113">INDEX(SP3:SP8,MATCH(3,SO3:SO8,0),0)</f>
        <v>B</v>
      </c>
      <c r="SN12" s="326" t="str">
        <f t="shared" ref="SN12" ca="1" si="3114">INDEX(SP3:SP8,MATCH(4,SO3:SO8,0),0)</f>
        <v>C</v>
      </c>
      <c r="SO12" s="326"/>
      <c r="SP12" s="325"/>
      <c r="SQ12" s="325"/>
      <c r="SR12" s="325"/>
      <c r="SS12" s="319">
        <f t="shared" ref="SS12" ca="1" si="3115">VLOOKUP(ST12,WO11:WP15,2,FALSE)</f>
        <v>2</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0</v>
      </c>
      <c r="SX12" s="319">
        <f t="shared" ref="SX12" ca="1" si="3119">SUMIF(WR3:WR60,ST12,WS3:WS60)+SUMIF(WU3:WU60,ST12,WT3:WT60)</f>
        <v>0</v>
      </c>
      <c r="SY12" s="319">
        <f t="shared" ref="SY12" ca="1" si="3120">SUMIF(WU3:WU60,ST12,WS3:WS60)+SUMIF(WR3:WR60,ST12,WT3:WT60)</f>
        <v>0</v>
      </c>
      <c r="SZ12" s="319">
        <f t="shared" ca="1" si="2762"/>
        <v>1000</v>
      </c>
      <c r="TA12" s="319">
        <f t="shared" ca="1" si="2763"/>
        <v>0</v>
      </c>
      <c r="TB12" s="319">
        <f t="shared" si="690"/>
        <v>44</v>
      </c>
      <c r="TC12" s="319">
        <f t="shared" ref="TC12" ca="1" si="3121">IF(COUNTIF(TA11:TA15,4)&lt;&gt;4,RANK(TA12,TA11:TA15),TA52)</f>
        <v>1</v>
      </c>
      <c r="TD12" s="319"/>
      <c r="TE12" s="319">
        <f t="shared" ref="TE12" ca="1" si="3122">SUMPRODUCT((TC11:TC14=TC12)*(TB11:TB14&lt;TB12))+TC12</f>
        <v>3</v>
      </c>
      <c r="TF12" s="319" t="str">
        <f t="shared" ref="TF12" ca="1" si="3123">INDEX(ST11:ST15,MATCH(2,TE11:TE15,0),0)</f>
        <v>Croatia</v>
      </c>
      <c r="TG12" s="319">
        <f t="shared" ref="TG12" ca="1" si="3124">INDEX(TC11:TC15,MATCH(TF12,ST11:ST15,0),0)</f>
        <v>1</v>
      </c>
      <c r="TH12" s="319" t="str">
        <f t="shared" ref="TH12" ca="1" si="3125">IF(TH11&lt;&gt;"",TF12,"")</f>
        <v>Croatia</v>
      </c>
      <c r="TI12" s="319" t="str">
        <f t="shared" ref="TI12" ca="1" si="3126">IF(TI11&lt;&gt;"",TF13,"")</f>
        <v/>
      </c>
      <c r="TJ12" s="319" t="str">
        <f t="shared" ref="TJ12" ca="1" si="3127">IF(TJ11&lt;&gt;"",TF14,"")</f>
        <v/>
      </c>
      <c r="TK12" s="319" t="str">
        <f t="shared" ref="TK12" si="3128">IF(TK11&lt;&gt;"",TF15,"")</f>
        <v/>
      </c>
      <c r="TL12" s="319"/>
      <c r="TM12" s="319" t="str">
        <f t="shared" ca="1" si="2772"/>
        <v>Croatia</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f t="shared" ca="1" si="2779"/>
        <v>0</v>
      </c>
      <c r="TU12" s="319">
        <f t="shared" ref="TU12" ca="1" si="3134">IF(TM12&lt;&gt;"",VLOOKUP(TM12,ST4:SZ40,7,FALSE),"")</f>
        <v>1000</v>
      </c>
      <c r="TV12" s="319">
        <f t="shared" ref="TV12" ca="1" si="3135">IF(TM12&lt;&gt;"",VLOOKUP(TM12,ST4:SZ40,5,FALSE),"")</f>
        <v>0</v>
      </c>
      <c r="TW12" s="319">
        <f t="shared" ref="TW12" ca="1" si="3136">IF(TM12&lt;&gt;"",VLOOKUP(TM12,ST4:TB40,9,FALSE),"")</f>
        <v>40</v>
      </c>
      <c r="TX12" s="319">
        <f t="shared" ca="1" si="2783"/>
        <v>0</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2</v>
      </c>
      <c r="UE12" s="319">
        <f ca="1">IF(TM12&lt;&gt;"",IF(UE52&lt;&gt;"",IF(TL50=3,UE52,UE52+TL50),SUM(TY12:UD12)),"")</f>
        <v>3</v>
      </c>
      <c r="UF12" s="319" t="str">
        <f t="shared" ref="UF12" ca="1" si="3143">IF(TM12&lt;&gt;"",INDEX(TM11:TM15,MATCH(2,UE11:UE15,0),0),"")</f>
        <v>Albania</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Albania</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
      </c>
      <c r="WW12" s="319" t="str">
        <f t="shared" ca="1" si="36"/>
        <v/>
      </c>
      <c r="WX12" s="319"/>
      <c r="WY12" s="319"/>
      <c r="WZ12" s="323" t="s">
        <v>348</v>
      </c>
      <c r="XA12" s="323"/>
      <c r="XB12" s="323"/>
      <c r="XC12" s="323"/>
      <c r="XD12" s="324" t="s">
        <v>349</v>
      </c>
      <c r="XE12" s="324" t="s">
        <v>350</v>
      </c>
      <c r="XF12" s="324" t="s">
        <v>351</v>
      </c>
      <c r="XG12" s="324" t="s">
        <v>352</v>
      </c>
      <c r="XH12" s="325"/>
      <c r="XI12" s="324" t="str">
        <f t="shared" ref="XI12" ca="1" si="3164">INDEX(XN3:XN8,MATCH(1,XM3:XM8,0),0)</f>
        <v>A</v>
      </c>
      <c r="XJ12" s="326" t="str">
        <f t="shared" ref="XJ12" ca="1" si="3165">INDEX(XN3:XN8,MATCH(2,XM3:XM8,0),0)</f>
        <v>D</v>
      </c>
      <c r="XK12" s="326" t="str">
        <f t="shared" ref="XK12" ca="1" si="3166">INDEX(XN3:XN8,MATCH(3,XM3:XM8,0),0)</f>
        <v>B</v>
      </c>
      <c r="XL12" s="326" t="str">
        <f t="shared" ref="XL12" ca="1" si="3167">INDEX(XN3:XN8,MATCH(4,XM3:XM8,0),0)</f>
        <v>C</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348</v>
      </c>
      <c r="ABY12" s="323"/>
      <c r="ABZ12" s="323"/>
      <c r="ACA12" s="323"/>
      <c r="ACB12" s="324" t="s">
        <v>349</v>
      </c>
      <c r="ACC12" s="324" t="s">
        <v>350</v>
      </c>
      <c r="ACD12" s="324" t="s">
        <v>351</v>
      </c>
      <c r="ACE12" s="324" t="s">
        <v>352</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2</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0</v>
      </c>
      <c r="ACT12" s="319">
        <f t="shared" ref="ACT12" ca="1" si="3225">SUMIF(AGN3:AGN60,ACP12,AGO3:AGO60)+SUMIF(AGQ3:AGQ60,ACP12,AGP3:AGP60)</f>
        <v>0</v>
      </c>
      <c r="ACU12" s="319">
        <f t="shared" ref="ACU12" ca="1" si="3226">SUMIF(AGQ3:AGQ60,ACP12,AGO3:AGO60)+SUMIF(AGN3:AGN60,ACP12,AGP3:AGP60)</f>
        <v>0</v>
      </c>
      <c r="ACV12" s="319">
        <f t="shared" ca="1" si="2836"/>
        <v>1000</v>
      </c>
      <c r="ACW12" s="319">
        <f t="shared" ca="1" si="2837"/>
        <v>0</v>
      </c>
      <c r="ACX12" s="319">
        <f t="shared" si="810"/>
        <v>44</v>
      </c>
      <c r="ACY12" s="319">
        <f t="shared" ref="ACY12" ca="1" si="3227">IF(COUNTIF(ACW11:ACW15,4)&lt;&gt;4,RANK(ACW12,ACW11:ACW15),ACW52)</f>
        <v>1</v>
      </c>
      <c r="ACZ12" s="319"/>
      <c r="ADA12" s="319">
        <f t="shared" ref="ADA12" ca="1" si="3228">SUMPRODUCT((ACY11:ACY14=ACY12)*(ACX11:ACX14&lt;ACX12))+ACY12</f>
        <v>3</v>
      </c>
      <c r="ADB12" s="319" t="str">
        <f t="shared" ref="ADB12" ca="1" si="3229">INDEX(ACP11:ACP15,MATCH(2,ADA11:ADA15,0),0)</f>
        <v>Croatia</v>
      </c>
      <c r="ADC12" s="319">
        <f t="shared" ref="ADC12" ca="1" si="3230">INDEX(ACY11:ACY15,MATCH(ADB12,ACP11:ACP15,0),0)</f>
        <v>1</v>
      </c>
      <c r="ADD12" s="319" t="str">
        <f t="shared" ref="ADD12" ca="1" si="3231">IF(ADD11&lt;&gt;"",ADB12,"")</f>
        <v>Croatia</v>
      </c>
      <c r="ADE12" s="319" t="str">
        <f t="shared" ref="ADE12" ca="1" si="3232">IF(ADE11&lt;&gt;"",ADB13,"")</f>
        <v/>
      </c>
      <c r="ADF12" s="319" t="str">
        <f t="shared" ref="ADF12" ca="1" si="3233">IF(ADF11&lt;&gt;"",ADB14,"")</f>
        <v/>
      </c>
      <c r="ADG12" s="319" t="str">
        <f t="shared" ref="ADG12" si="3234">IF(ADG11&lt;&gt;"",ADB15,"")</f>
        <v/>
      </c>
      <c r="ADH12" s="319"/>
      <c r="ADI12" s="319" t="str">
        <f t="shared" ca="1" si="2846"/>
        <v>Croatia</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f t="shared" ca="1" si="2853"/>
        <v>0</v>
      </c>
      <c r="ADQ12" s="319">
        <f t="shared" ref="ADQ12" ca="1" si="3240">IF(ADI12&lt;&gt;"",VLOOKUP(ADI12,ACP4:ACV40,7,FALSE),"")</f>
        <v>1000</v>
      </c>
      <c r="ADR12" s="319">
        <f t="shared" ref="ADR12" ca="1" si="3241">IF(ADI12&lt;&gt;"",VLOOKUP(ADI12,ACP4:ACV40,5,FALSE),"")</f>
        <v>0</v>
      </c>
      <c r="ADS12" s="319">
        <f t="shared" ref="ADS12" ca="1" si="3242">IF(ADI12&lt;&gt;"",VLOOKUP(ADI12,ACP4:ACX40,9,FALSE),"")</f>
        <v>40</v>
      </c>
      <c r="ADT12" s="319">
        <f t="shared" ca="1" si="2857"/>
        <v>0</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2</v>
      </c>
      <c r="AEA12" s="319">
        <f ca="1">IF(ADI12&lt;&gt;"",IF(AEA52&lt;&gt;"",IF(ADH50=3,AEA52,AEA52+ADH50),SUM(ADU12:ADZ12)),"")</f>
        <v>3</v>
      </c>
      <c r="AEB12" s="319" t="str">
        <f t="shared" ref="AEB12" ca="1" si="3249">IF(ADI12&lt;&gt;"",INDEX(ADI11:ADI15,MATCH(2,AEA11:AEA15,0),0),"")</f>
        <v>Albania</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Albania</v>
      </c>
      <c r="AGL12" s="319">
        <v>2</v>
      </c>
      <c r="AGM12" s="319">
        <v>10</v>
      </c>
      <c r="AGN12" s="319" t="str">
        <f t="shared" si="66"/>
        <v>Romania</v>
      </c>
      <c r="AGO12" s="322">
        <f ca="1">IF(OFFSET('Player Game Board'!P19,0,AGO1)&lt;&gt;"",OFFSET('Player Game Board'!P19,0,AGO1),0)</f>
        <v>0</v>
      </c>
      <c r="AGP12" s="322">
        <f ca="1">IF(OFFSET('Player Game Board'!Q19,0,AGO1)&lt;&gt;"",OFFSET('Player Game Board'!Q19,0,AGO1),0)</f>
        <v>0</v>
      </c>
      <c r="AGQ12" s="319" t="str">
        <f t="shared" si="67"/>
        <v>Ukraine</v>
      </c>
      <c r="AGR12" s="319" t="str">
        <f ca="1">IF(AND(OFFSET('Player Game Board'!P19,0,AGO1)&lt;&gt;"",OFFSET('Player Game Board'!Q19,0,AGO1)&lt;&gt;""),IF(AGO12&gt;AGP12,"W",IF(AGO12=AGP12,"D","L")),"")</f>
        <v/>
      </c>
      <c r="AGS12" s="319" t="str">
        <f t="shared" ca="1" si="68"/>
        <v/>
      </c>
      <c r="AGT12" s="319"/>
      <c r="AGU12" s="319"/>
      <c r="AGV12" s="323" t="s">
        <v>348</v>
      </c>
      <c r="AGW12" s="323"/>
      <c r="AGX12" s="323"/>
      <c r="AGY12" s="323"/>
      <c r="AGZ12" s="324" t="s">
        <v>349</v>
      </c>
      <c r="AHA12" s="324" t="s">
        <v>350</v>
      </c>
      <c r="AHB12" s="324" t="s">
        <v>351</v>
      </c>
      <c r="AHC12" s="324" t="s">
        <v>352</v>
      </c>
      <c r="AHD12" s="325"/>
      <c r="AHE12" s="324" t="str">
        <f t="shared" ref="AHE12" ca="1" si="3270">INDEX(AHJ3:AHJ8,MATCH(1,AHI3:AHI8,0),0)</f>
        <v>A</v>
      </c>
      <c r="AHF12" s="326" t="str">
        <f t="shared" ref="AHF12" ca="1" si="3271">INDEX(AHJ3:AHJ8,MATCH(2,AHI3:AHI8,0),0)</f>
        <v>D</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2</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0</v>
      </c>
      <c r="AHR12" s="319">
        <f t="shared" ref="AHR12" ca="1" si="3278">SUMIF(ALL3:ALL60,AHN12,ALM3:ALM60)+SUMIF(ALO3:ALO60,AHN12,ALN3:ALN60)</f>
        <v>0</v>
      </c>
      <c r="AHS12" s="319">
        <f t="shared" ref="AHS12" ca="1" si="3279">SUMIF(ALO3:ALO60,AHN12,ALM3:ALM60)+SUMIF(ALL3:ALL60,AHN12,ALN3:ALN60)</f>
        <v>0</v>
      </c>
      <c r="AHT12" s="319">
        <f t="shared" ca="1" si="2873"/>
        <v>1000</v>
      </c>
      <c r="AHU12" s="319">
        <f t="shared" ca="1" si="2874"/>
        <v>0</v>
      </c>
      <c r="AHV12" s="319">
        <f t="shared" si="870"/>
        <v>44</v>
      </c>
      <c r="AHW12" s="319">
        <f t="shared" ref="AHW12" ca="1" si="3280">IF(COUNTIF(AHU11:AHU15,4)&lt;&gt;4,RANK(AHU12,AHU11:AHU15),AHU52)</f>
        <v>1</v>
      </c>
      <c r="AHX12" s="319"/>
      <c r="AHY12" s="319">
        <f t="shared" ref="AHY12" ca="1" si="3281">SUMPRODUCT((AHW11:AHW14=AHW12)*(AHV11:AHV14&lt;AHV12))+AHW12</f>
        <v>3</v>
      </c>
      <c r="AHZ12" s="319" t="str">
        <f t="shared" ref="AHZ12" ca="1" si="3282">INDEX(AHN11:AHN15,MATCH(2,AHY11:AHY15,0),0)</f>
        <v>Croatia</v>
      </c>
      <c r="AIA12" s="319">
        <f t="shared" ref="AIA12" ca="1" si="3283">INDEX(AHW11:AHW15,MATCH(AHZ12,AHN11:AHN15,0),0)</f>
        <v>1</v>
      </c>
      <c r="AIB12" s="319" t="str">
        <f t="shared" ref="AIB12" ca="1" si="3284">IF(AIB11&lt;&gt;"",AHZ12,"")</f>
        <v>Croatia</v>
      </c>
      <c r="AIC12" s="319" t="str">
        <f t="shared" ref="AIC12" ca="1" si="3285">IF(AIC11&lt;&gt;"",AHZ13,"")</f>
        <v/>
      </c>
      <c r="AID12" s="319" t="str">
        <f t="shared" ref="AID12" ca="1" si="3286">IF(AID11&lt;&gt;"",AHZ14,"")</f>
        <v/>
      </c>
      <c r="AIE12" s="319" t="str">
        <f t="shared" ref="AIE12" si="3287">IF(AIE11&lt;&gt;"",AHZ15,"")</f>
        <v/>
      </c>
      <c r="AIF12" s="319"/>
      <c r="AIG12" s="319" t="str">
        <f t="shared" ca="1" si="2883"/>
        <v>Croatia</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f t="shared" ca="1" si="2890"/>
        <v>0</v>
      </c>
      <c r="AIO12" s="319">
        <f t="shared" ref="AIO12" ca="1" si="3293">IF(AIG12&lt;&gt;"",VLOOKUP(AIG12,AHN4:AHT40,7,FALSE),"")</f>
        <v>1000</v>
      </c>
      <c r="AIP12" s="319">
        <f t="shared" ref="AIP12" ca="1" si="3294">IF(AIG12&lt;&gt;"",VLOOKUP(AIG12,AHN4:AHT40,5,FALSE),"")</f>
        <v>0</v>
      </c>
      <c r="AIQ12" s="319">
        <f t="shared" ref="AIQ12" ca="1" si="3295">IF(AIG12&lt;&gt;"",VLOOKUP(AIG12,AHN4:AHV40,9,FALSE),"")</f>
        <v>40</v>
      </c>
      <c r="AIR12" s="319">
        <f t="shared" ca="1" si="2894"/>
        <v>0</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0</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2</v>
      </c>
      <c r="AIY12" s="319">
        <f ca="1">IF(AIG12&lt;&gt;"",IF(AIY52&lt;&gt;"",IF(AIF50=3,AIY52,AIY52+AIF50),SUM(AIS12:AIX12)),"")</f>
        <v>3</v>
      </c>
      <c r="AIZ12" s="319" t="str">
        <f t="shared" ref="AIZ12" ca="1" si="3302">IF(AIG12&lt;&gt;"",INDEX(AIG11:AIG15,MATCH(2,AIY11:AIY15,0),0),"")</f>
        <v>Albania</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Albania</v>
      </c>
      <c r="ALJ12" s="319">
        <v>2</v>
      </c>
      <c r="ALK12" s="319">
        <v>10</v>
      </c>
      <c r="ALL12" s="319" t="str">
        <f t="shared" si="82"/>
        <v>Romania</v>
      </c>
      <c r="ALM12" s="322">
        <f ca="1">IF(OFFSET('Player Game Board'!P19,0,ALM1)&lt;&gt;"",OFFSET('Player Game Board'!P19,0,ALM1),0)</f>
        <v>0</v>
      </c>
      <c r="ALN12" s="322">
        <f ca="1">IF(OFFSET('Player Game Board'!Q19,0,ALM1)&lt;&gt;"",OFFSET('Player Game Board'!Q19,0,ALM1),0)</f>
        <v>0</v>
      </c>
      <c r="ALO12" s="319" t="str">
        <f t="shared" si="83"/>
        <v>Ukraine</v>
      </c>
      <c r="ALP12" s="319" t="str">
        <f ca="1">IF(AND(OFFSET('Player Game Board'!P19,0,ALM1)&lt;&gt;"",OFFSET('Player Game Board'!Q19,0,ALM1)&lt;&gt;""),IF(ALM12&gt;ALN12,"W",IF(ALM12=ALN12,"D","L")),"")</f>
        <v/>
      </c>
      <c r="ALQ12" s="319" t="str">
        <f t="shared" ca="1" si="84"/>
        <v/>
      </c>
      <c r="ALR12" s="319"/>
      <c r="ALS12" s="319"/>
      <c r="ALT12" s="323" t="s">
        <v>348</v>
      </c>
      <c r="ALU12" s="323"/>
      <c r="ALV12" s="323"/>
      <c r="ALW12" s="323"/>
      <c r="ALX12" s="324" t="s">
        <v>349</v>
      </c>
      <c r="ALY12" s="324" t="s">
        <v>350</v>
      </c>
      <c r="ALZ12" s="324" t="s">
        <v>351</v>
      </c>
      <c r="AMA12" s="324" t="s">
        <v>352</v>
      </c>
      <c r="AMB12" s="325"/>
      <c r="AMC12" s="324" t="str">
        <f t="shared" ref="AMC12" ca="1" si="3323">INDEX(AMH3:AMH8,MATCH(1,AMG3:AMG8,0),0)</f>
        <v>A</v>
      </c>
      <c r="AMD12" s="326" t="str">
        <f t="shared" ref="AMD12" ca="1" si="3324">INDEX(AMH3:AMH8,MATCH(2,AMG3:AMG8,0),0)</f>
        <v>D</v>
      </c>
      <c r="AME12" s="326" t="str">
        <f t="shared" ref="AME12" ca="1" si="3325">INDEX(AMH3:AMH8,MATCH(3,AMG3:AMG8,0),0)</f>
        <v>B</v>
      </c>
      <c r="AMF12" s="326" t="str">
        <f t="shared" ref="AMF12" ca="1" si="3326">INDEX(AMH3:AMH8,MATCH(4,AMG3:AMG8,0),0)</f>
        <v>C</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348</v>
      </c>
      <c r="AQS12" s="323"/>
      <c r="AQT12" s="323"/>
      <c r="AQU12" s="323"/>
      <c r="AQV12" s="324" t="s">
        <v>349</v>
      </c>
      <c r="AQW12" s="324" t="s">
        <v>350</v>
      </c>
      <c r="AQX12" s="324" t="s">
        <v>351</v>
      </c>
      <c r="AQY12" s="324" t="s">
        <v>352</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348</v>
      </c>
      <c r="AVQ12" s="323"/>
      <c r="AVR12" s="323"/>
      <c r="AVS12" s="323"/>
      <c r="AVT12" s="324" t="s">
        <v>349</v>
      </c>
      <c r="AVU12" s="324" t="s">
        <v>350</v>
      </c>
      <c r="AVV12" s="324" t="s">
        <v>351</v>
      </c>
      <c r="AVW12" s="324" t="s">
        <v>352</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348</v>
      </c>
      <c r="BAO12" s="323"/>
      <c r="BAP12" s="323"/>
      <c r="BAQ12" s="323"/>
      <c r="BAR12" s="324" t="s">
        <v>349</v>
      </c>
      <c r="BAS12" s="324" t="s">
        <v>350</v>
      </c>
      <c r="BAT12" s="324" t="s">
        <v>351</v>
      </c>
      <c r="BAU12" s="324" t="s">
        <v>352</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348</v>
      </c>
      <c r="BFM12" s="323"/>
      <c r="BFN12" s="323"/>
      <c r="BFO12" s="323"/>
      <c r="BFP12" s="324" t="s">
        <v>349</v>
      </c>
      <c r="BFQ12" s="324" t="s">
        <v>350</v>
      </c>
      <c r="BFR12" s="324" t="s">
        <v>351</v>
      </c>
      <c r="BFS12" s="324" t="s">
        <v>352</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97</v>
      </c>
      <c r="DI13" s="325" t="s">
        <v>98</v>
      </c>
      <c r="DJ13" s="325" t="s">
        <v>99</v>
      </c>
      <c r="DK13" s="325" t="s">
        <v>100</v>
      </c>
      <c r="DL13" s="324" t="s">
        <v>97</v>
      </c>
      <c r="DM13" s="324" t="s">
        <v>100</v>
      </c>
      <c r="DN13" s="324" t="s">
        <v>98</v>
      </c>
      <c r="DO13" s="324" t="s">
        <v>99</v>
      </c>
      <c r="DP13" s="325"/>
      <c r="DQ13" s="326">
        <f>IFERROR(MATCH(DQ12,DH13:DK13,0),0)</f>
        <v>4</v>
      </c>
      <c r="DR13" s="326">
        <f>IFERROR(MATCH(DR12,DH13:DK13,0),0)</f>
        <v>0</v>
      </c>
      <c r="DS13" s="326">
        <f>IFERROR(MATCH(DS12,DH13:DK13,0),0)</f>
        <v>3</v>
      </c>
      <c r="DT13" s="326">
        <f>IFERROR(MATCH(DT12,DH13:DK13,0),0)</f>
        <v>2</v>
      </c>
      <c r="DU13" s="326">
        <f t="shared" ref="DU13:DU27" si="3541">SUM(DQ13:DT13)</f>
        <v>9</v>
      </c>
      <c r="DV13" s="325"/>
      <c r="DW13" s="325" t="str">
        <f>INDEX(DH3:DH8,MATCH(1,DU3:DU8,0),0)</f>
        <v>Austria</v>
      </c>
      <c r="DX13" s="325"/>
      <c r="DY13" s="319">
        <f ca="1">VLOOKUP(DZ13,HU11:HV15,2,FALSE)</f>
        <v>2</v>
      </c>
      <c r="DZ13" s="319" t="str">
        <f t="shared" si="3054"/>
        <v>Spain</v>
      </c>
      <c r="EA13" s="319">
        <f ca="1">SUMPRODUCT((HX3:HX42=DZ13)*(IB3:IB42="W"))+SUMPRODUCT((IA3:IA42=DZ13)*(IC3:IC42="W"))</f>
        <v>1</v>
      </c>
      <c r="EB13" s="319">
        <f ca="1">SUMPRODUCT((HX3:HX42=DZ13)*(IB3:IB42="D"))+SUMPRODUCT((IA3:IA42=DZ13)*(IC3:IC42="D"))</f>
        <v>1</v>
      </c>
      <c r="EC13" s="319">
        <f ca="1">SUMPRODUCT((HX3:HX42=DZ13)*(IB3:IB42="L"))+SUMPRODUCT((IA3:IA42=DZ13)*(IC3:IC42="L"))</f>
        <v>1</v>
      </c>
      <c r="ED13" s="319">
        <f ca="1">SUMIF(HX3:HX60,DZ13,HY3:HY60)+SUMIF(IA3:IA60,DZ13,HZ3:HZ60)</f>
        <v>6</v>
      </c>
      <c r="EE13" s="319">
        <f ca="1">SUMIF(IA3:IA60,DZ13,HY3:HY60)+SUMIF(HX3:HX60,DZ13,HZ3:HZ60)</f>
        <v>4</v>
      </c>
      <c r="EF13" s="319">
        <f t="shared" ca="1" si="2710"/>
        <v>1002</v>
      </c>
      <c r="EG13" s="319">
        <f t="shared" ca="1" si="2711"/>
        <v>4</v>
      </c>
      <c r="EH13" s="319">
        <f t="shared" si="609"/>
        <v>51</v>
      </c>
      <c r="EI13" s="319">
        <f ca="1">IF(COUNTIF(EG11:EG15,4)&lt;&gt;4,RANK(EG13,EG11:EG15),EG53)</f>
        <v>2</v>
      </c>
      <c r="EJ13" s="319"/>
      <c r="EK13" s="319">
        <f ca="1">SUMPRODUCT((EI11:EI14=EI13)*(EH11:EH14&lt;EH13))+EI13</f>
        <v>3</v>
      </c>
      <c r="EL13" s="319" t="str">
        <f ca="1">INDEX(DZ11:DZ15,MATCH(3,EK11:EK15,0),0)</f>
        <v>Spain</v>
      </c>
      <c r="EM13" s="319">
        <f ca="1">INDEX(EI11:EI15,MATCH(EL13,DZ11:DZ15,0),0)</f>
        <v>2</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Spain</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1</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2</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2</v>
      </c>
      <c r="FS13" s="319">
        <f ca="1">FQ13-FR13+1000</f>
        <v>1000</v>
      </c>
      <c r="FT13" s="319">
        <f t="shared" ca="1" si="3056"/>
        <v>1</v>
      </c>
      <c r="FU13" s="319">
        <f ca="1">IF(FM13&lt;&gt;"",VLOOKUP(FM13,DZ4:EF40,7,FALSE),"")</f>
        <v>1002</v>
      </c>
      <c r="FV13" s="319">
        <f ca="1">IF(FM13&lt;&gt;"",VLOOKUP(FM13,DZ4:EF40,5,FALSE),"")</f>
        <v>6</v>
      </c>
      <c r="FW13" s="319">
        <f ca="1">IF(FM13&lt;&gt;"",VLOOKUP(FM13,DZ4:EH40,9,FALSE),"")</f>
        <v>51</v>
      </c>
      <c r="FX13" s="319">
        <f t="shared" ca="1" si="3057"/>
        <v>1</v>
      </c>
      <c r="FY13" s="319">
        <f ca="1">IF(FM13&lt;&gt;"",RANK(FX13,FX11:FX15),"")</f>
        <v>1</v>
      </c>
      <c r="FZ13" s="319">
        <f ca="1">IF(FM13&lt;&gt;"",SUMPRODUCT((FX11:FX15=FX13)*(FS11:FS15&gt;FS13)),"")</f>
        <v>0</v>
      </c>
      <c r="GA13" s="319">
        <f ca="1">IF(FM13&lt;&gt;"",SUMPRODUCT((FX11:FX15=FX13)*(FS11:FS15=FS13)*(FQ11:FQ15&gt;FQ13)),"")</f>
        <v>0</v>
      </c>
      <c r="GB13" s="319">
        <f ca="1">IF(FM13&lt;&gt;"",SUMPRODUCT((FX11:FX15=FX13)*(FS11:FS15=FS13)*(FQ11:FQ15=FQ13)*(FU11:FU15&gt;FU13)),"")</f>
        <v>0</v>
      </c>
      <c r="GC13" s="319">
        <f ca="1">IF(FM13&lt;&gt;"",SUMPRODUCT((FX11:FX15=FX13)*(FS11:FS15=FS13)*(FQ11:FQ15=FQ13)*(FU11:FU15=FU13)*(FV11:FV15&gt;FV13)),"")</f>
        <v>0</v>
      </c>
      <c r="GD13" s="319">
        <f ca="1">IF(FM13&lt;&gt;"",SUMPRODUCT((FX11:FX15=FX13)*(FS11:FS15=FS13)*(FQ11:FQ15=FQ13)*(FU11:FU15=FU13)*(FV11:FV15=FV13)*(FW11:FW15&gt;FW13)),"")</f>
        <v>0</v>
      </c>
      <c r="GE13" s="319">
        <f ca="1">IF(FM13&lt;&gt;"",IF(GE53&lt;&gt;"",IF(FL50=3,GE53,GE53+FL50),SUM(FY13:GD13)+1),"")</f>
        <v>2</v>
      </c>
      <c r="GF13" s="319" t="str">
        <f ca="1">IF(FM13&lt;&gt;"",INDEX(FM12:FM15,MATCH(3,GE12:GE15,0),0),"")</f>
        <v>Italy</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Italy</v>
      </c>
      <c r="HV13" s="319">
        <v>3</v>
      </c>
      <c r="HW13" s="319">
        <v>11</v>
      </c>
      <c r="HX13" s="319" t="str">
        <f t="shared" si="164"/>
        <v>Türkiye</v>
      </c>
      <c r="HY13" s="322">
        <f ca="1">IF(OFFSET('Player Game Board'!P20,0,HY1)&lt;&gt;"",OFFSET('Player Game Board'!P20,0,HY1),0)</f>
        <v>1</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97</v>
      </c>
      <c r="IG13" s="325" t="s">
        <v>98</v>
      </c>
      <c r="IH13" s="325" t="s">
        <v>99</v>
      </c>
      <c r="II13" s="325" t="s">
        <v>100</v>
      </c>
      <c r="IJ13" s="324" t="s">
        <v>97</v>
      </c>
      <c r="IK13" s="324" t="s">
        <v>100</v>
      </c>
      <c r="IL13" s="324" t="s">
        <v>98</v>
      </c>
      <c r="IM13" s="324" t="s">
        <v>99</v>
      </c>
      <c r="IN13" s="325"/>
      <c r="IO13" s="326">
        <f ca="1">IFERROR(MATCH(IO12,IF13:II13,0),0)</f>
        <v>2</v>
      </c>
      <c r="IP13" s="326">
        <f ca="1">IFERROR(MATCH(IP12,IF13:II13,0),0)</f>
        <v>3</v>
      </c>
      <c r="IQ13" s="326">
        <f ca="1">IFERROR(MATCH(IQ12,IF13:II13,0),0)</f>
        <v>1</v>
      </c>
      <c r="IR13" s="326">
        <f ca="1">IFERROR(MATCH(IR12,IF13:II13,0),0)</f>
        <v>0</v>
      </c>
      <c r="IS13" s="326">
        <f t="shared" ref="IS13:IS27" ca="1" si="3544">SUM(IO13:IR13)</f>
        <v>6</v>
      </c>
      <c r="IT13" s="325"/>
      <c r="IU13" s="325" t="str">
        <f ca="1">INDEX(IF3:IF8,MATCH(1,IS3:IS8,0),0)</f>
        <v>Italy</v>
      </c>
      <c r="IV13" s="325"/>
      <c r="IW13" s="319">
        <f ca="1">VLOOKUP(IX13,MS11:MT15,2,FALSE)</f>
        <v>2</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3</v>
      </c>
      <c r="JD13" s="319">
        <f t="shared" ca="1" si="2714"/>
        <v>1004</v>
      </c>
      <c r="JE13" s="319">
        <f t="shared" ca="1" si="2715"/>
        <v>5</v>
      </c>
      <c r="JF13" s="319">
        <f t="shared" si="618"/>
        <v>51</v>
      </c>
      <c r="JG13" s="319">
        <f ca="1">IF(COUNTIF(JE11:JE15,4)&lt;&gt;4,RANK(JE13,JE11:JE15),JE53)</f>
        <v>2</v>
      </c>
      <c r="JH13" s="319"/>
      <c r="JI13" s="319">
        <f ca="1">SUMPRODUCT((JG11:JG14=JG13)*(JF11:JF14&lt;JF13))+JG13</f>
        <v>2</v>
      </c>
      <c r="JJ13" s="319" t="str">
        <f ca="1">INDEX(IX11:IX15,MATCH(3,JI11:JI15,0),0)</f>
        <v>Italy</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1</v>
      </c>
      <c r="MY13" s="319" t="str">
        <f t="shared" si="171"/>
        <v>Georgia</v>
      </c>
      <c r="MZ13" s="319" t="str">
        <f ca="1">IF(AND(OFFSET('Player Game Board'!P20,0,MW1)&lt;&gt;"",OFFSET('Player Game Board'!Q20,0,MW1)&lt;&gt;""),IF(MW13&gt;MX13,"W",IF(MW13=MX13,"D","L")),"")</f>
        <v>W</v>
      </c>
      <c r="NA13" s="319" t="str">
        <f t="shared" ca="1" si="172"/>
        <v>L</v>
      </c>
      <c r="NB13" s="319"/>
      <c r="NC13" s="319"/>
      <c r="ND13" s="324" t="s">
        <v>97</v>
      </c>
      <c r="NE13" s="325" t="s">
        <v>98</v>
      </c>
      <c r="NF13" s="325" t="s">
        <v>99</v>
      </c>
      <c r="NG13" s="325" t="s">
        <v>100</v>
      </c>
      <c r="NH13" s="324" t="s">
        <v>97</v>
      </c>
      <c r="NI13" s="324" t="s">
        <v>100</v>
      </c>
      <c r="NJ13" s="324" t="s">
        <v>98</v>
      </c>
      <c r="NK13" s="324" t="s">
        <v>99</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0</v>
      </c>
      <c r="NX13" s="319">
        <f t="shared" ref="NX13" ca="1" si="3550">SUMPRODUCT((RT3:RT42=NV13)*(RX3:RX42="D"))+SUMPRODUCT((RW3:RW42=NV13)*(RY3:RY42="D"))</f>
        <v>0</v>
      </c>
      <c r="NY13" s="319">
        <f t="shared" ref="NY13" ca="1" si="3551">SUMPRODUCT((RT3:RT42=NV13)*(RX3:RX42="L"))+SUMPRODUCT((RW3:RW42=NV13)*(RY3:RY42="L"))</f>
        <v>0</v>
      </c>
      <c r="NZ13" s="319">
        <f t="shared" ref="NZ13" ca="1" si="3552">SUMIF(RT3:RT60,NV13,RU3:RU60)+SUMIF(RW3:RW60,NV13,RV3:RV60)</f>
        <v>0</v>
      </c>
      <c r="OA13" s="319">
        <f t="shared" ref="OA13" ca="1" si="3553">SUMIF(RW3:RW60,NV13,RU3:RU60)+SUMIF(RT3:RT60,NV13,RV3:RV60)</f>
        <v>0</v>
      </c>
      <c r="OB13" s="319">
        <f t="shared" ca="1" si="2725"/>
        <v>1000</v>
      </c>
      <c r="OC13" s="319">
        <f t="shared" ca="1" si="2726"/>
        <v>0</v>
      </c>
      <c r="OD13" s="319">
        <f t="shared" si="630"/>
        <v>51</v>
      </c>
      <c r="OE13" s="319">
        <f t="shared" ref="OE13" ca="1" si="3554">IF(COUNTIF(OC11:OC15,4)&lt;&gt;4,RANK(OC13,OC11:OC15),OC53)</f>
        <v>1</v>
      </c>
      <c r="OF13" s="319"/>
      <c r="OG13" s="319">
        <f t="shared" ref="OG13" ca="1" si="3555">SUMPRODUCT((OE11:OE14=OE13)*(OD11:OD14&lt;OD13))+OE13</f>
        <v>4</v>
      </c>
      <c r="OH13" s="319" t="str">
        <f t="shared" ref="OH13" ca="1" si="3556">INDEX(NV11:NV15,MATCH(3,OG11:OG15,0),0)</f>
        <v>Albania</v>
      </c>
      <c r="OI13" s="319">
        <f t="shared" ref="OI13" ca="1" si="3557">INDEX(OE11:OE15,MATCH(OH13,NV11:NV15,0),0)</f>
        <v>1</v>
      </c>
      <c r="OJ13" s="319" t="str">
        <f t="shared" ref="OJ13:OJ14" ca="1" si="3558">IF(AND(OJ12&lt;&gt;"",OI13=1),OH13,"")</f>
        <v>Albania</v>
      </c>
      <c r="OK13" s="319" t="str">
        <f t="shared" ref="OK13:OK14" ca="1" si="3559">IF(AND(OK12&lt;&gt;"",OI14=2),OH14,"")</f>
        <v/>
      </c>
      <c r="OL13" s="319" t="str">
        <f t="shared" ref="OL13" ca="1" si="3560">IF(AND(OL12&lt;&gt;"",OI15=3),OH15,"")</f>
        <v/>
      </c>
      <c r="OM13" s="319"/>
      <c r="ON13" s="319"/>
      <c r="OO13" s="319" t="str">
        <f t="shared" ca="1" si="2735"/>
        <v>Albania</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f t="shared" ca="1" si="2742"/>
        <v>0</v>
      </c>
      <c r="OW13" s="319">
        <f t="shared" ref="OW13" ca="1" si="3566">IF(OO13&lt;&gt;"",VLOOKUP(OO13,NV4:OB40,7,FALSE),"")</f>
        <v>1000</v>
      </c>
      <c r="OX13" s="319">
        <f t="shared" ref="OX13" ca="1" si="3567">IF(OO13&lt;&gt;"",VLOOKUP(OO13,NV4:OB40,5,FALSE),"")</f>
        <v>0</v>
      </c>
      <c r="OY13" s="319">
        <f t="shared" ref="OY13" ca="1" si="3568">IF(OO13&lt;&gt;"",VLOOKUP(OO13,NV4:OD40,9,FALSE),"")</f>
        <v>44</v>
      </c>
      <c r="OZ13" s="319">
        <f t="shared" ca="1" si="2746"/>
        <v>0</v>
      </c>
      <c r="PA13" s="319">
        <f t="shared" ref="PA13" ca="1" si="3569">IF(OO13&lt;&gt;"",RANK(OZ13,OZ11:OZ15),"")</f>
        <v>1</v>
      </c>
      <c r="PB13" s="319">
        <f t="shared" ref="PB13" ca="1" si="3570">IF(OO13&lt;&gt;"",SUMPRODUCT((OZ11:OZ15=OZ13)*(OU11:OU15&gt;OU13)),"")</f>
        <v>0</v>
      </c>
      <c r="PC13" s="319">
        <f t="shared" ref="PC13" ca="1" si="3571">IF(OO13&lt;&gt;"",SUMPRODUCT((OZ11:OZ15=OZ13)*(OU11:OU15=OU13)*(OS11:OS15&gt;OS13)),"")</f>
        <v>0</v>
      </c>
      <c r="PD13" s="319">
        <f t="shared" ref="PD13" ca="1" si="3572">IF(OO13&lt;&gt;"",SUMPRODUCT((OZ11:OZ15=OZ13)*(OU11:OU15=OU13)*(OS11:OS15=OS13)*(OW11:OW15&gt;OW13)),"")</f>
        <v>0</v>
      </c>
      <c r="PE13" s="319">
        <f t="shared" ref="PE13" ca="1" si="3573">IF(OO13&lt;&gt;"",SUMPRODUCT((OZ11:OZ15=OZ13)*(OU11:OU15=OU13)*(OS11:OS15=OS13)*(OW11:OW15=OW13)*(OX11:OX15&gt;OX13)),"")</f>
        <v>0</v>
      </c>
      <c r="PF13" s="319">
        <f t="shared" ref="PF13" ca="1" si="3574">IF(OO13&lt;&gt;"",SUMPRODUCT((OZ11:OZ15=OZ13)*(OU11:OU15=OU13)*(OS11:OS15=OS13)*(OW11:OW15=OW13)*(OX11:OX15=OX13)*(OY11:OY15&gt;OY13)),"")</f>
        <v>1</v>
      </c>
      <c r="PG13" s="319">
        <f ca="1">IF(OO13&lt;&gt;"",IF(PG53&lt;&gt;"",IF(ON50=3,PG53,PG53+ON50),SUM(PA13:PF13)),"")</f>
        <v>2</v>
      </c>
      <c r="PH13" s="319" t="str">
        <f t="shared" ref="PH13" ca="1" si="3575">IF(OO13&lt;&gt;"",INDEX(OO11:OO15,MATCH(3,PG11:PG15,0),0),"")</f>
        <v>Croatia</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0</v>
      </c>
      <c r="RW13" s="319" t="str">
        <f t="shared" si="19"/>
        <v>Georgia</v>
      </c>
      <c r="RX13" s="319" t="str">
        <f ca="1">IF(AND(OFFSET('Player Game Board'!P20,0,RU1)&lt;&gt;"",OFFSET('Player Game Board'!Q20,0,RU1)&lt;&gt;""),IF(RU13&gt;RV13,"W",IF(RU13=RV13,"D","L")),"")</f>
        <v/>
      </c>
      <c r="RY13" s="319" t="str">
        <f t="shared" ca="1" si="20"/>
        <v/>
      </c>
      <c r="RZ13" s="319"/>
      <c r="SA13" s="319"/>
      <c r="SB13" s="324" t="s">
        <v>97</v>
      </c>
      <c r="SC13" s="325" t="s">
        <v>98</v>
      </c>
      <c r="SD13" s="325" t="s">
        <v>99</v>
      </c>
      <c r="SE13" s="325" t="s">
        <v>100</v>
      </c>
      <c r="SF13" s="324" t="s">
        <v>97</v>
      </c>
      <c r="SG13" s="324" t="s">
        <v>100</v>
      </c>
      <c r="SH13" s="324" t="s">
        <v>98</v>
      </c>
      <c r="SI13" s="324" t="s">
        <v>99</v>
      </c>
      <c r="SJ13" s="325"/>
      <c r="SK13" s="326">
        <f t="shared" ref="SK13" ca="1" si="3612">IFERROR(MATCH(SK12,SB13:SE13,0),0)</f>
        <v>1</v>
      </c>
      <c r="SL13" s="326">
        <f t="shared" ref="SL13" ca="1" si="3613">IFERROR(MATCH(SL12,SB13:SE13,0),0)</f>
        <v>4</v>
      </c>
      <c r="SM13" s="326">
        <f t="shared" ref="SM13" ca="1" si="3614">IFERROR(MATCH(SM12,SB13:SE13,0),0)</f>
        <v>2</v>
      </c>
      <c r="SN13" s="326">
        <f t="shared" ref="SN13" ca="1" si="3615">IFERROR(MATCH(SN12,SB13:SE13,0),0)</f>
        <v>3</v>
      </c>
      <c r="SO13" s="326">
        <f t="shared" ref="SO13:SO27" ca="1" si="3616">SUM(SK13:SN13)</f>
        <v>10</v>
      </c>
      <c r="SP13" s="325"/>
      <c r="SQ13" s="325" t="str">
        <f t="shared" ref="SQ13" ca="1" si="3617">IF(SQ38="A",INDEX(SB3:SB8,MATCH(1,SO3:SO8,0),0),"")</f>
        <v>Scotland</v>
      </c>
      <c r="SR13" s="325"/>
      <c r="SS13" s="319">
        <f t="shared" ref="SS13" ca="1" si="3618">VLOOKUP(ST13,WO11:WP15,2,FALSE)</f>
        <v>1</v>
      </c>
      <c r="ST13" s="319" t="str">
        <f t="shared" si="2756"/>
        <v>Spain</v>
      </c>
      <c r="SU13" s="319">
        <f t="shared" ref="SU13" ca="1" si="3619">SUMPRODUCT((WR3:WR42=ST13)*(WV3:WV42="W"))+SUMPRODUCT((WU3:WU42=ST13)*(WW3:WW42="W"))</f>
        <v>0</v>
      </c>
      <c r="SV13" s="319">
        <f t="shared" ref="SV13" ca="1" si="3620">SUMPRODUCT((WR3:WR42=ST13)*(WV3:WV42="D"))+SUMPRODUCT((WU3:WU42=ST13)*(WW3:WW42="D"))</f>
        <v>0</v>
      </c>
      <c r="SW13" s="319">
        <f t="shared" ref="SW13" ca="1" si="3621">SUMPRODUCT((WR3:WR42=ST13)*(WV3:WV42="L"))+SUMPRODUCT((WU3:WU42=ST13)*(WW3:WW42="L"))</f>
        <v>0</v>
      </c>
      <c r="SX13" s="319">
        <f t="shared" ref="SX13" ca="1" si="3622">SUMIF(WR3:WR60,ST13,WS3:WS60)+SUMIF(WU3:WU60,ST13,WT3:WT60)</f>
        <v>0</v>
      </c>
      <c r="SY13" s="319">
        <f t="shared" ref="SY13" ca="1" si="3623">SUMIF(WU3:WU60,ST13,WS3:WS60)+SUMIF(WR3:WR60,ST13,WT3:WT60)</f>
        <v>0</v>
      </c>
      <c r="SZ13" s="319">
        <f t="shared" ca="1" si="2762"/>
        <v>1000</v>
      </c>
      <c r="TA13" s="319">
        <f t="shared" ca="1" si="2763"/>
        <v>0</v>
      </c>
      <c r="TB13" s="319">
        <f t="shared" si="690"/>
        <v>51</v>
      </c>
      <c r="TC13" s="319">
        <f t="shared" ref="TC13" ca="1" si="3624">IF(COUNTIF(TA11:TA15,4)&lt;&gt;4,RANK(TA13,TA11:TA15),TA53)</f>
        <v>1</v>
      </c>
      <c r="TD13" s="319"/>
      <c r="TE13" s="319">
        <f t="shared" ref="TE13" ca="1" si="3625">SUMPRODUCT((TC11:TC14=TC13)*(TB11:TB14&lt;TB13))+TC13</f>
        <v>4</v>
      </c>
      <c r="TF13" s="319" t="str">
        <f t="shared" ref="TF13" ca="1" si="3626">INDEX(ST11:ST15,MATCH(3,TE11:TE15,0),0)</f>
        <v>Albania</v>
      </c>
      <c r="TG13" s="319">
        <f t="shared" ref="TG13" ca="1" si="3627">INDEX(TC11:TC15,MATCH(TF13,ST11:ST15,0),0)</f>
        <v>1</v>
      </c>
      <c r="TH13" s="319" t="str">
        <f t="shared" ref="TH13:TH14" ca="1" si="3628">IF(AND(TH12&lt;&gt;"",TG13=1),TF13,"")</f>
        <v>Albania</v>
      </c>
      <c r="TI13" s="319" t="str">
        <f t="shared" ref="TI13:TI14" ca="1" si="3629">IF(AND(TI12&lt;&gt;"",TG14=2),TF14,"")</f>
        <v/>
      </c>
      <c r="TJ13" s="319" t="str">
        <f t="shared" ref="TJ13" ca="1" si="3630">IF(AND(TJ12&lt;&gt;"",TG15=3),TF15,"")</f>
        <v/>
      </c>
      <c r="TK13" s="319"/>
      <c r="TL13" s="319"/>
      <c r="TM13" s="319" t="str">
        <f t="shared" ca="1" si="2772"/>
        <v>Albania</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f t="shared" ca="1" si="2779"/>
        <v>0</v>
      </c>
      <c r="TU13" s="319">
        <f t="shared" ref="TU13" ca="1" si="3636">IF(TM13&lt;&gt;"",VLOOKUP(TM13,ST4:SZ40,7,FALSE),"")</f>
        <v>1000</v>
      </c>
      <c r="TV13" s="319">
        <f t="shared" ref="TV13" ca="1" si="3637">IF(TM13&lt;&gt;"",VLOOKUP(TM13,ST4:SZ40,5,FALSE),"")</f>
        <v>0</v>
      </c>
      <c r="TW13" s="319">
        <f t="shared" ref="TW13" ca="1" si="3638">IF(TM13&lt;&gt;"",VLOOKUP(TM13,ST4:TB40,9,FALSE),"")</f>
        <v>44</v>
      </c>
      <c r="TX13" s="319">
        <f t="shared" ca="1" si="2783"/>
        <v>0</v>
      </c>
      <c r="TY13" s="319">
        <f t="shared" ref="TY13" ca="1" si="3639">IF(TM13&lt;&gt;"",RANK(TX13,TX11:TX15),"")</f>
        <v>1</v>
      </c>
      <c r="TZ13" s="319">
        <f t="shared" ref="TZ13" ca="1" si="3640">IF(TM13&lt;&gt;"",SUMPRODUCT((TX11:TX15=TX13)*(TS11:TS15&gt;TS13)),"")</f>
        <v>0</v>
      </c>
      <c r="UA13" s="319">
        <f t="shared" ref="UA13" ca="1" si="3641">IF(TM13&lt;&gt;"",SUMPRODUCT((TX11:TX15=TX13)*(TS11:TS15=TS13)*(TQ11:TQ15&gt;TQ13)),"")</f>
        <v>0</v>
      </c>
      <c r="UB13" s="319">
        <f t="shared" ref="UB13" ca="1" si="3642">IF(TM13&lt;&gt;"",SUMPRODUCT((TX11:TX15=TX13)*(TS11:TS15=TS13)*(TQ11:TQ15=TQ13)*(TU11:TU15&gt;TU13)),"")</f>
        <v>0</v>
      </c>
      <c r="UC13" s="319">
        <f t="shared" ref="UC13" ca="1" si="3643">IF(TM13&lt;&gt;"",SUMPRODUCT((TX11:TX15=TX13)*(TS11:TS15=TS13)*(TQ11:TQ15=TQ13)*(TU11:TU15=TU13)*(TV11:TV15&gt;TV13)),"")</f>
        <v>0</v>
      </c>
      <c r="UD13" s="319">
        <f t="shared" ref="UD13" ca="1" si="3644">IF(TM13&lt;&gt;"",SUMPRODUCT((TX11:TX15=TX13)*(TS11:TS15=TS13)*(TQ11:TQ15=TQ13)*(TU11:TU15=TU13)*(TV11:TV15=TV13)*(TW11:TW15&gt;TW13)),"")</f>
        <v>1</v>
      </c>
      <c r="UE13" s="319">
        <f ca="1">IF(TM13&lt;&gt;"",IF(UE53&lt;&gt;"",IF(TL50=3,UE53,UE53+TL50),SUM(TY13:UD13)),"")</f>
        <v>2</v>
      </c>
      <c r="UF13" s="319" t="str">
        <f t="shared" ref="UF13" ca="1" si="3645">IF(TM13&lt;&gt;"",INDEX(TM11:TM15,MATCH(3,UE11:UE15,0),0),"")</f>
        <v>Croatia</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0</v>
      </c>
      <c r="WT13" s="322">
        <f ca="1">IF(OFFSET('Player Game Board'!Q20,0,WS1)&lt;&gt;"",OFFSET('Player Game Board'!Q20,0,WS1),0)</f>
        <v>0</v>
      </c>
      <c r="WU13" s="319" t="str">
        <f t="shared" si="35"/>
        <v>Georgia</v>
      </c>
      <c r="WV13" s="319" t="str">
        <f ca="1">IF(AND(OFFSET('Player Game Board'!P20,0,WS1)&lt;&gt;"",OFFSET('Player Game Board'!Q20,0,WS1)&lt;&gt;""),IF(WS13&gt;WT13,"W",IF(WS13=WT13,"D","L")),"")</f>
        <v/>
      </c>
      <c r="WW13" s="319" t="str">
        <f t="shared" ca="1" si="36"/>
        <v/>
      </c>
      <c r="WX13" s="319"/>
      <c r="WY13" s="319"/>
      <c r="WZ13" s="324" t="s">
        <v>97</v>
      </c>
      <c r="XA13" s="325" t="s">
        <v>98</v>
      </c>
      <c r="XB13" s="325" t="s">
        <v>99</v>
      </c>
      <c r="XC13" s="325" t="s">
        <v>100</v>
      </c>
      <c r="XD13" s="324" t="s">
        <v>97</v>
      </c>
      <c r="XE13" s="324" t="s">
        <v>100</v>
      </c>
      <c r="XF13" s="324" t="s">
        <v>98</v>
      </c>
      <c r="XG13" s="324" t="s">
        <v>99</v>
      </c>
      <c r="XH13" s="325"/>
      <c r="XI13" s="326">
        <f t="shared" ref="XI13" ca="1" si="3682">IFERROR(MATCH(XI12,WZ13:XC13,0),0)</f>
        <v>1</v>
      </c>
      <c r="XJ13" s="326">
        <f t="shared" ref="XJ13" ca="1" si="3683">IFERROR(MATCH(XJ12,WZ13:XC13,0),0)</f>
        <v>4</v>
      </c>
      <c r="XK13" s="326">
        <f t="shared" ref="XK13" ca="1" si="3684">IFERROR(MATCH(XK12,WZ13:XC13,0),0)</f>
        <v>2</v>
      </c>
      <c r="XL13" s="326">
        <f t="shared" ref="XL13" ca="1" si="3685">IFERROR(MATCH(XL12,WZ13:XC13,0),0)</f>
        <v>3</v>
      </c>
      <c r="XM13" s="326">
        <f t="shared" ref="XM13:XM27" ca="1" si="3686">SUM(XI13:XL13)</f>
        <v>10</v>
      </c>
      <c r="XN13" s="325"/>
      <c r="XO13" s="325" t="str">
        <f t="shared" ref="XO13" ca="1" si="3687">IF(XO38="A",INDEX(WZ3:WZ8,MATCH(1,XM3:XM8,0),0),"")</f>
        <v>Scotland</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97</v>
      </c>
      <c r="ABY13" s="325" t="s">
        <v>98</v>
      </c>
      <c r="ABZ13" s="325" t="s">
        <v>99</v>
      </c>
      <c r="ACA13" s="325" t="s">
        <v>100</v>
      </c>
      <c r="ACB13" s="324" t="s">
        <v>97</v>
      </c>
      <c r="ACC13" s="324" t="s">
        <v>100</v>
      </c>
      <c r="ACD13" s="324" t="s">
        <v>98</v>
      </c>
      <c r="ACE13" s="324" t="s">
        <v>99</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1</v>
      </c>
      <c r="ACP13" s="319" t="str">
        <f t="shared" si="2830"/>
        <v>Spain</v>
      </c>
      <c r="ACQ13" s="319">
        <f t="shared" ref="ACQ13" ca="1" si="3759">SUMPRODUCT((AGN3:AGN42=ACP13)*(AGR3:AGR42="W"))+SUMPRODUCT((AGQ3:AGQ42=ACP13)*(AGS3:AGS42="W"))</f>
        <v>0</v>
      </c>
      <c r="ACR13" s="319">
        <f t="shared" ref="ACR13" ca="1" si="3760">SUMPRODUCT((AGN3:AGN42=ACP13)*(AGR3:AGR42="D"))+SUMPRODUCT((AGQ3:AGQ42=ACP13)*(AGS3:AGS42="D"))</f>
        <v>0</v>
      </c>
      <c r="ACS13" s="319">
        <f t="shared" ref="ACS13" ca="1" si="3761">SUMPRODUCT((AGN3:AGN42=ACP13)*(AGR3:AGR42="L"))+SUMPRODUCT((AGQ3:AGQ42=ACP13)*(AGS3:AGS42="L"))</f>
        <v>0</v>
      </c>
      <c r="ACT13" s="319">
        <f t="shared" ref="ACT13" ca="1" si="3762">SUMIF(AGN3:AGN60,ACP13,AGO3:AGO60)+SUMIF(AGQ3:AGQ60,ACP13,AGP3:AGP60)</f>
        <v>0</v>
      </c>
      <c r="ACU13" s="319">
        <f t="shared" ref="ACU13" ca="1" si="3763">SUMIF(AGQ3:AGQ60,ACP13,AGO3:AGO60)+SUMIF(AGN3:AGN60,ACP13,AGP3:AGP60)</f>
        <v>0</v>
      </c>
      <c r="ACV13" s="319">
        <f t="shared" ca="1" si="2836"/>
        <v>1000</v>
      </c>
      <c r="ACW13" s="319">
        <f t="shared" ca="1" si="2837"/>
        <v>0</v>
      </c>
      <c r="ACX13" s="319">
        <f t="shared" si="810"/>
        <v>51</v>
      </c>
      <c r="ACY13" s="319">
        <f t="shared" ref="ACY13" ca="1" si="3764">IF(COUNTIF(ACW11:ACW15,4)&lt;&gt;4,RANK(ACW13,ACW11:ACW15),ACW53)</f>
        <v>1</v>
      </c>
      <c r="ACZ13" s="319"/>
      <c r="ADA13" s="319">
        <f t="shared" ref="ADA13" ca="1" si="3765">SUMPRODUCT((ACY11:ACY14=ACY13)*(ACX11:ACX14&lt;ACX13))+ACY13</f>
        <v>4</v>
      </c>
      <c r="ADB13" s="319" t="str">
        <f t="shared" ref="ADB13" ca="1" si="3766">INDEX(ACP11:ACP15,MATCH(3,ADA11:ADA15,0),0)</f>
        <v>Albania</v>
      </c>
      <c r="ADC13" s="319">
        <f t="shared" ref="ADC13" ca="1" si="3767">INDEX(ACY11:ACY15,MATCH(ADB13,ACP11:ACP15,0),0)</f>
        <v>1</v>
      </c>
      <c r="ADD13" s="319" t="str">
        <f t="shared" ref="ADD13:ADD14" ca="1" si="3768">IF(AND(ADD12&lt;&gt;"",ADC13=1),ADB13,"")</f>
        <v>Albania</v>
      </c>
      <c r="ADE13" s="319" t="str">
        <f t="shared" ref="ADE13:ADE14" ca="1" si="3769">IF(AND(ADE12&lt;&gt;"",ADC14=2),ADB14,"")</f>
        <v/>
      </c>
      <c r="ADF13" s="319" t="str">
        <f t="shared" ref="ADF13" ca="1" si="3770">IF(AND(ADF12&lt;&gt;"",ADC15=3),ADB15,"")</f>
        <v/>
      </c>
      <c r="ADG13" s="319"/>
      <c r="ADH13" s="319"/>
      <c r="ADI13" s="319" t="str">
        <f t="shared" ca="1" si="2846"/>
        <v>Albania</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f t="shared" ca="1" si="2853"/>
        <v>0</v>
      </c>
      <c r="ADQ13" s="319">
        <f t="shared" ref="ADQ13" ca="1" si="3776">IF(ADI13&lt;&gt;"",VLOOKUP(ADI13,ACP4:ACV40,7,FALSE),"")</f>
        <v>1000</v>
      </c>
      <c r="ADR13" s="319">
        <f t="shared" ref="ADR13" ca="1" si="3777">IF(ADI13&lt;&gt;"",VLOOKUP(ADI13,ACP4:ACV40,5,FALSE),"")</f>
        <v>0</v>
      </c>
      <c r="ADS13" s="319">
        <f t="shared" ref="ADS13" ca="1" si="3778">IF(ADI13&lt;&gt;"",VLOOKUP(ADI13,ACP4:ACX40,9,FALSE),"")</f>
        <v>44</v>
      </c>
      <c r="ADT13" s="319">
        <f t="shared" ca="1" si="2857"/>
        <v>0</v>
      </c>
      <c r="ADU13" s="319">
        <f t="shared" ref="ADU13" ca="1" si="3779">IF(ADI13&lt;&gt;"",RANK(ADT13,ADT11:ADT15),"")</f>
        <v>1</v>
      </c>
      <c r="ADV13" s="319">
        <f t="shared" ref="ADV13" ca="1" si="3780">IF(ADI13&lt;&gt;"",SUMPRODUCT((ADT11:ADT15=ADT13)*(ADO11:ADO15&gt;ADO13)),"")</f>
        <v>0</v>
      </c>
      <c r="ADW13" s="319">
        <f t="shared" ref="ADW13" ca="1" si="3781">IF(ADI13&lt;&gt;"",SUMPRODUCT((ADT11:ADT15=ADT13)*(ADO11:ADO15=ADO13)*(ADM11:ADM15&gt;ADM13)),"")</f>
        <v>0</v>
      </c>
      <c r="ADX13" s="319">
        <f t="shared" ref="ADX13" ca="1" si="3782">IF(ADI13&lt;&gt;"",SUMPRODUCT((ADT11:ADT15=ADT13)*(ADO11:ADO15=ADO13)*(ADM11:ADM15=ADM13)*(ADQ11:ADQ15&gt;ADQ13)),"")</f>
        <v>0</v>
      </c>
      <c r="ADY13" s="319">
        <f t="shared" ref="ADY13" ca="1" si="3783">IF(ADI13&lt;&gt;"",SUMPRODUCT((ADT11:ADT15=ADT13)*(ADO11:ADO15=ADO13)*(ADM11:ADM15=ADM13)*(ADQ11:ADQ15=ADQ13)*(ADR11:ADR15&gt;ADR13)),"")</f>
        <v>0</v>
      </c>
      <c r="ADZ13" s="319">
        <f t="shared" ref="ADZ13" ca="1" si="3784">IF(ADI13&lt;&gt;"",SUMPRODUCT((ADT11:ADT15=ADT13)*(ADO11:ADO15=ADO13)*(ADM11:ADM15=ADM13)*(ADQ11:ADQ15=ADQ13)*(ADR11:ADR15=ADR13)*(ADS11:ADS15&gt;ADS13)),"")</f>
        <v>1</v>
      </c>
      <c r="AEA13" s="319">
        <f ca="1">IF(ADI13&lt;&gt;"",IF(AEA53&lt;&gt;"",IF(ADH50=3,AEA53,AEA53+ADH50),SUM(ADU13:ADZ13)),"")</f>
        <v>2</v>
      </c>
      <c r="AEB13" s="319" t="str">
        <f t="shared" ref="AEB13" ca="1" si="3785">IF(ADI13&lt;&gt;"",INDEX(ADI11:ADI15,MATCH(3,AEA11:AEA15,0),0),"")</f>
        <v>Croatia</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0</v>
      </c>
      <c r="AGP13" s="322">
        <f ca="1">IF(OFFSET('Player Game Board'!Q20,0,AGO1)&lt;&gt;"",OFFSET('Player Game Board'!Q20,0,AGO1),0)</f>
        <v>0</v>
      </c>
      <c r="AGQ13" s="319" t="str">
        <f t="shared" si="67"/>
        <v>Georgia</v>
      </c>
      <c r="AGR13" s="319" t="str">
        <f ca="1">IF(AND(OFFSET('Player Game Board'!P20,0,AGO1)&lt;&gt;"",OFFSET('Player Game Board'!Q20,0,AGO1)&lt;&gt;""),IF(AGO13&gt;AGP13,"W",IF(AGO13=AGP13,"D","L")),"")</f>
        <v/>
      </c>
      <c r="AGS13" s="319" t="str">
        <f t="shared" ca="1" si="68"/>
        <v/>
      </c>
      <c r="AGT13" s="319"/>
      <c r="AGU13" s="319"/>
      <c r="AGV13" s="324" t="s">
        <v>97</v>
      </c>
      <c r="AGW13" s="325" t="s">
        <v>98</v>
      </c>
      <c r="AGX13" s="325" t="s">
        <v>99</v>
      </c>
      <c r="AGY13" s="325" t="s">
        <v>100</v>
      </c>
      <c r="AGZ13" s="324" t="s">
        <v>97</v>
      </c>
      <c r="AHA13" s="324" t="s">
        <v>100</v>
      </c>
      <c r="AHB13" s="324" t="s">
        <v>98</v>
      </c>
      <c r="AHC13" s="324" t="s">
        <v>99</v>
      </c>
      <c r="AHD13" s="325"/>
      <c r="AHE13" s="326">
        <f t="shared" ref="AHE13" ca="1" si="3822">IFERROR(MATCH(AHE12,AGV13:AGY13,0),0)</f>
        <v>1</v>
      </c>
      <c r="AHF13" s="326">
        <f t="shared" ref="AHF13" ca="1" si="3823">IFERROR(MATCH(AHF12,AGV13:AGY13,0),0)</f>
        <v>4</v>
      </c>
      <c r="AHG13" s="326">
        <f t="shared" ref="AHG13" ca="1" si="3824">IFERROR(MATCH(AHG12,AGV13:AGY13,0),0)</f>
        <v>2</v>
      </c>
      <c r="AHH13" s="326">
        <f t="shared" ref="AHH13" ca="1" si="3825">IFERROR(MATCH(AHH12,AGV13:AGY13,0),0)</f>
        <v>3</v>
      </c>
      <c r="AHI13" s="326">
        <f t="shared" ref="AHI13:AHI27" ca="1" si="3826">SUM(AHE13:AHH13)</f>
        <v>10</v>
      </c>
      <c r="AHJ13" s="325"/>
      <c r="AHK13" s="325" t="str">
        <f t="shared" ref="AHK13" ca="1" si="3827">IF(AHK38="A",INDEX(AGV3:AGV8,MATCH(1,AHI3:AHI8,0),0),"")</f>
        <v>Scotland</v>
      </c>
      <c r="AHL13" s="325"/>
      <c r="AHM13" s="319">
        <f t="shared" ref="AHM13" ca="1" si="3828">VLOOKUP(AHN13,ALI11:ALJ15,2,FALSE)</f>
        <v>1</v>
      </c>
      <c r="AHN13" s="319" t="str">
        <f t="shared" si="2867"/>
        <v>Spain</v>
      </c>
      <c r="AHO13" s="319">
        <f t="shared" ref="AHO13" ca="1" si="3829">SUMPRODUCT((ALL3:ALL42=AHN13)*(ALP3:ALP42="W"))+SUMPRODUCT((ALO3:ALO42=AHN13)*(ALQ3:ALQ42="W"))</f>
        <v>0</v>
      </c>
      <c r="AHP13" s="319">
        <f t="shared" ref="AHP13" ca="1" si="3830">SUMPRODUCT((ALL3:ALL42=AHN13)*(ALP3:ALP42="D"))+SUMPRODUCT((ALO3:ALO42=AHN13)*(ALQ3:ALQ42="D"))</f>
        <v>0</v>
      </c>
      <c r="AHQ13" s="319">
        <f t="shared" ref="AHQ13" ca="1" si="3831">SUMPRODUCT((ALL3:ALL42=AHN13)*(ALP3:ALP42="L"))+SUMPRODUCT((ALO3:ALO42=AHN13)*(ALQ3:ALQ42="L"))</f>
        <v>0</v>
      </c>
      <c r="AHR13" s="319">
        <f t="shared" ref="AHR13" ca="1" si="3832">SUMIF(ALL3:ALL60,AHN13,ALM3:ALM60)+SUMIF(ALO3:ALO60,AHN13,ALN3:ALN60)</f>
        <v>0</v>
      </c>
      <c r="AHS13" s="319">
        <f t="shared" ref="AHS13" ca="1" si="3833">SUMIF(ALO3:ALO60,AHN13,ALM3:ALM60)+SUMIF(ALL3:ALL60,AHN13,ALN3:ALN60)</f>
        <v>0</v>
      </c>
      <c r="AHT13" s="319">
        <f t="shared" ca="1" si="2873"/>
        <v>1000</v>
      </c>
      <c r="AHU13" s="319">
        <f t="shared" ca="1" si="2874"/>
        <v>0</v>
      </c>
      <c r="AHV13" s="319">
        <f t="shared" si="870"/>
        <v>51</v>
      </c>
      <c r="AHW13" s="319">
        <f t="shared" ref="AHW13" ca="1" si="3834">IF(COUNTIF(AHU11:AHU15,4)&lt;&gt;4,RANK(AHU13,AHU11:AHU15),AHU53)</f>
        <v>1</v>
      </c>
      <c r="AHX13" s="319"/>
      <c r="AHY13" s="319">
        <f t="shared" ref="AHY13" ca="1" si="3835">SUMPRODUCT((AHW11:AHW14=AHW13)*(AHV11:AHV14&lt;AHV13))+AHW13</f>
        <v>4</v>
      </c>
      <c r="AHZ13" s="319" t="str">
        <f t="shared" ref="AHZ13" ca="1" si="3836">INDEX(AHN11:AHN15,MATCH(3,AHY11:AHY15,0),0)</f>
        <v>Albania</v>
      </c>
      <c r="AIA13" s="319">
        <f t="shared" ref="AIA13" ca="1" si="3837">INDEX(AHW11:AHW15,MATCH(AHZ13,AHN11:AHN15,0),0)</f>
        <v>1</v>
      </c>
      <c r="AIB13" s="319" t="str">
        <f t="shared" ref="AIB13:AIB14" ca="1" si="3838">IF(AND(AIB12&lt;&gt;"",AIA13=1),AHZ13,"")</f>
        <v>Albania</v>
      </c>
      <c r="AIC13" s="319" t="str">
        <f t="shared" ref="AIC13:AIC14" ca="1" si="3839">IF(AND(AIC12&lt;&gt;"",AIA14=2),AHZ14,"")</f>
        <v/>
      </c>
      <c r="AID13" s="319" t="str">
        <f t="shared" ref="AID13" ca="1" si="3840">IF(AND(AID12&lt;&gt;"",AIA15=3),AHZ15,"")</f>
        <v/>
      </c>
      <c r="AIE13" s="319"/>
      <c r="AIF13" s="319"/>
      <c r="AIG13" s="319" t="str">
        <f t="shared" ca="1" si="2883"/>
        <v>Albania</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f t="shared" ca="1" si="2890"/>
        <v>0</v>
      </c>
      <c r="AIO13" s="319">
        <f t="shared" ref="AIO13" ca="1" si="3846">IF(AIG13&lt;&gt;"",VLOOKUP(AIG13,AHN4:AHT40,7,FALSE),"")</f>
        <v>1000</v>
      </c>
      <c r="AIP13" s="319">
        <f t="shared" ref="AIP13" ca="1" si="3847">IF(AIG13&lt;&gt;"",VLOOKUP(AIG13,AHN4:AHT40,5,FALSE),"")</f>
        <v>0</v>
      </c>
      <c r="AIQ13" s="319">
        <f t="shared" ref="AIQ13" ca="1" si="3848">IF(AIG13&lt;&gt;"",VLOOKUP(AIG13,AHN4:AHV40,9,FALSE),"")</f>
        <v>44</v>
      </c>
      <c r="AIR13" s="319">
        <f t="shared" ca="1" si="2894"/>
        <v>0</v>
      </c>
      <c r="AIS13" s="319">
        <f t="shared" ref="AIS13" ca="1" si="3849">IF(AIG13&lt;&gt;"",RANK(AIR13,AIR11:AIR15),"")</f>
        <v>1</v>
      </c>
      <c r="AIT13" s="319">
        <f t="shared" ref="AIT13" ca="1" si="3850">IF(AIG13&lt;&gt;"",SUMPRODUCT((AIR11:AIR15=AIR13)*(AIM11:AIM15&gt;AIM13)),"")</f>
        <v>0</v>
      </c>
      <c r="AIU13" s="319">
        <f t="shared" ref="AIU13" ca="1" si="3851">IF(AIG13&lt;&gt;"",SUMPRODUCT((AIR11:AIR15=AIR13)*(AIM11:AIM15=AIM13)*(AIK11:AIK15&gt;AIK13)),"")</f>
        <v>0</v>
      </c>
      <c r="AIV13" s="319">
        <f t="shared" ref="AIV13" ca="1" si="3852">IF(AIG13&lt;&gt;"",SUMPRODUCT((AIR11:AIR15=AIR13)*(AIM11:AIM15=AIM13)*(AIK11:AIK15=AIK13)*(AIO11:AIO15&gt;AIO13)),"")</f>
        <v>0</v>
      </c>
      <c r="AIW13" s="319">
        <f t="shared" ref="AIW13" ca="1" si="3853">IF(AIG13&lt;&gt;"",SUMPRODUCT((AIR11:AIR15=AIR13)*(AIM11:AIM15=AIM13)*(AIK11:AIK15=AIK13)*(AIO11:AIO15=AIO13)*(AIP11:AIP15&gt;AIP13)),"")</f>
        <v>0</v>
      </c>
      <c r="AIX13" s="319">
        <f t="shared" ref="AIX13" ca="1" si="3854">IF(AIG13&lt;&gt;"",SUMPRODUCT((AIR11:AIR15=AIR13)*(AIM11:AIM15=AIM13)*(AIK11:AIK15=AIK13)*(AIO11:AIO15=AIO13)*(AIP11:AIP15=AIP13)*(AIQ11:AIQ15&gt;AIQ13)),"")</f>
        <v>1</v>
      </c>
      <c r="AIY13" s="319">
        <f ca="1">IF(AIG13&lt;&gt;"",IF(AIY53&lt;&gt;"",IF(AIF50=3,AIY53,AIY53+AIF50),SUM(AIS13:AIX13)),"")</f>
        <v>2</v>
      </c>
      <c r="AIZ13" s="319" t="str">
        <f t="shared" ref="AIZ13" ca="1" si="3855">IF(AIG13&lt;&gt;"",INDEX(AIG11:AIG15,MATCH(3,AIY11:AIY15,0),0),"")</f>
        <v>Croatia</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0</v>
      </c>
      <c r="ALN13" s="322">
        <f ca="1">IF(OFFSET('Player Game Board'!Q20,0,ALM1)&lt;&gt;"",OFFSET('Player Game Board'!Q20,0,ALM1),0)</f>
        <v>0</v>
      </c>
      <c r="ALO13" s="319" t="str">
        <f t="shared" si="83"/>
        <v>Georgia</v>
      </c>
      <c r="ALP13" s="319" t="str">
        <f ca="1">IF(AND(OFFSET('Player Game Board'!P20,0,ALM1)&lt;&gt;"",OFFSET('Player Game Board'!Q20,0,ALM1)&lt;&gt;""),IF(ALM13&gt;ALN13,"W",IF(ALM13=ALN13,"D","L")),"")</f>
        <v/>
      </c>
      <c r="ALQ13" s="319" t="str">
        <f t="shared" ca="1" si="84"/>
        <v/>
      </c>
      <c r="ALR13" s="319"/>
      <c r="ALS13" s="319"/>
      <c r="ALT13" s="324" t="s">
        <v>97</v>
      </c>
      <c r="ALU13" s="325" t="s">
        <v>98</v>
      </c>
      <c r="ALV13" s="325" t="s">
        <v>99</v>
      </c>
      <c r="ALW13" s="325" t="s">
        <v>100</v>
      </c>
      <c r="ALX13" s="324" t="s">
        <v>97</v>
      </c>
      <c r="ALY13" s="324" t="s">
        <v>100</v>
      </c>
      <c r="ALZ13" s="324" t="s">
        <v>98</v>
      </c>
      <c r="AMA13" s="324" t="s">
        <v>99</v>
      </c>
      <c r="AMB13" s="325"/>
      <c r="AMC13" s="326">
        <f t="shared" ref="AMC13" ca="1" si="3892">IFERROR(MATCH(AMC12,ALT13:ALW13,0),0)</f>
        <v>1</v>
      </c>
      <c r="AMD13" s="326">
        <f t="shared" ref="AMD13" ca="1" si="3893">IFERROR(MATCH(AMD12,ALT13:ALW13,0),0)</f>
        <v>4</v>
      </c>
      <c r="AME13" s="326">
        <f t="shared" ref="AME13" ca="1" si="3894">IFERROR(MATCH(AME12,ALT13:ALW13,0),0)</f>
        <v>2</v>
      </c>
      <c r="AMF13" s="326">
        <f t="shared" ref="AMF13" ca="1" si="3895">IFERROR(MATCH(AMF12,ALT13:ALW13,0),0)</f>
        <v>3</v>
      </c>
      <c r="AMG13" s="326">
        <f t="shared" ref="AMG13:AMG27" ca="1" si="3896">SUM(AMC13:AMF13)</f>
        <v>10</v>
      </c>
      <c r="AMH13" s="325"/>
      <c r="AMI13" s="325" t="str">
        <f t="shared" ref="AMI13" ca="1" si="3897">IF(AMI38="A",INDEX(ALT3:ALT8,MATCH(1,AMG3:AMG8,0),0),"")</f>
        <v>Scotland</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97</v>
      </c>
      <c r="AQS13" s="325" t="s">
        <v>98</v>
      </c>
      <c r="AQT13" s="325" t="s">
        <v>99</v>
      </c>
      <c r="AQU13" s="325" t="s">
        <v>100</v>
      </c>
      <c r="AQV13" s="324" t="s">
        <v>97</v>
      </c>
      <c r="AQW13" s="324" t="s">
        <v>100</v>
      </c>
      <c r="AQX13" s="324" t="s">
        <v>98</v>
      </c>
      <c r="AQY13" s="324" t="s">
        <v>99</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97</v>
      </c>
      <c r="AVQ13" s="325" t="s">
        <v>98</v>
      </c>
      <c r="AVR13" s="325" t="s">
        <v>99</v>
      </c>
      <c r="AVS13" s="325" t="s">
        <v>100</v>
      </c>
      <c r="AVT13" s="324" t="s">
        <v>97</v>
      </c>
      <c r="AVU13" s="324" t="s">
        <v>100</v>
      </c>
      <c r="AVV13" s="324" t="s">
        <v>98</v>
      </c>
      <c r="AVW13" s="324" t="s">
        <v>99</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97</v>
      </c>
      <c r="BAO13" s="325" t="s">
        <v>98</v>
      </c>
      <c r="BAP13" s="325" t="s">
        <v>99</v>
      </c>
      <c r="BAQ13" s="325" t="s">
        <v>100</v>
      </c>
      <c r="BAR13" s="324" t="s">
        <v>97</v>
      </c>
      <c r="BAS13" s="324" t="s">
        <v>100</v>
      </c>
      <c r="BAT13" s="324" t="s">
        <v>98</v>
      </c>
      <c r="BAU13" s="324" t="s">
        <v>99</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97</v>
      </c>
      <c r="BFM13" s="325" t="s">
        <v>98</v>
      </c>
      <c r="BFN13" s="325" t="s">
        <v>99</v>
      </c>
      <c r="BFO13" s="325" t="s">
        <v>100</v>
      </c>
      <c r="BFP13" s="324" t="s">
        <v>97</v>
      </c>
      <c r="BFQ13" s="324" t="s">
        <v>100</v>
      </c>
      <c r="BFR13" s="324" t="s">
        <v>98</v>
      </c>
      <c r="BFS13" s="324" t="s">
        <v>99</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97</v>
      </c>
      <c r="DI14" s="325" t="s">
        <v>98</v>
      </c>
      <c r="DJ14" s="325" t="s">
        <v>99</v>
      </c>
      <c r="DK14" s="325" t="s">
        <v>101</v>
      </c>
      <c r="DL14" s="324" t="s">
        <v>97</v>
      </c>
      <c r="DM14" s="324" t="s">
        <v>101</v>
      </c>
      <c r="DN14" s="324" t="s">
        <v>98</v>
      </c>
      <c r="DO14" s="324" t="s">
        <v>99</v>
      </c>
      <c r="DP14" s="325"/>
      <c r="DQ14" s="326">
        <f>IFERROR(MATCH(DQ12,DH14:DK14,0),0)</f>
        <v>0</v>
      </c>
      <c r="DR14" s="326">
        <f>IFERROR(MATCH(DR12,DH14:DK14,0),0)</f>
        <v>4</v>
      </c>
      <c r="DS14" s="326">
        <f>IFERROR(MATCH(DS12,DH14:DK14,0),0)</f>
        <v>3</v>
      </c>
      <c r="DT14" s="326">
        <f>IFERROR(MATCH(DT12,DH14:DK14,0),0)</f>
        <v>2</v>
      </c>
      <c r="DU14" s="326">
        <f t="shared" si="3541"/>
        <v>9</v>
      </c>
      <c r="DV14" s="325"/>
      <c r="DW14" s="325" t="str">
        <f>INDEX(DH3:DH8,MATCH(2,DU3:DU8,0),0)</f>
        <v>Slovakia</v>
      </c>
      <c r="DX14" s="325"/>
      <c r="DY14" s="319">
        <f ca="1">VLOOKUP(DZ14,HU11:HV15,2,FALSE)</f>
        <v>1</v>
      </c>
      <c r="DZ14" s="319" t="str">
        <f t="shared" si="3054"/>
        <v>Croatia</v>
      </c>
      <c r="EA14" s="319">
        <f ca="1">SUMPRODUCT((HX3:HX42=DZ14)*(IB3:IB42="W"))+SUMPRODUCT((IA3:IA42=DZ14)*(IC3:IC42="W"))</f>
        <v>3</v>
      </c>
      <c r="EB14" s="319">
        <f ca="1">SUMPRODUCT((HX3:HX42=DZ14)*(IB3:IB42="D"))+SUMPRODUCT((IA3:IA42=DZ14)*(IC3:IC42="D"))</f>
        <v>0</v>
      </c>
      <c r="EC14" s="319">
        <f ca="1">SUMPRODUCT((HX3:HX42=DZ14)*(IB3:IB42="L"))+SUMPRODUCT((IA3:IA42=DZ14)*(IC3:IC42="L"))</f>
        <v>0</v>
      </c>
      <c r="ED14" s="319">
        <f ca="1">SUMIF(HX3:HX60,DZ14,HY3:HY60)+SUMIF(IA3:IA60,DZ14,HZ3:HZ60)</f>
        <v>8</v>
      </c>
      <c r="EE14" s="319">
        <f ca="1">SUMIF(IA3:IA60,DZ14,HY3:HY60)+SUMIF(HX3:HX60,DZ14,HZ3:HZ60)</f>
        <v>3</v>
      </c>
      <c r="EF14" s="319">
        <f t="shared" ca="1" si="2710"/>
        <v>1005</v>
      </c>
      <c r="EG14" s="319">
        <f t="shared" ca="1" si="2711"/>
        <v>9</v>
      </c>
      <c r="EH14" s="319">
        <f t="shared" si="609"/>
        <v>40</v>
      </c>
      <c r="EI14" s="319">
        <f ca="1">IF(COUNTIF(EG11:EG15,4)&lt;&gt;4,RANK(EG14,EG11:EG15),EG54)</f>
        <v>1</v>
      </c>
      <c r="EJ14" s="319"/>
      <c r="EK14" s="319">
        <f ca="1">SUMPRODUCT((EI11:EI14=EI14)*(EH11:EH14&lt;EH14))+EI14</f>
        <v>1</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0</v>
      </c>
      <c r="IA14" s="319" t="str">
        <f t="shared" si="165"/>
        <v>Czechia</v>
      </c>
      <c r="IB14" s="319" t="str">
        <f ca="1">IF(AND(OFFSET('Player Game Board'!P21,0,HY1)&lt;&gt;"",OFFSET('Player Game Board'!Q21,0,HY1)&lt;&gt;""),IF(HY14&gt;HZ14,"W",IF(HY14=HZ14,"D","L")),"")</f>
        <v>W</v>
      </c>
      <c r="IC14" s="319" t="str">
        <f t="shared" ca="1" si="166"/>
        <v>L</v>
      </c>
      <c r="ID14" s="319"/>
      <c r="IE14" s="319"/>
      <c r="IF14" s="324" t="s">
        <v>97</v>
      </c>
      <c r="IG14" s="325" t="s">
        <v>98</v>
      </c>
      <c r="IH14" s="325" t="s">
        <v>99</v>
      </c>
      <c r="II14" s="325" t="s">
        <v>101</v>
      </c>
      <c r="IJ14" s="324" t="s">
        <v>97</v>
      </c>
      <c r="IK14" s="324" t="s">
        <v>101</v>
      </c>
      <c r="IL14" s="324" t="s">
        <v>98</v>
      </c>
      <c r="IM14" s="324" t="s">
        <v>99</v>
      </c>
      <c r="IN14" s="325"/>
      <c r="IO14" s="326">
        <f ca="1">IFERROR(MATCH(IO12,IF14:II14,0),0)</f>
        <v>2</v>
      </c>
      <c r="IP14" s="326">
        <f ca="1">IFERROR(MATCH(IP12,IF14:II14,0),0)</f>
        <v>3</v>
      </c>
      <c r="IQ14" s="326">
        <f ca="1">IFERROR(MATCH(IQ12,IF14:II14,0),0)</f>
        <v>1</v>
      </c>
      <c r="IR14" s="326">
        <f ca="1">IFERROR(MATCH(IR12,IF14:II14,0),0)</f>
        <v>4</v>
      </c>
      <c r="IS14" s="326">
        <f t="shared" ca="1" si="3544"/>
        <v>10</v>
      </c>
      <c r="IT14" s="325"/>
      <c r="IU14" s="325" t="str">
        <f ca="1">INDEX(IF3:IF8,MATCH(2,IS3:IS8,0),0)</f>
        <v>Serbia</v>
      </c>
      <c r="IV14" s="325"/>
      <c r="IW14" s="319">
        <f ca="1">VLOOKUP(IX14,MS11:MT15,2,FALSE)</f>
        <v>1</v>
      </c>
      <c r="IX14" s="319" t="str">
        <f t="shared" si="3058"/>
        <v>Croatia</v>
      </c>
      <c r="IY14" s="319">
        <f ca="1">SUMPRODUCT((MV3:MV42=IX14)*(MZ3:MZ42="W"))+SUMPRODUCT((MY3:MY42=IX14)*(NA3:NA42="W"))</f>
        <v>2</v>
      </c>
      <c r="IZ14" s="319">
        <f ca="1">SUMPRODUCT((MV3:MV42=IX14)*(MZ3:MZ42="D"))+SUMPRODUCT((MY3:MY42=IX14)*(NA3:NA42="D"))</f>
        <v>1</v>
      </c>
      <c r="JA14" s="319">
        <f ca="1">SUMPRODUCT((MV3:MV42=IX14)*(MZ3:MZ42="L"))+SUMPRODUCT((MY3:MY42=IX14)*(NA3:NA42="L"))</f>
        <v>0</v>
      </c>
      <c r="JB14" s="319">
        <f ca="1">SUMIF(MV3:MV60,IX14,MW3:MW60)+SUMIF(MY3:MY60,IX14,MX3:MX60)</f>
        <v>6</v>
      </c>
      <c r="JC14" s="319">
        <f ca="1">SUMIF(MY3:MY60,IX14,MW3:MW60)+SUMIF(MV3:MV60,IX14,MX3:MX60)</f>
        <v>3</v>
      </c>
      <c r="JD14" s="319">
        <f t="shared" ca="1" si="2714"/>
        <v>1003</v>
      </c>
      <c r="JE14" s="319">
        <f t="shared" ca="1" si="2715"/>
        <v>7</v>
      </c>
      <c r="JF14" s="319">
        <f t="shared" si="618"/>
        <v>40</v>
      </c>
      <c r="JG14" s="319">
        <f ca="1">IF(COUNTIF(JE11:JE15,4)&lt;&gt;4,RANK(JE14,JE11:JE15),JE54)</f>
        <v>1</v>
      </c>
      <c r="JH14" s="319"/>
      <c r="JI14" s="319">
        <f ca="1">SUMPRODUCT((JG11:JG14=JG14)*(JF11:JF14&lt;JF14))+JG14</f>
        <v>1</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2</v>
      </c>
      <c r="MX14" s="322">
        <f ca="1">IF(OFFSET('Player Game Board'!Q21,0,MW1)&lt;&gt;"",OFFSET('Player Game Board'!Q21,0,MW1),0)</f>
        <v>2</v>
      </c>
      <c r="MY14" s="319" t="str">
        <f t="shared" si="171"/>
        <v>Czechia</v>
      </c>
      <c r="MZ14" s="319" t="str">
        <f ca="1">IF(AND(OFFSET('Player Game Board'!P21,0,MW1)&lt;&gt;"",OFFSET('Player Game Board'!Q21,0,MW1)&lt;&gt;""),IF(MW14&gt;MX14,"W",IF(MW14=MX14,"D","L")),"")</f>
        <v>D</v>
      </c>
      <c r="NA14" s="319" t="str">
        <f t="shared" ca="1" si="172"/>
        <v>D</v>
      </c>
      <c r="NB14" s="319"/>
      <c r="NC14" s="319"/>
      <c r="ND14" s="324" t="s">
        <v>97</v>
      </c>
      <c r="NE14" s="325" t="s">
        <v>98</v>
      </c>
      <c r="NF14" s="325" t="s">
        <v>99</v>
      </c>
      <c r="NG14" s="325" t="s">
        <v>101</v>
      </c>
      <c r="NH14" s="324" t="s">
        <v>97</v>
      </c>
      <c r="NI14" s="324" t="s">
        <v>101</v>
      </c>
      <c r="NJ14" s="324" t="s">
        <v>98</v>
      </c>
      <c r="NK14" s="324" t="s">
        <v>99</v>
      </c>
      <c r="NL14" s="325"/>
      <c r="NM14" s="326">
        <f ca="1">IFERROR(MATCH(NM12,ND14:NG14,0),0)</f>
        <v>2</v>
      </c>
      <c r="NN14" s="326">
        <f ca="1">IFERROR(MATCH(NN12,ND14:NG14,0),0)</f>
        <v>0</v>
      </c>
      <c r="NO14" s="326">
        <f ca="1">IFERROR(MATCH(NO12,ND14:NG14,0),0)</f>
        <v>1</v>
      </c>
      <c r="NP14" s="326">
        <f ca="1">IFERROR(MATCH(NP12,ND14:NG14,0),0)</f>
        <v>0</v>
      </c>
      <c r="NQ14" s="326">
        <f t="shared" ca="1" si="3547"/>
        <v>3</v>
      </c>
      <c r="NR14" s="325"/>
      <c r="NS14" s="325" t="str">
        <f ca="1">INDEX(ND3:ND8,MATCH(2,NQ3:NQ8,0),0)</f>
        <v>Czechia</v>
      </c>
      <c r="NT14" s="325"/>
      <c r="NU14" s="319">
        <f t="shared" ref="NU14" ca="1" si="4184">VLOOKUP(NV14,RQ11:RR15,2,FALSE)</f>
        <v>3</v>
      </c>
      <c r="NV14" s="319" t="str">
        <f t="shared" si="2719"/>
        <v>Croatia</v>
      </c>
      <c r="NW14" s="319">
        <f t="shared" ref="NW14" ca="1" si="4185">SUMPRODUCT((RT3:RT42=NV14)*(RX3:RX42="W"))+SUMPRODUCT((RW3:RW42=NV14)*(RY3:RY42="W"))</f>
        <v>0</v>
      </c>
      <c r="NX14" s="319">
        <f t="shared" ref="NX14" ca="1" si="4186">SUMPRODUCT((RT3:RT42=NV14)*(RX3:RX42="D"))+SUMPRODUCT((RW3:RW42=NV14)*(RY3:RY42="D"))</f>
        <v>0</v>
      </c>
      <c r="NY14" s="319">
        <f t="shared" ref="NY14" ca="1" si="4187">SUMPRODUCT((RT3:RT42=NV14)*(RX3:RX42="L"))+SUMPRODUCT((RW3:RW42=NV14)*(RY3:RY42="L"))</f>
        <v>0</v>
      </c>
      <c r="NZ14" s="319">
        <f t="shared" ref="NZ14" ca="1" si="4188">SUMIF(RT3:RT60,NV14,RU3:RU60)+SUMIF(RW3:RW60,NV14,RV3:RV60)</f>
        <v>0</v>
      </c>
      <c r="OA14" s="319">
        <f t="shared" ref="OA14" ca="1" si="4189">SUMIF(RW3:RW60,NV14,RU3:RU60)+SUMIF(RT3:RT60,NV14,RV3:RV60)</f>
        <v>0</v>
      </c>
      <c r="OB14" s="319">
        <f t="shared" ca="1" si="2725"/>
        <v>1000</v>
      </c>
      <c r="OC14" s="319">
        <f t="shared" ca="1" si="2726"/>
        <v>0</v>
      </c>
      <c r="OD14" s="319">
        <f t="shared" si="630"/>
        <v>40</v>
      </c>
      <c r="OE14" s="319">
        <f t="shared" ref="OE14" ca="1" si="4190">IF(COUNTIF(OC11:OC15,4)&lt;&gt;4,RANK(OC14,OC11:OC15),OC54)</f>
        <v>1</v>
      </c>
      <c r="OF14" s="319"/>
      <c r="OG14" s="319">
        <f t="shared" ref="OG14" ca="1" si="4191">SUMPRODUCT((OE11:OE14=OE14)*(OD11:OD14&lt;OD14))+OE14</f>
        <v>2</v>
      </c>
      <c r="OH14" s="319" t="str">
        <f t="shared" ref="OH14" ca="1" si="4192">INDEX(NV11:NV15,MATCH(4,OG11:OG15,0),0)</f>
        <v>Spain</v>
      </c>
      <c r="OI14" s="319">
        <f t="shared" ref="OI14" ca="1" si="4193">INDEX(OE11:OE15,MATCH(OH14,NV11:NV15,0),0)</f>
        <v>1</v>
      </c>
      <c r="OJ14" s="319" t="str">
        <f t="shared" ca="1" si="3558"/>
        <v>Spain</v>
      </c>
      <c r="OK14" s="319" t="str">
        <f t="shared" ca="1" si="3559"/>
        <v/>
      </c>
      <c r="OL14" s="319"/>
      <c r="OM14" s="319"/>
      <c r="ON14" s="319"/>
      <c r="OO14" s="319" t="str">
        <f t="shared" ca="1" si="2735"/>
        <v>Spain</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f t="shared" ca="1" si="2742"/>
        <v>0</v>
      </c>
      <c r="OW14" s="319">
        <f t="shared" ref="OW14" ca="1" si="4199">IF(OO14&lt;&gt;"",VLOOKUP(OO14,NV4:OB40,7,FALSE),"")</f>
        <v>1000</v>
      </c>
      <c r="OX14" s="319">
        <f t="shared" ref="OX14" ca="1" si="4200">IF(OO14&lt;&gt;"",VLOOKUP(OO14,NV4:OB40,5,FALSE),"")</f>
        <v>0</v>
      </c>
      <c r="OY14" s="319">
        <f t="shared" ref="OY14" ca="1" si="4201">IF(OO14&lt;&gt;"",VLOOKUP(OO14,NV4:OD40,9,FALSE),"")</f>
        <v>51</v>
      </c>
      <c r="OZ14" s="319">
        <f t="shared" ca="1" si="2746"/>
        <v>0</v>
      </c>
      <c r="PA14" s="319">
        <f t="shared" ref="PA14" ca="1" si="4202">IF(OO14&lt;&gt;"",RANK(OZ14,OZ11:OZ15),"")</f>
        <v>1</v>
      </c>
      <c r="PB14" s="319">
        <f t="shared" ref="PB14" ca="1" si="4203">IF(OO14&lt;&gt;"",SUMPRODUCT((OZ11:OZ15=OZ14)*(OU11:OU15&gt;OU14)),"")</f>
        <v>0</v>
      </c>
      <c r="PC14" s="319">
        <f t="shared" ref="PC14" ca="1" si="4204">IF(OO14&lt;&gt;"",SUMPRODUCT((OZ11:OZ15=OZ14)*(OU11:OU15=OU14)*(OS11:OS15&gt;OS14)),"")</f>
        <v>0</v>
      </c>
      <c r="PD14" s="319">
        <f t="shared" ref="PD14" ca="1" si="4205">IF(OO14&lt;&gt;"",SUMPRODUCT((OZ11:OZ15=OZ14)*(OU11:OU15=OU14)*(OS11:OS15=OS14)*(OW11:OW15&gt;OW14)),"")</f>
        <v>0</v>
      </c>
      <c r="PE14" s="319">
        <f t="shared" ref="PE14" ca="1" si="4206">IF(OO14&lt;&gt;"",SUMPRODUCT((OZ11:OZ15=OZ14)*(OU11:OU15=OU14)*(OS11:OS15=OS14)*(OW11:OW15=OW14)*(OX11:OX15&gt;OX14)),"")</f>
        <v>0</v>
      </c>
      <c r="PF14" s="319">
        <f t="shared" ref="PF14" ca="1" si="4207">IF(OO14&lt;&gt;"",SUMPRODUCT((OZ11:OZ15=OZ14)*(OU11:OU15=OU14)*(OS11:OS15=OS14)*(OW11:OW15=OW14)*(OX11:OX15=OX14)*(OY11:OY15&gt;OY14)),"")</f>
        <v>0</v>
      </c>
      <c r="PG14" s="319">
        <f ca="1">IF(OO14&lt;&gt;"",IF(PG54&lt;&gt;"",IF(ON50=3,PG54,PG54+ON50),SUM(PA14:PF14)),"")</f>
        <v>1</v>
      </c>
      <c r="PH14" s="319" t="str">
        <f t="shared" ref="PH14" ca="1" si="4208">IF(OO14&lt;&gt;"",INDEX(OO11:OO15,MATCH(4,PG11:PG15,0),0),"")</f>
        <v>Italy</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Italy</v>
      </c>
      <c r="RR14" s="319">
        <v>4</v>
      </c>
      <c r="RS14" s="319">
        <v>12</v>
      </c>
      <c r="RT14" s="319" t="str">
        <f t="shared" si="18"/>
        <v>Portugal</v>
      </c>
      <c r="RU14" s="322">
        <f ca="1">IF(OFFSET('Player Game Board'!P21,0,RU1)&lt;&gt;"",OFFSET('Player Game Board'!P21,0,RU1),0)</f>
        <v>0</v>
      </c>
      <c r="RV14" s="322">
        <f ca="1">IF(OFFSET('Player Game Board'!Q21,0,RU1)&lt;&gt;"",OFFSET('Player Game Board'!Q21,0,RU1),0)</f>
        <v>0</v>
      </c>
      <c r="RW14" s="319" t="str">
        <f t="shared" si="19"/>
        <v>Czechia</v>
      </c>
      <c r="RX14" s="319" t="str">
        <f ca="1">IF(AND(OFFSET('Player Game Board'!P21,0,RU1)&lt;&gt;"",OFFSET('Player Game Board'!Q21,0,RU1)&lt;&gt;""),IF(RU14&gt;RV14,"W",IF(RU14=RV14,"D","L")),"")</f>
        <v/>
      </c>
      <c r="RY14" s="319" t="str">
        <f t="shared" ca="1" si="20"/>
        <v/>
      </c>
      <c r="RZ14" s="319"/>
      <c r="SA14" s="319"/>
      <c r="SB14" s="324" t="s">
        <v>97</v>
      </c>
      <c r="SC14" s="325" t="s">
        <v>98</v>
      </c>
      <c r="SD14" s="325" t="s">
        <v>99</v>
      </c>
      <c r="SE14" s="325" t="s">
        <v>101</v>
      </c>
      <c r="SF14" s="324" t="s">
        <v>97</v>
      </c>
      <c r="SG14" s="324" t="s">
        <v>101</v>
      </c>
      <c r="SH14" s="324" t="s">
        <v>98</v>
      </c>
      <c r="SI14" s="324" t="s">
        <v>99</v>
      </c>
      <c r="SJ14" s="325"/>
      <c r="SK14" s="326">
        <f t="shared" ref="SK14" ca="1" si="4260">IFERROR(MATCH(SK12,SB14:SE14,0),0)</f>
        <v>1</v>
      </c>
      <c r="SL14" s="326">
        <f t="shared" ref="SL14" ca="1" si="4261">IFERROR(MATCH(SL12,SB14:SE14,0),0)</f>
        <v>0</v>
      </c>
      <c r="SM14" s="326">
        <f t="shared" ref="SM14" ca="1" si="4262">IFERROR(MATCH(SM12,SB14:SE14,0),0)</f>
        <v>2</v>
      </c>
      <c r="SN14" s="326">
        <f t="shared" ref="SN14" ca="1" si="4263">IFERROR(MATCH(SN12,SB14:SE14,0),0)</f>
        <v>3</v>
      </c>
      <c r="SO14" s="326">
        <f t="shared" ca="1" si="3616"/>
        <v>6</v>
      </c>
      <c r="SP14" s="325"/>
      <c r="SQ14" s="325" t="str">
        <f t="shared" ref="SQ14" ca="1" si="4264">INDEX(SB3:SB8,MATCH(2,SO3:SO8,0),0)</f>
        <v>Austria</v>
      </c>
      <c r="SR14" s="325"/>
      <c r="SS14" s="319">
        <f t="shared" ref="SS14" ca="1" si="4265">VLOOKUP(ST14,WO11:WP15,2,FALSE)</f>
        <v>3</v>
      </c>
      <c r="ST14" s="319" t="str">
        <f t="shared" si="2756"/>
        <v>Croatia</v>
      </c>
      <c r="SU14" s="319">
        <f t="shared" ref="SU14" ca="1" si="4266">SUMPRODUCT((WR3:WR42=ST14)*(WV3:WV42="W"))+SUMPRODUCT((WU3:WU42=ST14)*(WW3:WW42="W"))</f>
        <v>0</v>
      </c>
      <c r="SV14" s="319">
        <f t="shared" ref="SV14" ca="1" si="4267">SUMPRODUCT((WR3:WR42=ST14)*(WV3:WV42="D"))+SUMPRODUCT((WU3:WU42=ST14)*(WW3:WW42="D"))</f>
        <v>0</v>
      </c>
      <c r="SW14" s="319">
        <f t="shared" ref="SW14" ca="1" si="4268">SUMPRODUCT((WR3:WR42=ST14)*(WV3:WV42="L"))+SUMPRODUCT((WU3:WU42=ST14)*(WW3:WW42="L"))</f>
        <v>0</v>
      </c>
      <c r="SX14" s="319">
        <f t="shared" ref="SX14" ca="1" si="4269">SUMIF(WR3:WR60,ST14,WS3:WS60)+SUMIF(WU3:WU60,ST14,WT3:WT60)</f>
        <v>0</v>
      </c>
      <c r="SY14" s="319">
        <f t="shared" ref="SY14" ca="1" si="4270">SUMIF(WU3:WU60,ST14,WS3:WS60)+SUMIF(WR3:WR60,ST14,WT3:WT60)</f>
        <v>0</v>
      </c>
      <c r="SZ14" s="319">
        <f t="shared" ca="1" si="2762"/>
        <v>1000</v>
      </c>
      <c r="TA14" s="319">
        <f t="shared" ca="1" si="2763"/>
        <v>0</v>
      </c>
      <c r="TB14" s="319">
        <f t="shared" si="690"/>
        <v>40</v>
      </c>
      <c r="TC14" s="319">
        <f t="shared" ref="TC14" ca="1" si="4271">IF(COUNTIF(TA11:TA15,4)&lt;&gt;4,RANK(TA14,TA11:TA15),TA54)</f>
        <v>1</v>
      </c>
      <c r="TD14" s="319"/>
      <c r="TE14" s="319">
        <f t="shared" ref="TE14" ca="1" si="4272">SUMPRODUCT((TC11:TC14=TC14)*(TB11:TB14&lt;TB14))+TC14</f>
        <v>2</v>
      </c>
      <c r="TF14" s="319" t="str">
        <f t="shared" ref="TF14" ca="1" si="4273">INDEX(ST11:ST15,MATCH(4,TE11:TE15,0),0)</f>
        <v>Spain</v>
      </c>
      <c r="TG14" s="319">
        <f t="shared" ref="TG14" ca="1" si="4274">INDEX(TC11:TC15,MATCH(TF14,ST11:ST15,0),0)</f>
        <v>1</v>
      </c>
      <c r="TH14" s="319" t="str">
        <f t="shared" ca="1" si="3628"/>
        <v>Spain</v>
      </c>
      <c r="TI14" s="319" t="str">
        <f t="shared" ca="1" si="3629"/>
        <v/>
      </c>
      <c r="TJ14" s="319"/>
      <c r="TK14" s="319"/>
      <c r="TL14" s="319"/>
      <c r="TM14" s="319" t="str">
        <f t="shared" ca="1" si="2772"/>
        <v>Spain</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f t="shared" ca="1" si="2779"/>
        <v>0</v>
      </c>
      <c r="TU14" s="319">
        <f t="shared" ref="TU14" ca="1" si="4280">IF(TM14&lt;&gt;"",VLOOKUP(TM14,ST4:SZ40,7,FALSE),"")</f>
        <v>1000</v>
      </c>
      <c r="TV14" s="319">
        <f t="shared" ref="TV14" ca="1" si="4281">IF(TM14&lt;&gt;"",VLOOKUP(TM14,ST4:SZ40,5,FALSE),"")</f>
        <v>0</v>
      </c>
      <c r="TW14" s="319">
        <f t="shared" ref="TW14" ca="1" si="4282">IF(TM14&lt;&gt;"",VLOOKUP(TM14,ST4:TB40,9,FALSE),"")</f>
        <v>51</v>
      </c>
      <c r="TX14" s="319">
        <f t="shared" ca="1" si="2783"/>
        <v>0</v>
      </c>
      <c r="TY14" s="319">
        <f t="shared" ref="TY14" ca="1" si="4283">IF(TM14&lt;&gt;"",RANK(TX14,TX11:TX15),"")</f>
        <v>1</v>
      </c>
      <c r="TZ14" s="319">
        <f t="shared" ref="TZ14" ca="1" si="4284">IF(TM14&lt;&gt;"",SUMPRODUCT((TX11:TX15=TX14)*(TS11:TS15&gt;TS14)),"")</f>
        <v>0</v>
      </c>
      <c r="UA14" s="319">
        <f t="shared" ref="UA14" ca="1" si="4285">IF(TM14&lt;&gt;"",SUMPRODUCT((TX11:TX15=TX14)*(TS11:TS15=TS14)*(TQ11:TQ15&gt;TQ14)),"")</f>
        <v>0</v>
      </c>
      <c r="UB14" s="319">
        <f t="shared" ref="UB14" ca="1" si="4286">IF(TM14&lt;&gt;"",SUMPRODUCT((TX11:TX15=TX14)*(TS11:TS15=TS14)*(TQ11:TQ15=TQ14)*(TU11:TU15&gt;TU14)),"")</f>
        <v>0</v>
      </c>
      <c r="UC14" s="319">
        <f t="shared" ref="UC14" ca="1" si="4287">IF(TM14&lt;&gt;"",SUMPRODUCT((TX11:TX15=TX14)*(TS11:TS15=TS14)*(TQ11:TQ15=TQ14)*(TU11:TU15=TU14)*(TV11:TV15&gt;TV14)),"")</f>
        <v>0</v>
      </c>
      <c r="UD14" s="319">
        <f t="shared" ref="UD14" ca="1" si="4288">IF(TM14&lt;&gt;"",SUMPRODUCT((TX11:TX15=TX14)*(TS11:TS15=TS14)*(TQ11:TQ15=TQ14)*(TU11:TU15=TU14)*(TV11:TV15=TV14)*(TW11:TW15&gt;TW14)),"")</f>
        <v>0</v>
      </c>
      <c r="UE14" s="319">
        <f ca="1">IF(TM14&lt;&gt;"",IF(UE54&lt;&gt;"",IF(TL50=3,UE54,UE54+TL50),SUM(TY14:UD14)),"")</f>
        <v>1</v>
      </c>
      <c r="UF14" s="319" t="str">
        <f t="shared" ref="UF14" ca="1" si="4289">IF(TM14&lt;&gt;"",INDEX(TM11:TM15,MATCH(4,UE11:UE15,0),0),"")</f>
        <v>Italy</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Italy</v>
      </c>
      <c r="WP14" s="319">
        <v>4</v>
      </c>
      <c r="WQ14" s="319">
        <v>12</v>
      </c>
      <c r="WR14" s="319" t="str">
        <f t="shared" si="34"/>
        <v>Portugal</v>
      </c>
      <c r="WS14" s="322">
        <f ca="1">IF(OFFSET('Player Game Board'!P21,0,WS1)&lt;&gt;"",OFFSET('Player Game Board'!P21,0,WS1),0)</f>
        <v>0</v>
      </c>
      <c r="WT14" s="322">
        <f ca="1">IF(OFFSET('Player Game Board'!Q21,0,WS1)&lt;&gt;"",OFFSET('Player Game Board'!Q21,0,WS1),0)</f>
        <v>0</v>
      </c>
      <c r="WU14" s="319" t="str">
        <f t="shared" si="35"/>
        <v>Czechia</v>
      </c>
      <c r="WV14" s="319" t="str">
        <f ca="1">IF(AND(OFFSET('Player Game Board'!P21,0,WS1)&lt;&gt;"",OFFSET('Player Game Board'!Q21,0,WS1)&lt;&gt;""),IF(WS14&gt;WT14,"W",IF(WS14=WT14,"D","L")),"")</f>
        <v/>
      </c>
      <c r="WW14" s="319" t="str">
        <f t="shared" ca="1" si="36"/>
        <v/>
      </c>
      <c r="WX14" s="319"/>
      <c r="WY14" s="319"/>
      <c r="WZ14" s="324" t="s">
        <v>97</v>
      </c>
      <c r="XA14" s="325" t="s">
        <v>98</v>
      </c>
      <c r="XB14" s="325" t="s">
        <v>99</v>
      </c>
      <c r="XC14" s="325" t="s">
        <v>101</v>
      </c>
      <c r="XD14" s="324" t="s">
        <v>97</v>
      </c>
      <c r="XE14" s="324" t="s">
        <v>101</v>
      </c>
      <c r="XF14" s="324" t="s">
        <v>98</v>
      </c>
      <c r="XG14" s="324" t="s">
        <v>99</v>
      </c>
      <c r="XH14" s="325"/>
      <c r="XI14" s="326">
        <f t="shared" ref="XI14" ca="1" si="4341">IFERROR(MATCH(XI12,WZ14:XC14,0),0)</f>
        <v>1</v>
      </c>
      <c r="XJ14" s="326">
        <f t="shared" ref="XJ14" ca="1" si="4342">IFERROR(MATCH(XJ12,WZ14:XC14,0),0)</f>
        <v>0</v>
      </c>
      <c r="XK14" s="326">
        <f t="shared" ref="XK14" ca="1" si="4343">IFERROR(MATCH(XK12,WZ14:XC14,0),0)</f>
        <v>2</v>
      </c>
      <c r="XL14" s="326">
        <f t="shared" ref="XL14" ca="1" si="4344">IFERROR(MATCH(XL12,WZ14:XC14,0),0)</f>
        <v>3</v>
      </c>
      <c r="XM14" s="326">
        <f t="shared" ca="1" si="3686"/>
        <v>6</v>
      </c>
      <c r="XN14" s="325"/>
      <c r="XO14" s="325" t="str">
        <f t="shared" ref="XO14" ca="1" si="4345">INDEX(WZ3:WZ8,MATCH(2,XM3:XM8,0),0)</f>
        <v>Austria</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97</v>
      </c>
      <c r="ABY14" s="325" t="s">
        <v>98</v>
      </c>
      <c r="ABZ14" s="325" t="s">
        <v>99</v>
      </c>
      <c r="ACA14" s="325" t="s">
        <v>101</v>
      </c>
      <c r="ACB14" s="324" t="s">
        <v>97</v>
      </c>
      <c r="ACC14" s="324" t="s">
        <v>101</v>
      </c>
      <c r="ACD14" s="324" t="s">
        <v>98</v>
      </c>
      <c r="ACE14" s="324" t="s">
        <v>99</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3</v>
      </c>
      <c r="ACP14" s="319" t="str">
        <f t="shared" si="2830"/>
        <v>Croatia</v>
      </c>
      <c r="ACQ14" s="319">
        <f t="shared" ref="ACQ14" ca="1" si="4428">SUMPRODUCT((AGN3:AGN42=ACP14)*(AGR3:AGR42="W"))+SUMPRODUCT((AGQ3:AGQ42=ACP14)*(AGS3:AGS42="W"))</f>
        <v>0</v>
      </c>
      <c r="ACR14" s="319">
        <f t="shared" ref="ACR14" ca="1" si="4429">SUMPRODUCT((AGN3:AGN42=ACP14)*(AGR3:AGR42="D"))+SUMPRODUCT((AGQ3:AGQ42=ACP14)*(AGS3:AGS42="D"))</f>
        <v>0</v>
      </c>
      <c r="ACS14" s="319">
        <f t="shared" ref="ACS14" ca="1" si="4430">SUMPRODUCT((AGN3:AGN42=ACP14)*(AGR3:AGR42="L"))+SUMPRODUCT((AGQ3:AGQ42=ACP14)*(AGS3:AGS42="L"))</f>
        <v>0</v>
      </c>
      <c r="ACT14" s="319">
        <f t="shared" ref="ACT14" ca="1" si="4431">SUMIF(AGN3:AGN60,ACP14,AGO3:AGO60)+SUMIF(AGQ3:AGQ60,ACP14,AGP3:AGP60)</f>
        <v>0</v>
      </c>
      <c r="ACU14" s="319">
        <f t="shared" ref="ACU14" ca="1" si="4432">SUMIF(AGQ3:AGQ60,ACP14,AGO3:AGO60)+SUMIF(AGN3:AGN60,ACP14,AGP3:AGP60)</f>
        <v>0</v>
      </c>
      <c r="ACV14" s="319">
        <f t="shared" ca="1" si="2836"/>
        <v>1000</v>
      </c>
      <c r="ACW14" s="319">
        <f t="shared" ca="1" si="2837"/>
        <v>0</v>
      </c>
      <c r="ACX14" s="319">
        <f t="shared" si="810"/>
        <v>40</v>
      </c>
      <c r="ACY14" s="319">
        <f t="shared" ref="ACY14" ca="1" si="4433">IF(COUNTIF(ACW11:ACW15,4)&lt;&gt;4,RANK(ACW14,ACW11:ACW15),ACW54)</f>
        <v>1</v>
      </c>
      <c r="ACZ14" s="319"/>
      <c r="ADA14" s="319">
        <f t="shared" ref="ADA14" ca="1" si="4434">SUMPRODUCT((ACY11:ACY14=ACY14)*(ACX11:ACX14&lt;ACX14))+ACY14</f>
        <v>2</v>
      </c>
      <c r="ADB14" s="319" t="str">
        <f t="shared" ref="ADB14" ca="1" si="4435">INDEX(ACP11:ACP15,MATCH(4,ADA11:ADA15,0),0)</f>
        <v>Spain</v>
      </c>
      <c r="ADC14" s="319">
        <f t="shared" ref="ADC14" ca="1" si="4436">INDEX(ACY11:ACY15,MATCH(ADB14,ACP11:ACP15,0),0)</f>
        <v>1</v>
      </c>
      <c r="ADD14" s="319" t="str">
        <f t="shared" ca="1" si="3768"/>
        <v>Spain</v>
      </c>
      <c r="ADE14" s="319" t="str">
        <f t="shared" ca="1" si="3769"/>
        <v/>
      </c>
      <c r="ADF14" s="319"/>
      <c r="ADG14" s="319"/>
      <c r="ADH14" s="319"/>
      <c r="ADI14" s="319" t="str">
        <f t="shared" ca="1" si="2846"/>
        <v>Spain</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f t="shared" ca="1" si="2853"/>
        <v>0</v>
      </c>
      <c r="ADQ14" s="319">
        <f t="shared" ref="ADQ14" ca="1" si="4442">IF(ADI14&lt;&gt;"",VLOOKUP(ADI14,ACP4:ACV40,7,FALSE),"")</f>
        <v>1000</v>
      </c>
      <c r="ADR14" s="319">
        <f t="shared" ref="ADR14" ca="1" si="4443">IF(ADI14&lt;&gt;"",VLOOKUP(ADI14,ACP4:ACV40,5,FALSE),"")</f>
        <v>0</v>
      </c>
      <c r="ADS14" s="319">
        <f t="shared" ref="ADS14" ca="1" si="4444">IF(ADI14&lt;&gt;"",VLOOKUP(ADI14,ACP4:ACX40,9,FALSE),"")</f>
        <v>51</v>
      </c>
      <c r="ADT14" s="319">
        <f t="shared" ca="1" si="2857"/>
        <v>0</v>
      </c>
      <c r="ADU14" s="319">
        <f t="shared" ref="ADU14" ca="1" si="4445">IF(ADI14&lt;&gt;"",RANK(ADT14,ADT11:ADT15),"")</f>
        <v>1</v>
      </c>
      <c r="ADV14" s="319">
        <f t="shared" ref="ADV14" ca="1" si="4446">IF(ADI14&lt;&gt;"",SUMPRODUCT((ADT11:ADT15=ADT14)*(ADO11:ADO15&gt;ADO14)),"")</f>
        <v>0</v>
      </c>
      <c r="ADW14" s="319">
        <f t="shared" ref="ADW14" ca="1" si="4447">IF(ADI14&lt;&gt;"",SUMPRODUCT((ADT11:ADT15=ADT14)*(ADO11:ADO15=ADO14)*(ADM11:ADM15&gt;ADM14)),"")</f>
        <v>0</v>
      </c>
      <c r="ADX14" s="319">
        <f t="shared" ref="ADX14" ca="1" si="4448">IF(ADI14&lt;&gt;"",SUMPRODUCT((ADT11:ADT15=ADT14)*(ADO11:ADO15=ADO14)*(ADM11:ADM15=ADM14)*(ADQ11:ADQ15&gt;ADQ14)),"")</f>
        <v>0</v>
      </c>
      <c r="ADY14" s="319">
        <f t="shared" ref="ADY14" ca="1" si="4449">IF(ADI14&lt;&gt;"",SUMPRODUCT((ADT11:ADT15=ADT14)*(ADO11:ADO15=ADO14)*(ADM11:ADM15=ADM14)*(ADQ11:ADQ15=ADQ14)*(ADR11:ADR15&gt;ADR14)),"")</f>
        <v>0</v>
      </c>
      <c r="ADZ14" s="319">
        <f t="shared" ref="ADZ14" ca="1" si="4450">IF(ADI14&lt;&gt;"",SUMPRODUCT((ADT11:ADT15=ADT14)*(ADO11:ADO15=ADO14)*(ADM11:ADM15=ADM14)*(ADQ11:ADQ15=ADQ14)*(ADR11:ADR15=ADR14)*(ADS11:ADS15&gt;ADS14)),"")</f>
        <v>0</v>
      </c>
      <c r="AEA14" s="319">
        <f ca="1">IF(ADI14&lt;&gt;"",IF(AEA54&lt;&gt;"",IF(ADH50=3,AEA54,AEA54+ADH50),SUM(ADU14:ADZ14)),"")</f>
        <v>1</v>
      </c>
      <c r="AEB14" s="319" t="str">
        <f t="shared" ref="AEB14" ca="1" si="4451">IF(ADI14&lt;&gt;"",INDEX(ADI11:ADI15,MATCH(4,AEA11:AEA15,0),0),"")</f>
        <v>Italy</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Italy</v>
      </c>
      <c r="AGL14" s="319">
        <v>4</v>
      </c>
      <c r="AGM14" s="319">
        <v>12</v>
      </c>
      <c r="AGN14" s="319" t="str">
        <f t="shared" si="66"/>
        <v>Portugal</v>
      </c>
      <c r="AGO14" s="322">
        <f ca="1">IF(OFFSET('Player Game Board'!P21,0,AGO1)&lt;&gt;"",OFFSET('Player Game Board'!P21,0,AGO1),0)</f>
        <v>0</v>
      </c>
      <c r="AGP14" s="322">
        <f ca="1">IF(OFFSET('Player Game Board'!Q21,0,AGO1)&lt;&gt;"",OFFSET('Player Game Board'!Q21,0,AGO1),0)</f>
        <v>0</v>
      </c>
      <c r="AGQ14" s="319" t="str">
        <f t="shared" si="67"/>
        <v>Czechia</v>
      </c>
      <c r="AGR14" s="319" t="str">
        <f ca="1">IF(AND(OFFSET('Player Game Board'!P21,0,AGO1)&lt;&gt;"",OFFSET('Player Game Board'!Q21,0,AGO1)&lt;&gt;""),IF(AGO14&gt;AGP14,"W",IF(AGO14=AGP14,"D","L")),"")</f>
        <v/>
      </c>
      <c r="AGS14" s="319" t="str">
        <f t="shared" ca="1" si="68"/>
        <v/>
      </c>
      <c r="AGT14" s="319"/>
      <c r="AGU14" s="319"/>
      <c r="AGV14" s="324" t="s">
        <v>97</v>
      </c>
      <c r="AGW14" s="325" t="s">
        <v>98</v>
      </c>
      <c r="AGX14" s="325" t="s">
        <v>99</v>
      </c>
      <c r="AGY14" s="325" t="s">
        <v>101</v>
      </c>
      <c r="AGZ14" s="324" t="s">
        <v>97</v>
      </c>
      <c r="AHA14" s="324" t="s">
        <v>101</v>
      </c>
      <c r="AHB14" s="324" t="s">
        <v>98</v>
      </c>
      <c r="AHC14" s="324" t="s">
        <v>99</v>
      </c>
      <c r="AHD14" s="325"/>
      <c r="AHE14" s="326">
        <f t="shared" ref="AHE14" ca="1" si="4503">IFERROR(MATCH(AHE12,AGV14:AGY14,0),0)</f>
        <v>1</v>
      </c>
      <c r="AHF14" s="326">
        <f t="shared" ref="AHF14" ca="1" si="4504">IFERROR(MATCH(AHF12,AGV14:AGY14,0),0)</f>
        <v>0</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Austria</v>
      </c>
      <c r="AHL14" s="325"/>
      <c r="AHM14" s="319">
        <f t="shared" ref="AHM14" ca="1" si="4508">VLOOKUP(AHN14,ALI11:ALJ15,2,FALSE)</f>
        <v>3</v>
      </c>
      <c r="AHN14" s="319" t="str">
        <f t="shared" si="2867"/>
        <v>Croatia</v>
      </c>
      <c r="AHO14" s="319">
        <f t="shared" ref="AHO14" ca="1" si="4509">SUMPRODUCT((ALL3:ALL42=AHN14)*(ALP3:ALP42="W"))+SUMPRODUCT((ALO3:ALO42=AHN14)*(ALQ3:ALQ42="W"))</f>
        <v>0</v>
      </c>
      <c r="AHP14" s="319">
        <f t="shared" ref="AHP14" ca="1" si="4510">SUMPRODUCT((ALL3:ALL42=AHN14)*(ALP3:ALP42="D"))+SUMPRODUCT((ALO3:ALO42=AHN14)*(ALQ3:ALQ42="D"))</f>
        <v>0</v>
      </c>
      <c r="AHQ14" s="319">
        <f t="shared" ref="AHQ14" ca="1" si="4511">SUMPRODUCT((ALL3:ALL42=AHN14)*(ALP3:ALP42="L"))+SUMPRODUCT((ALO3:ALO42=AHN14)*(ALQ3:ALQ42="L"))</f>
        <v>0</v>
      </c>
      <c r="AHR14" s="319">
        <f t="shared" ref="AHR14" ca="1" si="4512">SUMIF(ALL3:ALL60,AHN14,ALM3:ALM60)+SUMIF(ALO3:ALO60,AHN14,ALN3:ALN60)</f>
        <v>0</v>
      </c>
      <c r="AHS14" s="319">
        <f t="shared" ref="AHS14" ca="1" si="4513">SUMIF(ALO3:ALO60,AHN14,ALM3:ALM60)+SUMIF(ALL3:ALL60,AHN14,ALN3:ALN60)</f>
        <v>0</v>
      </c>
      <c r="AHT14" s="319">
        <f t="shared" ca="1" si="2873"/>
        <v>1000</v>
      </c>
      <c r="AHU14" s="319">
        <f t="shared" ca="1" si="2874"/>
        <v>0</v>
      </c>
      <c r="AHV14" s="319">
        <f t="shared" si="870"/>
        <v>40</v>
      </c>
      <c r="AHW14" s="319">
        <f t="shared" ref="AHW14" ca="1" si="4514">IF(COUNTIF(AHU11:AHU15,4)&lt;&gt;4,RANK(AHU14,AHU11:AHU15),AHU54)</f>
        <v>1</v>
      </c>
      <c r="AHX14" s="319"/>
      <c r="AHY14" s="319">
        <f t="shared" ref="AHY14" ca="1" si="4515">SUMPRODUCT((AHW11:AHW14=AHW14)*(AHV11:AHV14&lt;AHV14))+AHW14</f>
        <v>2</v>
      </c>
      <c r="AHZ14" s="319" t="str">
        <f t="shared" ref="AHZ14" ca="1" si="4516">INDEX(AHN11:AHN15,MATCH(4,AHY11:AHY15,0),0)</f>
        <v>Spain</v>
      </c>
      <c r="AIA14" s="319">
        <f t="shared" ref="AIA14" ca="1" si="4517">INDEX(AHW11:AHW15,MATCH(AHZ14,AHN11:AHN15,0),0)</f>
        <v>1</v>
      </c>
      <c r="AIB14" s="319" t="str">
        <f t="shared" ca="1" si="3838"/>
        <v>Spain</v>
      </c>
      <c r="AIC14" s="319" t="str">
        <f t="shared" ca="1" si="3839"/>
        <v/>
      </c>
      <c r="AID14" s="319"/>
      <c r="AIE14" s="319"/>
      <c r="AIF14" s="319"/>
      <c r="AIG14" s="319" t="str">
        <f t="shared" ca="1" si="2883"/>
        <v>Spain</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f t="shared" ca="1" si="2890"/>
        <v>0</v>
      </c>
      <c r="AIO14" s="319">
        <f t="shared" ref="AIO14" ca="1" si="4523">IF(AIG14&lt;&gt;"",VLOOKUP(AIG14,AHN4:AHT40,7,FALSE),"")</f>
        <v>1000</v>
      </c>
      <c r="AIP14" s="319">
        <f t="shared" ref="AIP14" ca="1" si="4524">IF(AIG14&lt;&gt;"",VLOOKUP(AIG14,AHN4:AHT40,5,FALSE),"")</f>
        <v>0</v>
      </c>
      <c r="AIQ14" s="319">
        <f t="shared" ref="AIQ14" ca="1" si="4525">IF(AIG14&lt;&gt;"",VLOOKUP(AIG14,AHN4:AHV40,9,FALSE),"")</f>
        <v>51</v>
      </c>
      <c r="AIR14" s="319">
        <f t="shared" ca="1" si="2894"/>
        <v>0</v>
      </c>
      <c r="AIS14" s="319">
        <f t="shared" ref="AIS14" ca="1" si="4526">IF(AIG14&lt;&gt;"",RANK(AIR14,AIR11:AIR15),"")</f>
        <v>1</v>
      </c>
      <c r="AIT14" s="319">
        <f t="shared" ref="AIT14" ca="1" si="4527">IF(AIG14&lt;&gt;"",SUMPRODUCT((AIR11:AIR15=AIR14)*(AIM11:AIM15&gt;AIM14)),"")</f>
        <v>0</v>
      </c>
      <c r="AIU14" s="319">
        <f t="shared" ref="AIU14" ca="1" si="4528">IF(AIG14&lt;&gt;"",SUMPRODUCT((AIR11:AIR15=AIR14)*(AIM11:AIM15=AIM14)*(AIK11:AIK15&gt;AIK14)),"")</f>
        <v>0</v>
      </c>
      <c r="AIV14" s="319">
        <f t="shared" ref="AIV14" ca="1" si="4529">IF(AIG14&lt;&gt;"",SUMPRODUCT((AIR11:AIR15=AIR14)*(AIM11:AIM15=AIM14)*(AIK11:AIK15=AIK14)*(AIO11:AIO15&gt;AIO14)),"")</f>
        <v>0</v>
      </c>
      <c r="AIW14" s="319">
        <f t="shared" ref="AIW14" ca="1" si="4530">IF(AIG14&lt;&gt;"",SUMPRODUCT((AIR11:AIR15=AIR14)*(AIM11:AIM15=AIM14)*(AIK11:AIK15=AIK14)*(AIO11:AIO15=AIO14)*(AIP11:AIP15&gt;AIP14)),"")</f>
        <v>0</v>
      </c>
      <c r="AIX14" s="319">
        <f t="shared" ref="AIX14" ca="1" si="4531">IF(AIG14&lt;&gt;"",SUMPRODUCT((AIR11:AIR15=AIR14)*(AIM11:AIM15=AIM14)*(AIK11:AIK15=AIK14)*(AIO11:AIO15=AIO14)*(AIP11:AIP15=AIP14)*(AIQ11:AIQ15&gt;AIQ14)),"")</f>
        <v>0</v>
      </c>
      <c r="AIY14" s="319">
        <f ca="1">IF(AIG14&lt;&gt;"",IF(AIY54&lt;&gt;"",IF(AIF50=3,AIY54,AIY54+AIF50),SUM(AIS14:AIX14)),"")</f>
        <v>1</v>
      </c>
      <c r="AIZ14" s="319" t="str">
        <f t="shared" ref="AIZ14" ca="1" si="4532">IF(AIG14&lt;&gt;"",INDEX(AIG11:AIG15,MATCH(4,AIY11:AIY15,0),0),"")</f>
        <v>Italy</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Italy</v>
      </c>
      <c r="ALJ14" s="319">
        <v>4</v>
      </c>
      <c r="ALK14" s="319">
        <v>12</v>
      </c>
      <c r="ALL14" s="319" t="str">
        <f t="shared" si="82"/>
        <v>Portugal</v>
      </c>
      <c r="ALM14" s="322">
        <f ca="1">IF(OFFSET('Player Game Board'!P21,0,ALM1)&lt;&gt;"",OFFSET('Player Game Board'!P21,0,ALM1),0)</f>
        <v>0</v>
      </c>
      <c r="ALN14" s="322">
        <f ca="1">IF(OFFSET('Player Game Board'!Q21,0,ALM1)&lt;&gt;"",OFFSET('Player Game Board'!Q21,0,ALM1),0)</f>
        <v>0</v>
      </c>
      <c r="ALO14" s="319" t="str">
        <f t="shared" si="83"/>
        <v>Czechia</v>
      </c>
      <c r="ALP14" s="319" t="str">
        <f ca="1">IF(AND(OFFSET('Player Game Board'!P21,0,ALM1)&lt;&gt;"",OFFSET('Player Game Board'!Q21,0,ALM1)&lt;&gt;""),IF(ALM14&gt;ALN14,"W",IF(ALM14=ALN14,"D","L")),"")</f>
        <v/>
      </c>
      <c r="ALQ14" s="319" t="str">
        <f t="shared" ca="1" si="84"/>
        <v/>
      </c>
      <c r="ALR14" s="319"/>
      <c r="ALS14" s="319"/>
      <c r="ALT14" s="324" t="s">
        <v>97</v>
      </c>
      <c r="ALU14" s="325" t="s">
        <v>98</v>
      </c>
      <c r="ALV14" s="325" t="s">
        <v>99</v>
      </c>
      <c r="ALW14" s="325" t="s">
        <v>101</v>
      </c>
      <c r="ALX14" s="324" t="s">
        <v>97</v>
      </c>
      <c r="ALY14" s="324" t="s">
        <v>101</v>
      </c>
      <c r="ALZ14" s="324" t="s">
        <v>98</v>
      </c>
      <c r="AMA14" s="324" t="s">
        <v>99</v>
      </c>
      <c r="AMB14" s="325"/>
      <c r="AMC14" s="326">
        <f t="shared" ref="AMC14" ca="1" si="4584">IFERROR(MATCH(AMC12,ALT14:ALW14,0),0)</f>
        <v>1</v>
      </c>
      <c r="AMD14" s="326">
        <f t="shared" ref="AMD14" ca="1" si="4585">IFERROR(MATCH(AMD12,ALT14:ALW14,0),0)</f>
        <v>0</v>
      </c>
      <c r="AME14" s="326">
        <f t="shared" ref="AME14" ca="1" si="4586">IFERROR(MATCH(AME12,ALT14:ALW14,0),0)</f>
        <v>2</v>
      </c>
      <c r="AMF14" s="326">
        <f t="shared" ref="AMF14" ca="1" si="4587">IFERROR(MATCH(AMF12,ALT14:ALW14,0),0)</f>
        <v>3</v>
      </c>
      <c r="AMG14" s="326">
        <f t="shared" ca="1" si="3896"/>
        <v>6</v>
      </c>
      <c r="AMH14" s="325"/>
      <c r="AMI14" s="325" t="str">
        <f t="shared" ref="AMI14" ca="1" si="4588">INDEX(ALT3:ALT8,MATCH(2,AMG3:AMG8,0),0)</f>
        <v>Austria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97</v>
      </c>
      <c r="AQS14" s="325" t="s">
        <v>98</v>
      </c>
      <c r="AQT14" s="325" t="s">
        <v>99</v>
      </c>
      <c r="AQU14" s="325" t="s">
        <v>101</v>
      </c>
      <c r="AQV14" s="324" t="s">
        <v>97</v>
      </c>
      <c r="AQW14" s="324" t="s">
        <v>101</v>
      </c>
      <c r="AQX14" s="324" t="s">
        <v>98</v>
      </c>
      <c r="AQY14" s="324" t="s">
        <v>99</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97</v>
      </c>
      <c r="AVQ14" s="325" t="s">
        <v>98</v>
      </c>
      <c r="AVR14" s="325" t="s">
        <v>99</v>
      </c>
      <c r="AVS14" s="325" t="s">
        <v>101</v>
      </c>
      <c r="AVT14" s="324" t="s">
        <v>97</v>
      </c>
      <c r="AVU14" s="324" t="s">
        <v>101</v>
      </c>
      <c r="AVV14" s="324" t="s">
        <v>98</v>
      </c>
      <c r="AVW14" s="324" t="s">
        <v>99</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97</v>
      </c>
      <c r="BAO14" s="325" t="s">
        <v>98</v>
      </c>
      <c r="BAP14" s="325" t="s">
        <v>99</v>
      </c>
      <c r="BAQ14" s="325" t="s">
        <v>101</v>
      </c>
      <c r="BAR14" s="324" t="s">
        <v>97</v>
      </c>
      <c r="BAS14" s="324" t="s">
        <v>101</v>
      </c>
      <c r="BAT14" s="324" t="s">
        <v>98</v>
      </c>
      <c r="BAU14" s="324" t="s">
        <v>99</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97</v>
      </c>
      <c r="BFM14" s="325" t="s">
        <v>98</v>
      </c>
      <c r="BFN14" s="325" t="s">
        <v>99</v>
      </c>
      <c r="BFO14" s="325" t="s">
        <v>101</v>
      </c>
      <c r="BFP14" s="324" t="s">
        <v>97</v>
      </c>
      <c r="BFQ14" s="324" t="s">
        <v>101</v>
      </c>
      <c r="BFR14" s="324" t="s">
        <v>98</v>
      </c>
      <c r="BFS14" s="324" t="s">
        <v>99</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97</v>
      </c>
      <c r="DI15" s="325" t="s">
        <v>98</v>
      </c>
      <c r="DJ15" s="325" t="s">
        <v>99</v>
      </c>
      <c r="DK15" s="325" t="s">
        <v>102</v>
      </c>
      <c r="DL15" s="324" t="s">
        <v>97</v>
      </c>
      <c r="DM15" s="324" t="s">
        <v>102</v>
      </c>
      <c r="DN15" s="324" t="s">
        <v>98</v>
      </c>
      <c r="DO15" s="324" t="s">
        <v>99</v>
      </c>
      <c r="DP15" s="325"/>
      <c r="DQ15" s="326">
        <f>IFERROR(MATCH(DQ12,DH15:DK15,0),0)</f>
        <v>0</v>
      </c>
      <c r="DR15" s="326">
        <f>IFERROR(MATCH(DR12,DH15:DK15,0),0)</f>
        <v>0</v>
      </c>
      <c r="DS15" s="326">
        <f>IFERROR(MATCH(DS12,DH15:DK15,0),0)</f>
        <v>3</v>
      </c>
      <c r="DT15" s="326">
        <f>IFERROR(MATCH(DT12,DH15:DK15,0),0)</f>
        <v>2</v>
      </c>
      <c r="DU15" s="326">
        <f t="shared" si="3541"/>
        <v>5</v>
      </c>
      <c r="DV15" s="325"/>
      <c r="DW15" s="325" t="str">
        <f>INDEX(DH3:DH8,MATCH(3,DU3:DU8,0),0)</f>
        <v>Slovenia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1</v>
      </c>
      <c r="IA15" s="319" t="str">
        <f t="shared" si="165"/>
        <v>Switzerland</v>
      </c>
      <c r="IB15" s="319" t="str">
        <f ca="1">IF(AND(OFFSET('Player Game Board'!P22,0,HY1)&lt;&gt;"",OFFSET('Player Game Board'!Q22,0,HY1)&lt;&gt;""),IF(HY15&gt;HZ15,"W",IF(HY15=HZ15,"D","L")),"")</f>
        <v>W</v>
      </c>
      <c r="IC15" s="319" t="str">
        <f t="shared" ca="1" si="166"/>
        <v>L</v>
      </c>
      <c r="ID15" s="319"/>
      <c r="IE15" s="319"/>
      <c r="IF15" s="324" t="s">
        <v>97</v>
      </c>
      <c r="IG15" s="325" t="s">
        <v>98</v>
      </c>
      <c r="IH15" s="325" t="s">
        <v>99</v>
      </c>
      <c r="II15" s="325" t="s">
        <v>102</v>
      </c>
      <c r="IJ15" s="324" t="s">
        <v>97</v>
      </c>
      <c r="IK15" s="324" t="s">
        <v>102</v>
      </c>
      <c r="IL15" s="324" t="s">
        <v>98</v>
      </c>
      <c r="IM15" s="324" t="s">
        <v>99</v>
      </c>
      <c r="IN15" s="325"/>
      <c r="IO15" s="326">
        <f ca="1">IFERROR(MATCH(IO12,IF15:II15,0),0)</f>
        <v>2</v>
      </c>
      <c r="IP15" s="326">
        <f ca="1">IFERROR(MATCH(IP12,IF15:II15,0),0)</f>
        <v>3</v>
      </c>
      <c r="IQ15" s="326">
        <f ca="1">IFERROR(MATCH(IQ12,IF15:II15,0),0)</f>
        <v>1</v>
      </c>
      <c r="IR15" s="326">
        <f ca="1">IFERROR(MATCH(IR12,IF15:II15,0),0)</f>
        <v>0</v>
      </c>
      <c r="IS15" s="326">
        <f t="shared" ca="1" si="3544"/>
        <v>6</v>
      </c>
      <c r="IT15" s="325"/>
      <c r="IU15" s="325" t="str">
        <f ca="1">INDEX(IF3:IF8,MATCH(3,IS3:IS8,0),0)</f>
        <v>Switzerland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0</v>
      </c>
      <c r="MX15" s="322">
        <f ca="1">IF(OFFSET('Player Game Board'!Q22,0,MW1)&lt;&gt;"",OFFSET('Player Game Board'!Q22,0,MW1),0)</f>
        <v>1</v>
      </c>
      <c r="MY15" s="319" t="str">
        <f t="shared" si="171"/>
        <v>Switzerland</v>
      </c>
      <c r="MZ15" s="319" t="str">
        <f ca="1">IF(AND(OFFSET('Player Game Board'!P22,0,MW1)&lt;&gt;"",OFFSET('Player Game Board'!Q22,0,MW1)&lt;&gt;""),IF(MW15&gt;MX15,"W",IF(MW15=MX15,"D","L")),"")</f>
        <v>L</v>
      </c>
      <c r="NA15" s="319" t="str">
        <f t="shared" ca="1" si="172"/>
        <v>W</v>
      </c>
      <c r="NB15" s="319"/>
      <c r="NC15" s="319"/>
      <c r="ND15" s="324" t="s">
        <v>97</v>
      </c>
      <c r="NE15" s="325" t="s">
        <v>98</v>
      </c>
      <c r="NF15" s="325" t="s">
        <v>99</v>
      </c>
      <c r="NG15" s="325" t="s">
        <v>102</v>
      </c>
      <c r="NH15" s="324" t="s">
        <v>97</v>
      </c>
      <c r="NI15" s="324" t="s">
        <v>102</v>
      </c>
      <c r="NJ15" s="324" t="s">
        <v>98</v>
      </c>
      <c r="NK15" s="324" t="s">
        <v>99</v>
      </c>
      <c r="NL15" s="325"/>
      <c r="NM15" s="326">
        <f ca="1">IFERROR(MATCH(NM12,ND15:NG15,0),0)</f>
        <v>2</v>
      </c>
      <c r="NN15" s="326">
        <f ca="1">IFERROR(MATCH(NN12,ND15:NG15,0),0)</f>
        <v>4</v>
      </c>
      <c r="NO15" s="326">
        <f ca="1">IFERROR(MATCH(NO12,ND15:NG15,0),0)</f>
        <v>1</v>
      </c>
      <c r="NP15" s="326">
        <f ca="1">IFERROR(MATCH(NP12,ND15:NG15,0),0)</f>
        <v>0</v>
      </c>
      <c r="NQ15" s="326">
        <f t="shared" ca="1" si="3547"/>
        <v>7</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
      </c>
      <c r="RY15" s="319" t="str">
        <f t="shared" ca="1" si="20"/>
        <v/>
      </c>
      <c r="RZ15" s="319"/>
      <c r="SA15" s="319"/>
      <c r="SB15" s="324" t="s">
        <v>97</v>
      </c>
      <c r="SC15" s="325" t="s">
        <v>98</v>
      </c>
      <c r="SD15" s="325" t="s">
        <v>99</v>
      </c>
      <c r="SE15" s="325" t="s">
        <v>102</v>
      </c>
      <c r="SF15" s="324" t="s">
        <v>97</v>
      </c>
      <c r="SG15" s="324" t="s">
        <v>102</v>
      </c>
      <c r="SH15" s="324" t="s">
        <v>98</v>
      </c>
      <c r="SI15" s="324" t="s">
        <v>99</v>
      </c>
      <c r="SJ15" s="325"/>
      <c r="SK15" s="326">
        <f t="shared" ref="SK15" ca="1" si="4913">IFERROR(MATCH(SK12,SB15:SE15,0),0)</f>
        <v>1</v>
      </c>
      <c r="SL15" s="326">
        <f t="shared" ref="SL15" ca="1" si="4914">IFERROR(MATCH(SL12,SB15:SE15,0),0)</f>
        <v>0</v>
      </c>
      <c r="SM15" s="326">
        <f t="shared" ref="SM15" ca="1" si="4915">IFERROR(MATCH(SM12,SB15:SE15,0),0)</f>
        <v>2</v>
      </c>
      <c r="SN15" s="326">
        <f t="shared" ref="SN15" ca="1" si="4916">IFERROR(MATCH(SN12,SB15:SE15,0),0)</f>
        <v>3</v>
      </c>
      <c r="SO15" s="326">
        <f t="shared" ca="1" si="3616"/>
        <v>6</v>
      </c>
      <c r="SP15" s="325"/>
      <c r="SQ15" s="325" t="str">
        <f t="shared" ref="SQ15" ca="1" si="4917">INDEX(SB3:SB8,MATCH(3,SO3:SO8,0),0)</f>
        <v>Croatia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0</v>
      </c>
      <c r="WT15" s="322">
        <f ca="1">IF(OFFSET('Player Game Board'!Q22,0,WS1)&lt;&gt;"",OFFSET('Player Game Board'!Q22,0,WS1),0)</f>
        <v>0</v>
      </c>
      <c r="WU15" s="319" t="str">
        <f t="shared" si="35"/>
        <v>Switzerland</v>
      </c>
      <c r="WV15" s="319" t="str">
        <f ca="1">IF(AND(OFFSET('Player Game Board'!P22,0,WS1)&lt;&gt;"",OFFSET('Player Game Board'!Q22,0,WS1)&lt;&gt;""),IF(WS15&gt;WT15,"W",IF(WS15=WT15,"D","L")),"")</f>
        <v/>
      </c>
      <c r="WW15" s="319" t="str">
        <f t="shared" ca="1" si="36"/>
        <v/>
      </c>
      <c r="WX15" s="319"/>
      <c r="WY15" s="319"/>
      <c r="WZ15" s="324" t="s">
        <v>97</v>
      </c>
      <c r="XA15" s="325" t="s">
        <v>98</v>
      </c>
      <c r="XB15" s="325" t="s">
        <v>99</v>
      </c>
      <c r="XC15" s="325" t="s">
        <v>102</v>
      </c>
      <c r="XD15" s="324" t="s">
        <v>97</v>
      </c>
      <c r="XE15" s="324" t="s">
        <v>102</v>
      </c>
      <c r="XF15" s="324" t="s">
        <v>98</v>
      </c>
      <c r="XG15" s="324" t="s">
        <v>99</v>
      </c>
      <c r="XH15" s="325"/>
      <c r="XI15" s="326">
        <f t="shared" ref="XI15" ca="1" si="4918">IFERROR(MATCH(XI12,WZ15:XC15,0),0)</f>
        <v>1</v>
      </c>
      <c r="XJ15" s="326">
        <f t="shared" ref="XJ15" ca="1" si="4919">IFERROR(MATCH(XJ12,WZ15:XC15,0),0)</f>
        <v>0</v>
      </c>
      <c r="XK15" s="326">
        <f t="shared" ref="XK15" ca="1" si="4920">IFERROR(MATCH(XK12,WZ15:XC15,0),0)</f>
        <v>2</v>
      </c>
      <c r="XL15" s="326">
        <f t="shared" ref="XL15" ca="1" si="4921">IFERROR(MATCH(XL12,WZ15:XC15,0),0)</f>
        <v>3</v>
      </c>
      <c r="XM15" s="326">
        <f t="shared" ca="1" si="3686"/>
        <v>6</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97</v>
      </c>
      <c r="ABY15" s="325" t="s">
        <v>98</v>
      </c>
      <c r="ABZ15" s="325" t="s">
        <v>99</v>
      </c>
      <c r="ACA15" s="325" t="s">
        <v>102</v>
      </c>
      <c r="ACB15" s="324" t="s">
        <v>97</v>
      </c>
      <c r="ACC15" s="324" t="s">
        <v>102</v>
      </c>
      <c r="ACD15" s="324" t="s">
        <v>98</v>
      </c>
      <c r="ACE15" s="324" t="s">
        <v>99</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0</v>
      </c>
      <c r="AGP15" s="322">
        <f ca="1">IF(OFFSET('Player Game Board'!Q22,0,AGO1)&lt;&gt;"",OFFSET('Player Game Board'!Q22,0,AGO1),0)</f>
        <v>0</v>
      </c>
      <c r="AGQ15" s="319" t="str">
        <f t="shared" si="67"/>
        <v>Switzerland</v>
      </c>
      <c r="AGR15" s="319" t="str">
        <f ca="1">IF(AND(OFFSET('Player Game Board'!P22,0,AGO1)&lt;&gt;"",OFFSET('Player Game Board'!Q22,0,AGO1)&lt;&gt;""),IF(AGO15&gt;AGP15,"W",IF(AGO15=AGP15,"D","L")),"")</f>
        <v/>
      </c>
      <c r="AGS15" s="319" t="str">
        <f t="shared" ca="1" si="68"/>
        <v/>
      </c>
      <c r="AGT15" s="319"/>
      <c r="AGU15" s="319"/>
      <c r="AGV15" s="324" t="s">
        <v>97</v>
      </c>
      <c r="AGW15" s="325" t="s">
        <v>98</v>
      </c>
      <c r="AGX15" s="325" t="s">
        <v>99</v>
      </c>
      <c r="AGY15" s="325" t="s">
        <v>102</v>
      </c>
      <c r="AGZ15" s="324" t="s">
        <v>97</v>
      </c>
      <c r="AHA15" s="324" t="s">
        <v>102</v>
      </c>
      <c r="AHB15" s="324" t="s">
        <v>98</v>
      </c>
      <c r="AHC15" s="324" t="s">
        <v>99</v>
      </c>
      <c r="AHD15" s="325"/>
      <c r="AHE15" s="326">
        <f t="shared" ref="AHE15" ca="1" si="4928">IFERROR(MATCH(AHE12,AGV15:AGY15,0),0)</f>
        <v>1</v>
      </c>
      <c r="AHF15" s="326">
        <f t="shared" ref="AHF15" ca="1" si="4929">IFERROR(MATCH(AHF12,AGV15:AGY15,0),0)</f>
        <v>0</v>
      </c>
      <c r="AHG15" s="326">
        <f t="shared" ref="AHG15" ca="1" si="4930">IFERROR(MATCH(AHG12,AGV15:AGY15,0),0)</f>
        <v>2</v>
      </c>
      <c r="AHH15" s="326">
        <f t="shared" ref="AHH15" ca="1" si="4931">IFERROR(MATCH(AHH12,AGV15:AGY15,0),0)</f>
        <v>3</v>
      </c>
      <c r="AHI15" s="326">
        <f t="shared" ca="1" si="3826"/>
        <v>6</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0</v>
      </c>
      <c r="ALO15" s="319" t="str">
        <f t="shared" si="83"/>
        <v>Switzerland</v>
      </c>
      <c r="ALP15" s="319" t="str">
        <f ca="1">IF(AND(OFFSET('Player Game Board'!P22,0,ALM1)&lt;&gt;"",OFFSET('Player Game Board'!Q22,0,ALM1)&lt;&gt;""),IF(ALM15&gt;ALN15,"W",IF(ALM15=ALN15,"D","L")),"")</f>
        <v/>
      </c>
      <c r="ALQ15" s="319" t="str">
        <f t="shared" ca="1" si="84"/>
        <v/>
      </c>
      <c r="ALR15" s="319"/>
      <c r="ALS15" s="319"/>
      <c r="ALT15" s="324" t="s">
        <v>97</v>
      </c>
      <c r="ALU15" s="325" t="s">
        <v>98</v>
      </c>
      <c r="ALV15" s="325" t="s">
        <v>99</v>
      </c>
      <c r="ALW15" s="325" t="s">
        <v>102</v>
      </c>
      <c r="ALX15" s="324" t="s">
        <v>97</v>
      </c>
      <c r="ALY15" s="324" t="s">
        <v>102</v>
      </c>
      <c r="ALZ15" s="324" t="s">
        <v>98</v>
      </c>
      <c r="AMA15" s="324" t="s">
        <v>99</v>
      </c>
      <c r="AMB15" s="325"/>
      <c r="AMC15" s="326">
        <f t="shared" ref="AMC15" ca="1" si="4933">IFERROR(MATCH(AMC12,ALT15:ALW15,0),0)</f>
        <v>1</v>
      </c>
      <c r="AMD15" s="326">
        <f t="shared" ref="AMD15" ca="1" si="4934">IFERROR(MATCH(AMD12,ALT15:ALW15,0),0)</f>
        <v>0</v>
      </c>
      <c r="AME15" s="326">
        <f t="shared" ref="AME15" ca="1" si="4935">IFERROR(MATCH(AME12,ALT15:ALW15,0),0)</f>
        <v>2</v>
      </c>
      <c r="AMF15" s="326">
        <f t="shared" ref="AMF15" ca="1" si="4936">IFERROR(MATCH(AMF12,ALT15:ALW15,0),0)</f>
        <v>3</v>
      </c>
      <c r="AMG15" s="326">
        <f t="shared" ca="1" si="3896"/>
        <v>6</v>
      </c>
      <c r="AMH15" s="325"/>
      <c r="AMI15" s="325" t="str">
        <f t="shared" ref="AMI15" ca="1" si="4937">INDEX(ALT3:ALT8,MATCH(3,AMG3:AMG8,0),0)</f>
        <v>Croatia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97</v>
      </c>
      <c r="AQS15" s="325" t="s">
        <v>98</v>
      </c>
      <c r="AQT15" s="325" t="s">
        <v>99</v>
      </c>
      <c r="AQU15" s="325" t="s">
        <v>102</v>
      </c>
      <c r="AQV15" s="324" t="s">
        <v>97</v>
      </c>
      <c r="AQW15" s="324" t="s">
        <v>102</v>
      </c>
      <c r="AQX15" s="324" t="s">
        <v>98</v>
      </c>
      <c r="AQY15" s="324" t="s">
        <v>99</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97</v>
      </c>
      <c r="AVQ15" s="325" t="s">
        <v>98</v>
      </c>
      <c r="AVR15" s="325" t="s">
        <v>99</v>
      </c>
      <c r="AVS15" s="325" t="s">
        <v>102</v>
      </c>
      <c r="AVT15" s="324" t="s">
        <v>97</v>
      </c>
      <c r="AVU15" s="324" t="s">
        <v>102</v>
      </c>
      <c r="AVV15" s="324" t="s">
        <v>98</v>
      </c>
      <c r="AVW15" s="324" t="s">
        <v>99</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97</v>
      </c>
      <c r="BAO15" s="325" t="s">
        <v>98</v>
      </c>
      <c r="BAP15" s="325" t="s">
        <v>99</v>
      </c>
      <c r="BAQ15" s="325" t="s">
        <v>102</v>
      </c>
      <c r="BAR15" s="324" t="s">
        <v>97</v>
      </c>
      <c r="BAS15" s="324" t="s">
        <v>102</v>
      </c>
      <c r="BAT15" s="324" t="s">
        <v>98</v>
      </c>
      <c r="BAU15" s="324" t="s">
        <v>99</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97</v>
      </c>
      <c r="BFM15" s="325" t="s">
        <v>98</v>
      </c>
      <c r="BFN15" s="325" t="s">
        <v>99</v>
      </c>
      <c r="BFO15" s="325" t="s">
        <v>102</v>
      </c>
      <c r="BFP15" s="324" t="s">
        <v>97</v>
      </c>
      <c r="BFQ15" s="324" t="s">
        <v>102</v>
      </c>
      <c r="BFR15" s="324" t="s">
        <v>98</v>
      </c>
      <c r="BFS15" s="324" t="s">
        <v>99</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353</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97</v>
      </c>
      <c r="DI16" s="325" t="s">
        <v>98</v>
      </c>
      <c r="DJ16" s="325" t="s">
        <v>100</v>
      </c>
      <c r="DK16" s="325" t="s">
        <v>101</v>
      </c>
      <c r="DL16" s="324" t="s">
        <v>100</v>
      </c>
      <c r="DM16" s="324" t="s">
        <v>101</v>
      </c>
      <c r="DN16" s="324" t="s">
        <v>97</v>
      </c>
      <c r="DO16" s="324" t="s">
        <v>98</v>
      </c>
      <c r="DP16" s="325"/>
      <c r="DQ16" s="326">
        <f>IFERROR(MATCH(DQ12,DH16:DK16,0),0)</f>
        <v>3</v>
      </c>
      <c r="DR16" s="326">
        <f>IFERROR(MATCH(DR12,DH16:DK16,0),0)</f>
        <v>4</v>
      </c>
      <c r="DS16" s="326">
        <f>IFERROR(MATCH(DS12,DH16:DK16,0),0)</f>
        <v>0</v>
      </c>
      <c r="DT16" s="326">
        <f>IFERROR(MATCH(DT12,DH16:DK16,0),0)</f>
        <v>2</v>
      </c>
      <c r="DU16" s="326">
        <f t="shared" si="3541"/>
        <v>9</v>
      </c>
      <c r="DV16" s="325"/>
      <c r="DW16" s="325" t="str">
        <f>INDEX(DH3:DH8,MATCH(4,DU3:DU8,0),0)</f>
        <v>Albania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2</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97</v>
      </c>
      <c r="IG16" s="325" t="s">
        <v>98</v>
      </c>
      <c r="IH16" s="325" t="s">
        <v>100</v>
      </c>
      <c r="II16" s="325" t="s">
        <v>101</v>
      </c>
      <c r="IJ16" s="324" t="s">
        <v>100</v>
      </c>
      <c r="IK16" s="324" t="s">
        <v>101</v>
      </c>
      <c r="IL16" s="324" t="s">
        <v>97</v>
      </c>
      <c r="IM16" s="324" t="s">
        <v>98</v>
      </c>
      <c r="IN16" s="325"/>
      <c r="IO16" s="326">
        <f ca="1">IFERROR(MATCH(IO12,IF16:II16,0),0)</f>
        <v>2</v>
      </c>
      <c r="IP16" s="326">
        <f ca="1">IFERROR(MATCH(IP12,IF16:II16,0),0)</f>
        <v>0</v>
      </c>
      <c r="IQ16" s="326">
        <f ca="1">IFERROR(MATCH(IQ12,IF16:II16,0),0)</f>
        <v>1</v>
      </c>
      <c r="IR16" s="326">
        <f ca="1">IFERROR(MATCH(IR12,IF16:II16,0),0)</f>
        <v>4</v>
      </c>
      <c r="IS16" s="326">
        <f t="shared" ca="1" si="3544"/>
        <v>7</v>
      </c>
      <c r="IT16" s="325"/>
      <c r="IU16" s="325" t="str">
        <f ca="1">INDEX(IF3:IF8,MATCH(4,IS3:IS8,0),0)</f>
        <v>Romania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0</v>
      </c>
      <c r="MX16" s="322">
        <f ca="1">IF(OFFSET('Player Game Board'!Q23,0,MW1)&lt;&gt;"",OFFSET('Player Game Board'!Q23,0,MW1),0)</f>
        <v>1</v>
      </c>
      <c r="MY16" s="319" t="str">
        <f t="shared" si="171"/>
        <v>Hungary</v>
      </c>
      <c r="MZ16" s="319" t="str">
        <f ca="1">IF(AND(OFFSET('Player Game Board'!P23,0,MW1)&lt;&gt;"",OFFSET('Player Game Board'!Q23,0,MW1)&lt;&gt;""),IF(MW16&gt;MX16,"W",IF(MW16=MX16,"D","L")),"")</f>
        <v>L</v>
      </c>
      <c r="NA16" s="319" t="str">
        <f t="shared" ca="1" si="172"/>
        <v>W</v>
      </c>
      <c r="NB16" s="319"/>
      <c r="NC16" s="319"/>
      <c r="ND16" s="324" t="s">
        <v>97</v>
      </c>
      <c r="NE16" s="325" t="s">
        <v>98</v>
      </c>
      <c r="NF16" s="325" t="s">
        <v>100</v>
      </c>
      <c r="NG16" s="325" t="s">
        <v>101</v>
      </c>
      <c r="NH16" s="324" t="s">
        <v>100</v>
      </c>
      <c r="NI16" s="324" t="s">
        <v>101</v>
      </c>
      <c r="NJ16" s="324" t="s">
        <v>97</v>
      </c>
      <c r="NK16" s="324" t="s">
        <v>98</v>
      </c>
      <c r="NL16" s="325"/>
      <c r="NM16" s="326">
        <f ca="1">IFERROR(MATCH(NM12,ND16:NG16,0),0)</f>
        <v>2</v>
      </c>
      <c r="NN16" s="326">
        <f ca="1">IFERROR(MATCH(NN12,ND16:NG16,0),0)</f>
        <v>0</v>
      </c>
      <c r="NO16" s="326">
        <f ca="1">IFERROR(MATCH(NO12,ND16:NG16,0),0)</f>
        <v>1</v>
      </c>
      <c r="NP16" s="326">
        <f ca="1">IFERROR(MATCH(NP12,ND16:NG16,0),0)</f>
        <v>3</v>
      </c>
      <c r="NQ16" s="326">
        <f t="shared" ca="1" si="3547"/>
        <v>6</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0</v>
      </c>
      <c r="RV16" s="322">
        <f ca="1">IF(OFFSET('Player Game Board'!Q23,0,RU1)&lt;&gt;"",OFFSET('Player Game Board'!Q23,0,RU1),0)</f>
        <v>0</v>
      </c>
      <c r="RW16" s="319" t="str">
        <f t="shared" si="19"/>
        <v>Hungary</v>
      </c>
      <c r="RX16" s="319" t="str">
        <f ca="1">IF(AND(OFFSET('Player Game Board'!P23,0,RU1)&lt;&gt;"",OFFSET('Player Game Board'!Q23,0,RU1)&lt;&gt;""),IF(RU16&gt;RV16,"W",IF(RU16=RV16,"D","L")),"")</f>
        <v/>
      </c>
      <c r="RY16" s="319" t="str">
        <f t="shared" ca="1" si="20"/>
        <v/>
      </c>
      <c r="RZ16" s="319"/>
      <c r="SA16" s="319"/>
      <c r="SB16" s="324" t="s">
        <v>97</v>
      </c>
      <c r="SC16" s="325" t="s">
        <v>98</v>
      </c>
      <c r="SD16" s="325" t="s">
        <v>100</v>
      </c>
      <c r="SE16" s="325" t="s">
        <v>101</v>
      </c>
      <c r="SF16" s="324" t="s">
        <v>100</v>
      </c>
      <c r="SG16" s="324" t="s">
        <v>101</v>
      </c>
      <c r="SH16" s="324" t="s">
        <v>97</v>
      </c>
      <c r="SI16" s="324" t="s">
        <v>98</v>
      </c>
      <c r="SJ16" s="325"/>
      <c r="SK16" s="326">
        <f t="shared" ref="SK16" ca="1" si="4958">IFERROR(MATCH(SK12,SB16:SE16,0),0)</f>
        <v>1</v>
      </c>
      <c r="SL16" s="326">
        <f t="shared" ref="SL16" ca="1" si="4959">IFERROR(MATCH(SL12,SB16:SE16,0),0)</f>
        <v>3</v>
      </c>
      <c r="SM16" s="326">
        <f t="shared" ref="SM16" ca="1" si="4960">IFERROR(MATCH(SM12,SB16:SE16,0),0)</f>
        <v>2</v>
      </c>
      <c r="SN16" s="326">
        <f t="shared" ref="SN16" ca="1" si="4961">IFERROR(MATCH(SN12,SB16:SE16,0),0)</f>
        <v>0</v>
      </c>
      <c r="SO16" s="326">
        <f t="shared" ca="1" si="3616"/>
        <v>6</v>
      </c>
      <c r="SP16" s="325"/>
      <c r="SQ16" s="325" t="str">
        <f t="shared" ref="SQ16" ca="1" si="4962">INDEX(SB3:SB8,MATCH(4,SO3:SO8,0),0)</f>
        <v>Slovenia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0</v>
      </c>
      <c r="WT16" s="322">
        <f ca="1">IF(OFFSET('Player Game Board'!Q23,0,WS1)&lt;&gt;"",OFFSET('Player Game Board'!Q23,0,WS1),0)</f>
        <v>0</v>
      </c>
      <c r="WU16" s="319" t="str">
        <f t="shared" si="35"/>
        <v>Hungary</v>
      </c>
      <c r="WV16" s="319" t="str">
        <f ca="1">IF(AND(OFFSET('Player Game Board'!P23,0,WS1)&lt;&gt;"",OFFSET('Player Game Board'!Q23,0,WS1)&lt;&gt;""),IF(WS16&gt;WT16,"W",IF(WS16=WT16,"D","L")),"")</f>
        <v/>
      </c>
      <c r="WW16" s="319" t="str">
        <f t="shared" ca="1" si="36"/>
        <v/>
      </c>
      <c r="WX16" s="319"/>
      <c r="WY16" s="319"/>
      <c r="WZ16" s="324" t="s">
        <v>97</v>
      </c>
      <c r="XA16" s="325" t="s">
        <v>98</v>
      </c>
      <c r="XB16" s="325" t="s">
        <v>100</v>
      </c>
      <c r="XC16" s="325" t="s">
        <v>101</v>
      </c>
      <c r="XD16" s="324" t="s">
        <v>100</v>
      </c>
      <c r="XE16" s="324" t="s">
        <v>101</v>
      </c>
      <c r="XF16" s="324" t="s">
        <v>97</v>
      </c>
      <c r="XG16" s="324" t="s">
        <v>98</v>
      </c>
      <c r="XH16" s="325"/>
      <c r="XI16" s="326">
        <f t="shared" ref="XI16" ca="1" si="4963">IFERROR(MATCH(XI12,WZ16:XC16,0),0)</f>
        <v>1</v>
      </c>
      <c r="XJ16" s="326">
        <f t="shared" ref="XJ16" ca="1" si="4964">IFERROR(MATCH(XJ12,WZ16:XC16,0),0)</f>
        <v>3</v>
      </c>
      <c r="XK16" s="326">
        <f t="shared" ref="XK16" ca="1" si="4965">IFERROR(MATCH(XK12,WZ16:XC16,0),0)</f>
        <v>2</v>
      </c>
      <c r="XL16" s="326">
        <f t="shared" ref="XL16" ca="1" si="4966">IFERROR(MATCH(XL12,WZ16:XC16,0),0)</f>
        <v>0</v>
      </c>
      <c r="XM16" s="326">
        <f t="shared" ca="1" si="3686"/>
        <v>6</v>
      </c>
      <c r="XN16" s="325"/>
      <c r="XO16" s="325" t="str">
        <f t="shared" ref="XO16" ca="1" si="4967">INDEX(WZ3:WZ8,MATCH(4,XM3:XM8,0),0)</f>
        <v>Slovenia</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97</v>
      </c>
      <c r="ABY16" s="325" t="s">
        <v>98</v>
      </c>
      <c r="ABZ16" s="325" t="s">
        <v>100</v>
      </c>
      <c r="ACA16" s="325" t="s">
        <v>101</v>
      </c>
      <c r="ACB16" s="324" t="s">
        <v>100</v>
      </c>
      <c r="ACC16" s="324" t="s">
        <v>101</v>
      </c>
      <c r="ACD16" s="324" t="s">
        <v>97</v>
      </c>
      <c r="ACE16" s="324" t="s">
        <v>98</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0</v>
      </c>
      <c r="AGP16" s="322">
        <f ca="1">IF(OFFSET('Player Game Board'!Q23,0,AGO1)&lt;&gt;"",OFFSET('Player Game Board'!Q23,0,AGO1),0)</f>
        <v>0</v>
      </c>
      <c r="AGQ16" s="319" t="str">
        <f t="shared" si="67"/>
        <v>Hungary</v>
      </c>
      <c r="AGR16" s="319" t="str">
        <f ca="1">IF(AND(OFFSET('Player Game Board'!P23,0,AGO1)&lt;&gt;"",OFFSET('Player Game Board'!Q23,0,AGO1)&lt;&gt;""),IF(AGO16&gt;AGP16,"W",IF(AGO16=AGP16,"D","L")),"")</f>
        <v/>
      </c>
      <c r="AGS16" s="319" t="str">
        <f t="shared" ca="1" si="68"/>
        <v/>
      </c>
      <c r="AGT16" s="319"/>
      <c r="AGU16" s="319"/>
      <c r="AGV16" s="324" t="s">
        <v>97</v>
      </c>
      <c r="AGW16" s="325" t="s">
        <v>98</v>
      </c>
      <c r="AGX16" s="325" t="s">
        <v>100</v>
      </c>
      <c r="AGY16" s="325" t="s">
        <v>101</v>
      </c>
      <c r="AGZ16" s="324" t="s">
        <v>100</v>
      </c>
      <c r="AHA16" s="324" t="s">
        <v>101</v>
      </c>
      <c r="AHB16" s="324" t="s">
        <v>97</v>
      </c>
      <c r="AHC16" s="324" t="s">
        <v>98</v>
      </c>
      <c r="AHD16" s="325"/>
      <c r="AHE16" s="326">
        <f t="shared" ref="AHE16" ca="1" si="4973">IFERROR(MATCH(AHE12,AGV16:AGY16,0),0)</f>
        <v>1</v>
      </c>
      <c r="AHF16" s="326">
        <f t="shared" ref="AHF16" ca="1" si="4974">IFERROR(MATCH(AHF12,AGV16:AGY16,0),0)</f>
        <v>3</v>
      </c>
      <c r="AHG16" s="326">
        <f t="shared" ref="AHG16" ca="1" si="4975">IFERROR(MATCH(AHG12,AGV16:AGY16,0),0)</f>
        <v>2</v>
      </c>
      <c r="AHH16" s="326">
        <f t="shared" ref="AHH16" ca="1" si="4976">IFERROR(MATCH(AHH12,AGV16:AGY16,0),0)</f>
        <v>0</v>
      </c>
      <c r="AHI16" s="326">
        <f t="shared" ca="1" si="3826"/>
        <v>6</v>
      </c>
      <c r="AHJ16" s="325"/>
      <c r="AHK16" s="325" t="str">
        <f t="shared" ref="AHK16" ca="1" si="4977">INDEX(AGV3:AGV8,MATCH(4,AHI3:AHI8,0),0)</f>
        <v>Slovenia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0</v>
      </c>
      <c r="ALN16" s="322">
        <f ca="1">IF(OFFSET('Player Game Board'!Q23,0,ALM1)&lt;&gt;"",OFFSET('Player Game Board'!Q23,0,ALM1),0)</f>
        <v>0</v>
      </c>
      <c r="ALO16" s="319" t="str">
        <f t="shared" si="83"/>
        <v>Hungary</v>
      </c>
      <c r="ALP16" s="319" t="str">
        <f ca="1">IF(AND(OFFSET('Player Game Board'!P23,0,ALM1)&lt;&gt;"",OFFSET('Player Game Board'!Q23,0,ALM1)&lt;&gt;""),IF(ALM16&gt;ALN16,"W",IF(ALM16=ALN16,"D","L")),"")</f>
        <v/>
      </c>
      <c r="ALQ16" s="319" t="str">
        <f t="shared" ca="1" si="84"/>
        <v/>
      </c>
      <c r="ALR16" s="319"/>
      <c r="ALS16" s="319"/>
      <c r="ALT16" s="324" t="s">
        <v>97</v>
      </c>
      <c r="ALU16" s="325" t="s">
        <v>98</v>
      </c>
      <c r="ALV16" s="325" t="s">
        <v>100</v>
      </c>
      <c r="ALW16" s="325" t="s">
        <v>101</v>
      </c>
      <c r="ALX16" s="324" t="s">
        <v>100</v>
      </c>
      <c r="ALY16" s="324" t="s">
        <v>101</v>
      </c>
      <c r="ALZ16" s="324" t="s">
        <v>97</v>
      </c>
      <c r="AMA16" s="324" t="s">
        <v>98</v>
      </c>
      <c r="AMB16" s="325"/>
      <c r="AMC16" s="326">
        <f t="shared" ref="AMC16" ca="1" si="4978">IFERROR(MATCH(AMC12,ALT16:ALW16,0),0)</f>
        <v>1</v>
      </c>
      <c r="AMD16" s="326">
        <f t="shared" ref="AMD16" ca="1" si="4979">IFERROR(MATCH(AMD12,ALT16:ALW16,0),0)</f>
        <v>3</v>
      </c>
      <c r="AME16" s="326">
        <f t="shared" ref="AME16" ca="1" si="4980">IFERROR(MATCH(AME12,ALT16:ALW16,0),0)</f>
        <v>2</v>
      </c>
      <c r="AMF16" s="326">
        <f t="shared" ref="AMF16" ca="1" si="4981">IFERROR(MATCH(AMF12,ALT16:ALW16,0),0)</f>
        <v>0</v>
      </c>
      <c r="AMG16" s="326">
        <f t="shared" ca="1" si="3896"/>
        <v>6</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97</v>
      </c>
      <c r="AQS16" s="325" t="s">
        <v>98</v>
      </c>
      <c r="AQT16" s="325" t="s">
        <v>100</v>
      </c>
      <c r="AQU16" s="325" t="s">
        <v>101</v>
      </c>
      <c r="AQV16" s="324" t="s">
        <v>100</v>
      </c>
      <c r="AQW16" s="324" t="s">
        <v>101</v>
      </c>
      <c r="AQX16" s="324" t="s">
        <v>97</v>
      </c>
      <c r="AQY16" s="324" t="s">
        <v>98</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97</v>
      </c>
      <c r="AVQ16" s="325" t="s">
        <v>98</v>
      </c>
      <c r="AVR16" s="325" t="s">
        <v>100</v>
      </c>
      <c r="AVS16" s="325" t="s">
        <v>101</v>
      </c>
      <c r="AVT16" s="324" t="s">
        <v>100</v>
      </c>
      <c r="AVU16" s="324" t="s">
        <v>101</v>
      </c>
      <c r="AVV16" s="324" t="s">
        <v>97</v>
      </c>
      <c r="AVW16" s="324" t="s">
        <v>98</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97</v>
      </c>
      <c r="BAO16" s="325" t="s">
        <v>98</v>
      </c>
      <c r="BAP16" s="325" t="s">
        <v>100</v>
      </c>
      <c r="BAQ16" s="325" t="s">
        <v>101</v>
      </c>
      <c r="BAR16" s="324" t="s">
        <v>100</v>
      </c>
      <c r="BAS16" s="324" t="s">
        <v>101</v>
      </c>
      <c r="BAT16" s="324" t="s">
        <v>97</v>
      </c>
      <c r="BAU16" s="324" t="s">
        <v>98</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97</v>
      </c>
      <c r="BFM16" s="325" t="s">
        <v>98</v>
      </c>
      <c r="BFN16" s="325" t="s">
        <v>100</v>
      </c>
      <c r="BFO16" s="325" t="s">
        <v>101</v>
      </c>
      <c r="BFP16" s="324" t="s">
        <v>100</v>
      </c>
      <c r="BFQ16" s="324" t="s">
        <v>101</v>
      </c>
      <c r="BFR16" s="324" t="s">
        <v>97</v>
      </c>
      <c r="BFS16" s="324" t="s">
        <v>98</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97</v>
      </c>
      <c r="DI17" s="325" t="s">
        <v>98</v>
      </c>
      <c r="DJ17" s="325" t="s">
        <v>100</v>
      </c>
      <c r="DK17" s="325" t="s">
        <v>102</v>
      </c>
      <c r="DL17" s="324" t="s">
        <v>100</v>
      </c>
      <c r="DM17" s="324" t="s">
        <v>102</v>
      </c>
      <c r="DN17" s="324" t="s">
        <v>97</v>
      </c>
      <c r="DO17" s="324" t="s">
        <v>98</v>
      </c>
      <c r="DP17" s="325"/>
      <c r="DQ17" s="326">
        <f>IFERROR(MATCH(DQ12,DH17:DK17,0),0)</f>
        <v>3</v>
      </c>
      <c r="DR17" s="326">
        <f>IFERROR(MATCH(DR12,DH17:DK17,0),0)</f>
        <v>0</v>
      </c>
      <c r="DS17" s="326">
        <f>IFERROR(MATCH(DS12,DH17:DK17,0),0)</f>
        <v>0</v>
      </c>
      <c r="DT17" s="326">
        <f>IFERROR(MATCH(DT12,DH17:DK17,0),0)</f>
        <v>2</v>
      </c>
      <c r="DU17" s="326">
        <f t="shared" si="3541"/>
        <v>5</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3</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97</v>
      </c>
      <c r="IG17" s="325" t="s">
        <v>98</v>
      </c>
      <c r="IH17" s="325" t="s">
        <v>100</v>
      </c>
      <c r="II17" s="325" t="s">
        <v>102</v>
      </c>
      <c r="IJ17" s="324" t="s">
        <v>100</v>
      </c>
      <c r="IK17" s="324" t="s">
        <v>102</v>
      </c>
      <c r="IL17" s="324" t="s">
        <v>97</v>
      </c>
      <c r="IM17" s="324" t="s">
        <v>98</v>
      </c>
      <c r="IN17" s="325"/>
      <c r="IO17" s="326">
        <f ca="1">IFERROR(MATCH(IO12,IF17:II17,0),0)</f>
        <v>2</v>
      </c>
      <c r="IP17" s="326">
        <f ca="1">IFERROR(MATCH(IP12,IF17:II17,0),0)</f>
        <v>0</v>
      </c>
      <c r="IQ17" s="326">
        <f ca="1">IFERROR(MATCH(IQ12,IF17:II17,0),0)</f>
        <v>1</v>
      </c>
      <c r="IR17" s="326">
        <f ca="1">IFERROR(MATCH(IR12,IF17:II17,0),0)</f>
        <v>0</v>
      </c>
      <c r="IS17" s="326">
        <f t="shared" ca="1" si="3544"/>
        <v>3</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1</v>
      </c>
      <c r="MY17" s="319" t="str">
        <f t="shared" si="171"/>
        <v>Albania</v>
      </c>
      <c r="MZ17" s="319" t="str">
        <f ca="1">IF(AND(OFFSET('Player Game Board'!P24,0,MW1)&lt;&gt;"",OFFSET('Player Game Board'!Q24,0,MW1)&lt;&gt;""),IF(MW17&gt;MX17,"W",IF(MW17=MX17,"D","L")),"")</f>
        <v>W</v>
      </c>
      <c r="NA17" s="319" t="str">
        <f t="shared" ca="1" si="172"/>
        <v>L</v>
      </c>
      <c r="NB17" s="319"/>
      <c r="NC17" s="319"/>
      <c r="ND17" s="324" t="s">
        <v>97</v>
      </c>
      <c r="NE17" s="325" t="s">
        <v>98</v>
      </c>
      <c r="NF17" s="325" t="s">
        <v>100</v>
      </c>
      <c r="NG17" s="325" t="s">
        <v>102</v>
      </c>
      <c r="NH17" s="324" t="s">
        <v>100</v>
      </c>
      <c r="NI17" s="324" t="s">
        <v>102</v>
      </c>
      <c r="NJ17" s="324" t="s">
        <v>97</v>
      </c>
      <c r="NK17" s="324" t="s">
        <v>98</v>
      </c>
      <c r="NL17" s="325"/>
      <c r="NM17" s="326">
        <f ca="1">IFERROR(MATCH(NM12,ND17:NG17,0),0)</f>
        <v>2</v>
      </c>
      <c r="NN17" s="326">
        <f ca="1">IFERROR(MATCH(NN12,ND17:NG17,0),0)</f>
        <v>4</v>
      </c>
      <c r="NO17" s="326">
        <f ca="1">IFERROR(MATCH(NO12,ND17:NG17,0),0)</f>
        <v>1</v>
      </c>
      <c r="NP17" s="326">
        <f ca="1">IFERROR(MATCH(NP12,ND17:NG17,0),0)</f>
        <v>3</v>
      </c>
      <c r="NQ17" s="326">
        <f t="shared" ca="1" si="3547"/>
        <v>10</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0</v>
      </c>
      <c r="RV17" s="322">
        <f ca="1">IF(OFFSET('Player Game Board'!Q24,0,RU1)&lt;&gt;"",OFFSET('Player Game Board'!Q24,0,RU1),0)</f>
        <v>0</v>
      </c>
      <c r="RW17" s="319" t="str">
        <f t="shared" si="19"/>
        <v>Albania</v>
      </c>
      <c r="RX17" s="319" t="str">
        <f ca="1">IF(AND(OFFSET('Player Game Board'!P24,0,RU1)&lt;&gt;"",OFFSET('Player Game Board'!Q24,0,RU1)&lt;&gt;""),IF(RU17&gt;RV17,"W",IF(RU17=RV17,"D","L")),"")</f>
        <v/>
      </c>
      <c r="RY17" s="319" t="str">
        <f t="shared" ca="1" si="20"/>
        <v/>
      </c>
      <c r="RZ17" s="319"/>
      <c r="SA17" s="319"/>
      <c r="SB17" s="324" t="s">
        <v>97</v>
      </c>
      <c r="SC17" s="325" t="s">
        <v>98</v>
      </c>
      <c r="SD17" s="325" t="s">
        <v>100</v>
      </c>
      <c r="SE17" s="325" t="s">
        <v>102</v>
      </c>
      <c r="SF17" s="324" t="s">
        <v>100</v>
      </c>
      <c r="SG17" s="324" t="s">
        <v>102</v>
      </c>
      <c r="SH17" s="324" t="s">
        <v>97</v>
      </c>
      <c r="SI17" s="324" t="s">
        <v>98</v>
      </c>
      <c r="SJ17" s="325"/>
      <c r="SK17" s="326">
        <f t="shared" ref="SK17" ca="1" si="5003">IFERROR(MATCH(SK12,SB17:SE17,0),0)</f>
        <v>1</v>
      </c>
      <c r="SL17" s="326">
        <f t="shared" ref="SL17" ca="1" si="5004">IFERROR(MATCH(SL12,SB17:SE17,0),0)</f>
        <v>3</v>
      </c>
      <c r="SM17" s="326">
        <f t="shared" ref="SM17" ca="1" si="5005">IFERROR(MATCH(SM12,SB17:SE17,0),0)</f>
        <v>2</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0</v>
      </c>
      <c r="WT17" s="322">
        <f ca="1">IF(OFFSET('Player Game Board'!Q24,0,WS1)&lt;&gt;"",OFFSET('Player Game Board'!Q24,0,WS1),0)</f>
        <v>0</v>
      </c>
      <c r="WU17" s="319" t="str">
        <f t="shared" si="35"/>
        <v>Albania</v>
      </c>
      <c r="WV17" s="319" t="str">
        <f ca="1">IF(AND(OFFSET('Player Game Board'!P24,0,WS1)&lt;&gt;"",OFFSET('Player Game Board'!Q24,0,WS1)&lt;&gt;""),IF(WS17&gt;WT17,"W",IF(WS17=WT17,"D","L")),"")</f>
        <v/>
      </c>
      <c r="WW17" s="319" t="str">
        <f t="shared" ca="1" si="36"/>
        <v/>
      </c>
      <c r="WX17" s="319"/>
      <c r="WY17" s="319"/>
      <c r="WZ17" s="324" t="s">
        <v>97</v>
      </c>
      <c r="XA17" s="325" t="s">
        <v>98</v>
      </c>
      <c r="XB17" s="325" t="s">
        <v>100</v>
      </c>
      <c r="XC17" s="325" t="s">
        <v>102</v>
      </c>
      <c r="XD17" s="324" t="s">
        <v>100</v>
      </c>
      <c r="XE17" s="324" t="s">
        <v>102</v>
      </c>
      <c r="XF17" s="324" t="s">
        <v>97</v>
      </c>
      <c r="XG17" s="324" t="s">
        <v>98</v>
      </c>
      <c r="XH17" s="325"/>
      <c r="XI17" s="326">
        <f t="shared" ref="XI17" ca="1" si="5007">IFERROR(MATCH(XI12,WZ17:XC17,0),0)</f>
        <v>1</v>
      </c>
      <c r="XJ17" s="326">
        <f t="shared" ref="XJ17" ca="1" si="5008">IFERROR(MATCH(XJ12,WZ17:XC17,0),0)</f>
        <v>3</v>
      </c>
      <c r="XK17" s="326">
        <f t="shared" ref="XK17" ca="1" si="5009">IFERROR(MATCH(XK12,WZ17:XC17,0),0)</f>
        <v>2</v>
      </c>
      <c r="XL17" s="326">
        <f t="shared" ref="XL17" ca="1" si="5010">IFERROR(MATCH(XL12,WZ17:XC17,0),0)</f>
        <v>0</v>
      </c>
      <c r="XM17" s="326">
        <f t="shared" ca="1" si="3686"/>
        <v>6</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97</v>
      </c>
      <c r="ABY17" s="325" t="s">
        <v>98</v>
      </c>
      <c r="ABZ17" s="325" t="s">
        <v>100</v>
      </c>
      <c r="ACA17" s="325" t="s">
        <v>102</v>
      </c>
      <c r="ACB17" s="324" t="s">
        <v>100</v>
      </c>
      <c r="ACC17" s="324" t="s">
        <v>102</v>
      </c>
      <c r="ACD17" s="324" t="s">
        <v>97</v>
      </c>
      <c r="ACE17" s="324" t="s">
        <v>98</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0</v>
      </c>
      <c r="AGP17" s="322">
        <f ca="1">IF(OFFSET('Player Game Board'!Q24,0,AGO1)&lt;&gt;"",OFFSET('Player Game Board'!Q24,0,AGO1),0)</f>
        <v>0</v>
      </c>
      <c r="AGQ17" s="319" t="str">
        <f t="shared" si="67"/>
        <v>Albania</v>
      </c>
      <c r="AGR17" s="319" t="str">
        <f ca="1">IF(AND(OFFSET('Player Game Board'!P24,0,AGO1)&lt;&gt;"",OFFSET('Player Game Board'!Q24,0,AGO1)&lt;&gt;""),IF(AGO17&gt;AGP17,"W",IF(AGO17=AGP17,"D","L")),"")</f>
        <v/>
      </c>
      <c r="AGS17" s="319" t="str">
        <f t="shared" ca="1" si="68"/>
        <v/>
      </c>
      <c r="AGT17" s="319"/>
      <c r="AGU17" s="319"/>
      <c r="AGV17" s="324" t="s">
        <v>97</v>
      </c>
      <c r="AGW17" s="325" t="s">
        <v>98</v>
      </c>
      <c r="AGX17" s="325" t="s">
        <v>100</v>
      </c>
      <c r="AGY17" s="325" t="s">
        <v>102</v>
      </c>
      <c r="AGZ17" s="324" t="s">
        <v>100</v>
      </c>
      <c r="AHA17" s="324" t="s">
        <v>102</v>
      </c>
      <c r="AHB17" s="324" t="s">
        <v>97</v>
      </c>
      <c r="AHC17" s="324" t="s">
        <v>98</v>
      </c>
      <c r="AHD17" s="325"/>
      <c r="AHE17" s="326">
        <f t="shared" ref="AHE17" ca="1" si="5015">IFERROR(MATCH(AHE12,AGV17:AGY17,0),0)</f>
        <v>1</v>
      </c>
      <c r="AHF17" s="326">
        <f t="shared" ref="AHF17" ca="1" si="5016">IFERROR(MATCH(AHF12,AGV17:AGY17,0),0)</f>
        <v>3</v>
      </c>
      <c r="AHG17" s="326">
        <f t="shared" ref="AHG17" ca="1" si="5017">IFERROR(MATCH(AHG12,AGV17:AGY17,0),0)</f>
        <v>2</v>
      </c>
      <c r="AHH17" s="326">
        <f t="shared" ref="AHH17" ca="1" si="5018">IFERROR(MATCH(AHH12,AGV17:AGY17,0),0)</f>
        <v>0</v>
      </c>
      <c r="AHI17" s="326">
        <f t="shared" ca="1" si="3826"/>
        <v>6</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0</v>
      </c>
      <c r="ALN17" s="322">
        <f ca="1">IF(OFFSET('Player Game Board'!Q24,0,ALM1)&lt;&gt;"",OFFSET('Player Game Board'!Q24,0,ALM1),0)</f>
        <v>0</v>
      </c>
      <c r="ALO17" s="319" t="str">
        <f t="shared" si="83"/>
        <v>Albania</v>
      </c>
      <c r="ALP17" s="319" t="str">
        <f ca="1">IF(AND(OFFSET('Player Game Board'!P24,0,ALM1)&lt;&gt;"",OFFSET('Player Game Board'!Q24,0,ALM1)&lt;&gt;""),IF(ALM17&gt;ALN17,"W",IF(ALM17=ALN17,"D","L")),"")</f>
        <v/>
      </c>
      <c r="ALQ17" s="319" t="str">
        <f t="shared" ca="1" si="84"/>
        <v/>
      </c>
      <c r="ALR17" s="319"/>
      <c r="ALS17" s="319"/>
      <c r="ALT17" s="324" t="s">
        <v>97</v>
      </c>
      <c r="ALU17" s="325" t="s">
        <v>98</v>
      </c>
      <c r="ALV17" s="325" t="s">
        <v>100</v>
      </c>
      <c r="ALW17" s="325" t="s">
        <v>102</v>
      </c>
      <c r="ALX17" s="324" t="s">
        <v>100</v>
      </c>
      <c r="ALY17" s="324" t="s">
        <v>102</v>
      </c>
      <c r="ALZ17" s="324" t="s">
        <v>97</v>
      </c>
      <c r="AMA17" s="324" t="s">
        <v>98</v>
      </c>
      <c r="AMB17" s="325"/>
      <c r="AMC17" s="326">
        <f t="shared" ref="AMC17" ca="1" si="5019">IFERROR(MATCH(AMC12,ALT17:ALW17,0),0)</f>
        <v>1</v>
      </c>
      <c r="AMD17" s="326">
        <f t="shared" ref="AMD17" ca="1" si="5020">IFERROR(MATCH(AMD12,ALT17:ALW17,0),0)</f>
        <v>3</v>
      </c>
      <c r="AME17" s="326">
        <f t="shared" ref="AME17" ca="1" si="5021">IFERROR(MATCH(AME12,ALT17:ALW17,0),0)</f>
        <v>2</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97</v>
      </c>
      <c r="AQS17" s="325" t="s">
        <v>98</v>
      </c>
      <c r="AQT17" s="325" t="s">
        <v>100</v>
      </c>
      <c r="AQU17" s="325" t="s">
        <v>102</v>
      </c>
      <c r="AQV17" s="324" t="s">
        <v>100</v>
      </c>
      <c r="AQW17" s="324" t="s">
        <v>102</v>
      </c>
      <c r="AQX17" s="324" t="s">
        <v>97</v>
      </c>
      <c r="AQY17" s="324" t="s">
        <v>98</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97</v>
      </c>
      <c r="AVQ17" s="325" t="s">
        <v>98</v>
      </c>
      <c r="AVR17" s="325" t="s">
        <v>100</v>
      </c>
      <c r="AVS17" s="325" t="s">
        <v>102</v>
      </c>
      <c r="AVT17" s="324" t="s">
        <v>100</v>
      </c>
      <c r="AVU17" s="324" t="s">
        <v>102</v>
      </c>
      <c r="AVV17" s="324" t="s">
        <v>97</v>
      </c>
      <c r="AVW17" s="324" t="s">
        <v>98</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97</v>
      </c>
      <c r="BAO17" s="325" t="s">
        <v>98</v>
      </c>
      <c r="BAP17" s="325" t="s">
        <v>100</v>
      </c>
      <c r="BAQ17" s="325" t="s">
        <v>102</v>
      </c>
      <c r="BAR17" s="324" t="s">
        <v>100</v>
      </c>
      <c r="BAS17" s="324" t="s">
        <v>102</v>
      </c>
      <c r="BAT17" s="324" t="s">
        <v>97</v>
      </c>
      <c r="BAU17" s="324" t="s">
        <v>98</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97</v>
      </c>
      <c r="BFM17" s="325" t="s">
        <v>98</v>
      </c>
      <c r="BFN17" s="325" t="s">
        <v>100</v>
      </c>
      <c r="BFO17" s="325" t="s">
        <v>102</v>
      </c>
      <c r="BFP17" s="324" t="s">
        <v>100</v>
      </c>
      <c r="BFQ17" s="324" t="s">
        <v>102</v>
      </c>
      <c r="BFR17" s="324" t="s">
        <v>97</v>
      </c>
      <c r="BFS17" s="324" t="s">
        <v>98</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97</v>
      </c>
      <c r="DI18" s="325" t="s">
        <v>98</v>
      </c>
      <c r="DJ18" s="325" t="s">
        <v>101</v>
      </c>
      <c r="DK18" s="325" t="s">
        <v>102</v>
      </c>
      <c r="DL18" s="324" t="s">
        <v>101</v>
      </c>
      <c r="DM18" s="324" t="s">
        <v>102</v>
      </c>
      <c r="DN18" s="324" t="s">
        <v>98</v>
      </c>
      <c r="DO18" s="324" t="s">
        <v>97</v>
      </c>
      <c r="DP18" s="325"/>
      <c r="DQ18" s="326">
        <f>IFERROR(MATCH(DQ12,DH18:DK18,0),0)</f>
        <v>0</v>
      </c>
      <c r="DR18" s="326">
        <f>IFERROR(MATCH(DR12,DH18:DK18,0),0)</f>
        <v>3</v>
      </c>
      <c r="DS18" s="326">
        <f>IFERROR(MATCH(DS12,DH18:DK18,0),0)</f>
        <v>0</v>
      </c>
      <c r="DT18" s="326">
        <f>IFERROR(MATCH(DT12,DH18:DK18,0),0)</f>
        <v>2</v>
      </c>
      <c r="DU18" s="326">
        <f t="shared" si="3541"/>
        <v>5</v>
      </c>
      <c r="DV18" s="325" t="s">
        <v>354</v>
      </c>
      <c r="DW18" s="325" t="str">
        <f>INDEX(DH3:DH8,MATCH(INDEX(DL13:DL27,MATCH(10,DU13:DU27,0),0),DV3:DV8,0),0)</f>
        <v>Slovakia</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4</v>
      </c>
      <c r="EE18" s="319">
        <f ca="1">SUMIF(IA3:IA60,DZ18,HY3:HY60)+SUMIF(HX3:HX60,DZ18,HZ3:HZ60)</f>
        <v>3</v>
      </c>
      <c r="EF18" s="319">
        <f t="shared" ref="EF18:EF21" ca="1" si="5043">ED18-EE18+1000</f>
        <v>1001</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97</v>
      </c>
      <c r="IG18" s="325" t="s">
        <v>98</v>
      </c>
      <c r="IH18" s="325" t="s">
        <v>101</v>
      </c>
      <c r="II18" s="325" t="s">
        <v>102</v>
      </c>
      <c r="IJ18" s="324" t="s">
        <v>101</v>
      </c>
      <c r="IK18" s="324" t="s">
        <v>102</v>
      </c>
      <c r="IL18" s="324" t="s">
        <v>98</v>
      </c>
      <c r="IM18" s="324" t="s">
        <v>97</v>
      </c>
      <c r="IN18" s="325"/>
      <c r="IO18" s="326">
        <f ca="1">IFERROR(MATCH(IO12,IF18:II18,0),0)</f>
        <v>2</v>
      </c>
      <c r="IP18" s="326">
        <f ca="1">IFERROR(MATCH(IP12,IF18:II18,0),0)</f>
        <v>0</v>
      </c>
      <c r="IQ18" s="326">
        <f ca="1">IFERROR(MATCH(IQ12,IF18:II18,0),0)</f>
        <v>1</v>
      </c>
      <c r="IR18" s="326">
        <f ca="1">IFERROR(MATCH(IR12,IF18:II18,0),0)</f>
        <v>3</v>
      </c>
      <c r="IS18" s="326">
        <f t="shared" ca="1" si="3544"/>
        <v>6</v>
      </c>
      <c r="IT18" s="325" t="s">
        <v>354</v>
      </c>
      <c r="IU18" s="325" t="str">
        <f ca="1">INDEX(IF3:IF8,MATCH(INDEX(IJ13:IJ27,MATCH(10,IS13:IS27,0),0),IT3:IT8,0),0)</f>
        <v>Switzerland</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0</v>
      </c>
      <c r="JC18" s="319">
        <f ca="1">SUMIF(MY3:MY60,IX18,MW3:MW60)+SUMIF(MV3:MV60,IX18,MX3:MX60)</f>
        <v>3</v>
      </c>
      <c r="JD18" s="319">
        <f t="shared" ref="JD18:JD21" ca="1" si="5048">JB18-JC18+1000</f>
        <v>997</v>
      </c>
      <c r="JE18" s="319">
        <f t="shared" ref="JE18:JE21" ca="1" si="5049">IY18*3+IZ18*1</f>
        <v>1</v>
      </c>
      <c r="JF18" s="319">
        <f t="shared" si="618"/>
        <v>35</v>
      </c>
      <c r="JG18" s="319">
        <f ca="1">IF(COUNTIF(JE18:JE22,4)&lt;&gt;4,RANK(JE18,JE18:JE22),JE58)</f>
        <v>3</v>
      </c>
      <c r="JH18" s="319"/>
      <c r="JI18" s="319">
        <f ca="1">SUMPRODUCT((JG18:JG21=JG18)*(JF18:JF21&lt;JF18))+JG18</f>
        <v>3</v>
      </c>
      <c r="JJ18" s="319" t="str">
        <f ca="1">INDEX(IX18:IX22,MATCH(1,JI18:JI22,0),0)</f>
        <v>England</v>
      </c>
      <c r="JK18" s="319">
        <f ca="1">INDEX(JG18:JG22,MATCH(JJ18,IX18:IX22,0),0)</f>
        <v>1</v>
      </c>
      <c r="JL18" s="319" t="str">
        <f ca="1">IF(JK19=1,JJ18,"")</f>
        <v/>
      </c>
      <c r="JM18" s="319" t="str">
        <f ca="1">IF(JK20=2,JJ19,"")</f>
        <v/>
      </c>
      <c r="JN18" s="319" t="str">
        <f ca="1">IF(JK21=3,JJ20,"")</f>
        <v>Serbia</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1</v>
      </c>
      <c r="MX18" s="322">
        <f ca="1">IF(OFFSET('Player Game Board'!Q25,0,MW1)&lt;&gt;"",OFFSET('Player Game Board'!Q25,0,MW1),0)</f>
        <v>1</v>
      </c>
      <c r="MY18" s="319" t="str">
        <f t="shared" si="171"/>
        <v>Italy</v>
      </c>
      <c r="MZ18" s="319" t="str">
        <f ca="1">IF(AND(OFFSET('Player Game Board'!P25,0,MW1)&lt;&gt;"",OFFSET('Player Game Board'!Q25,0,MW1)&lt;&gt;""),IF(MW18&gt;MX18,"W",IF(MW18=MX18,"D","L")),"")</f>
        <v>D</v>
      </c>
      <c r="NA18" s="319" t="str">
        <f t="shared" ca="1" si="172"/>
        <v>D</v>
      </c>
      <c r="NB18" s="319"/>
      <c r="NC18" s="319"/>
      <c r="ND18" s="324" t="s">
        <v>97</v>
      </c>
      <c r="NE18" s="325" t="s">
        <v>98</v>
      </c>
      <c r="NF18" s="325" t="s">
        <v>101</v>
      </c>
      <c r="NG18" s="325" t="s">
        <v>102</v>
      </c>
      <c r="NH18" s="324" t="s">
        <v>101</v>
      </c>
      <c r="NI18" s="324" t="s">
        <v>102</v>
      </c>
      <c r="NJ18" s="324" t="s">
        <v>98</v>
      </c>
      <c r="NK18" s="324" t="s">
        <v>97</v>
      </c>
      <c r="NL18" s="325"/>
      <c r="NM18" s="326">
        <f ca="1">IFERROR(MATCH(NM12,ND18:NG18,0),0)</f>
        <v>2</v>
      </c>
      <c r="NN18" s="326">
        <f ca="1">IFERROR(MATCH(NN12,ND18:NG18,0),0)</f>
        <v>4</v>
      </c>
      <c r="NO18" s="326">
        <f ca="1">IFERROR(MATCH(NO12,ND18:NG18,0),0)</f>
        <v>1</v>
      </c>
      <c r="NP18" s="326">
        <f ca="1">IFERROR(MATCH(NP12,ND18:NG18,0),0)</f>
        <v>0</v>
      </c>
      <c r="NQ18" s="326">
        <f t="shared" ca="1" si="3547"/>
        <v>7</v>
      </c>
      <c r="NR18" s="325" t="s">
        <v>354</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0</v>
      </c>
      <c r="NZ18" s="319">
        <f t="shared" ref="NZ18" ca="1" si="5058">SUMIF(RT3:RT60,NV18,RU3:RU60)+SUMIF(RW3:RW60,NV18,RV3:RV60)</f>
        <v>0</v>
      </c>
      <c r="OA18" s="319">
        <f t="shared" ref="OA18" ca="1" si="5059">SUMIF(RW3:RW60,NV18,RU3:RU60)+SUMIF(RT3:RT60,NV18,RV3:RV60)</f>
        <v>0</v>
      </c>
      <c r="OB18" s="319">
        <f t="shared" ref="OB18:OB21" ca="1" si="5060">NZ18-OA18+1000</f>
        <v>1000</v>
      </c>
      <c r="OC18" s="319">
        <f t="shared" ref="OC18:OC21" ca="1" si="5061">NW18*3+NX18*1</f>
        <v>0</v>
      </c>
      <c r="OD18" s="319">
        <f t="shared" si="630"/>
        <v>35</v>
      </c>
      <c r="OE18" s="319">
        <f t="shared" ref="OE18" ca="1" si="5062">IF(COUNTIF(OC18:OC22,4)&lt;&gt;4,RANK(OC18,OC18:OC22),OC58)</f>
        <v>1</v>
      </c>
      <c r="OF18" s="319"/>
      <c r="OG18" s="319">
        <f t="shared" ref="OG18" ca="1" si="5063">SUMPRODUCT((OE18:OE21=OE18)*(OD18:OD21&lt;OD18))+OE18</f>
        <v>1</v>
      </c>
      <c r="OH18" s="319" t="str">
        <f t="shared" ref="OH18" ca="1" si="5064">INDEX(NV18:NV22,MATCH(1,OG18:OG22,0),0)</f>
        <v>Serbia</v>
      </c>
      <c r="OI18" s="319">
        <f t="shared" ref="OI18" ca="1" si="5065">INDEX(OE18:OE22,MATCH(OH18,NV18:NV22,0),0)</f>
        <v>1</v>
      </c>
      <c r="OJ18" s="319" t="str">
        <f t="shared" ref="OJ18" ca="1" si="5066">IF(OI19=1,OH18,"")</f>
        <v>Serbia</v>
      </c>
      <c r="OK18" s="319" t="str">
        <f t="shared" ref="OK18" ca="1" si="5067">IF(OI20=2,OH19,"")</f>
        <v/>
      </c>
      <c r="OL18" s="319" t="str">
        <f t="shared" ref="OL18" ca="1" si="5068">IF(OI21=3,OH20,"")</f>
        <v/>
      </c>
      <c r="OM18" s="319" t="str">
        <f t="shared" ref="OM18" si="5069">IF(OI22=4,OH21,"")</f>
        <v/>
      </c>
      <c r="ON18" s="319"/>
      <c r="OO18" s="319" t="str">
        <f t="shared" ref="OO18:OO21" ca="1" si="5070">IF(OJ18&lt;&gt;"",OJ18,"")</f>
        <v>Serbia</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f t="shared" ref="OV18:OV21" ca="1" si="5077">IF(OO18&lt;&gt;"",OP18*3+OQ18*1,"")</f>
        <v>0</v>
      </c>
      <c r="OW18" s="319">
        <f t="shared" ref="OW18" ca="1" si="5078">IF(OO18&lt;&gt;"",VLOOKUP(OO18,NV4:OB40,7,FALSE),"")</f>
        <v>1000</v>
      </c>
      <c r="OX18" s="319">
        <f t="shared" ref="OX18" ca="1" si="5079">IF(OO18&lt;&gt;"",VLOOKUP(OO18,NV4:OB40,5,FALSE),"")</f>
        <v>0</v>
      </c>
      <c r="OY18" s="319">
        <f t="shared" ref="OY18" ca="1" si="5080">IF(OO18&lt;&gt;"",VLOOKUP(OO18,NV4:OD40,9,FALSE),"")</f>
        <v>35</v>
      </c>
      <c r="OZ18" s="319">
        <f t="shared" ref="OZ18:OZ21" ca="1" si="5081">OV18</f>
        <v>0</v>
      </c>
      <c r="PA18" s="319">
        <f t="shared" ref="PA18" ca="1" si="5082">IF(OO18&lt;&gt;"",RANK(OZ18,OZ18:OZ22),"")</f>
        <v>1</v>
      </c>
      <c r="PB18" s="319">
        <f t="shared" ref="PB18" ca="1" si="5083">IF(OO18&lt;&gt;"",SUMPRODUCT((OZ18:OZ22=OZ18)*(OU18:OU22&gt;OU18)),"")</f>
        <v>0</v>
      </c>
      <c r="PC18" s="319">
        <f t="shared" ref="PC18" ca="1" si="5084">IF(OO18&lt;&gt;"",SUMPRODUCT((OZ18:OZ22=OZ18)*(OU18:OU22=OU18)*(OS18:OS22&gt;OS18)),"")</f>
        <v>0</v>
      </c>
      <c r="PD18" s="319">
        <f t="shared" ref="PD18" ca="1" si="5085">IF(OO18&lt;&gt;"",SUMPRODUCT((OZ18:OZ22=OZ18)*(OU18:OU22=OU18)*(OS18:OS22=OS18)*(OW18:OW22&gt;OW18)),"")</f>
        <v>0</v>
      </c>
      <c r="PE18" s="319">
        <f t="shared" ref="PE18" ca="1" si="5086">IF(OO18&lt;&gt;"",SUMPRODUCT((OZ18:OZ22=OZ18)*(OU18:OU22=OU18)*(OS18:OS22=OS18)*(OW18:OW22=OW18)*(OX18:OX22&gt;OX18)),"")</f>
        <v>0</v>
      </c>
      <c r="PF18" s="319">
        <f t="shared" ref="PF18" ca="1" si="5087">IF(OO18&lt;&gt;"",SUMPRODUCT((OZ18:OZ22=OZ18)*(OU18:OU22=OU18)*(OS18:OS22=OS18)*(OW18:OW22=OW18)*(OX18:OX22=OX18)*(OY18:OY22&gt;OY18)),"")</f>
        <v>3</v>
      </c>
      <c r="PG18" s="319">
        <f ca="1">IF(OO18&lt;&gt;"",IF(PG58&lt;&gt;"",IF(ON57=3,PG58,PG58+ON57),SUM(PA18:PF18)),"")</f>
        <v>4</v>
      </c>
      <c r="PH18" s="319" t="str">
        <f t="shared" ref="PH18" ca="1" si="5088">IF(OO18&lt;&gt;"",INDEX(OO18:OO22,MATCH(1,PG18:PG22,0),0),"")</f>
        <v>England</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0</v>
      </c>
      <c r="RV18" s="322">
        <f ca="1">IF(OFFSET('Player Game Board'!Q25,0,RU1)&lt;&gt;"",OFFSET('Player Game Board'!Q25,0,RU1),0)</f>
        <v>0</v>
      </c>
      <c r="RW18" s="319" t="str">
        <f t="shared" si="19"/>
        <v>Italy</v>
      </c>
      <c r="RX18" s="319" t="str">
        <f ca="1">IF(AND(OFFSET('Player Game Board'!P25,0,RU1)&lt;&gt;"",OFFSET('Player Game Board'!Q25,0,RU1)&lt;&gt;""),IF(RU18&gt;RV18,"W",IF(RU18=RV18,"D","L")),"")</f>
        <v/>
      </c>
      <c r="RY18" s="319" t="str">
        <f t="shared" ca="1" si="20"/>
        <v/>
      </c>
      <c r="RZ18" s="319"/>
      <c r="SA18" s="319"/>
      <c r="SB18" s="324" t="s">
        <v>97</v>
      </c>
      <c r="SC18" s="325" t="s">
        <v>98</v>
      </c>
      <c r="SD18" s="325" t="s">
        <v>101</v>
      </c>
      <c r="SE18" s="325" t="s">
        <v>102</v>
      </c>
      <c r="SF18" s="324" t="s">
        <v>101</v>
      </c>
      <c r="SG18" s="324" t="s">
        <v>102</v>
      </c>
      <c r="SH18" s="324" t="s">
        <v>98</v>
      </c>
      <c r="SI18" s="324" t="s">
        <v>97</v>
      </c>
      <c r="SJ18" s="325"/>
      <c r="SK18" s="326">
        <f t="shared" ref="SK18" ca="1" si="5090">IFERROR(MATCH(SK12,SB18:SE18,0),0)</f>
        <v>1</v>
      </c>
      <c r="SL18" s="326">
        <f t="shared" ref="SL18" ca="1" si="5091">IFERROR(MATCH(SL12,SB18:SE18,0),0)</f>
        <v>0</v>
      </c>
      <c r="SM18" s="326">
        <f t="shared" ref="SM18" ca="1" si="5092">IFERROR(MATCH(SM12,SB18:SE18,0),0)</f>
        <v>2</v>
      </c>
      <c r="SN18" s="326">
        <f t="shared" ref="SN18" ca="1" si="5093">IFERROR(MATCH(SN12,SB18:SE18,0),0)</f>
        <v>0</v>
      </c>
      <c r="SO18" s="326">
        <f t="shared" ca="1" si="3616"/>
        <v>3</v>
      </c>
      <c r="SP18" s="325" t="s">
        <v>354</v>
      </c>
      <c r="SQ18" s="325" t="str">
        <f t="shared" ref="SQ18" ca="1" si="5094">INDEX(SB3:SB8,MATCH(INDEX(SF13:SF27,MATCH(10,SO13:SO27,0),0),SP3:SP8,0),0)</f>
        <v>Scotland</v>
      </c>
      <c r="SR18" s="325">
        <f t="shared" ref="SR18:SR33" ca="1" si="5095">IFERROR(IF(MATCH(SQ18,QualifiedCountries,0),1,0),0)</f>
        <v>0</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0</v>
      </c>
      <c r="SW18" s="319">
        <f t="shared" ref="SW18" ca="1" si="5100">SUMPRODUCT((WR3:WR42=ST18)*(WV3:WV42="L"))+SUMPRODUCT((WU3:WU42=ST18)*(WW3:WW42="L"))</f>
        <v>0</v>
      </c>
      <c r="SX18" s="319">
        <f t="shared" ref="SX18" ca="1" si="5101">SUMIF(WR3:WR60,ST18,WS3:WS60)+SUMIF(WU3:WU60,ST18,WT3:WT60)</f>
        <v>0</v>
      </c>
      <c r="SY18" s="319">
        <f t="shared" ref="SY18" ca="1" si="5102">SUMIF(WU3:WU60,ST18,WS3:WS60)+SUMIF(WR3:WR60,ST18,WT3:WT60)</f>
        <v>0</v>
      </c>
      <c r="SZ18" s="319">
        <f t="shared" ref="SZ18:SZ21" ca="1" si="5103">SX18-SY18+1000</f>
        <v>1000</v>
      </c>
      <c r="TA18" s="319">
        <f t="shared" ref="TA18:TA21" ca="1" si="5104">SU18*3+SV18*1</f>
        <v>0</v>
      </c>
      <c r="TB18" s="319">
        <f t="shared" si="690"/>
        <v>35</v>
      </c>
      <c r="TC18" s="319">
        <f t="shared" ref="TC18" ca="1" si="5105">IF(COUNTIF(TA18:TA22,4)&lt;&gt;4,RANK(TA18,TA18:TA22),TA58)</f>
        <v>1</v>
      </c>
      <c r="TD18" s="319"/>
      <c r="TE18" s="319">
        <f t="shared" ref="TE18" ca="1" si="5106">SUMPRODUCT((TC18:TC21=TC18)*(TB18:TB21&lt;TB18))+TC18</f>
        <v>1</v>
      </c>
      <c r="TF18" s="319" t="str">
        <f t="shared" ref="TF18" ca="1" si="5107">INDEX(ST18:ST22,MATCH(1,TE18:TE22,0),0)</f>
        <v>Serbia</v>
      </c>
      <c r="TG18" s="319">
        <f t="shared" ref="TG18" ca="1" si="5108">INDEX(TC18:TC22,MATCH(TF18,ST18:ST22,0),0)</f>
        <v>1</v>
      </c>
      <c r="TH18" s="319" t="str">
        <f t="shared" ref="TH18" ca="1" si="5109">IF(TG19=1,TF18,"")</f>
        <v>Serbia</v>
      </c>
      <c r="TI18" s="319" t="str">
        <f t="shared" ref="TI18" ca="1" si="5110">IF(TG20=2,TF19,"")</f>
        <v/>
      </c>
      <c r="TJ18" s="319" t="str">
        <f t="shared" ref="TJ18" ca="1" si="5111">IF(TG21=3,TF20,"")</f>
        <v/>
      </c>
      <c r="TK18" s="319" t="str">
        <f t="shared" ref="TK18" si="5112">IF(TG22=4,TF21,"")</f>
        <v/>
      </c>
      <c r="TL18" s="319"/>
      <c r="TM18" s="319" t="str">
        <f t="shared" ref="TM18:TM21" ca="1" si="5113">IF(TH18&lt;&gt;"",TH18,"")</f>
        <v>Serbia</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f t="shared" ref="TT18:TT21" ca="1" si="5120">IF(TM18&lt;&gt;"",TN18*3+TO18*1,"")</f>
        <v>0</v>
      </c>
      <c r="TU18" s="319">
        <f t="shared" ref="TU18" ca="1" si="5121">IF(TM18&lt;&gt;"",VLOOKUP(TM18,ST4:SZ40,7,FALSE),"")</f>
        <v>1000</v>
      </c>
      <c r="TV18" s="319">
        <f t="shared" ref="TV18" ca="1" si="5122">IF(TM18&lt;&gt;"",VLOOKUP(TM18,ST4:SZ40,5,FALSE),"")</f>
        <v>0</v>
      </c>
      <c r="TW18" s="319">
        <f t="shared" ref="TW18" ca="1" si="5123">IF(TM18&lt;&gt;"",VLOOKUP(TM18,ST4:TB40,9,FALSE),"")</f>
        <v>35</v>
      </c>
      <c r="TX18" s="319">
        <f t="shared" ref="TX18:TX21" ca="1" si="5124">TT18</f>
        <v>0</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0</v>
      </c>
      <c r="UC18" s="319">
        <f t="shared" ref="UC18" ca="1" si="5129">IF(TM18&lt;&gt;"",SUMPRODUCT((TX18:TX22=TX18)*(TS18:TS22=TS18)*(TQ18:TQ22=TQ18)*(TU18:TU22=TU18)*(TV18:TV22&gt;TV18)),"")</f>
        <v>0</v>
      </c>
      <c r="UD18" s="319">
        <f t="shared" ref="UD18" ca="1" si="5130">IF(TM18&lt;&gt;"",SUMPRODUCT((TX18:TX22=TX18)*(TS18:TS22=TS18)*(TQ18:TQ22=TQ18)*(TU18:TU22=TU18)*(TV18:TV22=TV18)*(TW18:TW22&gt;TW18)),"")</f>
        <v>3</v>
      </c>
      <c r="UE18" s="319">
        <f ca="1">IF(TM18&lt;&gt;"",IF(UE58&lt;&gt;"",IF(TL57=3,UE58,UE58+TL57),SUM(TY18:UD18)),"")</f>
        <v>4</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0</v>
      </c>
      <c r="WT18" s="322">
        <f ca="1">IF(OFFSET('Player Game Board'!Q25,0,WS1)&lt;&gt;"",OFFSET('Player Game Board'!Q25,0,WS1),0)</f>
        <v>0</v>
      </c>
      <c r="WU18" s="319" t="str">
        <f t="shared" si="35"/>
        <v>Italy</v>
      </c>
      <c r="WV18" s="319" t="str">
        <f ca="1">IF(AND(OFFSET('Player Game Board'!P25,0,WS1)&lt;&gt;"",OFFSET('Player Game Board'!Q25,0,WS1)&lt;&gt;""),IF(WS18&gt;WT18,"W",IF(WS18=WT18,"D","L")),"")</f>
        <v/>
      </c>
      <c r="WW18" s="319" t="str">
        <f t="shared" ca="1" si="36"/>
        <v/>
      </c>
      <c r="WX18" s="319"/>
      <c r="WY18" s="319"/>
      <c r="WZ18" s="324" t="s">
        <v>97</v>
      </c>
      <c r="XA18" s="325" t="s">
        <v>98</v>
      </c>
      <c r="XB18" s="325" t="s">
        <v>101</v>
      </c>
      <c r="XC18" s="325" t="s">
        <v>102</v>
      </c>
      <c r="XD18" s="324" t="s">
        <v>101</v>
      </c>
      <c r="XE18" s="324" t="s">
        <v>102</v>
      </c>
      <c r="XF18" s="324" t="s">
        <v>98</v>
      </c>
      <c r="XG18" s="324" t="s">
        <v>97</v>
      </c>
      <c r="XH18" s="325"/>
      <c r="XI18" s="326">
        <f t="shared" ref="XI18" ca="1" si="5133">IFERROR(MATCH(XI12,WZ18:XC18,0),0)</f>
        <v>1</v>
      </c>
      <c r="XJ18" s="326">
        <f t="shared" ref="XJ18" ca="1" si="5134">IFERROR(MATCH(XJ12,WZ18:XC18,0),0)</f>
        <v>0</v>
      </c>
      <c r="XK18" s="326">
        <f t="shared" ref="XK18" ca="1" si="5135">IFERROR(MATCH(XK12,WZ18:XC18,0),0)</f>
        <v>2</v>
      </c>
      <c r="XL18" s="326">
        <f t="shared" ref="XL18" ca="1" si="5136">IFERROR(MATCH(XL12,WZ18:XC18,0),0)</f>
        <v>0</v>
      </c>
      <c r="XM18" s="326">
        <f t="shared" ca="1" si="3686"/>
        <v>3</v>
      </c>
      <c r="XN18" s="325" t="s">
        <v>354</v>
      </c>
      <c r="XO18" s="325" t="str">
        <f t="shared" ref="XO18" ca="1" si="5137">INDEX(WZ3:WZ8,MATCH(INDEX(XD13:XD27,MATCH(10,XM13:XM27,0),0),XN3:XN8,0),0)</f>
        <v>Scotland</v>
      </c>
      <c r="XP18" s="325">
        <f t="shared" ref="XP18:XP33" ca="1" si="5138">IFERROR(IF(MATCH(XO18,QualifiedCountries,0),1,0),0)</f>
        <v>0</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97</v>
      </c>
      <c r="ABY18" s="325" t="s">
        <v>98</v>
      </c>
      <c r="ABZ18" s="325" t="s">
        <v>101</v>
      </c>
      <c r="ACA18" s="325" t="s">
        <v>102</v>
      </c>
      <c r="ACB18" s="324" t="s">
        <v>101</v>
      </c>
      <c r="ACC18" s="324" t="s">
        <v>102</v>
      </c>
      <c r="ACD18" s="324" t="s">
        <v>98</v>
      </c>
      <c r="ACE18" s="324" t="s">
        <v>97</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354</v>
      </c>
      <c r="ACM18" s="325" t="str">
        <f t="shared" ref="ACM18" ca="1" si="5180">INDEX(ABX3:ABX8,MATCH(INDEX(ACB13:ACB27,MATCH(10,ACK13:ACK27,0),0),ACL3:ACL8,0),0)</f>
        <v>Czechia</v>
      </c>
      <c r="ACN18" s="325">
        <f t="shared" ref="ACN18:ACN33" ca="1" si="5181">IFERROR(IF(MATCH(ACM18,QualifiedCountries,0),1,0),0)</f>
        <v>0</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0</v>
      </c>
      <c r="ACS18" s="319">
        <f t="shared" ref="ACS18" ca="1" si="5186">SUMPRODUCT((AGN3:AGN42=ACP18)*(AGR3:AGR42="L"))+SUMPRODUCT((AGQ3:AGQ42=ACP18)*(AGS3:AGS42="L"))</f>
        <v>0</v>
      </c>
      <c r="ACT18" s="319">
        <f t="shared" ref="ACT18" ca="1" si="5187">SUMIF(AGN3:AGN60,ACP18,AGO3:AGO60)+SUMIF(AGQ3:AGQ60,ACP18,AGP3:AGP60)</f>
        <v>0</v>
      </c>
      <c r="ACU18" s="319">
        <f t="shared" ref="ACU18" ca="1" si="5188">SUMIF(AGQ3:AGQ60,ACP18,AGO3:AGO60)+SUMIF(AGN3:AGN60,ACP18,AGP3:AGP60)</f>
        <v>0</v>
      </c>
      <c r="ACV18" s="319">
        <f t="shared" ref="ACV18:ACV21" ca="1" si="5189">ACT18-ACU18+1000</f>
        <v>1000</v>
      </c>
      <c r="ACW18" s="319">
        <f t="shared" ref="ACW18:ACW21" ca="1" si="5190">ACQ18*3+ACR18*1</f>
        <v>0</v>
      </c>
      <c r="ACX18" s="319">
        <f t="shared" si="810"/>
        <v>35</v>
      </c>
      <c r="ACY18" s="319">
        <f t="shared" ref="ACY18" ca="1" si="5191">IF(COUNTIF(ACW18:ACW22,4)&lt;&gt;4,RANK(ACW18,ACW18:ACW22),ACW58)</f>
        <v>1</v>
      </c>
      <c r="ACZ18" s="319"/>
      <c r="ADA18" s="319">
        <f t="shared" ref="ADA18" ca="1" si="5192">SUMPRODUCT((ACY18:ACY21=ACY18)*(ACX18:ACX21&lt;ACX18))+ACY18</f>
        <v>1</v>
      </c>
      <c r="ADB18" s="319" t="str">
        <f t="shared" ref="ADB18" ca="1" si="5193">INDEX(ACP18:ACP22,MATCH(1,ADA18:ADA22,0),0)</f>
        <v>Serbia</v>
      </c>
      <c r="ADC18" s="319">
        <f t="shared" ref="ADC18" ca="1" si="5194">INDEX(ACY18:ACY22,MATCH(ADB18,ACP18:ACP22,0),0)</f>
        <v>1</v>
      </c>
      <c r="ADD18" s="319" t="str">
        <f t="shared" ref="ADD18" ca="1" si="5195">IF(ADC19=1,ADB18,"")</f>
        <v>Serbia</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Serbia</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f t="shared" ref="ADP18:ADP21" ca="1" si="5206">IF(ADI18&lt;&gt;"",ADJ18*3+ADK18*1,"")</f>
        <v>0</v>
      </c>
      <c r="ADQ18" s="319">
        <f t="shared" ref="ADQ18" ca="1" si="5207">IF(ADI18&lt;&gt;"",VLOOKUP(ADI18,ACP4:ACV40,7,FALSE),"")</f>
        <v>1000</v>
      </c>
      <c r="ADR18" s="319">
        <f t="shared" ref="ADR18" ca="1" si="5208">IF(ADI18&lt;&gt;"",VLOOKUP(ADI18,ACP4:ACV40,5,FALSE),"")</f>
        <v>0</v>
      </c>
      <c r="ADS18" s="319">
        <f t="shared" ref="ADS18" ca="1" si="5209">IF(ADI18&lt;&gt;"",VLOOKUP(ADI18,ACP4:ACX40,9,FALSE),"")</f>
        <v>35</v>
      </c>
      <c r="ADT18" s="319">
        <f t="shared" ref="ADT18:ADT21" ca="1" si="5210">ADP18</f>
        <v>0</v>
      </c>
      <c r="ADU18" s="319">
        <f t="shared" ref="ADU18" ca="1" si="5211">IF(ADI18&lt;&gt;"",RANK(ADT18,ADT18:ADT22),"")</f>
        <v>1</v>
      </c>
      <c r="ADV18" s="319">
        <f t="shared" ref="ADV18" ca="1" si="5212">IF(ADI18&lt;&gt;"",SUMPRODUCT((ADT18:ADT22=ADT18)*(ADO18:ADO22&gt;ADO18)),"")</f>
        <v>0</v>
      </c>
      <c r="ADW18" s="319">
        <f t="shared" ref="ADW18" ca="1" si="5213">IF(ADI18&lt;&gt;"",SUMPRODUCT((ADT18:ADT22=ADT18)*(ADO18:ADO22=ADO18)*(ADM18:ADM22&gt;ADM18)),"")</f>
        <v>0</v>
      </c>
      <c r="ADX18" s="319">
        <f t="shared" ref="ADX18" ca="1" si="5214">IF(ADI18&lt;&gt;"",SUMPRODUCT((ADT18:ADT22=ADT18)*(ADO18:ADO22=ADO18)*(ADM18:ADM22=ADM18)*(ADQ18:ADQ22&gt;ADQ18)),"")</f>
        <v>0</v>
      </c>
      <c r="ADY18" s="319">
        <f t="shared" ref="ADY18" ca="1" si="5215">IF(ADI18&lt;&gt;"",SUMPRODUCT((ADT18:ADT22=ADT18)*(ADO18:ADO22=ADO18)*(ADM18:ADM22=ADM18)*(ADQ18:ADQ22=ADQ18)*(ADR18:ADR22&gt;ADR18)),"")</f>
        <v>0</v>
      </c>
      <c r="ADZ18" s="319">
        <f t="shared" ref="ADZ18" ca="1" si="5216">IF(ADI18&lt;&gt;"",SUMPRODUCT((ADT18:ADT22=ADT18)*(ADO18:ADO22=ADO18)*(ADM18:ADM22=ADM18)*(ADQ18:ADQ22=ADQ18)*(ADR18:ADR22=ADR18)*(ADS18:ADS22&gt;ADS18)),"")</f>
        <v>3</v>
      </c>
      <c r="AEA18" s="319">
        <f ca="1">IF(ADI18&lt;&gt;"",IF(AEA58&lt;&gt;"",IF(ADH57=3,AEA58,AEA58+ADH57),SUM(ADU18:ADZ18)),"")</f>
        <v>4</v>
      </c>
      <c r="AEB18" s="319" t="str">
        <f t="shared" ref="AEB18" ca="1" si="5217">IF(ADI18&lt;&gt;"",INDEX(ADI18:ADI22,MATCH(1,AEA18:AEA22,0),0),"")</f>
        <v>England</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0</v>
      </c>
      <c r="AGP18" s="322">
        <f ca="1">IF(OFFSET('Player Game Board'!Q25,0,AGO1)&lt;&gt;"",OFFSET('Player Game Board'!Q25,0,AGO1),0)</f>
        <v>0</v>
      </c>
      <c r="AGQ18" s="319" t="str">
        <f t="shared" si="67"/>
        <v>Italy</v>
      </c>
      <c r="AGR18" s="319" t="str">
        <f ca="1">IF(AND(OFFSET('Player Game Board'!P25,0,AGO1)&lt;&gt;"",OFFSET('Player Game Board'!Q25,0,AGO1)&lt;&gt;""),IF(AGO18&gt;AGP18,"W",IF(AGO18=AGP18,"D","L")),"")</f>
        <v/>
      </c>
      <c r="AGS18" s="319" t="str">
        <f t="shared" ca="1" si="68"/>
        <v/>
      </c>
      <c r="AGT18" s="319"/>
      <c r="AGU18" s="319"/>
      <c r="AGV18" s="324" t="s">
        <v>97</v>
      </c>
      <c r="AGW18" s="325" t="s">
        <v>98</v>
      </c>
      <c r="AGX18" s="325" t="s">
        <v>101</v>
      </c>
      <c r="AGY18" s="325" t="s">
        <v>102</v>
      </c>
      <c r="AGZ18" s="324" t="s">
        <v>101</v>
      </c>
      <c r="AHA18" s="324" t="s">
        <v>102</v>
      </c>
      <c r="AHB18" s="324" t="s">
        <v>98</v>
      </c>
      <c r="AHC18" s="324" t="s">
        <v>97</v>
      </c>
      <c r="AHD18" s="325"/>
      <c r="AHE18" s="326">
        <f t="shared" ref="AHE18" ca="1" si="5219">IFERROR(MATCH(AHE12,AGV18:AGY18,0),0)</f>
        <v>1</v>
      </c>
      <c r="AHF18" s="326">
        <f t="shared" ref="AHF18" ca="1" si="5220">IFERROR(MATCH(AHF12,AGV18:AGY18,0),0)</f>
        <v>0</v>
      </c>
      <c r="AHG18" s="326">
        <f t="shared" ref="AHG18" ca="1" si="5221">IFERROR(MATCH(AHG12,AGV18:AGY18,0),0)</f>
        <v>2</v>
      </c>
      <c r="AHH18" s="326">
        <f t="shared" ref="AHH18" ca="1" si="5222">IFERROR(MATCH(AHH12,AGV18:AGY18,0),0)</f>
        <v>0</v>
      </c>
      <c r="AHI18" s="326">
        <f t="shared" ca="1" si="3826"/>
        <v>3</v>
      </c>
      <c r="AHJ18" s="325" t="s">
        <v>354</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0</v>
      </c>
      <c r="AHQ18" s="319">
        <f t="shared" ref="AHQ18" ca="1" si="5229">SUMPRODUCT((ALL3:ALL42=AHN18)*(ALP3:ALP42="L"))+SUMPRODUCT((ALO3:ALO42=AHN18)*(ALQ3:ALQ42="L"))</f>
        <v>0</v>
      </c>
      <c r="AHR18" s="319">
        <f t="shared" ref="AHR18" ca="1" si="5230">SUMIF(ALL3:ALL60,AHN18,ALM3:ALM60)+SUMIF(ALO3:ALO60,AHN18,ALN3:ALN60)</f>
        <v>0</v>
      </c>
      <c r="AHS18" s="319">
        <f t="shared" ref="AHS18" ca="1" si="5231">SUMIF(ALO3:ALO60,AHN18,ALM3:ALM60)+SUMIF(ALL3:ALL60,AHN18,ALN3:ALN60)</f>
        <v>0</v>
      </c>
      <c r="AHT18" s="319">
        <f t="shared" ref="AHT18:AHT21" ca="1" si="5232">AHR18-AHS18+1000</f>
        <v>1000</v>
      </c>
      <c r="AHU18" s="319">
        <f t="shared" ref="AHU18:AHU21" ca="1" si="5233">AHO18*3+AHP18*1</f>
        <v>0</v>
      </c>
      <c r="AHV18" s="319">
        <f t="shared" si="870"/>
        <v>35</v>
      </c>
      <c r="AHW18" s="319">
        <f t="shared" ref="AHW18" ca="1" si="5234">IF(COUNTIF(AHU18:AHU22,4)&lt;&gt;4,RANK(AHU18,AHU18:AHU22),AHU58)</f>
        <v>1</v>
      </c>
      <c r="AHX18" s="319"/>
      <c r="AHY18" s="319">
        <f t="shared" ref="AHY18" ca="1" si="5235">SUMPRODUCT((AHW18:AHW21=AHW18)*(AHV18:AHV21&lt;AHV18))+AHW18</f>
        <v>1</v>
      </c>
      <c r="AHZ18" s="319" t="str">
        <f t="shared" ref="AHZ18" ca="1" si="5236">INDEX(AHN18:AHN22,MATCH(1,AHY18:AHY22,0),0)</f>
        <v>Serbia</v>
      </c>
      <c r="AIA18" s="319">
        <f t="shared" ref="AIA18" ca="1" si="5237">INDEX(AHW18:AHW22,MATCH(AHZ18,AHN18:AHN22,0),0)</f>
        <v>1</v>
      </c>
      <c r="AIB18" s="319" t="str">
        <f t="shared" ref="AIB18" ca="1" si="5238">IF(AIA19=1,AHZ18,"")</f>
        <v>Serbia</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Serbia</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f t="shared" ref="AIN18:AIN21" ca="1" si="5249">IF(AIG18&lt;&gt;"",AIH18*3+AII18*1,"")</f>
        <v>0</v>
      </c>
      <c r="AIO18" s="319">
        <f t="shared" ref="AIO18" ca="1" si="5250">IF(AIG18&lt;&gt;"",VLOOKUP(AIG18,AHN4:AHT40,7,FALSE),"")</f>
        <v>1000</v>
      </c>
      <c r="AIP18" s="319">
        <f t="shared" ref="AIP18" ca="1" si="5251">IF(AIG18&lt;&gt;"",VLOOKUP(AIG18,AHN4:AHT40,5,FALSE),"")</f>
        <v>0</v>
      </c>
      <c r="AIQ18" s="319">
        <f t="shared" ref="AIQ18" ca="1" si="5252">IF(AIG18&lt;&gt;"",VLOOKUP(AIG18,AHN4:AHV40,9,FALSE),"")</f>
        <v>35</v>
      </c>
      <c r="AIR18" s="319">
        <f t="shared" ref="AIR18:AIR21" ca="1" si="5253">AIN18</f>
        <v>0</v>
      </c>
      <c r="AIS18" s="319">
        <f t="shared" ref="AIS18" ca="1" si="5254">IF(AIG18&lt;&gt;"",RANK(AIR18,AIR18:AIR22),"")</f>
        <v>1</v>
      </c>
      <c r="AIT18" s="319">
        <f t="shared" ref="AIT18" ca="1" si="5255">IF(AIG18&lt;&gt;"",SUMPRODUCT((AIR18:AIR22=AIR18)*(AIM18:AIM22&gt;AIM18)),"")</f>
        <v>0</v>
      </c>
      <c r="AIU18" s="319">
        <f t="shared" ref="AIU18" ca="1" si="5256">IF(AIG18&lt;&gt;"",SUMPRODUCT((AIR18:AIR22=AIR18)*(AIM18:AIM22=AIM18)*(AIK18:AIK22&gt;AIK18)),"")</f>
        <v>0</v>
      </c>
      <c r="AIV18" s="319">
        <f t="shared" ref="AIV18" ca="1" si="5257">IF(AIG18&lt;&gt;"",SUMPRODUCT((AIR18:AIR22=AIR18)*(AIM18:AIM22=AIM18)*(AIK18:AIK22=AIK18)*(AIO18:AIO22&gt;AIO18)),"")</f>
        <v>0</v>
      </c>
      <c r="AIW18" s="319">
        <f t="shared" ref="AIW18" ca="1" si="5258">IF(AIG18&lt;&gt;"",SUMPRODUCT((AIR18:AIR22=AIR18)*(AIM18:AIM22=AIM18)*(AIK18:AIK22=AIK18)*(AIO18:AIO22=AIO18)*(AIP18:AIP22&gt;AIP18)),"")</f>
        <v>0</v>
      </c>
      <c r="AIX18" s="319">
        <f t="shared" ref="AIX18" ca="1" si="5259">IF(AIG18&lt;&gt;"",SUMPRODUCT((AIR18:AIR22=AIR18)*(AIM18:AIM22=AIM18)*(AIK18:AIK22=AIK18)*(AIO18:AIO22=AIO18)*(AIP18:AIP22=AIP18)*(AIQ18:AIQ22&gt;AIQ18)),"")</f>
        <v>3</v>
      </c>
      <c r="AIY18" s="319">
        <f ca="1">IF(AIG18&lt;&gt;"",IF(AIY58&lt;&gt;"",IF(AIF57=3,AIY58,AIY58+AIF57),SUM(AIS18:AIX18)),"")</f>
        <v>4</v>
      </c>
      <c r="AIZ18" s="319" t="str">
        <f t="shared" ref="AIZ18" ca="1" si="5260">IF(AIG18&lt;&gt;"",INDEX(AIG18:AIG22,MATCH(1,AIY18:AIY22,0),0),"")</f>
        <v>England</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0</v>
      </c>
      <c r="ALN18" s="322">
        <f ca="1">IF(OFFSET('Player Game Board'!Q25,0,ALM1)&lt;&gt;"",OFFSET('Player Game Board'!Q25,0,ALM1),0)</f>
        <v>0</v>
      </c>
      <c r="ALO18" s="319" t="str">
        <f t="shared" si="83"/>
        <v>Italy</v>
      </c>
      <c r="ALP18" s="319" t="str">
        <f ca="1">IF(AND(OFFSET('Player Game Board'!P25,0,ALM1)&lt;&gt;"",OFFSET('Player Game Board'!Q25,0,ALM1)&lt;&gt;""),IF(ALM18&gt;ALN18,"W",IF(ALM18=ALN18,"D","L")),"")</f>
        <v/>
      </c>
      <c r="ALQ18" s="319" t="str">
        <f t="shared" ca="1" si="84"/>
        <v/>
      </c>
      <c r="ALR18" s="319"/>
      <c r="ALS18" s="319"/>
      <c r="ALT18" s="324" t="s">
        <v>97</v>
      </c>
      <c r="ALU18" s="325" t="s">
        <v>98</v>
      </c>
      <c r="ALV18" s="325" t="s">
        <v>101</v>
      </c>
      <c r="ALW18" s="325" t="s">
        <v>102</v>
      </c>
      <c r="ALX18" s="324" t="s">
        <v>101</v>
      </c>
      <c r="ALY18" s="324" t="s">
        <v>102</v>
      </c>
      <c r="ALZ18" s="324" t="s">
        <v>98</v>
      </c>
      <c r="AMA18" s="324" t="s">
        <v>97</v>
      </c>
      <c r="AMB18" s="325"/>
      <c r="AMC18" s="326">
        <f t="shared" ref="AMC18" ca="1" si="5262">IFERROR(MATCH(AMC12,ALT18:ALW18,0),0)</f>
        <v>1</v>
      </c>
      <c r="AMD18" s="326">
        <f t="shared" ref="AMD18" ca="1" si="5263">IFERROR(MATCH(AMD12,ALT18:ALW18,0),0)</f>
        <v>0</v>
      </c>
      <c r="AME18" s="326">
        <f t="shared" ref="AME18" ca="1" si="5264">IFERROR(MATCH(AME12,ALT18:ALW18,0),0)</f>
        <v>2</v>
      </c>
      <c r="AMF18" s="326">
        <f t="shared" ref="AMF18" ca="1" si="5265">IFERROR(MATCH(AMF12,ALT18:ALW18,0),0)</f>
        <v>0</v>
      </c>
      <c r="AMG18" s="326">
        <f t="shared" ca="1" si="3896"/>
        <v>3</v>
      </c>
      <c r="AMH18" s="325" t="s">
        <v>354</v>
      </c>
      <c r="AMI18" s="325" t="str">
        <f t="shared" ref="AMI18" ca="1" si="5266">INDEX(ALT3:ALT8,MATCH(INDEX(ALX13:ALX27,MATCH(10,AMG13:AMG27,0),0),AMH3:AMH8,0),0)</f>
        <v>Scotland</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97</v>
      </c>
      <c r="AQS18" s="325" t="s">
        <v>98</v>
      </c>
      <c r="AQT18" s="325" t="s">
        <v>101</v>
      </c>
      <c r="AQU18" s="325" t="s">
        <v>102</v>
      </c>
      <c r="AQV18" s="324" t="s">
        <v>101</v>
      </c>
      <c r="AQW18" s="324" t="s">
        <v>102</v>
      </c>
      <c r="AQX18" s="324" t="s">
        <v>98</v>
      </c>
      <c r="AQY18" s="324" t="s">
        <v>97</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354</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97</v>
      </c>
      <c r="AVQ18" s="325" t="s">
        <v>98</v>
      </c>
      <c r="AVR18" s="325" t="s">
        <v>101</v>
      </c>
      <c r="AVS18" s="325" t="s">
        <v>102</v>
      </c>
      <c r="AVT18" s="324" t="s">
        <v>101</v>
      </c>
      <c r="AVU18" s="324" t="s">
        <v>102</v>
      </c>
      <c r="AVV18" s="324" t="s">
        <v>98</v>
      </c>
      <c r="AVW18" s="324" t="s">
        <v>97</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354</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97</v>
      </c>
      <c r="BAO18" s="325" t="s">
        <v>98</v>
      </c>
      <c r="BAP18" s="325" t="s">
        <v>101</v>
      </c>
      <c r="BAQ18" s="325" t="s">
        <v>102</v>
      </c>
      <c r="BAR18" s="324" t="s">
        <v>101</v>
      </c>
      <c r="BAS18" s="324" t="s">
        <v>102</v>
      </c>
      <c r="BAT18" s="324" t="s">
        <v>98</v>
      </c>
      <c r="BAU18" s="324" t="s">
        <v>97</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354</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97</v>
      </c>
      <c r="BFM18" s="325" t="s">
        <v>98</v>
      </c>
      <c r="BFN18" s="325" t="s">
        <v>101</v>
      </c>
      <c r="BFO18" s="325" t="s">
        <v>102</v>
      </c>
      <c r="BFP18" s="324" t="s">
        <v>101</v>
      </c>
      <c r="BFQ18" s="324" t="s">
        <v>102</v>
      </c>
      <c r="BFR18" s="324" t="s">
        <v>98</v>
      </c>
      <c r="BFS18" s="324" t="s">
        <v>97</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354</v>
      </c>
      <c r="BGA18" s="325" t="str">
        <f t="shared" ref="BGA18" ca="1" si="5438">INDEX(BFL3:BFL8,MATCH(INDEX(BFP13:BFP27,MATCH(10,BFY13:BFY27,0),0),BFZ3:BFZ8,0),0)</f>
        <v>Scotland</v>
      </c>
      <c r="BGB18" s="325">
        <f t="shared" ref="BGB18:BGB33" ca="1" si="5439">IFERROR(IF(MATCH(BGA18,QualifiedCountries,0),1,0),0)</f>
        <v>0</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97</v>
      </c>
      <c r="DI19" s="325" t="s">
        <v>99</v>
      </c>
      <c r="DJ19" s="325" t="s">
        <v>100</v>
      </c>
      <c r="DK19" s="325" t="s">
        <v>101</v>
      </c>
      <c r="DL19" s="324" t="s">
        <v>101</v>
      </c>
      <c r="DM19" s="324" t="s">
        <v>100</v>
      </c>
      <c r="DN19" s="324" t="s">
        <v>99</v>
      </c>
      <c r="DO19" s="324" t="s">
        <v>97</v>
      </c>
      <c r="DP19" s="325"/>
      <c r="DQ19" s="326">
        <f>IFERROR(MATCH(DQ12,DH19:DK19,0),0)</f>
        <v>3</v>
      </c>
      <c r="DR19" s="326">
        <f>IFERROR(MATCH(DR12,DH19:DK19,0),0)</f>
        <v>4</v>
      </c>
      <c r="DS19" s="326">
        <f>IFERROR(MATCH(DS12,DH19:DK19,0),0)</f>
        <v>2</v>
      </c>
      <c r="DT19" s="326">
        <f>IFERROR(MATCH(DT12,DH19:DK19,0),0)</f>
        <v>0</v>
      </c>
      <c r="DU19" s="326">
        <f t="shared" si="3541"/>
        <v>9</v>
      </c>
      <c r="DV19" s="325" t="s">
        <v>349</v>
      </c>
      <c r="DW19" s="325" t="str">
        <f>INDEX(DH3:DH8,MATCH(INDEX(DM13:DM27,MATCH(10,DU13:DU27,0),0),DV3:DV8,0),0)</f>
        <v>Austria</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5</v>
      </c>
      <c r="EE19" s="319">
        <f ca="1">SUMIF(IA3:IA60,DZ19,HY3:HY60)+SUMIF(HX3:HX60,DZ19,HZ3:HZ60)</f>
        <v>2</v>
      </c>
      <c r="EF19" s="319">
        <f t="shared" ca="1" si="5043"/>
        <v>1003</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97</v>
      </c>
      <c r="IG19" s="325" t="s">
        <v>99</v>
      </c>
      <c r="IH19" s="325" t="s">
        <v>100</v>
      </c>
      <c r="II19" s="325" t="s">
        <v>101</v>
      </c>
      <c r="IJ19" s="324" t="s">
        <v>101</v>
      </c>
      <c r="IK19" s="324" t="s">
        <v>100</v>
      </c>
      <c r="IL19" s="324" t="s">
        <v>99</v>
      </c>
      <c r="IM19" s="324" t="s">
        <v>97</v>
      </c>
      <c r="IN19" s="325"/>
      <c r="IO19" s="326">
        <f ca="1">IFERROR(MATCH(IO12,IF19:II19,0),0)</f>
        <v>0</v>
      </c>
      <c r="IP19" s="326">
        <f ca="1">IFERROR(MATCH(IP12,IF19:II19,0),0)</f>
        <v>2</v>
      </c>
      <c r="IQ19" s="326">
        <f ca="1">IFERROR(MATCH(IQ12,IF19:II19,0),0)</f>
        <v>1</v>
      </c>
      <c r="IR19" s="326">
        <f ca="1">IFERROR(MATCH(IR12,IF19:II19,0),0)</f>
        <v>4</v>
      </c>
      <c r="IS19" s="326">
        <f t="shared" ca="1" si="3544"/>
        <v>7</v>
      </c>
      <c r="IT19" s="325" t="s">
        <v>349</v>
      </c>
      <c r="IU19" s="325" t="str">
        <f ca="1">INDEX(IF3:IF8,MATCH(INDEX(IK13:IK27,MATCH(10,IS13:IS27,0),0),IT3:IT8,0),0)</f>
        <v>Romania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5</v>
      </c>
      <c r="JC19" s="319">
        <f ca="1">SUMIF(MY3:MY60,IX19,MW3:MW60)+SUMIF(MV3:MV60,IX19,MX3:MX60)</f>
        <v>2</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Slovenia</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97</v>
      </c>
      <c r="NE19" s="325" t="s">
        <v>99</v>
      </c>
      <c r="NF19" s="325" t="s">
        <v>100</v>
      </c>
      <c r="NG19" s="325" t="s">
        <v>101</v>
      </c>
      <c r="NH19" s="324" t="s">
        <v>101</v>
      </c>
      <c r="NI19" s="324" t="s">
        <v>100</v>
      </c>
      <c r="NJ19" s="324" t="s">
        <v>99</v>
      </c>
      <c r="NK19" s="324" t="s">
        <v>97</v>
      </c>
      <c r="NL19" s="325"/>
      <c r="NM19" s="326">
        <f ca="1">IFERROR(MATCH(NM12,ND19:NG19,0),0)</f>
        <v>0</v>
      </c>
      <c r="NN19" s="326">
        <f ca="1">IFERROR(MATCH(NN12,ND19:NG19,0),0)</f>
        <v>0</v>
      </c>
      <c r="NO19" s="326">
        <f ca="1">IFERROR(MATCH(NO12,ND19:NG19,0),0)</f>
        <v>1</v>
      </c>
      <c r="NP19" s="326">
        <f ca="1">IFERROR(MATCH(NP12,ND19:NG19,0),0)</f>
        <v>3</v>
      </c>
      <c r="NQ19" s="326">
        <f t="shared" ca="1" si="3547"/>
        <v>4</v>
      </c>
      <c r="NR19" s="325" t="s">
        <v>349</v>
      </c>
      <c r="NS19" s="325" t="str">
        <f ca="1">INDEX(ND3:ND8,MATCH(INDEX(NI13:NI27,MATCH(10,NQ13:NQ27,0),0),NR3:NR8,0),0)</f>
        <v>Czechia</v>
      </c>
      <c r="NT19" s="325">
        <f t="shared" ca="1" si="5052"/>
        <v>0</v>
      </c>
      <c r="NU19" s="319">
        <f t="shared" ref="NU19" ca="1" si="5451">VLOOKUP(NV19,RQ18:RR22,2,FALSE)</f>
        <v>1</v>
      </c>
      <c r="NV19" s="319" t="str">
        <f t="shared" si="5054"/>
        <v>England</v>
      </c>
      <c r="NW19" s="319">
        <f t="shared" ref="NW19" ca="1" si="5452">SUMPRODUCT((RT3:RT42=NV19)*(RX3:RX42="W"))+SUMPRODUCT((RW3:RW42=NV19)*(RY3:RY42="W"))</f>
        <v>0</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0</v>
      </c>
      <c r="OA19" s="319">
        <f t="shared" ref="OA19" ca="1" si="5456">SUMIF(RW3:RW60,NV19,RU3:RU60)+SUMIF(RT3:RT60,NV19,RV3:RV60)</f>
        <v>0</v>
      </c>
      <c r="OB19" s="319">
        <f t="shared" ca="1" si="5060"/>
        <v>1000</v>
      </c>
      <c r="OC19" s="319">
        <f t="shared" ca="1" si="5061"/>
        <v>0</v>
      </c>
      <c r="OD19" s="319">
        <f t="shared" si="630"/>
        <v>49</v>
      </c>
      <c r="OE19" s="319">
        <f t="shared" ref="OE19" ca="1" si="5457">IF(COUNTIF(OC18:OC22,4)&lt;&gt;4,RANK(OC19,OC18:OC22),OC59)</f>
        <v>1</v>
      </c>
      <c r="OF19" s="319"/>
      <c r="OG19" s="319">
        <f t="shared" ref="OG19" ca="1" si="5458">SUMPRODUCT((OE18:OE21=OE19)*(OD18:OD21&lt;OD19))+OE19</f>
        <v>4</v>
      </c>
      <c r="OH19" s="319" t="str">
        <f t="shared" ref="OH19" ca="1" si="5459">INDEX(NV18:NV22,MATCH(2,OG18:OG22,0),0)</f>
        <v>Slovenia</v>
      </c>
      <c r="OI19" s="319">
        <f t="shared" ref="OI19" ca="1" si="5460">INDEX(OE18:OE22,MATCH(OH19,NV18:NV22,0),0)</f>
        <v>1</v>
      </c>
      <c r="OJ19" s="319" t="str">
        <f t="shared" ref="OJ19" ca="1" si="5461">IF(OJ18&lt;&gt;"",OH19,"")</f>
        <v>Slovenia</v>
      </c>
      <c r="OK19" s="319" t="str">
        <f t="shared" ref="OK19" ca="1" si="5462">IF(OK18&lt;&gt;"",OH20,"")</f>
        <v/>
      </c>
      <c r="OL19" s="319" t="str">
        <f t="shared" ref="OL19" ca="1" si="5463">IF(OL18&lt;&gt;"",OH21,"")</f>
        <v/>
      </c>
      <c r="OM19" s="319" t="str">
        <f t="shared" ref="OM19" si="5464">IF(OM18&lt;&gt;"",OH22,"")</f>
        <v/>
      </c>
      <c r="ON19" s="319"/>
      <c r="OO19" s="319" t="str">
        <f t="shared" ca="1" si="5070"/>
        <v>Slovenia</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f t="shared" ca="1" si="5077"/>
        <v>0</v>
      </c>
      <c r="OW19" s="319">
        <f t="shared" ref="OW19" ca="1" si="5470">IF(OO19&lt;&gt;"",VLOOKUP(OO19,NV4:OB40,7,FALSE),"")</f>
        <v>1000</v>
      </c>
      <c r="OX19" s="319">
        <f t="shared" ref="OX19" ca="1" si="5471">IF(OO19&lt;&gt;"",VLOOKUP(OO19,NV4:OB40,5,FALSE),"")</f>
        <v>0</v>
      </c>
      <c r="OY19" s="319">
        <f t="shared" ref="OY19" ca="1" si="5472">IF(OO19&lt;&gt;"",VLOOKUP(OO19,NV4:OD40,9,FALSE),"")</f>
        <v>39</v>
      </c>
      <c r="OZ19" s="319">
        <f t="shared" ca="1" si="5081"/>
        <v>0</v>
      </c>
      <c r="PA19" s="319">
        <f t="shared" ref="PA19" ca="1" si="5473">IF(OO19&lt;&gt;"",RANK(OZ19,OZ18:OZ22),"")</f>
        <v>1</v>
      </c>
      <c r="PB19" s="319">
        <f t="shared" ref="PB19" ca="1" si="5474">IF(OO19&lt;&gt;"",SUMPRODUCT((OZ18:OZ22=OZ19)*(OU18:OU22&gt;OU19)),"")</f>
        <v>0</v>
      </c>
      <c r="PC19" s="319">
        <f t="shared" ref="PC19" ca="1" si="5475">IF(OO19&lt;&gt;"",SUMPRODUCT((OZ18:OZ22=OZ19)*(OU18:OU22=OU19)*(OS18:OS22&gt;OS19)),"")</f>
        <v>0</v>
      </c>
      <c r="PD19" s="319">
        <f t="shared" ref="PD19" ca="1" si="5476">IF(OO19&lt;&gt;"",SUMPRODUCT((OZ18:OZ22=OZ19)*(OU18:OU22=OU19)*(OS18:OS22=OS19)*(OW18:OW22&gt;OW19)),"")</f>
        <v>0</v>
      </c>
      <c r="PE19" s="319">
        <f t="shared" ref="PE19" ca="1" si="5477">IF(OO19&lt;&gt;"",SUMPRODUCT((OZ18:OZ22=OZ19)*(OU18:OU22=OU19)*(OS18:OS22=OS19)*(OW18:OW22=OW19)*(OX18:OX22&gt;OX19)),"")</f>
        <v>0</v>
      </c>
      <c r="PF19" s="319">
        <f t="shared" ref="PF19" ca="1" si="5478">IF(OO19&lt;&gt;"",SUMPRODUCT((OZ18:OZ22=OZ19)*(OU18:OU22=OU19)*(OS18:OS22=OS19)*(OW18:OW22=OW19)*(OX18:OX22=OX19)*(OY18:OY22&gt;OY19)),"")</f>
        <v>2</v>
      </c>
      <c r="PG19" s="319">
        <f ca="1">IF(OO19&lt;&gt;"",IF(PG59&lt;&gt;"",IF(ON57=3,PG59,PG59+ON57),SUM(PA19:PF19)),"")</f>
        <v>3</v>
      </c>
      <c r="PH19" s="319" t="str">
        <f t="shared" ref="PH19" ca="1" si="5479">IF(OO19&lt;&gt;"",INDEX(OO18:OO22,MATCH(2,PG18:PG22,0),0),"")</f>
        <v>Denmark</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Denmark</v>
      </c>
      <c r="RR19" s="319">
        <v>2</v>
      </c>
      <c r="RS19" s="319">
        <v>17</v>
      </c>
      <c r="RT19" s="319" t="str">
        <f t="shared" si="18"/>
        <v>Denmark</v>
      </c>
      <c r="RU19" s="322">
        <f ca="1">IF(OFFSET('Player Game Board'!P26,0,RU1)&lt;&gt;"",OFFSET('Player Game Board'!P26,0,RU1),0)</f>
        <v>0</v>
      </c>
      <c r="RV19" s="322">
        <f ca="1">IF(OFFSET('Player Game Board'!Q26,0,RU1)&lt;&gt;"",OFFSET('Player Game Board'!Q26,0,RU1),0)</f>
        <v>0</v>
      </c>
      <c r="RW19" s="319" t="str">
        <f t="shared" si="19"/>
        <v>England</v>
      </c>
      <c r="RX19" s="319" t="str">
        <f ca="1">IF(AND(OFFSET('Player Game Board'!P26,0,RU1)&lt;&gt;"",OFFSET('Player Game Board'!Q26,0,RU1)&lt;&gt;""),IF(RU19&gt;RV19,"W",IF(RU19=RV19,"D","L")),"")</f>
        <v/>
      </c>
      <c r="RY19" s="319" t="str">
        <f t="shared" ref="RY19:RY38" ca="1" si="5500">IF(RX19&lt;&gt;"",IF(RX19="W","L",IF(RX19="L","W","D")),"")</f>
        <v/>
      </c>
      <c r="RZ19" s="319"/>
      <c r="SA19" s="319"/>
      <c r="SB19" s="324" t="s">
        <v>97</v>
      </c>
      <c r="SC19" s="325" t="s">
        <v>99</v>
      </c>
      <c r="SD19" s="325" t="s">
        <v>100</v>
      </c>
      <c r="SE19" s="325" t="s">
        <v>101</v>
      </c>
      <c r="SF19" s="324" t="s">
        <v>101</v>
      </c>
      <c r="SG19" s="324" t="s">
        <v>100</v>
      </c>
      <c r="SH19" s="324" t="s">
        <v>99</v>
      </c>
      <c r="SI19" s="324" t="s">
        <v>97</v>
      </c>
      <c r="SJ19" s="325"/>
      <c r="SK19" s="326">
        <f t="shared" ref="SK19" ca="1" si="5501">IFERROR(MATCH(SK12,SB19:SE19,0),0)</f>
        <v>1</v>
      </c>
      <c r="SL19" s="326">
        <f t="shared" ref="SL19" ca="1" si="5502">IFERROR(MATCH(SL12,SB19:SE19,0),0)</f>
        <v>3</v>
      </c>
      <c r="SM19" s="326">
        <f t="shared" ref="SM19" ca="1" si="5503">IFERROR(MATCH(SM12,SB19:SE19,0),0)</f>
        <v>0</v>
      </c>
      <c r="SN19" s="326">
        <f t="shared" ref="SN19" ca="1" si="5504">IFERROR(MATCH(SN12,SB19:SE19,0),0)</f>
        <v>2</v>
      </c>
      <c r="SO19" s="326">
        <f t="shared" ca="1" si="3616"/>
        <v>6</v>
      </c>
      <c r="SP19" s="325" t="s">
        <v>349</v>
      </c>
      <c r="SQ19" s="325" t="str">
        <f t="shared" ref="SQ19" ca="1" si="5505">INDEX(SB3:SB8,MATCH(INDEX(SG13:SG27,MATCH(10,SO13:SO27,0),0),SP3:SP8,0),0)</f>
        <v>Austria</v>
      </c>
      <c r="SR19" s="325">
        <f t="shared" ca="1" si="5095"/>
        <v>1</v>
      </c>
      <c r="SS19" s="319">
        <f t="shared" ref="SS19" ca="1" si="5506">VLOOKUP(ST19,WO18:WP22,2,FALSE)</f>
        <v>1</v>
      </c>
      <c r="ST19" s="319" t="str">
        <f t="shared" si="5097"/>
        <v>England</v>
      </c>
      <c r="SU19" s="319">
        <f t="shared" ref="SU19" ca="1" si="5507">SUMPRODUCT((WR3:WR42=ST19)*(WV3:WV42="W"))+SUMPRODUCT((WU3:WU42=ST19)*(WW3:WW42="W"))</f>
        <v>0</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0</v>
      </c>
      <c r="SY19" s="319">
        <f t="shared" ref="SY19" ca="1" si="5511">SUMIF(WU3:WU60,ST19,WS3:WS60)+SUMIF(WR3:WR60,ST19,WT3:WT60)</f>
        <v>0</v>
      </c>
      <c r="SZ19" s="319">
        <f t="shared" ca="1" si="5103"/>
        <v>1000</v>
      </c>
      <c r="TA19" s="319">
        <f t="shared" ca="1" si="5104"/>
        <v>0</v>
      </c>
      <c r="TB19" s="319">
        <f t="shared" si="690"/>
        <v>49</v>
      </c>
      <c r="TC19" s="319">
        <f t="shared" ref="TC19" ca="1" si="5512">IF(COUNTIF(TA18:TA22,4)&lt;&gt;4,RANK(TA19,TA18:TA22),TA59)</f>
        <v>1</v>
      </c>
      <c r="TD19" s="319"/>
      <c r="TE19" s="319">
        <f t="shared" ref="TE19" ca="1" si="5513">SUMPRODUCT((TC18:TC21=TC19)*(TB18:TB21&lt;TB19))+TC19</f>
        <v>4</v>
      </c>
      <c r="TF19" s="319" t="str">
        <f t="shared" ref="TF19" ca="1" si="5514">INDEX(ST18:ST22,MATCH(2,TE18:TE22,0),0)</f>
        <v>Slovenia</v>
      </c>
      <c r="TG19" s="319">
        <f t="shared" ref="TG19" ca="1" si="5515">INDEX(TC18:TC22,MATCH(TF19,ST18:ST22,0),0)</f>
        <v>1</v>
      </c>
      <c r="TH19" s="319" t="str">
        <f t="shared" ref="TH19" ca="1" si="5516">IF(TH18&lt;&gt;"",TF19,"")</f>
        <v>Slovenia</v>
      </c>
      <c r="TI19" s="319" t="str">
        <f t="shared" ref="TI19" ca="1" si="5517">IF(TI18&lt;&gt;"",TF20,"")</f>
        <v/>
      </c>
      <c r="TJ19" s="319" t="str">
        <f t="shared" ref="TJ19" ca="1" si="5518">IF(TJ18&lt;&gt;"",TF21,"")</f>
        <v/>
      </c>
      <c r="TK19" s="319" t="str">
        <f t="shared" ref="TK19" si="5519">IF(TK18&lt;&gt;"",TF22,"")</f>
        <v/>
      </c>
      <c r="TL19" s="319"/>
      <c r="TM19" s="319" t="str">
        <f t="shared" ca="1" si="5113"/>
        <v>Slovenia</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f t="shared" ca="1" si="5120"/>
        <v>0</v>
      </c>
      <c r="TU19" s="319">
        <f t="shared" ref="TU19" ca="1" si="5525">IF(TM19&lt;&gt;"",VLOOKUP(TM19,ST4:SZ40,7,FALSE),"")</f>
        <v>1000</v>
      </c>
      <c r="TV19" s="319">
        <f t="shared" ref="TV19" ca="1" si="5526">IF(TM19&lt;&gt;"",VLOOKUP(TM19,ST4:SZ40,5,FALSE),"")</f>
        <v>0</v>
      </c>
      <c r="TW19" s="319">
        <f t="shared" ref="TW19" ca="1" si="5527">IF(TM19&lt;&gt;"",VLOOKUP(TM19,ST4:TB40,9,FALSE),"")</f>
        <v>39</v>
      </c>
      <c r="TX19" s="319">
        <f t="shared" ca="1" si="5124"/>
        <v>0</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2</v>
      </c>
      <c r="UE19" s="319">
        <f ca="1">IF(TM19&lt;&gt;"",IF(UE59&lt;&gt;"",IF(TL57=3,UE59,UE59+TL57),SUM(TY19:UD19)),"")</f>
        <v>3</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0</v>
      </c>
      <c r="WT19" s="322">
        <f ca="1">IF(OFFSET('Player Game Board'!Q26,0,WS1)&lt;&gt;"",OFFSET('Player Game Board'!Q26,0,WS1),0)</f>
        <v>0</v>
      </c>
      <c r="WU19" s="319" t="str">
        <f t="shared" si="35"/>
        <v>England</v>
      </c>
      <c r="WV19" s="319" t="str">
        <f ca="1">IF(AND(OFFSET('Player Game Board'!P26,0,WS1)&lt;&gt;"",OFFSET('Player Game Board'!Q26,0,WS1)&lt;&gt;""),IF(WS19&gt;WT19,"W",IF(WS19=WT19,"D","L")),"")</f>
        <v/>
      </c>
      <c r="WW19" s="319" t="str">
        <f t="shared" ref="WW19:WW38" ca="1" si="5555">IF(WV19&lt;&gt;"",IF(WV19="W","L",IF(WV19="L","W","D")),"")</f>
        <v/>
      </c>
      <c r="WX19" s="319"/>
      <c r="WY19" s="319"/>
      <c r="WZ19" s="324" t="s">
        <v>97</v>
      </c>
      <c r="XA19" s="325" t="s">
        <v>99</v>
      </c>
      <c r="XB19" s="325" t="s">
        <v>100</v>
      </c>
      <c r="XC19" s="325" t="s">
        <v>101</v>
      </c>
      <c r="XD19" s="324" t="s">
        <v>101</v>
      </c>
      <c r="XE19" s="324" t="s">
        <v>100</v>
      </c>
      <c r="XF19" s="324" t="s">
        <v>99</v>
      </c>
      <c r="XG19" s="324" t="s">
        <v>97</v>
      </c>
      <c r="XH19" s="325"/>
      <c r="XI19" s="326">
        <f t="shared" ref="XI19" ca="1" si="5556">IFERROR(MATCH(XI12,WZ19:XC19,0),0)</f>
        <v>1</v>
      </c>
      <c r="XJ19" s="326">
        <f t="shared" ref="XJ19" ca="1" si="5557">IFERROR(MATCH(XJ12,WZ19:XC19,0),0)</f>
        <v>3</v>
      </c>
      <c r="XK19" s="326">
        <f t="shared" ref="XK19" ca="1" si="5558">IFERROR(MATCH(XK12,WZ19:XC19,0),0)</f>
        <v>0</v>
      </c>
      <c r="XL19" s="326">
        <f t="shared" ref="XL19" ca="1" si="5559">IFERROR(MATCH(XL12,WZ19:XC19,0),0)</f>
        <v>2</v>
      </c>
      <c r="XM19" s="326">
        <f t="shared" ca="1" si="3686"/>
        <v>6</v>
      </c>
      <c r="XN19" s="325" t="s">
        <v>349</v>
      </c>
      <c r="XO19" s="325" t="str">
        <f t="shared" ref="XO19" ca="1" si="5560">INDEX(WZ3:WZ8,MATCH(INDEX(XE13:XE27,MATCH(10,XM13:XM27,0),0),XN3:XN8,0),0)</f>
        <v>Austria</v>
      </c>
      <c r="XP19" s="325">
        <f t="shared" ca="1" si="5138"/>
        <v>1</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97</v>
      </c>
      <c r="ABY19" s="325" t="s">
        <v>99</v>
      </c>
      <c r="ABZ19" s="325" t="s">
        <v>100</v>
      </c>
      <c r="ACA19" s="325" t="s">
        <v>101</v>
      </c>
      <c r="ACB19" s="324" t="s">
        <v>101</v>
      </c>
      <c r="ACC19" s="324" t="s">
        <v>100</v>
      </c>
      <c r="ACD19" s="324" t="s">
        <v>99</v>
      </c>
      <c r="ACE19" s="324" t="s">
        <v>97</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349</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0</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0</v>
      </c>
      <c r="ACU19" s="319">
        <f t="shared" ref="ACU19" ca="1" si="5621">SUMIF(AGQ3:AGQ60,ACP19,AGO3:AGO60)+SUMIF(AGN3:AGN60,ACP19,AGP3:AGP60)</f>
        <v>0</v>
      </c>
      <c r="ACV19" s="319">
        <f t="shared" ca="1" si="5189"/>
        <v>1000</v>
      </c>
      <c r="ACW19" s="319">
        <f t="shared" ca="1" si="5190"/>
        <v>0</v>
      </c>
      <c r="ACX19" s="319">
        <f t="shared" si="810"/>
        <v>49</v>
      </c>
      <c r="ACY19" s="319">
        <f t="shared" ref="ACY19" ca="1" si="5622">IF(COUNTIF(ACW18:ACW22,4)&lt;&gt;4,RANK(ACW19,ACW18:ACW22),ACW59)</f>
        <v>1</v>
      </c>
      <c r="ACZ19" s="319"/>
      <c r="ADA19" s="319">
        <f t="shared" ref="ADA19" ca="1" si="5623">SUMPRODUCT((ACY18:ACY21=ACY19)*(ACX18:ACX21&lt;ACX19))+ACY19</f>
        <v>4</v>
      </c>
      <c r="ADB19" s="319" t="str">
        <f t="shared" ref="ADB19" ca="1" si="5624">INDEX(ACP18:ACP22,MATCH(2,ADA18:ADA22,0),0)</f>
        <v>Slovenia</v>
      </c>
      <c r="ADC19" s="319">
        <f t="shared" ref="ADC19" ca="1" si="5625">INDEX(ACY18:ACY22,MATCH(ADB19,ACP18:ACP22,0),0)</f>
        <v>1</v>
      </c>
      <c r="ADD19" s="319" t="str">
        <f t="shared" ref="ADD19" ca="1" si="5626">IF(ADD18&lt;&gt;"",ADB19,"")</f>
        <v>Slovenia</v>
      </c>
      <c r="ADE19" s="319" t="str">
        <f t="shared" ref="ADE19" ca="1" si="5627">IF(ADE18&lt;&gt;"",ADB20,"")</f>
        <v/>
      </c>
      <c r="ADF19" s="319" t="str">
        <f t="shared" ref="ADF19" ca="1" si="5628">IF(ADF18&lt;&gt;"",ADB21,"")</f>
        <v/>
      </c>
      <c r="ADG19" s="319" t="str">
        <f t="shared" ref="ADG19" si="5629">IF(ADG18&lt;&gt;"",ADB22,"")</f>
        <v/>
      </c>
      <c r="ADH19" s="319"/>
      <c r="ADI19" s="319" t="str">
        <f t="shared" ca="1" si="5199"/>
        <v>Slovenia</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f t="shared" ca="1" si="5206"/>
        <v>0</v>
      </c>
      <c r="ADQ19" s="319">
        <f t="shared" ref="ADQ19" ca="1" si="5635">IF(ADI19&lt;&gt;"",VLOOKUP(ADI19,ACP4:ACV40,7,FALSE),"")</f>
        <v>1000</v>
      </c>
      <c r="ADR19" s="319">
        <f t="shared" ref="ADR19" ca="1" si="5636">IF(ADI19&lt;&gt;"",VLOOKUP(ADI19,ACP4:ACV40,5,FALSE),"")</f>
        <v>0</v>
      </c>
      <c r="ADS19" s="319">
        <f t="shared" ref="ADS19" ca="1" si="5637">IF(ADI19&lt;&gt;"",VLOOKUP(ADI19,ACP4:ACX40,9,FALSE),"")</f>
        <v>39</v>
      </c>
      <c r="ADT19" s="319">
        <f t="shared" ca="1" si="5210"/>
        <v>0</v>
      </c>
      <c r="ADU19" s="319">
        <f t="shared" ref="ADU19" ca="1" si="5638">IF(ADI19&lt;&gt;"",RANK(ADT19,ADT18:ADT22),"")</f>
        <v>1</v>
      </c>
      <c r="ADV19" s="319">
        <f t="shared" ref="ADV19" ca="1" si="5639">IF(ADI19&lt;&gt;"",SUMPRODUCT((ADT18:ADT22=ADT19)*(ADO18:ADO22&gt;ADO19)),"")</f>
        <v>0</v>
      </c>
      <c r="ADW19" s="319">
        <f t="shared" ref="ADW19" ca="1" si="5640">IF(ADI19&lt;&gt;"",SUMPRODUCT((ADT18:ADT22=ADT19)*(ADO18:ADO22=ADO19)*(ADM18:ADM22&gt;ADM19)),"")</f>
        <v>0</v>
      </c>
      <c r="ADX19" s="319">
        <f t="shared" ref="ADX19" ca="1" si="5641">IF(ADI19&lt;&gt;"",SUMPRODUCT((ADT18:ADT22=ADT19)*(ADO18:ADO22=ADO19)*(ADM18:ADM22=ADM19)*(ADQ18:ADQ22&gt;ADQ19)),"")</f>
        <v>0</v>
      </c>
      <c r="ADY19" s="319">
        <f t="shared" ref="ADY19" ca="1" si="5642">IF(ADI19&lt;&gt;"",SUMPRODUCT((ADT18:ADT22=ADT19)*(ADO18:ADO22=ADO19)*(ADM18:ADM22=ADM19)*(ADQ18:ADQ22=ADQ19)*(ADR18:ADR22&gt;ADR19)),"")</f>
        <v>0</v>
      </c>
      <c r="ADZ19" s="319">
        <f t="shared" ref="ADZ19" ca="1" si="5643">IF(ADI19&lt;&gt;"",SUMPRODUCT((ADT18:ADT22=ADT19)*(ADO18:ADO22=ADO19)*(ADM18:ADM22=ADM19)*(ADQ18:ADQ22=ADQ19)*(ADR18:ADR22=ADR19)*(ADS18:ADS22&gt;ADS19)),"")</f>
        <v>2</v>
      </c>
      <c r="AEA19" s="319">
        <f ca="1">IF(ADI19&lt;&gt;"",IF(AEA59&lt;&gt;"",IF(ADH57=3,AEA59,AEA59+ADH57),SUM(ADU19:ADZ19)),"")</f>
        <v>3</v>
      </c>
      <c r="AEB19" s="319" t="str">
        <f t="shared" ref="AEB19" ca="1" si="5644">IF(ADI19&lt;&gt;"",INDEX(ADI18:ADI22,MATCH(2,AEA18:AEA22,0),0),"")</f>
        <v>Denmark</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0</v>
      </c>
      <c r="AGQ19" s="319" t="str">
        <f t="shared" si="67"/>
        <v>England</v>
      </c>
      <c r="AGR19" s="319" t="str">
        <f ca="1">IF(AND(OFFSET('Player Game Board'!P26,0,AGO1)&lt;&gt;"",OFFSET('Player Game Board'!Q26,0,AGO1)&lt;&gt;""),IF(AGO19&gt;AGP19,"W",IF(AGO19=AGP19,"D","L")),"")</f>
        <v/>
      </c>
      <c r="AGS19" s="319" t="str">
        <f t="shared" ref="AGS19:AGS38" ca="1" si="5665">IF(AGR19&lt;&gt;"",IF(AGR19="W","L",IF(AGR19="L","W","D")),"")</f>
        <v/>
      </c>
      <c r="AGT19" s="319"/>
      <c r="AGU19" s="319"/>
      <c r="AGV19" s="324" t="s">
        <v>97</v>
      </c>
      <c r="AGW19" s="325" t="s">
        <v>99</v>
      </c>
      <c r="AGX19" s="325" t="s">
        <v>100</v>
      </c>
      <c r="AGY19" s="325" t="s">
        <v>101</v>
      </c>
      <c r="AGZ19" s="324" t="s">
        <v>101</v>
      </c>
      <c r="AHA19" s="324" t="s">
        <v>100</v>
      </c>
      <c r="AHB19" s="324" t="s">
        <v>99</v>
      </c>
      <c r="AHC19" s="324" t="s">
        <v>97</v>
      </c>
      <c r="AHD19" s="325"/>
      <c r="AHE19" s="326">
        <f t="shared" ref="AHE19" ca="1" si="5666">IFERROR(MATCH(AHE12,AGV19:AGY19,0),0)</f>
        <v>1</v>
      </c>
      <c r="AHF19" s="326">
        <f t="shared" ref="AHF19" ca="1" si="5667">IFERROR(MATCH(AHF12,AGV19:AGY19,0),0)</f>
        <v>3</v>
      </c>
      <c r="AHG19" s="326">
        <f t="shared" ref="AHG19" ca="1" si="5668">IFERROR(MATCH(AHG12,AGV19:AGY19,0),0)</f>
        <v>0</v>
      </c>
      <c r="AHH19" s="326">
        <f t="shared" ref="AHH19" ca="1" si="5669">IFERROR(MATCH(AHH12,AGV19:AGY19,0),0)</f>
        <v>2</v>
      </c>
      <c r="AHI19" s="326">
        <f t="shared" ca="1" si="3826"/>
        <v>6</v>
      </c>
      <c r="AHJ19" s="325" t="s">
        <v>349</v>
      </c>
      <c r="AHK19" s="325" t="str">
        <f t="shared" ref="AHK19" ca="1" si="5670">INDEX(AGV3:AGV8,MATCH(INDEX(AHA13:AHA27,MATCH(10,AHI13:AHI27,0),0),AHJ3:AHJ8,0),0)</f>
        <v>Austria</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0</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0</v>
      </c>
      <c r="AHS19" s="319">
        <f t="shared" ref="AHS19" ca="1" si="5676">SUMIF(ALO3:ALO60,AHN19,ALM3:ALM60)+SUMIF(ALL3:ALL60,AHN19,ALN3:ALN60)</f>
        <v>0</v>
      </c>
      <c r="AHT19" s="319">
        <f t="shared" ca="1" si="5232"/>
        <v>1000</v>
      </c>
      <c r="AHU19" s="319">
        <f t="shared" ca="1" si="5233"/>
        <v>0</v>
      </c>
      <c r="AHV19" s="319">
        <f t="shared" si="870"/>
        <v>49</v>
      </c>
      <c r="AHW19" s="319">
        <f t="shared" ref="AHW19" ca="1" si="5677">IF(COUNTIF(AHU18:AHU22,4)&lt;&gt;4,RANK(AHU19,AHU18:AHU22),AHU59)</f>
        <v>1</v>
      </c>
      <c r="AHX19" s="319"/>
      <c r="AHY19" s="319">
        <f t="shared" ref="AHY19" ca="1" si="5678">SUMPRODUCT((AHW18:AHW21=AHW19)*(AHV18:AHV21&lt;AHV19))+AHW19</f>
        <v>4</v>
      </c>
      <c r="AHZ19" s="319" t="str">
        <f t="shared" ref="AHZ19" ca="1" si="5679">INDEX(AHN18:AHN22,MATCH(2,AHY18:AHY22,0),0)</f>
        <v>Slovenia</v>
      </c>
      <c r="AIA19" s="319">
        <f t="shared" ref="AIA19" ca="1" si="5680">INDEX(AHW18:AHW22,MATCH(AHZ19,AHN18:AHN22,0),0)</f>
        <v>1</v>
      </c>
      <c r="AIB19" s="319" t="str">
        <f t="shared" ref="AIB19" ca="1" si="5681">IF(AIB18&lt;&gt;"",AHZ19,"")</f>
        <v>Slovenia</v>
      </c>
      <c r="AIC19" s="319" t="str">
        <f t="shared" ref="AIC19" ca="1" si="5682">IF(AIC18&lt;&gt;"",AHZ20,"")</f>
        <v/>
      </c>
      <c r="AID19" s="319" t="str">
        <f t="shared" ref="AID19" ca="1" si="5683">IF(AID18&lt;&gt;"",AHZ21,"")</f>
        <v/>
      </c>
      <c r="AIE19" s="319" t="str">
        <f t="shared" ref="AIE19" si="5684">IF(AIE18&lt;&gt;"",AHZ22,"")</f>
        <v/>
      </c>
      <c r="AIF19" s="319"/>
      <c r="AIG19" s="319" t="str">
        <f t="shared" ca="1" si="5242"/>
        <v>Slovenia</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f t="shared" ca="1" si="5249"/>
        <v>0</v>
      </c>
      <c r="AIO19" s="319">
        <f t="shared" ref="AIO19" ca="1" si="5690">IF(AIG19&lt;&gt;"",VLOOKUP(AIG19,AHN4:AHT40,7,FALSE),"")</f>
        <v>1000</v>
      </c>
      <c r="AIP19" s="319">
        <f t="shared" ref="AIP19" ca="1" si="5691">IF(AIG19&lt;&gt;"",VLOOKUP(AIG19,AHN4:AHT40,5,FALSE),"")</f>
        <v>0</v>
      </c>
      <c r="AIQ19" s="319">
        <f t="shared" ref="AIQ19" ca="1" si="5692">IF(AIG19&lt;&gt;"",VLOOKUP(AIG19,AHN4:AHV40,9,FALSE),"")</f>
        <v>39</v>
      </c>
      <c r="AIR19" s="319">
        <f t="shared" ca="1" si="5253"/>
        <v>0</v>
      </c>
      <c r="AIS19" s="319">
        <f t="shared" ref="AIS19" ca="1" si="5693">IF(AIG19&lt;&gt;"",RANK(AIR19,AIR18:AIR22),"")</f>
        <v>1</v>
      </c>
      <c r="AIT19" s="319">
        <f t="shared" ref="AIT19" ca="1" si="5694">IF(AIG19&lt;&gt;"",SUMPRODUCT((AIR18:AIR22=AIR19)*(AIM18:AIM22&gt;AIM19)),"")</f>
        <v>0</v>
      </c>
      <c r="AIU19" s="319">
        <f t="shared" ref="AIU19" ca="1" si="5695">IF(AIG19&lt;&gt;"",SUMPRODUCT((AIR18:AIR22=AIR19)*(AIM18:AIM22=AIM19)*(AIK18:AIK22&gt;AIK19)),"")</f>
        <v>0</v>
      </c>
      <c r="AIV19" s="319">
        <f t="shared" ref="AIV19" ca="1" si="5696">IF(AIG19&lt;&gt;"",SUMPRODUCT((AIR18:AIR22=AIR19)*(AIM18:AIM22=AIM19)*(AIK18:AIK22=AIK19)*(AIO18:AIO22&gt;AIO19)),"")</f>
        <v>0</v>
      </c>
      <c r="AIW19" s="319">
        <f t="shared" ref="AIW19" ca="1" si="5697">IF(AIG19&lt;&gt;"",SUMPRODUCT((AIR18:AIR22=AIR19)*(AIM18:AIM22=AIM19)*(AIK18:AIK22=AIK19)*(AIO18:AIO22=AIO19)*(AIP18:AIP22&gt;AIP19)),"")</f>
        <v>0</v>
      </c>
      <c r="AIX19" s="319">
        <f t="shared" ref="AIX19" ca="1" si="5698">IF(AIG19&lt;&gt;"",SUMPRODUCT((AIR18:AIR22=AIR19)*(AIM18:AIM22=AIM19)*(AIK18:AIK22=AIK19)*(AIO18:AIO22=AIO19)*(AIP18:AIP22=AIP19)*(AIQ18:AIQ22&gt;AIQ19)),"")</f>
        <v>2</v>
      </c>
      <c r="AIY19" s="319">
        <f ca="1">IF(AIG19&lt;&gt;"",IF(AIY59&lt;&gt;"",IF(AIF57=3,AIY59,AIY59+AIF57),SUM(AIS19:AIX19)),"")</f>
        <v>3</v>
      </c>
      <c r="AIZ19" s="319" t="str">
        <f t="shared" ref="AIZ19" ca="1" si="5699">IF(AIG19&lt;&gt;"",INDEX(AIG18:AIG22,MATCH(2,AIY18:AIY22,0),0),"")</f>
        <v>Denmark</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0</v>
      </c>
      <c r="ALN19" s="322">
        <f ca="1">IF(OFFSET('Player Game Board'!Q26,0,ALM1)&lt;&gt;"",OFFSET('Player Game Board'!Q26,0,ALM1),0)</f>
        <v>0</v>
      </c>
      <c r="ALO19" s="319" t="str">
        <f t="shared" si="83"/>
        <v>England</v>
      </c>
      <c r="ALP19" s="319" t="str">
        <f ca="1">IF(AND(OFFSET('Player Game Board'!P26,0,ALM1)&lt;&gt;"",OFFSET('Player Game Board'!Q26,0,ALM1)&lt;&gt;""),IF(ALM19&gt;ALN19,"W",IF(ALM19=ALN19,"D","L")),"")</f>
        <v/>
      </c>
      <c r="ALQ19" s="319" t="str">
        <f t="shared" ref="ALQ19:ALQ38" ca="1" si="5720">IF(ALP19&lt;&gt;"",IF(ALP19="W","L",IF(ALP19="L","W","D")),"")</f>
        <v/>
      </c>
      <c r="ALR19" s="319"/>
      <c r="ALS19" s="319"/>
      <c r="ALT19" s="324" t="s">
        <v>97</v>
      </c>
      <c r="ALU19" s="325" t="s">
        <v>99</v>
      </c>
      <c r="ALV19" s="325" t="s">
        <v>100</v>
      </c>
      <c r="ALW19" s="325" t="s">
        <v>101</v>
      </c>
      <c r="ALX19" s="324" t="s">
        <v>101</v>
      </c>
      <c r="ALY19" s="324" t="s">
        <v>100</v>
      </c>
      <c r="ALZ19" s="324" t="s">
        <v>99</v>
      </c>
      <c r="AMA19" s="324" t="s">
        <v>97</v>
      </c>
      <c r="AMB19" s="325"/>
      <c r="AMC19" s="326">
        <f t="shared" ref="AMC19" ca="1" si="5721">IFERROR(MATCH(AMC12,ALT19:ALW19,0),0)</f>
        <v>1</v>
      </c>
      <c r="AMD19" s="326">
        <f t="shared" ref="AMD19" ca="1" si="5722">IFERROR(MATCH(AMD12,ALT19:ALW19,0),0)</f>
        <v>3</v>
      </c>
      <c r="AME19" s="326">
        <f t="shared" ref="AME19" ca="1" si="5723">IFERROR(MATCH(AME12,ALT19:ALW19,0),0)</f>
        <v>0</v>
      </c>
      <c r="AMF19" s="326">
        <f t="shared" ref="AMF19" ca="1" si="5724">IFERROR(MATCH(AMF12,ALT19:ALW19,0),0)</f>
        <v>2</v>
      </c>
      <c r="AMG19" s="326">
        <f t="shared" ca="1" si="3896"/>
        <v>6</v>
      </c>
      <c r="AMH19" s="325" t="s">
        <v>349</v>
      </c>
      <c r="AMI19" s="325" t="str">
        <f t="shared" ref="AMI19" ca="1" si="5725">INDEX(ALT3:ALT8,MATCH(INDEX(ALY13:ALY27,MATCH(10,AMG13:AMG27,0),0),AMH3:AMH8,0),0)</f>
        <v>Austria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97</v>
      </c>
      <c r="AQS19" s="325" t="s">
        <v>99</v>
      </c>
      <c r="AQT19" s="325" t="s">
        <v>100</v>
      </c>
      <c r="AQU19" s="325" t="s">
        <v>101</v>
      </c>
      <c r="AQV19" s="324" t="s">
        <v>101</v>
      </c>
      <c r="AQW19" s="324" t="s">
        <v>100</v>
      </c>
      <c r="AQX19" s="324" t="s">
        <v>99</v>
      </c>
      <c r="AQY19" s="324" t="s">
        <v>97</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349</v>
      </c>
      <c r="ARG19" s="325" t="str">
        <f t="shared" ref="ARG19" ca="1" si="5780">INDEX(AQR3:AQR8,MATCH(INDEX(AQW13:AQW27,MATCH(10,ARE13:ARE27,0),0),ARF3:ARF8,0),0)</f>
        <v>Austria</v>
      </c>
      <c r="ARH19" s="325">
        <f t="shared" ca="1" si="5310"/>
        <v>1</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97</v>
      </c>
      <c r="AVQ19" s="325" t="s">
        <v>99</v>
      </c>
      <c r="AVR19" s="325" t="s">
        <v>100</v>
      </c>
      <c r="AVS19" s="325" t="s">
        <v>101</v>
      </c>
      <c r="AVT19" s="324" t="s">
        <v>101</v>
      </c>
      <c r="AVU19" s="324" t="s">
        <v>100</v>
      </c>
      <c r="AVV19" s="324" t="s">
        <v>99</v>
      </c>
      <c r="AVW19" s="324" t="s">
        <v>97</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349</v>
      </c>
      <c r="AWE19" s="325" t="str">
        <f t="shared" ref="AWE19" ca="1" si="5835">INDEX(AVP3:AVP8,MATCH(INDEX(AVU13:AVU27,MATCH(10,AWC13:AWC27,0),0),AWD3:AWD8,0),0)</f>
        <v>Austria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97</v>
      </c>
      <c r="BAO19" s="325" t="s">
        <v>99</v>
      </c>
      <c r="BAP19" s="325" t="s">
        <v>100</v>
      </c>
      <c r="BAQ19" s="325" t="s">
        <v>101</v>
      </c>
      <c r="BAR19" s="324" t="s">
        <v>101</v>
      </c>
      <c r="BAS19" s="324" t="s">
        <v>100</v>
      </c>
      <c r="BAT19" s="324" t="s">
        <v>99</v>
      </c>
      <c r="BAU19" s="324" t="s">
        <v>97</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349</v>
      </c>
      <c r="BBC19" s="325" t="str">
        <f t="shared" ref="BBC19" ca="1" si="5890">INDEX(BAN3:BAN8,MATCH(INDEX(BAS13:BAS27,MATCH(10,BBA13:BBA27,0),0),BBB3:BBB8,0),0)</f>
        <v>Austria</v>
      </c>
      <c r="BBD19" s="325">
        <f t="shared" ca="1" si="5396"/>
        <v>1</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97</v>
      </c>
      <c r="BFM19" s="325" t="s">
        <v>99</v>
      </c>
      <c r="BFN19" s="325" t="s">
        <v>100</v>
      </c>
      <c r="BFO19" s="325" t="s">
        <v>101</v>
      </c>
      <c r="BFP19" s="324" t="s">
        <v>101</v>
      </c>
      <c r="BFQ19" s="324" t="s">
        <v>100</v>
      </c>
      <c r="BFR19" s="324" t="s">
        <v>99</v>
      </c>
      <c r="BFS19" s="324" t="s">
        <v>97</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349</v>
      </c>
      <c r="BGA19" s="325" t="str">
        <f t="shared" ref="BGA19" ca="1" si="5945">INDEX(BFL3:BFL8,MATCH(INDEX(BFQ13:BFQ27,MATCH(10,BFY13:BFY27,0),0),BFZ3:BFZ8,0),0)</f>
        <v>Austria</v>
      </c>
      <c r="BGB19" s="325">
        <f t="shared" ca="1" si="5439"/>
        <v>1</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97</v>
      </c>
      <c r="DI20" s="325" t="s">
        <v>99</v>
      </c>
      <c r="DJ20" s="325" t="s">
        <v>100</v>
      </c>
      <c r="DK20" s="325" t="s">
        <v>102</v>
      </c>
      <c r="DL20" s="324" t="s">
        <v>102</v>
      </c>
      <c r="DM20" s="324" t="s">
        <v>100</v>
      </c>
      <c r="DN20" s="324" t="s">
        <v>99</v>
      </c>
      <c r="DO20" s="324" t="s">
        <v>97</v>
      </c>
      <c r="DP20" s="325"/>
      <c r="DQ20" s="326">
        <f>IFERROR(MATCH(DQ12,DH20:DK20,0),0)</f>
        <v>3</v>
      </c>
      <c r="DR20" s="326">
        <f>IFERROR(MATCH(DR12,DH20:DK20,0),0)</f>
        <v>0</v>
      </c>
      <c r="DS20" s="326">
        <f>IFERROR(MATCH(DS12,DH20:DK20,0),0)</f>
        <v>2</v>
      </c>
      <c r="DT20" s="326">
        <f>IFERROR(MATCH(DT12,DH20:DK20,0),0)</f>
        <v>0</v>
      </c>
      <c r="DU20" s="326">
        <f t="shared" si="3541"/>
        <v>5</v>
      </c>
      <c r="DV20" s="325" t="s">
        <v>350</v>
      </c>
      <c r="DW20" s="325" t="str">
        <f>INDEX(DH3:DH8,MATCH(INDEX(DN13:DN27,MATCH(10,DU13:DU27,0),0),DV3:DV8,0),0)</f>
        <v>Albania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2</v>
      </c>
      <c r="EE20" s="319">
        <f ca="1">SUMIF(IA3:IA60,DZ20,HY3:HY60)+SUMIF(HX3:HX60,DZ20,HZ3:HZ60)</f>
        <v>7</v>
      </c>
      <c r="EF20" s="319">
        <f t="shared" ca="1" si="5043"/>
        <v>995</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1</v>
      </c>
      <c r="HZ20" s="322">
        <f ca="1">IF(OFFSET('Player Game Board'!Q27,0,HY1)&lt;&gt;"",OFFSET('Player Game Board'!Q27,0,HY1),0)</f>
        <v>4</v>
      </c>
      <c r="IA20" s="319" t="str">
        <f t="shared" si="165"/>
        <v>Serbia</v>
      </c>
      <c r="IB20" s="319" t="str">
        <f ca="1">IF(AND(OFFSET('Player Game Board'!P27,0,HY1)&lt;&gt;"",OFFSET('Player Game Board'!Q27,0,HY1)&lt;&gt;""),IF(HY20&gt;HZ20,"W",IF(HY20=HZ20,"D","L")),"")</f>
        <v>L</v>
      </c>
      <c r="IC20" s="319" t="str">
        <f t="shared" ca="1" si="166"/>
        <v>W</v>
      </c>
      <c r="ID20" s="319"/>
      <c r="IE20" s="319"/>
      <c r="IF20" s="324" t="s">
        <v>97</v>
      </c>
      <c r="IG20" s="325" t="s">
        <v>99</v>
      </c>
      <c r="IH20" s="325" t="s">
        <v>100</v>
      </c>
      <c r="II20" s="325" t="s">
        <v>102</v>
      </c>
      <c r="IJ20" s="324" t="s">
        <v>102</v>
      </c>
      <c r="IK20" s="324" t="s">
        <v>100</v>
      </c>
      <c r="IL20" s="324" t="s">
        <v>99</v>
      </c>
      <c r="IM20" s="324" t="s">
        <v>97</v>
      </c>
      <c r="IN20" s="325"/>
      <c r="IO20" s="326">
        <f ca="1">IFERROR(MATCH(IO12,IF20:II20,0),0)</f>
        <v>0</v>
      </c>
      <c r="IP20" s="326">
        <f ca="1">IFERROR(MATCH(IP12,IF20:II20,0),0)</f>
        <v>2</v>
      </c>
      <c r="IQ20" s="326">
        <f ca="1">IFERROR(MATCH(IQ12,IF20:II20,0),0)</f>
        <v>1</v>
      </c>
      <c r="IR20" s="326">
        <f ca="1">IFERROR(MATCH(IR12,IF20:II20,0),0)</f>
        <v>0</v>
      </c>
      <c r="IS20" s="326">
        <f t="shared" ca="1" si="3544"/>
        <v>3</v>
      </c>
      <c r="IT20" s="325" t="s">
        <v>350</v>
      </c>
      <c r="IU20" s="325" t="str">
        <f ca="1">INDEX(IF3:IF8,MATCH(INDEX(IL13:IL27,MATCH(10,IS13:IS27,0),0),IT3:IT8,0),0)</f>
        <v>Italy</v>
      </c>
      <c r="IV20" s="325">
        <f t="shared" ca="1" si="5047"/>
        <v>1</v>
      </c>
      <c r="IW20" s="319">
        <f ca="1">VLOOKUP(IX20,MS18:MT22,2,FALSE)</f>
        <v>3</v>
      </c>
      <c r="IX20" s="319" t="str">
        <f t="shared" si="5447"/>
        <v>Slovenia</v>
      </c>
      <c r="IY20" s="319">
        <f ca="1">SUMPRODUCT((MV3:MV42=IX20)*(MZ3:MZ42="W"))+SUMPRODUCT((MY3:MY42=IX20)*(NA3:NA42="W"))</f>
        <v>0</v>
      </c>
      <c r="IZ20" s="319">
        <f ca="1">SUMPRODUCT((MV3:MV42=IX20)*(MZ3:MZ42="D"))+SUMPRODUCT((MY3:MY42=IX20)*(NA3:NA42="D"))</f>
        <v>1</v>
      </c>
      <c r="JA20" s="319">
        <f ca="1">SUMPRODUCT((MV3:MV42=IX20)*(MZ3:MZ42="L"))+SUMPRODUCT((MY3:MY42=IX20)*(NA3:NA42="L"))</f>
        <v>2</v>
      </c>
      <c r="JB20" s="319">
        <f ca="1">SUMIF(MV3:MV60,IX20,MW3:MW60)+SUMIF(MY3:MY60,IX20,MX3:MX60)</f>
        <v>2</v>
      </c>
      <c r="JC20" s="319">
        <f ca="1">SUMIF(MY3:MY60,IX20,MW3:MW60)+SUMIF(MV3:MV60,IX20,MX3:MX60)</f>
        <v>5</v>
      </c>
      <c r="JD20" s="319">
        <f t="shared" ca="1" si="5048"/>
        <v>997</v>
      </c>
      <c r="JE20" s="319">
        <f t="shared" ca="1" si="5049"/>
        <v>1</v>
      </c>
      <c r="JF20" s="319">
        <f t="shared" si="618"/>
        <v>39</v>
      </c>
      <c r="JG20" s="319">
        <f ca="1">IF(COUNTIF(JE18:JE22,4)&lt;&gt;4,RANK(JE20,JE18:JE22),JE60)</f>
        <v>3</v>
      </c>
      <c r="JH20" s="319"/>
      <c r="JI20" s="319">
        <f ca="1">SUMPRODUCT((JG18:JG21=JG20)*(JF18:JF21&lt;JF20))+JG20</f>
        <v>4</v>
      </c>
      <c r="JJ20" s="319" t="str">
        <f ca="1">INDEX(IX18:IX22,MATCH(3,JI18:JI22,0),0)</f>
        <v>Serbia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Serbia</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1</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f t="shared" ref="LL20:LL21" ca="1" si="5950">IF(LE20&lt;&gt;"",LF20*3+LG20*1,"")</f>
        <v>1</v>
      </c>
      <c r="LM20" s="319">
        <f ca="1">IF(LE20&lt;&gt;"",VLOOKUP(LE20,IX4:JD40,7,FALSE),"")</f>
        <v>997</v>
      </c>
      <c r="LN20" s="319">
        <f ca="1">IF(LE20&lt;&gt;"",VLOOKUP(LE20,IX4:JD40,5,FALSE),"")</f>
        <v>0</v>
      </c>
      <c r="LO20" s="319">
        <f ca="1">IF(LE20&lt;&gt;"",VLOOKUP(LE20,IX4:JF40,9,FALSE),"")</f>
        <v>35</v>
      </c>
      <c r="LP20" s="319">
        <f t="shared" ref="LP20:LP21" ca="1" si="5951">LL20</f>
        <v>1</v>
      </c>
      <c r="LQ20" s="319">
        <f ca="1">IF(LE20&lt;&gt;"",RANK(LP20,LP18:LP22),"")</f>
        <v>1</v>
      </c>
      <c r="LR20" s="319">
        <f ca="1">IF(LE20&lt;&gt;"",SUMPRODUCT((LP18:LP22=LP20)*(LK18:LK22&gt;LK20)),"")</f>
        <v>0</v>
      </c>
      <c r="LS20" s="319">
        <f ca="1">IF(LE20&lt;&gt;"",SUMPRODUCT((LP18:LP22=LP20)*(LK18:LK22=LK20)*(LI18:LI22&gt;LI20)),"")</f>
        <v>0</v>
      </c>
      <c r="LT20" s="319">
        <f ca="1">IF(LE20&lt;&gt;"",SUMPRODUCT((LP18:LP22=LP20)*(LK18:LK22=LK20)*(LI18:LI22=LI20)*(LM18:LM22&gt;LM20)),"")</f>
        <v>0</v>
      </c>
      <c r="LU20" s="319">
        <f ca="1">IF(LE20&lt;&gt;"",SUMPRODUCT((LP18:LP22=LP20)*(LK18:LK22=LK20)*(LI18:LI22=LI20)*(LM18:LM22=LM20)*(LN18:LN22&gt;LN20)),"")</f>
        <v>1</v>
      </c>
      <c r="LV20" s="319">
        <f ca="1">IF(LE20&lt;&gt;"",SUMPRODUCT((LP18:LP22=LP20)*(LK18:LK22=LK20)*(LI18:LI22=LI20)*(LM18:LM22=LM20)*(LN18:LN22=LN20)*(LO18:LO22&gt;LO20)),"")</f>
        <v>0</v>
      </c>
      <c r="LW20" s="319">
        <f ca="1">IF(LE20&lt;&gt;"",SUM(LQ20:LV20)+2,"")</f>
        <v>4</v>
      </c>
      <c r="LX20" s="319" t="str">
        <f ca="1">IF(LE20&lt;&gt;"",INDEX(LE20:LE22,MATCH(3,LW20:LW22,0),0),"")</f>
        <v>Slovenia</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0</v>
      </c>
      <c r="MX20" s="322">
        <f ca="1">IF(OFFSET('Player Game Board'!Q27,0,MW1)&lt;&gt;"",OFFSET('Player Game Board'!Q27,0,MW1),0)</f>
        <v>0</v>
      </c>
      <c r="MY20" s="319" t="str">
        <f t="shared" si="171"/>
        <v>Serbia</v>
      </c>
      <c r="MZ20" s="319" t="str">
        <f ca="1">IF(AND(OFFSET('Player Game Board'!P27,0,MW1)&lt;&gt;"",OFFSET('Player Game Board'!Q27,0,MW1)&lt;&gt;""),IF(MW20&gt;MX20,"W",IF(MW20=MX20,"D","L")),"")</f>
        <v>D</v>
      </c>
      <c r="NA20" s="319" t="str">
        <f t="shared" ca="1" si="172"/>
        <v>D</v>
      </c>
      <c r="NB20" s="319"/>
      <c r="NC20" s="319"/>
      <c r="ND20" s="324" t="s">
        <v>97</v>
      </c>
      <c r="NE20" s="325" t="s">
        <v>99</v>
      </c>
      <c r="NF20" s="325" t="s">
        <v>100</v>
      </c>
      <c r="NG20" s="325" t="s">
        <v>102</v>
      </c>
      <c r="NH20" s="324" t="s">
        <v>102</v>
      </c>
      <c r="NI20" s="324" t="s">
        <v>100</v>
      </c>
      <c r="NJ20" s="324" t="s">
        <v>99</v>
      </c>
      <c r="NK20" s="324" t="s">
        <v>97</v>
      </c>
      <c r="NL20" s="325"/>
      <c r="NM20" s="326">
        <f ca="1">IFERROR(MATCH(NM12,ND20:NG20,0),0)</f>
        <v>0</v>
      </c>
      <c r="NN20" s="326">
        <f ca="1">IFERROR(MATCH(NN12,ND20:NG20,0),0)</f>
        <v>4</v>
      </c>
      <c r="NO20" s="326">
        <f ca="1">IFERROR(MATCH(NO12,ND20:NG20,0),0)</f>
        <v>1</v>
      </c>
      <c r="NP20" s="326">
        <f ca="1">IFERROR(MATCH(NP12,ND20:NG20,0),0)</f>
        <v>3</v>
      </c>
      <c r="NQ20" s="326">
        <f t="shared" ca="1" si="3547"/>
        <v>8</v>
      </c>
      <c r="NR20" s="325" t="s">
        <v>350</v>
      </c>
      <c r="NS20" s="325" t="str">
        <f ca="1">INDEX(ND3:ND8,MATCH(INDEX(NJ13:NJ27,MATCH(10,NQ13:NQ27,0),0),NR3:NR8,0),0)</f>
        <v>Hungary</v>
      </c>
      <c r="NT20" s="325">
        <f t="shared" ca="1" si="5052"/>
        <v>0</v>
      </c>
      <c r="NU20" s="319">
        <f t="shared" ref="NU20" ca="1" si="5952">VLOOKUP(NV20,RQ18:RR22,2,FALSE)</f>
        <v>3</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0</v>
      </c>
      <c r="NZ20" s="319">
        <f t="shared" ref="NZ20" ca="1" si="5956">SUMIF(RT3:RT60,NV20,RU3:RU60)+SUMIF(RW3:RW60,NV20,RV3:RV60)</f>
        <v>0</v>
      </c>
      <c r="OA20" s="319">
        <f t="shared" ref="OA20" ca="1" si="5957">SUMIF(RW3:RW60,NV20,RU3:RU60)+SUMIF(RT3:RT60,NV20,RV3:RV60)</f>
        <v>0</v>
      </c>
      <c r="OB20" s="319">
        <f t="shared" ca="1" si="5060"/>
        <v>1000</v>
      </c>
      <c r="OC20" s="319">
        <f t="shared" ca="1" si="5061"/>
        <v>0</v>
      </c>
      <c r="OD20" s="319">
        <f t="shared" si="630"/>
        <v>39</v>
      </c>
      <c r="OE20" s="319">
        <f t="shared" ref="OE20" ca="1" si="5958">IF(COUNTIF(OC18:OC22,4)&lt;&gt;4,RANK(OC20,OC18:OC22),OC60)</f>
        <v>1</v>
      </c>
      <c r="OF20" s="319"/>
      <c r="OG20" s="319">
        <f t="shared" ref="OG20" ca="1" si="5959">SUMPRODUCT((OE18:OE21=OE20)*(OD18:OD21&lt;OD20))+OE20</f>
        <v>2</v>
      </c>
      <c r="OH20" s="319" t="str">
        <f t="shared" ref="OH20" ca="1" si="5960">INDEX(NV18:NV22,MATCH(3,OG18:OG22,0),0)</f>
        <v>Denmark</v>
      </c>
      <c r="OI20" s="319">
        <f t="shared" ref="OI20" ca="1" si="5961">INDEX(OE18:OE22,MATCH(OH20,NV18:NV22,0),0)</f>
        <v>1</v>
      </c>
      <c r="OJ20" s="319" t="str">
        <f t="shared" ref="OJ20:OJ21" ca="1" si="5962">IF(AND(OJ19&lt;&gt;"",OI20=1),OH20,"")</f>
        <v>Denmark</v>
      </c>
      <c r="OK20" s="319" t="str">
        <f t="shared" ref="OK20:OK21" ca="1" si="5963">IF(AND(OK19&lt;&gt;"",OI21=2),OH21,"")</f>
        <v/>
      </c>
      <c r="OL20" s="319" t="str">
        <f t="shared" ref="OL20" ca="1" si="5964">IF(AND(OL19&lt;&gt;"",OI22=3),OH22,"")</f>
        <v/>
      </c>
      <c r="OM20" s="319"/>
      <c r="ON20" s="319"/>
      <c r="OO20" s="319" t="str">
        <f t="shared" ca="1" si="5070"/>
        <v>Denmark</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f t="shared" ca="1" si="5077"/>
        <v>0</v>
      </c>
      <c r="OW20" s="319">
        <f t="shared" ref="OW20" ca="1" si="5970">IF(OO20&lt;&gt;"",VLOOKUP(OO20,NV4:OB40,7,FALSE),"")</f>
        <v>1000</v>
      </c>
      <c r="OX20" s="319">
        <f t="shared" ref="OX20" ca="1" si="5971">IF(OO20&lt;&gt;"",VLOOKUP(OO20,NV4:OB40,5,FALSE),"")</f>
        <v>0</v>
      </c>
      <c r="OY20" s="319">
        <f t="shared" ref="OY20" ca="1" si="5972">IF(OO20&lt;&gt;"",VLOOKUP(OO20,NV4:OD40,9,FALSE),"")</f>
        <v>45</v>
      </c>
      <c r="OZ20" s="319">
        <f t="shared" ca="1" si="5081"/>
        <v>0</v>
      </c>
      <c r="PA20" s="319">
        <f t="shared" ref="PA20" ca="1" si="5973">IF(OO20&lt;&gt;"",RANK(OZ20,OZ18:OZ22),"")</f>
        <v>1</v>
      </c>
      <c r="PB20" s="319">
        <f t="shared" ref="PB20" ca="1" si="5974">IF(OO20&lt;&gt;"",SUMPRODUCT((OZ18:OZ22=OZ20)*(OU18:OU22&gt;OU20)),"")</f>
        <v>0</v>
      </c>
      <c r="PC20" s="319">
        <f t="shared" ref="PC20" ca="1" si="5975">IF(OO20&lt;&gt;"",SUMPRODUCT((OZ18:OZ22=OZ20)*(OU18:OU22=OU20)*(OS18:OS22&gt;OS20)),"")</f>
        <v>0</v>
      </c>
      <c r="PD20" s="319">
        <f t="shared" ref="PD20" ca="1" si="5976">IF(OO20&lt;&gt;"",SUMPRODUCT((OZ18:OZ22=OZ20)*(OU18:OU22=OU20)*(OS18:OS22=OS20)*(OW18:OW22&gt;OW20)),"")</f>
        <v>0</v>
      </c>
      <c r="PE20" s="319">
        <f t="shared" ref="PE20" ca="1" si="5977">IF(OO20&lt;&gt;"",SUMPRODUCT((OZ18:OZ22=OZ20)*(OU18:OU22=OU20)*(OS18:OS22=OS20)*(OW18:OW22=OW20)*(OX18:OX22&gt;OX20)),"")</f>
        <v>0</v>
      </c>
      <c r="PF20" s="319">
        <f t="shared" ref="PF20" ca="1" si="5978">IF(OO20&lt;&gt;"",SUMPRODUCT((OZ18:OZ22=OZ20)*(OU18:OU22=OU20)*(OS18:OS22=OS20)*(OW18:OW22=OW20)*(OX18:OX22=OX20)*(OY18:OY22&gt;OY20)),"")</f>
        <v>1</v>
      </c>
      <c r="PG20" s="319">
        <f ca="1">IF(OO20&lt;&gt;"",IF(PG60&lt;&gt;"",IF(ON57=3,PG60,PG60+ON57),SUM(PA20:PF20)),"")</f>
        <v>2</v>
      </c>
      <c r="PH20" s="319" t="str">
        <f t="shared" ref="PH20" ca="1" si="5979">IF(OO20&lt;&gt;"",INDEX(OO18:OO22,MATCH(3,PG18:PG22,0),0),"")</f>
        <v>Slovenia</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0</v>
      </c>
      <c r="RV20" s="322">
        <f ca="1">IF(OFFSET('Player Game Board'!Q27,0,RU1)&lt;&gt;"",OFFSET('Player Game Board'!Q27,0,RU1),0)</f>
        <v>0</v>
      </c>
      <c r="RW20" s="319" t="str">
        <f t="shared" si="19"/>
        <v>Serbia</v>
      </c>
      <c r="RX20" s="319" t="str">
        <f ca="1">IF(AND(OFFSET('Player Game Board'!P27,0,RU1)&lt;&gt;"",OFFSET('Player Game Board'!Q27,0,RU1)&lt;&gt;""),IF(RU20&gt;RV20,"W",IF(RU20=RV20,"D","L")),"")</f>
        <v/>
      </c>
      <c r="RY20" s="319" t="str">
        <f t="shared" ca="1" si="5500"/>
        <v/>
      </c>
      <c r="RZ20" s="319"/>
      <c r="SA20" s="319"/>
      <c r="SB20" s="324" t="s">
        <v>97</v>
      </c>
      <c r="SC20" s="325" t="s">
        <v>99</v>
      </c>
      <c r="SD20" s="325" t="s">
        <v>100</v>
      </c>
      <c r="SE20" s="325" t="s">
        <v>102</v>
      </c>
      <c r="SF20" s="324" t="s">
        <v>102</v>
      </c>
      <c r="SG20" s="324" t="s">
        <v>100</v>
      </c>
      <c r="SH20" s="324" t="s">
        <v>99</v>
      </c>
      <c r="SI20" s="324" t="s">
        <v>97</v>
      </c>
      <c r="SJ20" s="325"/>
      <c r="SK20" s="326">
        <f t="shared" ref="SK20" ca="1" si="6016">IFERROR(MATCH(SK12,SB20:SE20,0),0)</f>
        <v>1</v>
      </c>
      <c r="SL20" s="326">
        <f t="shared" ref="SL20" ca="1" si="6017">IFERROR(MATCH(SL12,SB20:SE20,0),0)</f>
        <v>3</v>
      </c>
      <c r="SM20" s="326">
        <f t="shared" ref="SM20" ca="1" si="6018">IFERROR(MATCH(SM12,SB20:SE20,0),0)</f>
        <v>0</v>
      </c>
      <c r="SN20" s="326">
        <f t="shared" ref="SN20" ca="1" si="6019">IFERROR(MATCH(SN12,SB20:SE20,0),0)</f>
        <v>2</v>
      </c>
      <c r="SO20" s="326">
        <f t="shared" ca="1" si="3616"/>
        <v>6</v>
      </c>
      <c r="SP20" s="325" t="s">
        <v>350</v>
      </c>
      <c r="SQ20" s="325" t="str">
        <f t="shared" ref="SQ20" ca="1" si="6020">INDEX(SB3:SB8,MATCH(INDEX(SH13:SH27,MATCH(10,SO13:SO27,0),0),SP3:SP8,0),0)</f>
        <v>Croatia</v>
      </c>
      <c r="SR20" s="325">
        <f t="shared" ca="1" si="5095"/>
        <v>0</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0</v>
      </c>
      <c r="SX20" s="319">
        <f t="shared" ref="SX20" ca="1" si="6025">SUMIF(WR3:WR60,ST20,WS3:WS60)+SUMIF(WU3:WU60,ST20,WT3:WT60)</f>
        <v>0</v>
      </c>
      <c r="SY20" s="319">
        <f t="shared" ref="SY20" ca="1" si="6026">SUMIF(WU3:WU60,ST20,WS3:WS60)+SUMIF(WR3:WR60,ST20,WT3:WT60)</f>
        <v>0</v>
      </c>
      <c r="SZ20" s="319">
        <f t="shared" ca="1" si="5103"/>
        <v>1000</v>
      </c>
      <c r="TA20" s="319">
        <f t="shared" ca="1" si="5104"/>
        <v>0</v>
      </c>
      <c r="TB20" s="319">
        <f t="shared" si="690"/>
        <v>39</v>
      </c>
      <c r="TC20" s="319">
        <f t="shared" ref="TC20" ca="1" si="6027">IF(COUNTIF(TA18:TA22,4)&lt;&gt;4,RANK(TA20,TA18:TA22),TA60)</f>
        <v>1</v>
      </c>
      <c r="TD20" s="319"/>
      <c r="TE20" s="319">
        <f t="shared" ref="TE20" ca="1" si="6028">SUMPRODUCT((TC18:TC21=TC20)*(TB18:TB21&lt;TB20))+TC20</f>
        <v>2</v>
      </c>
      <c r="TF20" s="319" t="str">
        <f t="shared" ref="TF20" ca="1" si="6029">INDEX(ST18:ST22,MATCH(3,TE18:TE22,0),0)</f>
        <v>Denmark</v>
      </c>
      <c r="TG20" s="319">
        <f t="shared" ref="TG20" ca="1" si="6030">INDEX(TC18:TC22,MATCH(TF20,ST18:ST22,0),0)</f>
        <v>1</v>
      </c>
      <c r="TH20" s="319" t="str">
        <f t="shared" ref="TH20:TH21" ca="1" si="6031">IF(AND(TH19&lt;&gt;"",TG20=1),TF20,"")</f>
        <v>Denmark</v>
      </c>
      <c r="TI20" s="319" t="str">
        <f t="shared" ref="TI20:TI21" ca="1" si="6032">IF(AND(TI19&lt;&gt;"",TG21=2),TF21,"")</f>
        <v/>
      </c>
      <c r="TJ20" s="319" t="str">
        <f t="shared" ref="TJ20" ca="1" si="6033">IF(AND(TJ19&lt;&gt;"",TG22=3),TF22,"")</f>
        <v/>
      </c>
      <c r="TK20" s="319"/>
      <c r="TL20" s="319"/>
      <c r="TM20" s="319" t="str">
        <f t="shared" ca="1" si="5113"/>
        <v>Denmark</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f t="shared" ca="1" si="5120"/>
        <v>0</v>
      </c>
      <c r="TU20" s="319">
        <f t="shared" ref="TU20" ca="1" si="6039">IF(TM20&lt;&gt;"",VLOOKUP(TM20,ST4:SZ40,7,FALSE),"")</f>
        <v>1000</v>
      </c>
      <c r="TV20" s="319">
        <f t="shared" ref="TV20" ca="1" si="6040">IF(TM20&lt;&gt;"",VLOOKUP(TM20,ST4:SZ40,5,FALSE),"")</f>
        <v>0</v>
      </c>
      <c r="TW20" s="319">
        <f t="shared" ref="TW20" ca="1" si="6041">IF(TM20&lt;&gt;"",VLOOKUP(TM20,ST4:TB40,9,FALSE),"")</f>
        <v>45</v>
      </c>
      <c r="TX20" s="319">
        <f t="shared" ca="1" si="5124"/>
        <v>0</v>
      </c>
      <c r="TY20" s="319">
        <f t="shared" ref="TY20" ca="1" si="6042">IF(TM20&lt;&gt;"",RANK(TX20,TX18:TX22),"")</f>
        <v>1</v>
      </c>
      <c r="TZ20" s="319">
        <f t="shared" ref="TZ20" ca="1" si="6043">IF(TM20&lt;&gt;"",SUMPRODUCT((TX18:TX22=TX20)*(TS18:TS22&gt;TS20)),"")</f>
        <v>0</v>
      </c>
      <c r="UA20" s="319">
        <f t="shared" ref="UA20" ca="1" si="6044">IF(TM20&lt;&gt;"",SUMPRODUCT((TX18:TX22=TX20)*(TS18:TS22=TS20)*(TQ18:TQ22&gt;TQ20)),"")</f>
        <v>0</v>
      </c>
      <c r="UB20" s="319">
        <f t="shared" ref="UB20" ca="1" si="6045">IF(TM20&lt;&gt;"",SUMPRODUCT((TX18:TX22=TX20)*(TS18:TS22=TS20)*(TQ18:TQ22=TQ20)*(TU18:TU22&gt;TU20)),"")</f>
        <v>0</v>
      </c>
      <c r="UC20" s="319">
        <f t="shared" ref="UC20" ca="1" si="6046">IF(TM20&lt;&gt;"",SUMPRODUCT((TX18:TX22=TX20)*(TS18:TS22=TS20)*(TQ18:TQ22=TQ20)*(TU18:TU22=TU20)*(TV18:TV22&gt;TV20)),"")</f>
        <v>0</v>
      </c>
      <c r="UD20" s="319">
        <f t="shared" ref="UD20" ca="1" si="6047">IF(TM20&lt;&gt;"",SUMPRODUCT((TX18:TX22=TX20)*(TS18:TS22=TS20)*(TQ18:TQ22=TQ20)*(TU18:TU22=TU20)*(TV18:TV22=TV20)*(TW18:TW22&gt;TW20)),"")</f>
        <v>1</v>
      </c>
      <c r="UE20" s="319">
        <f ca="1">IF(TM20&lt;&gt;"",IF(UE60&lt;&gt;"",IF(TL57=3,UE60,UE60+TL57),SUM(TY20:UD20)),"")</f>
        <v>2</v>
      </c>
      <c r="UF20" s="319" t="str">
        <f t="shared" ref="UF20" ca="1" si="6048">IF(TM20&lt;&gt;"",INDEX(TM18:TM22,MATCH(3,UE18:UE22,0),0),"")</f>
        <v>Slovenia</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
      </c>
      <c r="WW20" s="319" t="str">
        <f t="shared" ca="1" si="5555"/>
        <v/>
      </c>
      <c r="WX20" s="319"/>
      <c r="WY20" s="319"/>
      <c r="WZ20" s="324" t="s">
        <v>97</v>
      </c>
      <c r="XA20" s="325" t="s">
        <v>99</v>
      </c>
      <c r="XB20" s="325" t="s">
        <v>100</v>
      </c>
      <c r="XC20" s="325" t="s">
        <v>102</v>
      </c>
      <c r="XD20" s="324" t="s">
        <v>102</v>
      </c>
      <c r="XE20" s="324" t="s">
        <v>100</v>
      </c>
      <c r="XF20" s="324" t="s">
        <v>99</v>
      </c>
      <c r="XG20" s="324" t="s">
        <v>97</v>
      </c>
      <c r="XH20" s="325"/>
      <c r="XI20" s="326">
        <f t="shared" ref="XI20" ca="1" si="6085">IFERROR(MATCH(XI12,WZ20:XC20,0),0)</f>
        <v>1</v>
      </c>
      <c r="XJ20" s="326">
        <f t="shared" ref="XJ20" ca="1" si="6086">IFERROR(MATCH(XJ12,WZ20:XC20,0),0)</f>
        <v>3</v>
      </c>
      <c r="XK20" s="326">
        <f t="shared" ref="XK20" ca="1" si="6087">IFERROR(MATCH(XK12,WZ20:XC20,0),0)</f>
        <v>0</v>
      </c>
      <c r="XL20" s="326">
        <f t="shared" ref="XL20" ca="1" si="6088">IFERROR(MATCH(XL12,WZ20:XC20,0),0)</f>
        <v>2</v>
      </c>
      <c r="XM20" s="326">
        <f t="shared" ca="1" si="3686"/>
        <v>6</v>
      </c>
      <c r="XN20" s="325" t="s">
        <v>350</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97</v>
      </c>
      <c r="ABY20" s="325" t="s">
        <v>99</v>
      </c>
      <c r="ABZ20" s="325" t="s">
        <v>100</v>
      </c>
      <c r="ACA20" s="325" t="s">
        <v>102</v>
      </c>
      <c r="ACB20" s="324" t="s">
        <v>102</v>
      </c>
      <c r="ACC20" s="324" t="s">
        <v>100</v>
      </c>
      <c r="ACD20" s="324" t="s">
        <v>99</v>
      </c>
      <c r="ACE20" s="324" t="s">
        <v>97</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350</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0</v>
      </c>
      <c r="ACT20" s="319">
        <f t="shared" ref="ACT20" ca="1" si="6163">SUMIF(AGN3:AGN60,ACP20,AGO3:AGO60)+SUMIF(AGQ3:AGQ60,ACP20,AGP3:AGP60)</f>
        <v>0</v>
      </c>
      <c r="ACU20" s="319">
        <f t="shared" ref="ACU20" ca="1" si="6164">SUMIF(AGQ3:AGQ60,ACP20,AGO3:AGO60)+SUMIF(AGN3:AGN60,ACP20,AGP3:AGP60)</f>
        <v>0</v>
      </c>
      <c r="ACV20" s="319">
        <f t="shared" ca="1" si="5189"/>
        <v>1000</v>
      </c>
      <c r="ACW20" s="319">
        <f t="shared" ca="1" si="5190"/>
        <v>0</v>
      </c>
      <c r="ACX20" s="319">
        <f t="shared" si="810"/>
        <v>39</v>
      </c>
      <c r="ACY20" s="319">
        <f t="shared" ref="ACY20" ca="1" si="6165">IF(COUNTIF(ACW18:ACW22,4)&lt;&gt;4,RANK(ACW20,ACW18:ACW22),ACW60)</f>
        <v>1</v>
      </c>
      <c r="ACZ20" s="319"/>
      <c r="ADA20" s="319">
        <f t="shared" ref="ADA20" ca="1" si="6166">SUMPRODUCT((ACY18:ACY21=ACY20)*(ACX18:ACX21&lt;ACX20))+ACY20</f>
        <v>2</v>
      </c>
      <c r="ADB20" s="319" t="str">
        <f t="shared" ref="ADB20" ca="1" si="6167">INDEX(ACP18:ACP22,MATCH(3,ADA18:ADA22,0),0)</f>
        <v>Denmark</v>
      </c>
      <c r="ADC20" s="319">
        <f t="shared" ref="ADC20" ca="1" si="6168">INDEX(ACY18:ACY22,MATCH(ADB20,ACP18:ACP22,0),0)</f>
        <v>1</v>
      </c>
      <c r="ADD20" s="319" t="str">
        <f t="shared" ref="ADD20:ADD21" ca="1" si="6169">IF(AND(ADD19&lt;&gt;"",ADC20=1),ADB20,"")</f>
        <v>Denmark</v>
      </c>
      <c r="ADE20" s="319" t="str">
        <f t="shared" ref="ADE20:ADE21" ca="1" si="6170">IF(AND(ADE19&lt;&gt;"",ADC21=2),ADB21,"")</f>
        <v/>
      </c>
      <c r="ADF20" s="319" t="str">
        <f t="shared" ref="ADF20" ca="1" si="6171">IF(AND(ADF19&lt;&gt;"",ADC22=3),ADB22,"")</f>
        <v/>
      </c>
      <c r="ADG20" s="319"/>
      <c r="ADH20" s="319"/>
      <c r="ADI20" s="319" t="str">
        <f t="shared" ca="1" si="5199"/>
        <v>Denmark</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f t="shared" ca="1" si="5206"/>
        <v>0</v>
      </c>
      <c r="ADQ20" s="319">
        <f t="shared" ref="ADQ20" ca="1" si="6177">IF(ADI20&lt;&gt;"",VLOOKUP(ADI20,ACP4:ACV40,7,FALSE),"")</f>
        <v>1000</v>
      </c>
      <c r="ADR20" s="319">
        <f t="shared" ref="ADR20" ca="1" si="6178">IF(ADI20&lt;&gt;"",VLOOKUP(ADI20,ACP4:ACV40,5,FALSE),"")</f>
        <v>0</v>
      </c>
      <c r="ADS20" s="319">
        <f t="shared" ref="ADS20" ca="1" si="6179">IF(ADI20&lt;&gt;"",VLOOKUP(ADI20,ACP4:ACX40,9,FALSE),"")</f>
        <v>45</v>
      </c>
      <c r="ADT20" s="319">
        <f t="shared" ca="1" si="5210"/>
        <v>0</v>
      </c>
      <c r="ADU20" s="319">
        <f t="shared" ref="ADU20" ca="1" si="6180">IF(ADI20&lt;&gt;"",RANK(ADT20,ADT18:ADT22),"")</f>
        <v>1</v>
      </c>
      <c r="ADV20" s="319">
        <f t="shared" ref="ADV20" ca="1" si="6181">IF(ADI20&lt;&gt;"",SUMPRODUCT((ADT18:ADT22=ADT20)*(ADO18:ADO22&gt;ADO20)),"")</f>
        <v>0</v>
      </c>
      <c r="ADW20" s="319">
        <f t="shared" ref="ADW20" ca="1" si="6182">IF(ADI20&lt;&gt;"",SUMPRODUCT((ADT18:ADT22=ADT20)*(ADO18:ADO22=ADO20)*(ADM18:ADM22&gt;ADM20)),"")</f>
        <v>0</v>
      </c>
      <c r="ADX20" s="319">
        <f t="shared" ref="ADX20" ca="1" si="6183">IF(ADI20&lt;&gt;"",SUMPRODUCT((ADT18:ADT22=ADT20)*(ADO18:ADO22=ADO20)*(ADM18:ADM22=ADM20)*(ADQ18:ADQ22&gt;ADQ20)),"")</f>
        <v>0</v>
      </c>
      <c r="ADY20" s="319">
        <f t="shared" ref="ADY20" ca="1" si="6184">IF(ADI20&lt;&gt;"",SUMPRODUCT((ADT18:ADT22=ADT20)*(ADO18:ADO22=ADO20)*(ADM18:ADM22=ADM20)*(ADQ18:ADQ22=ADQ20)*(ADR18:ADR22&gt;ADR20)),"")</f>
        <v>0</v>
      </c>
      <c r="ADZ20" s="319">
        <f t="shared" ref="ADZ20" ca="1" si="6185">IF(ADI20&lt;&gt;"",SUMPRODUCT((ADT18:ADT22=ADT20)*(ADO18:ADO22=ADO20)*(ADM18:ADM22=ADM20)*(ADQ18:ADQ22=ADQ20)*(ADR18:ADR22=ADR20)*(ADS18:ADS22&gt;ADS20)),"")</f>
        <v>1</v>
      </c>
      <c r="AEA20" s="319">
        <f ca="1">IF(ADI20&lt;&gt;"",IF(AEA60&lt;&gt;"",IF(ADH57=3,AEA60,AEA60+ADH57),SUM(ADU20:ADZ20)),"")</f>
        <v>2</v>
      </c>
      <c r="AEB20" s="319" t="str">
        <f t="shared" ref="AEB20" ca="1" si="6186">IF(ADI20&lt;&gt;"",INDEX(ADI18:ADI22,MATCH(3,AEA18:AEA22,0),0),"")</f>
        <v>Slovenia</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0</v>
      </c>
      <c r="AGP20" s="322">
        <f ca="1">IF(OFFSET('Player Game Board'!Q27,0,AGO1)&lt;&gt;"",OFFSET('Player Game Board'!Q27,0,AGO1),0)</f>
        <v>0</v>
      </c>
      <c r="AGQ20" s="319" t="str">
        <f t="shared" si="67"/>
        <v>Serbia</v>
      </c>
      <c r="AGR20" s="319" t="str">
        <f ca="1">IF(AND(OFFSET('Player Game Board'!P27,0,AGO1)&lt;&gt;"",OFFSET('Player Game Board'!Q27,0,AGO1)&lt;&gt;""),IF(AGO20&gt;AGP20,"W",IF(AGO20=AGP20,"D","L")),"")</f>
        <v/>
      </c>
      <c r="AGS20" s="319" t="str">
        <f t="shared" ca="1" si="5665"/>
        <v/>
      </c>
      <c r="AGT20" s="319"/>
      <c r="AGU20" s="319"/>
      <c r="AGV20" s="324" t="s">
        <v>97</v>
      </c>
      <c r="AGW20" s="325" t="s">
        <v>99</v>
      </c>
      <c r="AGX20" s="325" t="s">
        <v>100</v>
      </c>
      <c r="AGY20" s="325" t="s">
        <v>102</v>
      </c>
      <c r="AGZ20" s="324" t="s">
        <v>102</v>
      </c>
      <c r="AHA20" s="324" t="s">
        <v>100</v>
      </c>
      <c r="AHB20" s="324" t="s">
        <v>99</v>
      </c>
      <c r="AHC20" s="324" t="s">
        <v>97</v>
      </c>
      <c r="AHD20" s="325"/>
      <c r="AHE20" s="326">
        <f t="shared" ref="AHE20" ca="1" si="6223">IFERROR(MATCH(AHE12,AGV20:AGY20,0),0)</f>
        <v>1</v>
      </c>
      <c r="AHF20" s="326">
        <f t="shared" ref="AHF20" ca="1" si="6224">IFERROR(MATCH(AHF12,AGV20:AGY20,0),0)</f>
        <v>3</v>
      </c>
      <c r="AHG20" s="326">
        <f t="shared" ref="AHG20" ca="1" si="6225">IFERROR(MATCH(AHG12,AGV20:AGY20,0),0)</f>
        <v>0</v>
      </c>
      <c r="AHH20" s="326">
        <f t="shared" ref="AHH20" ca="1" si="6226">IFERROR(MATCH(AHH12,AGV20:AGY20,0),0)</f>
        <v>2</v>
      </c>
      <c r="AHI20" s="326">
        <f t="shared" ca="1" si="3826"/>
        <v>6</v>
      </c>
      <c r="AHJ20" s="325" t="s">
        <v>350</v>
      </c>
      <c r="AHK20" s="325" t="str">
        <f t="shared" ref="AHK20" ca="1" si="6227">INDEX(AGV3:AGV8,MATCH(INDEX(AHB13:AHB27,MATCH(10,AHI13:AHI27,0),0),AHJ3:AHJ8,0),0)</f>
        <v>Croatia</v>
      </c>
      <c r="AHL20" s="325">
        <f t="shared" ca="1" si="5224"/>
        <v>0</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0</v>
      </c>
      <c r="AHR20" s="319">
        <f t="shared" ref="AHR20" ca="1" si="6232">SUMIF(ALL3:ALL60,AHN20,ALM3:ALM60)+SUMIF(ALO3:ALO60,AHN20,ALN3:ALN60)</f>
        <v>0</v>
      </c>
      <c r="AHS20" s="319">
        <f t="shared" ref="AHS20" ca="1" si="6233">SUMIF(ALO3:ALO60,AHN20,ALM3:ALM60)+SUMIF(ALL3:ALL60,AHN20,ALN3:ALN60)</f>
        <v>0</v>
      </c>
      <c r="AHT20" s="319">
        <f t="shared" ca="1" si="5232"/>
        <v>1000</v>
      </c>
      <c r="AHU20" s="319">
        <f t="shared" ca="1" si="5233"/>
        <v>0</v>
      </c>
      <c r="AHV20" s="319">
        <f t="shared" si="870"/>
        <v>39</v>
      </c>
      <c r="AHW20" s="319">
        <f t="shared" ref="AHW20" ca="1" si="6234">IF(COUNTIF(AHU18:AHU22,4)&lt;&gt;4,RANK(AHU20,AHU18:AHU22),AHU60)</f>
        <v>1</v>
      </c>
      <c r="AHX20" s="319"/>
      <c r="AHY20" s="319">
        <f t="shared" ref="AHY20" ca="1" si="6235">SUMPRODUCT((AHW18:AHW21=AHW20)*(AHV18:AHV21&lt;AHV20))+AHW20</f>
        <v>2</v>
      </c>
      <c r="AHZ20" s="319" t="str">
        <f t="shared" ref="AHZ20" ca="1" si="6236">INDEX(AHN18:AHN22,MATCH(3,AHY18:AHY22,0),0)</f>
        <v>Denmark</v>
      </c>
      <c r="AIA20" s="319">
        <f t="shared" ref="AIA20" ca="1" si="6237">INDEX(AHW18:AHW22,MATCH(AHZ20,AHN18:AHN22,0),0)</f>
        <v>1</v>
      </c>
      <c r="AIB20" s="319" t="str">
        <f t="shared" ref="AIB20:AIB21" ca="1" si="6238">IF(AND(AIB19&lt;&gt;"",AIA20=1),AHZ20,"")</f>
        <v>Denmark</v>
      </c>
      <c r="AIC20" s="319" t="str">
        <f t="shared" ref="AIC20:AIC21" ca="1" si="6239">IF(AND(AIC19&lt;&gt;"",AIA21=2),AHZ21,"")</f>
        <v/>
      </c>
      <c r="AID20" s="319" t="str">
        <f t="shared" ref="AID20" ca="1" si="6240">IF(AND(AID19&lt;&gt;"",AIA22=3),AHZ22,"")</f>
        <v/>
      </c>
      <c r="AIE20" s="319"/>
      <c r="AIF20" s="319"/>
      <c r="AIG20" s="319" t="str">
        <f t="shared" ca="1" si="5242"/>
        <v>Denmark</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f t="shared" ca="1" si="5249"/>
        <v>0</v>
      </c>
      <c r="AIO20" s="319">
        <f t="shared" ref="AIO20" ca="1" si="6246">IF(AIG20&lt;&gt;"",VLOOKUP(AIG20,AHN4:AHT40,7,FALSE),"")</f>
        <v>1000</v>
      </c>
      <c r="AIP20" s="319">
        <f t="shared" ref="AIP20" ca="1" si="6247">IF(AIG20&lt;&gt;"",VLOOKUP(AIG20,AHN4:AHT40,5,FALSE),"")</f>
        <v>0</v>
      </c>
      <c r="AIQ20" s="319">
        <f t="shared" ref="AIQ20" ca="1" si="6248">IF(AIG20&lt;&gt;"",VLOOKUP(AIG20,AHN4:AHV40,9,FALSE),"")</f>
        <v>45</v>
      </c>
      <c r="AIR20" s="319">
        <f t="shared" ca="1" si="5253"/>
        <v>0</v>
      </c>
      <c r="AIS20" s="319">
        <f t="shared" ref="AIS20" ca="1" si="6249">IF(AIG20&lt;&gt;"",RANK(AIR20,AIR18:AIR22),"")</f>
        <v>1</v>
      </c>
      <c r="AIT20" s="319">
        <f t="shared" ref="AIT20" ca="1" si="6250">IF(AIG20&lt;&gt;"",SUMPRODUCT((AIR18:AIR22=AIR20)*(AIM18:AIM22&gt;AIM20)),"")</f>
        <v>0</v>
      </c>
      <c r="AIU20" s="319">
        <f t="shared" ref="AIU20" ca="1" si="6251">IF(AIG20&lt;&gt;"",SUMPRODUCT((AIR18:AIR22=AIR20)*(AIM18:AIM22=AIM20)*(AIK18:AIK22&gt;AIK20)),"")</f>
        <v>0</v>
      </c>
      <c r="AIV20" s="319">
        <f t="shared" ref="AIV20" ca="1" si="6252">IF(AIG20&lt;&gt;"",SUMPRODUCT((AIR18:AIR22=AIR20)*(AIM18:AIM22=AIM20)*(AIK18:AIK22=AIK20)*(AIO18:AIO22&gt;AIO20)),"")</f>
        <v>0</v>
      </c>
      <c r="AIW20" s="319">
        <f t="shared" ref="AIW20" ca="1" si="6253">IF(AIG20&lt;&gt;"",SUMPRODUCT((AIR18:AIR22=AIR20)*(AIM18:AIM22=AIM20)*(AIK18:AIK22=AIK20)*(AIO18:AIO22=AIO20)*(AIP18:AIP22&gt;AIP20)),"")</f>
        <v>0</v>
      </c>
      <c r="AIX20" s="319">
        <f t="shared" ref="AIX20" ca="1" si="6254">IF(AIG20&lt;&gt;"",SUMPRODUCT((AIR18:AIR22=AIR20)*(AIM18:AIM22=AIM20)*(AIK18:AIK22=AIK20)*(AIO18:AIO22=AIO20)*(AIP18:AIP22=AIP20)*(AIQ18:AIQ22&gt;AIQ20)),"")</f>
        <v>1</v>
      </c>
      <c r="AIY20" s="319">
        <f ca="1">IF(AIG20&lt;&gt;"",IF(AIY60&lt;&gt;"",IF(AIF57=3,AIY60,AIY60+AIF57),SUM(AIS20:AIX20)),"")</f>
        <v>2</v>
      </c>
      <c r="AIZ20" s="319" t="str">
        <f t="shared" ref="AIZ20" ca="1" si="6255">IF(AIG20&lt;&gt;"",INDEX(AIG18:AIG22,MATCH(3,AIY18:AIY22,0),0),"")</f>
        <v>Slovenia</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
      </c>
      <c r="ALQ20" s="319" t="str">
        <f t="shared" ca="1" si="5720"/>
        <v/>
      </c>
      <c r="ALR20" s="319"/>
      <c r="ALS20" s="319"/>
      <c r="ALT20" s="324" t="s">
        <v>97</v>
      </c>
      <c r="ALU20" s="325" t="s">
        <v>99</v>
      </c>
      <c r="ALV20" s="325" t="s">
        <v>100</v>
      </c>
      <c r="ALW20" s="325" t="s">
        <v>102</v>
      </c>
      <c r="ALX20" s="324" t="s">
        <v>102</v>
      </c>
      <c r="ALY20" s="324" t="s">
        <v>100</v>
      </c>
      <c r="ALZ20" s="324" t="s">
        <v>99</v>
      </c>
      <c r="AMA20" s="324" t="s">
        <v>97</v>
      </c>
      <c r="AMB20" s="325"/>
      <c r="AMC20" s="326">
        <f t="shared" ref="AMC20" ca="1" si="6292">IFERROR(MATCH(AMC12,ALT20:ALW20,0),0)</f>
        <v>1</v>
      </c>
      <c r="AMD20" s="326">
        <f t="shared" ref="AMD20" ca="1" si="6293">IFERROR(MATCH(AMD12,ALT20:ALW20,0),0)</f>
        <v>3</v>
      </c>
      <c r="AME20" s="326">
        <f t="shared" ref="AME20" ca="1" si="6294">IFERROR(MATCH(AME12,ALT20:ALW20,0),0)</f>
        <v>0</v>
      </c>
      <c r="AMF20" s="326">
        <f t="shared" ref="AMF20" ca="1" si="6295">IFERROR(MATCH(AMF12,ALT20:ALW20,0),0)</f>
        <v>2</v>
      </c>
      <c r="AMG20" s="326">
        <f t="shared" ca="1" si="3896"/>
        <v>6</v>
      </c>
      <c r="AMH20" s="325" t="s">
        <v>350</v>
      </c>
      <c r="AMI20" s="325" t="str">
        <f t="shared" ref="AMI20" ca="1" si="6296">INDEX(ALT3:ALT8,MATCH(INDEX(ALZ13:ALZ27,MATCH(10,AMG13:AMG27,0),0),AMH3:AMH8,0),0)</f>
        <v>Croatia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97</v>
      </c>
      <c r="AQS20" s="325" t="s">
        <v>99</v>
      </c>
      <c r="AQT20" s="325" t="s">
        <v>100</v>
      </c>
      <c r="AQU20" s="325" t="s">
        <v>102</v>
      </c>
      <c r="AQV20" s="324" t="s">
        <v>102</v>
      </c>
      <c r="AQW20" s="324" t="s">
        <v>100</v>
      </c>
      <c r="AQX20" s="324" t="s">
        <v>99</v>
      </c>
      <c r="AQY20" s="324" t="s">
        <v>97</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350</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97</v>
      </c>
      <c r="AVQ20" s="325" t="s">
        <v>99</v>
      </c>
      <c r="AVR20" s="325" t="s">
        <v>100</v>
      </c>
      <c r="AVS20" s="325" t="s">
        <v>102</v>
      </c>
      <c r="AVT20" s="324" t="s">
        <v>102</v>
      </c>
      <c r="AVU20" s="324" t="s">
        <v>100</v>
      </c>
      <c r="AVV20" s="324" t="s">
        <v>99</v>
      </c>
      <c r="AVW20" s="324" t="s">
        <v>97</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350</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97</v>
      </c>
      <c r="BAO20" s="325" t="s">
        <v>99</v>
      </c>
      <c r="BAP20" s="325" t="s">
        <v>100</v>
      </c>
      <c r="BAQ20" s="325" t="s">
        <v>102</v>
      </c>
      <c r="BAR20" s="324" t="s">
        <v>102</v>
      </c>
      <c r="BAS20" s="324" t="s">
        <v>100</v>
      </c>
      <c r="BAT20" s="324" t="s">
        <v>99</v>
      </c>
      <c r="BAU20" s="324" t="s">
        <v>97</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350</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97</v>
      </c>
      <c r="BFM20" s="325" t="s">
        <v>99</v>
      </c>
      <c r="BFN20" s="325" t="s">
        <v>100</v>
      </c>
      <c r="BFO20" s="325" t="s">
        <v>102</v>
      </c>
      <c r="BFP20" s="324" t="s">
        <v>102</v>
      </c>
      <c r="BFQ20" s="324" t="s">
        <v>100</v>
      </c>
      <c r="BFR20" s="324" t="s">
        <v>99</v>
      </c>
      <c r="BFS20" s="324" t="s">
        <v>97</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350</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97</v>
      </c>
      <c r="DI21" s="325" t="s">
        <v>99</v>
      </c>
      <c r="DJ21" s="325" t="s">
        <v>101</v>
      </c>
      <c r="DK21" s="325" t="s">
        <v>102</v>
      </c>
      <c r="DL21" s="324" t="s">
        <v>101</v>
      </c>
      <c r="DM21" s="324" t="s">
        <v>102</v>
      </c>
      <c r="DN21" s="324" t="s">
        <v>99</v>
      </c>
      <c r="DO21" s="324" t="s">
        <v>97</v>
      </c>
      <c r="DP21" s="325"/>
      <c r="DQ21" s="326">
        <f>IFERROR(MATCH(DQ12,DH21:DK21,0),0)</f>
        <v>0</v>
      </c>
      <c r="DR21" s="326">
        <f>IFERROR(MATCH(DR12,DH21:DK21,0),0)</f>
        <v>3</v>
      </c>
      <c r="DS21" s="326">
        <f>IFERROR(MATCH(DS12,DH21:DK21,0),0)</f>
        <v>2</v>
      </c>
      <c r="DT21" s="326">
        <f>IFERROR(MATCH(DT12,DH21:DK21,0),0)</f>
        <v>0</v>
      </c>
      <c r="DU21" s="326">
        <f t="shared" si="3541"/>
        <v>5</v>
      </c>
      <c r="DV21" s="325" t="s">
        <v>355</v>
      </c>
      <c r="DW21" s="325" t="str">
        <f>INDEX(DH3:DH8,MATCH(INDEX(DO13:DO27,MATCH(10,DU13:DU27,0),0),DV3:DV8,0),0)</f>
        <v>Slovenia</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3</v>
      </c>
      <c r="EE21" s="319">
        <f ca="1">SUMIF(IA3:IA60,DZ21,HY3:HY60)+SUMIF(HX3:HX60,DZ21,HZ3:HZ60)</f>
        <v>2</v>
      </c>
      <c r="EF21" s="319">
        <f t="shared" ca="1" si="5043"/>
        <v>1001</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1</v>
      </c>
      <c r="HZ21" s="322">
        <f ca="1">IF(OFFSET('Player Game Board'!Q28,0,HY1)&lt;&gt;"",OFFSET('Player Game Board'!Q28,0,HY1),0)</f>
        <v>1</v>
      </c>
      <c r="IA21" s="319" t="str">
        <f t="shared" si="165"/>
        <v>Austria</v>
      </c>
      <c r="IB21" s="319" t="str">
        <f ca="1">IF(AND(OFFSET('Player Game Board'!P28,0,HY1)&lt;&gt;"",OFFSET('Player Game Board'!Q28,0,HY1)&lt;&gt;""),IF(HY21&gt;HZ21,"W",IF(HY21=HZ21,"D","L")),"")</f>
        <v>D</v>
      </c>
      <c r="IC21" s="319" t="str">
        <f t="shared" ca="1" si="166"/>
        <v>D</v>
      </c>
      <c r="ID21" s="319"/>
      <c r="IE21" s="319"/>
      <c r="IF21" s="324" t="s">
        <v>97</v>
      </c>
      <c r="IG21" s="325" t="s">
        <v>99</v>
      </c>
      <c r="IH21" s="325" t="s">
        <v>101</v>
      </c>
      <c r="II21" s="325" t="s">
        <v>102</v>
      </c>
      <c r="IJ21" s="324" t="s">
        <v>101</v>
      </c>
      <c r="IK21" s="324" t="s">
        <v>102</v>
      </c>
      <c r="IL21" s="324" t="s">
        <v>99</v>
      </c>
      <c r="IM21" s="324" t="s">
        <v>97</v>
      </c>
      <c r="IN21" s="325"/>
      <c r="IO21" s="326">
        <f ca="1">IFERROR(MATCH(IO12,IF21:II21,0),0)</f>
        <v>0</v>
      </c>
      <c r="IP21" s="326">
        <f ca="1">IFERROR(MATCH(IP12,IF21:II21,0),0)</f>
        <v>2</v>
      </c>
      <c r="IQ21" s="326">
        <f ca="1">IFERROR(MATCH(IQ12,IF21:II21,0),0)</f>
        <v>1</v>
      </c>
      <c r="IR21" s="326">
        <f ca="1">IFERROR(MATCH(IR12,IF21:II21,0),0)</f>
        <v>3</v>
      </c>
      <c r="IS21" s="326">
        <f t="shared" ca="1" si="3544"/>
        <v>6</v>
      </c>
      <c r="IT21" s="325" t="s">
        <v>355</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2</v>
      </c>
      <c r="IZ21" s="319">
        <f ca="1">SUMPRODUCT((MV3:MV42=IX21)*(MZ3:MZ42="D"))+SUMPRODUCT((MY3:MY42=IX21)*(NA3:NA42="D"))</f>
        <v>0</v>
      </c>
      <c r="JA21" s="319">
        <f ca="1">SUMPRODUCT((MV3:MV42=IX21)*(MZ3:MZ42="L"))+SUMPRODUCT((MY3:MY42=IX21)*(NA3:NA42="L"))</f>
        <v>1</v>
      </c>
      <c r="JB21" s="319">
        <f ca="1">SUMIF(MV3:MV60,IX21,MW3:MW60)+SUMIF(MY3:MY60,IX21,MX3:MX60)</f>
        <v>6</v>
      </c>
      <c r="JC21" s="319">
        <f ca="1">SUMIF(MY3:MY60,IX21,MW3:MW60)+SUMIF(MV3:MV60,IX21,MX3:MX60)</f>
        <v>3</v>
      </c>
      <c r="JD21" s="319">
        <f t="shared" ca="1" si="5048"/>
        <v>1003</v>
      </c>
      <c r="JE21" s="319">
        <f t="shared" ca="1" si="5049"/>
        <v>6</v>
      </c>
      <c r="JF21" s="319">
        <f t="shared" si="618"/>
        <v>45</v>
      </c>
      <c r="JG21" s="319">
        <f ca="1">IF(COUNTIF(JE18:JE22,4)&lt;&gt;4,RANK(JE21,JE18:JE22),JE61)</f>
        <v>2</v>
      </c>
      <c r="JH21" s="319"/>
      <c r="JI21" s="319">
        <f ca="1">SUMPRODUCT((JG18:JG21=JG21)*(JF18:JF21&lt;JF21))+JG21</f>
        <v>2</v>
      </c>
      <c r="JJ21" s="319" t="str">
        <f ca="1">INDEX(IX18:IX22,MATCH(4,JI18:JI22,0),0)</f>
        <v>Slovenia</v>
      </c>
      <c r="JK21" s="319">
        <f ca="1">INDEX(JG18:JG22,MATCH(JJ21,IX18:IX22,0),0)</f>
        <v>3</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Slovenia</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1</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f t="shared" ca="1" si="5950"/>
        <v>1</v>
      </c>
      <c r="LM21" s="319">
        <f ca="1">IF(LE21&lt;&gt;"",VLOOKUP(LE21,IX4:JD40,7,FALSE),"")</f>
        <v>997</v>
      </c>
      <c r="LN21" s="319">
        <f ca="1">IF(LE21&lt;&gt;"",VLOOKUP(LE21,IX4:JD40,5,FALSE),"")</f>
        <v>2</v>
      </c>
      <c r="LO21" s="319">
        <f ca="1">IF(LE21&lt;&gt;"",VLOOKUP(LE21,IX4:JF40,9,FALSE),"")</f>
        <v>39</v>
      </c>
      <c r="LP21" s="319">
        <f t="shared" ca="1" si="5951"/>
        <v>1</v>
      </c>
      <c r="LQ21" s="319">
        <f ca="1">IF(LE21&lt;&gt;"",RANK(LP21,LP18:LP22),"")</f>
        <v>1</v>
      </c>
      <c r="LR21" s="319">
        <f ca="1">IF(LE21&lt;&gt;"",SUMPRODUCT((LP18:LP22=LP21)*(LK18:LK22&gt;LK21)),"")</f>
        <v>0</v>
      </c>
      <c r="LS21" s="319">
        <f ca="1">IF(LE21&lt;&gt;"",SUMPRODUCT((LP18:LP22=LP21)*(LK18:LK22=LK21)*(LI18:LI22&gt;LI21)),"")</f>
        <v>0</v>
      </c>
      <c r="LT21" s="319">
        <f ca="1">IF(LE21&lt;&gt;"",SUMPRODUCT((LP18:LP22=LP21)*(LK18:LK22=LK21)*(LI18:LI22=LI21)*(LM18:LM22&gt;LM21)),"")</f>
        <v>0</v>
      </c>
      <c r="LU21" s="319">
        <f ca="1">IF(LE21&lt;&gt;"",SUMPRODUCT((LP18:LP22=LP21)*(LK18:LK22=LK21)*(LI18:LI22=LI21)*(LM18:LM22=LM21)*(LN18:LN22&gt;LN21)),"")</f>
        <v>0</v>
      </c>
      <c r="LV21" s="319">
        <f ca="1">IF(LE21&lt;&gt;"",SUMPRODUCT((LP18:LP22=LP21)*(LK18:LK22=LK21)*(LI18:LI22=LI21)*(LM18:LM22=LM21)*(LN18:LN22=LN21)*(LO18:LO22&gt;LO21)),"")</f>
        <v>0</v>
      </c>
      <c r="LW21" s="319">
        <f ca="1">IF(LE21&lt;&gt;"",SUM(LQ21:LV21)+2,"")</f>
        <v>3</v>
      </c>
      <c r="LX21" s="319" t="str">
        <f ca="1">IF(LE21&lt;&gt;"",INDEX(LE20:LE22,MATCH(4,LW20:LW22,0),0),"")</f>
        <v>Serbia</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97</v>
      </c>
      <c r="NE21" s="325" t="s">
        <v>99</v>
      </c>
      <c r="NF21" s="325" t="s">
        <v>101</v>
      </c>
      <c r="NG21" s="325" t="s">
        <v>102</v>
      </c>
      <c r="NH21" s="324" t="s">
        <v>101</v>
      </c>
      <c r="NI21" s="324" t="s">
        <v>102</v>
      </c>
      <c r="NJ21" s="324" t="s">
        <v>99</v>
      </c>
      <c r="NK21" s="324" t="s">
        <v>97</v>
      </c>
      <c r="NL21" s="325"/>
      <c r="NM21" s="326">
        <f ca="1">IFERROR(MATCH(NM12,ND21:NG21,0),0)</f>
        <v>0</v>
      </c>
      <c r="NN21" s="326">
        <f ca="1">IFERROR(MATCH(NN12,ND21:NG21,0),0)</f>
        <v>4</v>
      </c>
      <c r="NO21" s="326">
        <f ca="1">IFERROR(MATCH(NO12,ND21:NG21,0),0)</f>
        <v>1</v>
      </c>
      <c r="NP21" s="326">
        <f ca="1">IFERROR(MATCH(NP12,ND21:NG21,0),0)</f>
        <v>0</v>
      </c>
      <c r="NQ21" s="326">
        <f t="shared" ca="1" si="3547"/>
        <v>5</v>
      </c>
      <c r="NR21" s="325" t="s">
        <v>355</v>
      </c>
      <c r="NS21" s="325" t="str">
        <f ca="1">INDEX(ND3:ND8,MATCH(INDEX(NK13:NK27,MATCH(10,NQ13:NQ27,0),0),NR3:NR8,0),0)</f>
        <v>Italy</v>
      </c>
      <c r="NT21" s="325">
        <f t="shared" ca="1" si="5052"/>
        <v>1</v>
      </c>
      <c r="NU21" s="319">
        <f t="shared" ref="NU21" ca="1" si="6579">VLOOKUP(NV21,RQ18:RR22,2,FALSE)</f>
        <v>2</v>
      </c>
      <c r="NV21" s="319" t="str">
        <f t="shared" si="5054"/>
        <v>Denmark</v>
      </c>
      <c r="NW21" s="319">
        <f t="shared" ref="NW21" ca="1" si="6580">SUMPRODUCT((RT3:RT42=NV21)*(RX3:RX42="W"))+SUMPRODUCT((RW3:RW42=NV21)*(RY3:RY42="W"))</f>
        <v>0</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0</v>
      </c>
      <c r="OA21" s="319">
        <f t="shared" ref="OA21" ca="1" si="6584">SUMIF(RW3:RW60,NV21,RU3:RU60)+SUMIF(RT3:RT60,NV21,RV3:RV60)</f>
        <v>0</v>
      </c>
      <c r="OB21" s="319">
        <f t="shared" ca="1" si="5060"/>
        <v>1000</v>
      </c>
      <c r="OC21" s="319">
        <f t="shared" ca="1" si="5061"/>
        <v>0</v>
      </c>
      <c r="OD21" s="319">
        <f t="shared" si="630"/>
        <v>45</v>
      </c>
      <c r="OE21" s="319">
        <f t="shared" ref="OE21" ca="1" si="6585">IF(COUNTIF(OC18:OC22,4)&lt;&gt;4,RANK(OC21,OC18:OC22),OC61)</f>
        <v>1</v>
      </c>
      <c r="OF21" s="319"/>
      <c r="OG21" s="319">
        <f t="shared" ref="OG21" ca="1" si="6586">SUMPRODUCT((OE18:OE21=OE21)*(OD18:OD21&lt;OD21))+OE21</f>
        <v>3</v>
      </c>
      <c r="OH21" s="319" t="str">
        <f t="shared" ref="OH21" ca="1" si="6587">INDEX(NV18:NV22,MATCH(4,OG18:OG22,0),0)</f>
        <v>England</v>
      </c>
      <c r="OI21" s="319">
        <f t="shared" ref="OI21" ca="1" si="6588">INDEX(OE18:OE22,MATCH(OH21,NV18:NV22,0),0)</f>
        <v>1</v>
      </c>
      <c r="OJ21" s="319" t="str">
        <f t="shared" ca="1" si="5962"/>
        <v>England</v>
      </c>
      <c r="OK21" s="319" t="str">
        <f t="shared" ca="1" si="5963"/>
        <v/>
      </c>
      <c r="OL21" s="319"/>
      <c r="OM21" s="319"/>
      <c r="ON21" s="319"/>
      <c r="OO21" s="319" t="str">
        <f t="shared" ca="1" si="5070"/>
        <v>England</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f t="shared" ca="1" si="5077"/>
        <v>0</v>
      </c>
      <c r="OW21" s="319">
        <f t="shared" ref="OW21" ca="1" si="6594">IF(OO21&lt;&gt;"",VLOOKUP(OO21,NV4:OB40,7,FALSE),"")</f>
        <v>1000</v>
      </c>
      <c r="OX21" s="319">
        <f t="shared" ref="OX21" ca="1" si="6595">IF(OO21&lt;&gt;"",VLOOKUP(OO21,NV4:OB40,5,FALSE),"")</f>
        <v>0</v>
      </c>
      <c r="OY21" s="319">
        <f t="shared" ref="OY21" ca="1" si="6596">IF(OO21&lt;&gt;"",VLOOKUP(OO21,NV4:OD40,9,FALSE),"")</f>
        <v>49</v>
      </c>
      <c r="OZ21" s="319">
        <f t="shared" ca="1" si="5081"/>
        <v>0</v>
      </c>
      <c r="PA21" s="319">
        <f t="shared" ref="PA21" ca="1" si="6597">IF(OO21&lt;&gt;"",RANK(OZ21,OZ18:OZ22),"")</f>
        <v>1</v>
      </c>
      <c r="PB21" s="319">
        <f t="shared" ref="PB21" ca="1" si="6598">IF(OO21&lt;&gt;"",SUMPRODUCT((OZ18:OZ22=OZ21)*(OU18:OU22&gt;OU21)),"")</f>
        <v>0</v>
      </c>
      <c r="PC21" s="319">
        <f t="shared" ref="PC21" ca="1" si="6599">IF(OO21&lt;&gt;"",SUMPRODUCT((OZ18:OZ22=OZ21)*(OU18:OU22=OU21)*(OS18:OS22&gt;OS21)),"")</f>
        <v>0</v>
      </c>
      <c r="PD21" s="319">
        <f t="shared" ref="PD21" ca="1" si="6600">IF(OO21&lt;&gt;"",SUMPRODUCT((OZ18:OZ22=OZ21)*(OU18:OU22=OU21)*(OS18:OS22=OS21)*(OW18:OW22&gt;OW21)),"")</f>
        <v>0</v>
      </c>
      <c r="PE21" s="319">
        <f t="shared" ref="PE21" ca="1" si="6601">IF(OO21&lt;&gt;"",SUMPRODUCT((OZ18:OZ22=OZ21)*(OU18:OU22=OU21)*(OS18:OS22=OS21)*(OW18:OW22=OW21)*(OX18:OX22&gt;OX21)),"")</f>
        <v>0</v>
      </c>
      <c r="PF21" s="319">
        <f t="shared" ref="PF21" ca="1" si="6602">IF(OO21&lt;&gt;"",SUMPRODUCT((OZ18:OZ22=OZ21)*(OU18:OU22=OU21)*(OS18:OS22=OS21)*(OW18:OW22=OW21)*(OX18:OX22=OX21)*(OY18:OY22&gt;OY21)),"")</f>
        <v>0</v>
      </c>
      <c r="PG21" s="319">
        <f ca="1">IF(OO21&lt;&gt;"",IF(PG61&lt;&gt;"",IF(ON57=3,PG61,PG61+ON57),SUM(PA21:PF21)),"")</f>
        <v>1</v>
      </c>
      <c r="PH21" s="319" t="str">
        <f t="shared" ref="PH21" ca="1" si="6603">IF(OO21&lt;&gt;"",INDEX(OO18:OO22,MATCH(4,PG18:PG22,0),0),"")</f>
        <v>Serbia</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0</v>
      </c>
      <c r="RW21" s="319" t="str">
        <f t="shared" si="19"/>
        <v>Austria</v>
      </c>
      <c r="RX21" s="319" t="str">
        <f ca="1">IF(AND(OFFSET('Player Game Board'!P28,0,RU1)&lt;&gt;"",OFFSET('Player Game Board'!Q28,0,RU1)&lt;&gt;""),IF(RU21&gt;RV21,"W",IF(RU21=RV21,"D","L")),"")</f>
        <v/>
      </c>
      <c r="RY21" s="319" t="str">
        <f t="shared" ca="1" si="5500"/>
        <v/>
      </c>
      <c r="RZ21" s="319"/>
      <c r="SA21" s="319"/>
      <c r="SB21" s="324" t="s">
        <v>97</v>
      </c>
      <c r="SC21" s="325" t="s">
        <v>99</v>
      </c>
      <c r="SD21" s="325" t="s">
        <v>101</v>
      </c>
      <c r="SE21" s="325" t="s">
        <v>102</v>
      </c>
      <c r="SF21" s="324" t="s">
        <v>101</v>
      </c>
      <c r="SG21" s="324" t="s">
        <v>102</v>
      </c>
      <c r="SH21" s="324" t="s">
        <v>99</v>
      </c>
      <c r="SI21" s="324" t="s">
        <v>97</v>
      </c>
      <c r="SJ21" s="325"/>
      <c r="SK21" s="326">
        <f t="shared" ref="SK21" ca="1" si="6655">IFERROR(MATCH(SK12,SB21:SE21,0),0)</f>
        <v>1</v>
      </c>
      <c r="SL21" s="326">
        <f t="shared" ref="SL21" ca="1" si="6656">IFERROR(MATCH(SL12,SB21:SE21,0),0)</f>
        <v>0</v>
      </c>
      <c r="SM21" s="326">
        <f t="shared" ref="SM21" ca="1" si="6657">IFERROR(MATCH(SM12,SB21:SE21,0),0)</f>
        <v>0</v>
      </c>
      <c r="SN21" s="326">
        <f t="shared" ref="SN21" ca="1" si="6658">IFERROR(MATCH(SN12,SB21:SE21,0),0)</f>
        <v>2</v>
      </c>
      <c r="SO21" s="326">
        <f t="shared" ca="1" si="3616"/>
        <v>3</v>
      </c>
      <c r="SP21" s="325" t="s">
        <v>355</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0</v>
      </c>
      <c r="SV21" s="319">
        <f t="shared" ref="SV21" ca="1" si="6662">SUMPRODUCT((WR3:WR42=ST21)*(WV3:WV42="D"))+SUMPRODUCT((WU3:WU42=ST21)*(WW3:WW42="D"))</f>
        <v>0</v>
      </c>
      <c r="SW21" s="319">
        <f t="shared" ref="SW21" ca="1" si="6663">SUMPRODUCT((WR3:WR42=ST21)*(WV3:WV42="L"))+SUMPRODUCT((WU3:WU42=ST21)*(WW3:WW42="L"))</f>
        <v>0</v>
      </c>
      <c r="SX21" s="319">
        <f t="shared" ref="SX21" ca="1" si="6664">SUMIF(WR3:WR60,ST21,WS3:WS60)+SUMIF(WU3:WU60,ST21,WT3:WT60)</f>
        <v>0</v>
      </c>
      <c r="SY21" s="319">
        <f t="shared" ref="SY21" ca="1" si="6665">SUMIF(WU3:WU60,ST21,WS3:WS60)+SUMIF(WR3:WR60,ST21,WT3:WT60)</f>
        <v>0</v>
      </c>
      <c r="SZ21" s="319">
        <f t="shared" ca="1" si="5103"/>
        <v>1000</v>
      </c>
      <c r="TA21" s="319">
        <f t="shared" ca="1" si="5104"/>
        <v>0</v>
      </c>
      <c r="TB21" s="319">
        <f t="shared" si="690"/>
        <v>45</v>
      </c>
      <c r="TC21" s="319">
        <f t="shared" ref="TC21" ca="1" si="6666">IF(COUNTIF(TA18:TA22,4)&lt;&gt;4,RANK(TA21,TA18:TA22),TA61)</f>
        <v>1</v>
      </c>
      <c r="TD21" s="319"/>
      <c r="TE21" s="319">
        <f t="shared" ref="TE21" ca="1" si="6667">SUMPRODUCT((TC18:TC21=TC21)*(TB18:TB21&lt;TB21))+TC21</f>
        <v>3</v>
      </c>
      <c r="TF21" s="319" t="str">
        <f t="shared" ref="TF21" ca="1" si="6668">INDEX(ST18:ST22,MATCH(4,TE18:TE22,0),0)</f>
        <v>England</v>
      </c>
      <c r="TG21" s="319">
        <f t="shared" ref="TG21" ca="1" si="6669">INDEX(TC18:TC22,MATCH(TF21,ST18:ST22,0),0)</f>
        <v>1</v>
      </c>
      <c r="TH21" s="319" t="str">
        <f t="shared" ca="1" si="6031"/>
        <v>England</v>
      </c>
      <c r="TI21" s="319" t="str">
        <f t="shared" ca="1" si="6032"/>
        <v/>
      </c>
      <c r="TJ21" s="319"/>
      <c r="TK21" s="319"/>
      <c r="TL21" s="319"/>
      <c r="TM21" s="319" t="str">
        <f t="shared" ca="1" si="5113"/>
        <v>England</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f t="shared" ca="1" si="5120"/>
        <v>0</v>
      </c>
      <c r="TU21" s="319">
        <f t="shared" ref="TU21" ca="1" si="6675">IF(TM21&lt;&gt;"",VLOOKUP(TM21,ST4:SZ40,7,FALSE),"")</f>
        <v>1000</v>
      </c>
      <c r="TV21" s="319">
        <f t="shared" ref="TV21" ca="1" si="6676">IF(TM21&lt;&gt;"",VLOOKUP(TM21,ST4:SZ40,5,FALSE),"")</f>
        <v>0</v>
      </c>
      <c r="TW21" s="319">
        <f t="shared" ref="TW21" ca="1" si="6677">IF(TM21&lt;&gt;"",VLOOKUP(TM21,ST4:TB40,9,FALSE),"")</f>
        <v>49</v>
      </c>
      <c r="TX21" s="319">
        <f t="shared" ca="1" si="5124"/>
        <v>0</v>
      </c>
      <c r="TY21" s="319">
        <f t="shared" ref="TY21" ca="1" si="6678">IF(TM21&lt;&gt;"",RANK(TX21,TX18:TX22),"")</f>
        <v>1</v>
      </c>
      <c r="TZ21" s="319">
        <f t="shared" ref="TZ21" ca="1" si="6679">IF(TM21&lt;&gt;"",SUMPRODUCT((TX18:TX22=TX21)*(TS18:TS22&gt;TS21)),"")</f>
        <v>0</v>
      </c>
      <c r="UA21" s="319">
        <f t="shared" ref="UA21" ca="1" si="6680">IF(TM21&lt;&gt;"",SUMPRODUCT((TX18:TX22=TX21)*(TS18:TS22=TS21)*(TQ18:TQ22&gt;TQ21)),"")</f>
        <v>0</v>
      </c>
      <c r="UB21" s="319">
        <f t="shared" ref="UB21" ca="1" si="6681">IF(TM21&lt;&gt;"",SUMPRODUCT((TX18:TX22=TX21)*(TS18:TS22=TS21)*(TQ18:TQ22=TQ21)*(TU18:TU22&gt;TU21)),"")</f>
        <v>0</v>
      </c>
      <c r="UC21" s="319">
        <f t="shared" ref="UC21" ca="1" si="6682">IF(TM21&lt;&gt;"",SUMPRODUCT((TX18:TX22=TX21)*(TS18:TS22=TS21)*(TQ18:TQ22=TQ21)*(TU18:TU22=TU21)*(TV18:TV22&gt;TV21)),"")</f>
        <v>0</v>
      </c>
      <c r="UD21" s="319">
        <f t="shared" ref="UD21" ca="1" si="6683">IF(TM21&lt;&gt;"",SUMPRODUCT((TX18:TX22=TX21)*(TS18:TS22=TS21)*(TQ18:TQ22=TQ21)*(TU18:TU22=TU21)*(TV18:TV22=TV21)*(TW18:TW22&gt;TW21)),"")</f>
        <v>0</v>
      </c>
      <c r="UE21" s="319">
        <f ca="1">IF(TM21&lt;&gt;"",IF(UE61&lt;&gt;"",IF(TL57=3,UE61,UE61+TL57),SUM(TY21:UD21)),"")</f>
        <v>1</v>
      </c>
      <c r="UF21" s="319" t="str">
        <f t="shared" ref="UF21" ca="1" si="6684">IF(TM21&lt;&gt;"",INDEX(TM18:TM22,MATCH(4,UE18:UE22,0),0),"")</f>
        <v>Serbia</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0</v>
      </c>
      <c r="WT21" s="322">
        <f ca="1">IF(OFFSET('Player Game Board'!Q28,0,WS1)&lt;&gt;"",OFFSET('Player Game Board'!Q28,0,WS1),0)</f>
        <v>0</v>
      </c>
      <c r="WU21" s="319" t="str">
        <f t="shared" si="35"/>
        <v>Austria</v>
      </c>
      <c r="WV21" s="319" t="str">
        <f ca="1">IF(AND(OFFSET('Player Game Board'!P28,0,WS1)&lt;&gt;"",OFFSET('Player Game Board'!Q28,0,WS1)&lt;&gt;""),IF(WS21&gt;WT21,"W",IF(WS21=WT21,"D","L")),"")</f>
        <v/>
      </c>
      <c r="WW21" s="319" t="str">
        <f t="shared" ca="1" si="5555"/>
        <v/>
      </c>
      <c r="WX21" s="319"/>
      <c r="WY21" s="319"/>
      <c r="WZ21" s="324" t="s">
        <v>97</v>
      </c>
      <c r="XA21" s="325" t="s">
        <v>99</v>
      </c>
      <c r="XB21" s="325" t="s">
        <v>101</v>
      </c>
      <c r="XC21" s="325" t="s">
        <v>102</v>
      </c>
      <c r="XD21" s="324" t="s">
        <v>101</v>
      </c>
      <c r="XE21" s="324" t="s">
        <v>102</v>
      </c>
      <c r="XF21" s="324" t="s">
        <v>99</v>
      </c>
      <c r="XG21" s="324" t="s">
        <v>97</v>
      </c>
      <c r="XH21" s="325"/>
      <c r="XI21" s="326">
        <f t="shared" ref="XI21" ca="1" si="6736">IFERROR(MATCH(XI12,WZ21:XC21,0),0)</f>
        <v>1</v>
      </c>
      <c r="XJ21" s="326">
        <f t="shared" ref="XJ21" ca="1" si="6737">IFERROR(MATCH(XJ12,WZ21:XC21,0),0)</f>
        <v>0</v>
      </c>
      <c r="XK21" s="326">
        <f t="shared" ref="XK21" ca="1" si="6738">IFERROR(MATCH(XK12,WZ21:XC21,0),0)</f>
        <v>0</v>
      </c>
      <c r="XL21" s="326">
        <f t="shared" ref="XL21" ca="1" si="6739">IFERROR(MATCH(XL12,WZ21:XC21,0),0)</f>
        <v>2</v>
      </c>
      <c r="XM21" s="326">
        <f t="shared" ca="1" si="3686"/>
        <v>3</v>
      </c>
      <c r="XN21" s="325" t="s">
        <v>355</v>
      </c>
      <c r="XO21" s="325" t="str">
        <f t="shared" ref="XO21" ca="1" si="6740">INDEX(WZ3:WZ8,MATCH(INDEX(XG13:XG27,MATCH(10,XM13:XM27,0),0),XN3:XN8,0),0)</f>
        <v>Slovenia</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97</v>
      </c>
      <c r="ABY21" s="325" t="s">
        <v>99</v>
      </c>
      <c r="ABZ21" s="325" t="s">
        <v>101</v>
      </c>
      <c r="ACA21" s="325" t="s">
        <v>102</v>
      </c>
      <c r="ACB21" s="324" t="s">
        <v>101</v>
      </c>
      <c r="ACC21" s="324" t="s">
        <v>102</v>
      </c>
      <c r="ACD21" s="324" t="s">
        <v>99</v>
      </c>
      <c r="ACE21" s="324" t="s">
        <v>97</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355</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0</v>
      </c>
      <c r="ACR21" s="319">
        <f t="shared" ref="ACR21" ca="1" si="6824">SUMPRODUCT((AGN3:AGN42=ACP21)*(AGR3:AGR42="D"))+SUMPRODUCT((AGQ3:AGQ42=ACP21)*(AGS3:AGS42="D"))</f>
        <v>0</v>
      </c>
      <c r="ACS21" s="319">
        <f t="shared" ref="ACS21" ca="1" si="6825">SUMPRODUCT((AGN3:AGN42=ACP21)*(AGR3:AGR42="L"))+SUMPRODUCT((AGQ3:AGQ42=ACP21)*(AGS3:AGS42="L"))</f>
        <v>0</v>
      </c>
      <c r="ACT21" s="319">
        <f t="shared" ref="ACT21" ca="1" si="6826">SUMIF(AGN3:AGN60,ACP21,AGO3:AGO60)+SUMIF(AGQ3:AGQ60,ACP21,AGP3:AGP60)</f>
        <v>0</v>
      </c>
      <c r="ACU21" s="319">
        <f t="shared" ref="ACU21" ca="1" si="6827">SUMIF(AGQ3:AGQ60,ACP21,AGO3:AGO60)+SUMIF(AGN3:AGN60,ACP21,AGP3:AGP60)</f>
        <v>0</v>
      </c>
      <c r="ACV21" s="319">
        <f t="shared" ca="1" si="5189"/>
        <v>1000</v>
      </c>
      <c r="ACW21" s="319">
        <f t="shared" ca="1" si="5190"/>
        <v>0</v>
      </c>
      <c r="ACX21" s="319">
        <f t="shared" si="810"/>
        <v>45</v>
      </c>
      <c r="ACY21" s="319">
        <f t="shared" ref="ACY21" ca="1" si="6828">IF(COUNTIF(ACW18:ACW22,4)&lt;&gt;4,RANK(ACW21,ACW18:ACW22),ACW61)</f>
        <v>1</v>
      </c>
      <c r="ACZ21" s="319"/>
      <c r="ADA21" s="319">
        <f t="shared" ref="ADA21" ca="1" si="6829">SUMPRODUCT((ACY18:ACY21=ACY21)*(ACX18:ACX21&lt;ACX21))+ACY21</f>
        <v>3</v>
      </c>
      <c r="ADB21" s="319" t="str">
        <f t="shared" ref="ADB21" ca="1" si="6830">INDEX(ACP18:ACP22,MATCH(4,ADA18:ADA22,0),0)</f>
        <v>England</v>
      </c>
      <c r="ADC21" s="319">
        <f t="shared" ref="ADC21" ca="1" si="6831">INDEX(ACY18:ACY22,MATCH(ADB21,ACP18:ACP22,0),0)</f>
        <v>1</v>
      </c>
      <c r="ADD21" s="319" t="str">
        <f t="shared" ca="1" si="6169"/>
        <v>England</v>
      </c>
      <c r="ADE21" s="319" t="str">
        <f t="shared" ca="1" si="6170"/>
        <v/>
      </c>
      <c r="ADF21" s="319"/>
      <c r="ADG21" s="319"/>
      <c r="ADH21" s="319"/>
      <c r="ADI21" s="319" t="str">
        <f t="shared" ca="1" si="5199"/>
        <v>England</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f t="shared" ca="1" si="5206"/>
        <v>0</v>
      </c>
      <c r="ADQ21" s="319">
        <f t="shared" ref="ADQ21" ca="1" si="6837">IF(ADI21&lt;&gt;"",VLOOKUP(ADI21,ACP4:ACV40,7,FALSE),"")</f>
        <v>1000</v>
      </c>
      <c r="ADR21" s="319">
        <f t="shared" ref="ADR21" ca="1" si="6838">IF(ADI21&lt;&gt;"",VLOOKUP(ADI21,ACP4:ACV40,5,FALSE),"")</f>
        <v>0</v>
      </c>
      <c r="ADS21" s="319">
        <f t="shared" ref="ADS21" ca="1" si="6839">IF(ADI21&lt;&gt;"",VLOOKUP(ADI21,ACP4:ACX40,9,FALSE),"")</f>
        <v>49</v>
      </c>
      <c r="ADT21" s="319">
        <f t="shared" ca="1" si="5210"/>
        <v>0</v>
      </c>
      <c r="ADU21" s="319">
        <f t="shared" ref="ADU21" ca="1" si="6840">IF(ADI21&lt;&gt;"",RANK(ADT21,ADT18:ADT22),"")</f>
        <v>1</v>
      </c>
      <c r="ADV21" s="319">
        <f t="shared" ref="ADV21" ca="1" si="6841">IF(ADI21&lt;&gt;"",SUMPRODUCT((ADT18:ADT22=ADT21)*(ADO18:ADO22&gt;ADO21)),"")</f>
        <v>0</v>
      </c>
      <c r="ADW21" s="319">
        <f t="shared" ref="ADW21" ca="1" si="6842">IF(ADI21&lt;&gt;"",SUMPRODUCT((ADT18:ADT22=ADT21)*(ADO18:ADO22=ADO21)*(ADM18:ADM22&gt;ADM21)),"")</f>
        <v>0</v>
      </c>
      <c r="ADX21" s="319">
        <f t="shared" ref="ADX21" ca="1" si="6843">IF(ADI21&lt;&gt;"",SUMPRODUCT((ADT18:ADT22=ADT21)*(ADO18:ADO22=ADO21)*(ADM18:ADM22=ADM21)*(ADQ18:ADQ22&gt;ADQ21)),"")</f>
        <v>0</v>
      </c>
      <c r="ADY21" s="319">
        <f t="shared" ref="ADY21" ca="1" si="6844">IF(ADI21&lt;&gt;"",SUMPRODUCT((ADT18:ADT22=ADT21)*(ADO18:ADO22=ADO21)*(ADM18:ADM22=ADM21)*(ADQ18:ADQ22=ADQ21)*(ADR18:ADR22&gt;ADR21)),"")</f>
        <v>0</v>
      </c>
      <c r="ADZ21" s="319">
        <f t="shared" ref="ADZ21" ca="1" si="6845">IF(ADI21&lt;&gt;"",SUMPRODUCT((ADT18:ADT22=ADT21)*(ADO18:ADO22=ADO21)*(ADM18:ADM22=ADM21)*(ADQ18:ADQ22=ADQ21)*(ADR18:ADR22=ADR21)*(ADS18:ADS22&gt;ADS21)),"")</f>
        <v>0</v>
      </c>
      <c r="AEA21" s="319">
        <f ca="1">IF(ADI21&lt;&gt;"",IF(AEA61&lt;&gt;"",IF(ADH57=3,AEA61,AEA61+ADH57),SUM(ADU21:ADZ21)),"")</f>
        <v>1</v>
      </c>
      <c r="AEB21" s="319" t="str">
        <f t="shared" ref="AEB21" ca="1" si="6846">IF(ADI21&lt;&gt;"",INDEX(ADI18:ADI22,MATCH(4,AEA18:AEA22,0),0),"")</f>
        <v>Serbia</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0</v>
      </c>
      <c r="AGP21" s="322">
        <f ca="1">IF(OFFSET('Player Game Board'!Q28,0,AGO1)&lt;&gt;"",OFFSET('Player Game Board'!Q28,0,AGO1),0)</f>
        <v>0</v>
      </c>
      <c r="AGQ21" s="319" t="str">
        <f t="shared" si="67"/>
        <v>Austria</v>
      </c>
      <c r="AGR21" s="319" t="str">
        <f ca="1">IF(AND(OFFSET('Player Game Board'!P28,0,AGO1)&lt;&gt;"",OFFSET('Player Game Board'!Q28,0,AGO1)&lt;&gt;""),IF(AGO21&gt;AGP21,"W",IF(AGO21=AGP21,"D","L")),"")</f>
        <v/>
      </c>
      <c r="AGS21" s="319" t="str">
        <f t="shared" ca="1" si="5665"/>
        <v/>
      </c>
      <c r="AGT21" s="319"/>
      <c r="AGU21" s="319"/>
      <c r="AGV21" s="324" t="s">
        <v>97</v>
      </c>
      <c r="AGW21" s="325" t="s">
        <v>99</v>
      </c>
      <c r="AGX21" s="325" t="s">
        <v>101</v>
      </c>
      <c r="AGY21" s="325" t="s">
        <v>102</v>
      </c>
      <c r="AGZ21" s="324" t="s">
        <v>101</v>
      </c>
      <c r="AHA21" s="324" t="s">
        <v>102</v>
      </c>
      <c r="AHB21" s="324" t="s">
        <v>99</v>
      </c>
      <c r="AHC21" s="324" t="s">
        <v>97</v>
      </c>
      <c r="AHD21" s="325"/>
      <c r="AHE21" s="326">
        <f t="shared" ref="AHE21" ca="1" si="6898">IFERROR(MATCH(AHE12,AGV21:AGY21,0),0)</f>
        <v>1</v>
      </c>
      <c r="AHF21" s="326">
        <f t="shared" ref="AHF21" ca="1" si="6899">IFERROR(MATCH(AHF12,AGV21:AGY21,0),0)</f>
        <v>0</v>
      </c>
      <c r="AHG21" s="326">
        <f t="shared" ref="AHG21" ca="1" si="6900">IFERROR(MATCH(AHG12,AGV21:AGY21,0),0)</f>
        <v>0</v>
      </c>
      <c r="AHH21" s="326">
        <f t="shared" ref="AHH21" ca="1" si="6901">IFERROR(MATCH(AHH12,AGV21:AGY21,0),0)</f>
        <v>2</v>
      </c>
      <c r="AHI21" s="326">
        <f t="shared" ca="1" si="3826"/>
        <v>3</v>
      </c>
      <c r="AHJ21" s="325" t="s">
        <v>355</v>
      </c>
      <c r="AHK21" s="325" t="str">
        <f t="shared" ref="AHK21" ca="1" si="6902">INDEX(AGV3:AGV8,MATCH(INDEX(AHC13:AHC27,MATCH(10,AHI13:AHI27,0),0),AHJ3:AHJ8,0),0)</f>
        <v>Slovenia</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0</v>
      </c>
      <c r="AHP21" s="319">
        <f t="shared" ref="AHP21" ca="1" si="6905">SUMPRODUCT((ALL3:ALL42=AHN21)*(ALP3:ALP42="D"))+SUMPRODUCT((ALO3:ALO42=AHN21)*(ALQ3:ALQ42="D"))</f>
        <v>0</v>
      </c>
      <c r="AHQ21" s="319">
        <f t="shared" ref="AHQ21" ca="1" si="6906">SUMPRODUCT((ALL3:ALL42=AHN21)*(ALP3:ALP42="L"))+SUMPRODUCT((ALO3:ALO42=AHN21)*(ALQ3:ALQ42="L"))</f>
        <v>0</v>
      </c>
      <c r="AHR21" s="319">
        <f t="shared" ref="AHR21" ca="1" si="6907">SUMIF(ALL3:ALL60,AHN21,ALM3:ALM60)+SUMIF(ALO3:ALO60,AHN21,ALN3:ALN60)</f>
        <v>0</v>
      </c>
      <c r="AHS21" s="319">
        <f t="shared" ref="AHS21" ca="1" si="6908">SUMIF(ALO3:ALO60,AHN21,ALM3:ALM60)+SUMIF(ALL3:ALL60,AHN21,ALN3:ALN60)</f>
        <v>0</v>
      </c>
      <c r="AHT21" s="319">
        <f t="shared" ca="1" si="5232"/>
        <v>1000</v>
      </c>
      <c r="AHU21" s="319">
        <f t="shared" ca="1" si="5233"/>
        <v>0</v>
      </c>
      <c r="AHV21" s="319">
        <f t="shared" si="870"/>
        <v>45</v>
      </c>
      <c r="AHW21" s="319">
        <f t="shared" ref="AHW21" ca="1" si="6909">IF(COUNTIF(AHU18:AHU22,4)&lt;&gt;4,RANK(AHU21,AHU18:AHU22),AHU61)</f>
        <v>1</v>
      </c>
      <c r="AHX21" s="319"/>
      <c r="AHY21" s="319">
        <f t="shared" ref="AHY21" ca="1" si="6910">SUMPRODUCT((AHW18:AHW21=AHW21)*(AHV18:AHV21&lt;AHV21))+AHW21</f>
        <v>3</v>
      </c>
      <c r="AHZ21" s="319" t="str">
        <f t="shared" ref="AHZ21" ca="1" si="6911">INDEX(AHN18:AHN22,MATCH(4,AHY18:AHY22,0),0)</f>
        <v>England</v>
      </c>
      <c r="AIA21" s="319">
        <f t="shared" ref="AIA21" ca="1" si="6912">INDEX(AHW18:AHW22,MATCH(AHZ21,AHN18:AHN22,0),0)</f>
        <v>1</v>
      </c>
      <c r="AIB21" s="319" t="str">
        <f t="shared" ca="1" si="6238"/>
        <v>England</v>
      </c>
      <c r="AIC21" s="319" t="str">
        <f t="shared" ca="1" si="6239"/>
        <v/>
      </c>
      <c r="AID21" s="319"/>
      <c r="AIE21" s="319"/>
      <c r="AIF21" s="319"/>
      <c r="AIG21" s="319" t="str">
        <f t="shared" ca="1" si="5242"/>
        <v>England</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f t="shared" ca="1" si="5249"/>
        <v>0</v>
      </c>
      <c r="AIO21" s="319">
        <f t="shared" ref="AIO21" ca="1" si="6918">IF(AIG21&lt;&gt;"",VLOOKUP(AIG21,AHN4:AHT40,7,FALSE),"")</f>
        <v>1000</v>
      </c>
      <c r="AIP21" s="319">
        <f t="shared" ref="AIP21" ca="1" si="6919">IF(AIG21&lt;&gt;"",VLOOKUP(AIG21,AHN4:AHT40,5,FALSE),"")</f>
        <v>0</v>
      </c>
      <c r="AIQ21" s="319">
        <f t="shared" ref="AIQ21" ca="1" si="6920">IF(AIG21&lt;&gt;"",VLOOKUP(AIG21,AHN4:AHV40,9,FALSE),"")</f>
        <v>49</v>
      </c>
      <c r="AIR21" s="319">
        <f t="shared" ca="1" si="5253"/>
        <v>0</v>
      </c>
      <c r="AIS21" s="319">
        <f t="shared" ref="AIS21" ca="1" si="6921">IF(AIG21&lt;&gt;"",RANK(AIR21,AIR18:AIR22),"")</f>
        <v>1</v>
      </c>
      <c r="AIT21" s="319">
        <f t="shared" ref="AIT21" ca="1" si="6922">IF(AIG21&lt;&gt;"",SUMPRODUCT((AIR18:AIR22=AIR21)*(AIM18:AIM22&gt;AIM21)),"")</f>
        <v>0</v>
      </c>
      <c r="AIU21" s="319">
        <f t="shared" ref="AIU21" ca="1" si="6923">IF(AIG21&lt;&gt;"",SUMPRODUCT((AIR18:AIR22=AIR21)*(AIM18:AIM22=AIM21)*(AIK18:AIK22&gt;AIK21)),"")</f>
        <v>0</v>
      </c>
      <c r="AIV21" s="319">
        <f t="shared" ref="AIV21" ca="1" si="6924">IF(AIG21&lt;&gt;"",SUMPRODUCT((AIR18:AIR22=AIR21)*(AIM18:AIM22=AIM21)*(AIK18:AIK22=AIK21)*(AIO18:AIO22&gt;AIO21)),"")</f>
        <v>0</v>
      </c>
      <c r="AIW21" s="319">
        <f t="shared" ref="AIW21" ca="1" si="6925">IF(AIG21&lt;&gt;"",SUMPRODUCT((AIR18:AIR22=AIR21)*(AIM18:AIM22=AIM21)*(AIK18:AIK22=AIK21)*(AIO18:AIO22=AIO21)*(AIP18:AIP22&gt;AIP21)),"")</f>
        <v>0</v>
      </c>
      <c r="AIX21" s="319">
        <f t="shared" ref="AIX21" ca="1" si="6926">IF(AIG21&lt;&gt;"",SUMPRODUCT((AIR18:AIR22=AIR21)*(AIM18:AIM22=AIM21)*(AIK18:AIK22=AIK21)*(AIO18:AIO22=AIO21)*(AIP18:AIP22=AIP21)*(AIQ18:AIQ22&gt;AIQ21)),"")</f>
        <v>0</v>
      </c>
      <c r="AIY21" s="319">
        <f ca="1">IF(AIG21&lt;&gt;"",IF(AIY61&lt;&gt;"",IF(AIF57=3,AIY61,AIY61+AIF57),SUM(AIS21:AIX21)),"")</f>
        <v>1</v>
      </c>
      <c r="AIZ21" s="319" t="str">
        <f t="shared" ref="AIZ21" ca="1" si="6927">IF(AIG21&lt;&gt;"",INDEX(AIG18:AIG22,MATCH(4,AIY18:AIY22,0),0),"")</f>
        <v>Serbia</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0</v>
      </c>
      <c r="ALO21" s="319" t="str">
        <f t="shared" si="83"/>
        <v>Austria</v>
      </c>
      <c r="ALP21" s="319" t="str">
        <f ca="1">IF(AND(OFFSET('Player Game Board'!P28,0,ALM1)&lt;&gt;"",OFFSET('Player Game Board'!Q28,0,ALM1)&lt;&gt;""),IF(ALM21&gt;ALN21,"W",IF(ALM21=ALN21,"D","L")),"")</f>
        <v/>
      </c>
      <c r="ALQ21" s="319" t="str">
        <f t="shared" ca="1" si="5720"/>
        <v/>
      </c>
      <c r="ALR21" s="319"/>
      <c r="ALS21" s="319"/>
      <c r="ALT21" s="324" t="s">
        <v>97</v>
      </c>
      <c r="ALU21" s="325" t="s">
        <v>99</v>
      </c>
      <c r="ALV21" s="325" t="s">
        <v>101</v>
      </c>
      <c r="ALW21" s="325" t="s">
        <v>102</v>
      </c>
      <c r="ALX21" s="324" t="s">
        <v>101</v>
      </c>
      <c r="ALY21" s="324" t="s">
        <v>102</v>
      </c>
      <c r="ALZ21" s="324" t="s">
        <v>99</v>
      </c>
      <c r="AMA21" s="324" t="s">
        <v>97</v>
      </c>
      <c r="AMB21" s="325"/>
      <c r="AMC21" s="326">
        <f t="shared" ref="AMC21" ca="1" si="6979">IFERROR(MATCH(AMC12,ALT21:ALW21,0),0)</f>
        <v>1</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3</v>
      </c>
      <c r="AMH21" s="325" t="s">
        <v>355</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97</v>
      </c>
      <c r="AQS21" s="325" t="s">
        <v>99</v>
      </c>
      <c r="AQT21" s="325" t="s">
        <v>101</v>
      </c>
      <c r="AQU21" s="325" t="s">
        <v>102</v>
      </c>
      <c r="AQV21" s="324" t="s">
        <v>101</v>
      </c>
      <c r="AQW21" s="324" t="s">
        <v>102</v>
      </c>
      <c r="AQX21" s="324" t="s">
        <v>99</v>
      </c>
      <c r="AQY21" s="324" t="s">
        <v>97</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355</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97</v>
      </c>
      <c r="AVQ21" s="325" t="s">
        <v>99</v>
      </c>
      <c r="AVR21" s="325" t="s">
        <v>101</v>
      </c>
      <c r="AVS21" s="325" t="s">
        <v>102</v>
      </c>
      <c r="AVT21" s="324" t="s">
        <v>101</v>
      </c>
      <c r="AVU21" s="324" t="s">
        <v>102</v>
      </c>
      <c r="AVV21" s="324" t="s">
        <v>99</v>
      </c>
      <c r="AVW21" s="324" t="s">
        <v>97</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355</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97</v>
      </c>
      <c r="BAO21" s="325" t="s">
        <v>99</v>
      </c>
      <c r="BAP21" s="325" t="s">
        <v>101</v>
      </c>
      <c r="BAQ21" s="325" t="s">
        <v>102</v>
      </c>
      <c r="BAR21" s="324" t="s">
        <v>101</v>
      </c>
      <c r="BAS21" s="324" t="s">
        <v>102</v>
      </c>
      <c r="BAT21" s="324" t="s">
        <v>99</v>
      </c>
      <c r="BAU21" s="324" t="s">
        <v>97</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355</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97</v>
      </c>
      <c r="BFM21" s="325" t="s">
        <v>99</v>
      </c>
      <c r="BFN21" s="325" t="s">
        <v>101</v>
      </c>
      <c r="BFO21" s="325" t="s">
        <v>102</v>
      </c>
      <c r="BFP21" s="324" t="s">
        <v>101</v>
      </c>
      <c r="BFQ21" s="324" t="s">
        <v>102</v>
      </c>
      <c r="BFR21" s="324" t="s">
        <v>99</v>
      </c>
      <c r="BFS21" s="324" t="s">
        <v>97</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355</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97</v>
      </c>
      <c r="DI22" s="325" t="s">
        <v>100</v>
      </c>
      <c r="DJ22" s="325" t="s">
        <v>101</v>
      </c>
      <c r="DK22" s="325" t="s">
        <v>102</v>
      </c>
      <c r="DL22" s="324" t="s">
        <v>101</v>
      </c>
      <c r="DM22" s="324" t="s">
        <v>102</v>
      </c>
      <c r="DN22" s="324" t="s">
        <v>100</v>
      </c>
      <c r="DO22" s="324" t="s">
        <v>97</v>
      </c>
      <c r="DP22" s="325"/>
      <c r="DQ22" s="326">
        <f>IFERROR(MATCH(DQ12,DH22:DK22,0),0)</f>
        <v>2</v>
      </c>
      <c r="DR22" s="326">
        <f>IFERROR(MATCH(DR12,DH22:DK22,0),0)</f>
        <v>3</v>
      </c>
      <c r="DS22" s="326">
        <f>IFERROR(MATCH(DS12,DH22:DK22,0),0)</f>
        <v>0</v>
      </c>
      <c r="DT22" s="326">
        <f>IFERROR(MATCH(DT12,DH22:DK22,0),0)</f>
        <v>0</v>
      </c>
      <c r="DU22" s="326">
        <f t="shared" si="3541"/>
        <v>5</v>
      </c>
      <c r="DV22" s="325" t="s">
        <v>97</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1</v>
      </c>
      <c r="IA22" s="319" t="str">
        <f t="shared" si="165"/>
        <v>France</v>
      </c>
      <c r="IB22" s="319" t="str">
        <f ca="1">IF(AND(OFFSET('Player Game Board'!P29,0,HY1)&lt;&gt;"",OFFSET('Player Game Board'!Q29,0,HY1)&lt;&gt;""),IF(HY22&gt;HZ22,"W",IF(HY22=HZ22,"D","L")),"")</f>
        <v>D</v>
      </c>
      <c r="IC22" s="319" t="str">
        <f t="shared" ca="1" si="166"/>
        <v>D</v>
      </c>
      <c r="ID22" s="319"/>
      <c r="IE22" s="319"/>
      <c r="IF22" s="324" t="s">
        <v>97</v>
      </c>
      <c r="IG22" s="325" t="s">
        <v>100</v>
      </c>
      <c r="IH22" s="325" t="s">
        <v>101</v>
      </c>
      <c r="II22" s="325" t="s">
        <v>102</v>
      </c>
      <c r="IJ22" s="324" t="s">
        <v>101</v>
      </c>
      <c r="IK22" s="324" t="s">
        <v>102</v>
      </c>
      <c r="IL22" s="324" t="s">
        <v>100</v>
      </c>
      <c r="IM22" s="324" t="s">
        <v>97</v>
      </c>
      <c r="IN22" s="325"/>
      <c r="IO22" s="326">
        <f ca="1">IFERROR(MATCH(IO12,IF22:II22,0),0)</f>
        <v>0</v>
      </c>
      <c r="IP22" s="326">
        <f ca="1">IFERROR(MATCH(IP12,IF22:II22,0),0)</f>
        <v>0</v>
      </c>
      <c r="IQ22" s="326">
        <f ca="1">IFERROR(MATCH(IQ12,IF22:II22,0),0)</f>
        <v>1</v>
      </c>
      <c r="IR22" s="326">
        <f ca="1">IFERROR(MATCH(IR12,IF22:II22,0),0)</f>
        <v>3</v>
      </c>
      <c r="IS22" s="326">
        <f t="shared" ca="1" si="3544"/>
        <v>4</v>
      </c>
      <c r="IT22" s="325" t="s">
        <v>97</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97</v>
      </c>
      <c r="NE22" s="325" t="s">
        <v>100</v>
      </c>
      <c r="NF22" s="325" t="s">
        <v>101</v>
      </c>
      <c r="NG22" s="325" t="s">
        <v>102</v>
      </c>
      <c r="NH22" s="324" t="s">
        <v>101</v>
      </c>
      <c r="NI22" s="324" t="s">
        <v>102</v>
      </c>
      <c r="NJ22" s="324" t="s">
        <v>100</v>
      </c>
      <c r="NK22" s="324" t="s">
        <v>97</v>
      </c>
      <c r="NL22" s="325"/>
      <c r="NM22" s="326">
        <f ca="1">IFERROR(MATCH(NM12,ND22:NG22,0),0)</f>
        <v>0</v>
      </c>
      <c r="NN22" s="326">
        <f ca="1">IFERROR(MATCH(NN12,ND22:NG22,0),0)</f>
        <v>4</v>
      </c>
      <c r="NO22" s="326">
        <f ca="1">IFERROR(MATCH(NO12,ND22:NG22,0),0)</f>
        <v>1</v>
      </c>
      <c r="NP22" s="326">
        <f ca="1">IFERROR(MATCH(NP12,ND22:NG22,0),0)</f>
        <v>2</v>
      </c>
      <c r="NQ22" s="326">
        <f t="shared" ca="1" si="3547"/>
        <v>7</v>
      </c>
      <c r="NR22" s="325" t="s">
        <v>97</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0</v>
      </c>
      <c r="RV22" s="322">
        <f ca="1">IF(OFFSET('Player Game Board'!Q29,0,RU1)&lt;&gt;"",OFFSET('Player Game Board'!Q29,0,RU1),0)</f>
        <v>0</v>
      </c>
      <c r="RW22" s="319" t="str">
        <f t="shared" si="19"/>
        <v>France</v>
      </c>
      <c r="RX22" s="319" t="str">
        <f ca="1">IF(AND(OFFSET('Player Game Board'!P29,0,RU1)&lt;&gt;"",OFFSET('Player Game Board'!Q29,0,RU1)&lt;&gt;""),IF(RU22&gt;RV22,"W",IF(RU22=RV22,"D","L")),"")</f>
        <v/>
      </c>
      <c r="RY22" s="319" t="str">
        <f t="shared" ca="1" si="5500"/>
        <v/>
      </c>
      <c r="RZ22" s="319"/>
      <c r="SA22" s="319"/>
      <c r="SB22" s="324" t="s">
        <v>97</v>
      </c>
      <c r="SC22" s="325" t="s">
        <v>100</v>
      </c>
      <c r="SD22" s="325" t="s">
        <v>101</v>
      </c>
      <c r="SE22" s="325" t="s">
        <v>102</v>
      </c>
      <c r="SF22" s="324" t="s">
        <v>101</v>
      </c>
      <c r="SG22" s="324" t="s">
        <v>102</v>
      </c>
      <c r="SH22" s="324" t="s">
        <v>100</v>
      </c>
      <c r="SI22" s="324" t="s">
        <v>97</v>
      </c>
      <c r="SJ22" s="325"/>
      <c r="SK22" s="326">
        <f t="shared" ref="SK22" ca="1" si="7308">IFERROR(MATCH(SK12,SB22:SE22,0),0)</f>
        <v>1</v>
      </c>
      <c r="SL22" s="326">
        <f t="shared" ref="SL22" ca="1" si="7309">IFERROR(MATCH(SL12,SB22:SE22,0),0)</f>
        <v>2</v>
      </c>
      <c r="SM22" s="326">
        <f t="shared" ref="SM22" ca="1" si="7310">IFERROR(MATCH(SM12,SB22:SE22,0),0)</f>
        <v>0</v>
      </c>
      <c r="SN22" s="326">
        <f t="shared" ref="SN22" ca="1" si="7311">IFERROR(MATCH(SN12,SB22:SE22,0),0)</f>
        <v>0</v>
      </c>
      <c r="SO22" s="326">
        <f t="shared" ca="1" si="3616"/>
        <v>3</v>
      </c>
      <c r="SP22" s="325" t="s">
        <v>97</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0</v>
      </c>
      <c r="WT22" s="322">
        <f ca="1">IF(OFFSET('Player Game Board'!Q29,0,WS1)&lt;&gt;"",OFFSET('Player Game Board'!Q29,0,WS1),0)</f>
        <v>0</v>
      </c>
      <c r="WU22" s="319" t="str">
        <f t="shared" si="35"/>
        <v>France</v>
      </c>
      <c r="WV22" s="319" t="str">
        <f ca="1">IF(AND(OFFSET('Player Game Board'!P29,0,WS1)&lt;&gt;"",OFFSET('Player Game Board'!Q29,0,WS1)&lt;&gt;""),IF(WS22&gt;WT22,"W",IF(WS22=WT22,"D","L")),"")</f>
        <v/>
      </c>
      <c r="WW22" s="319" t="str">
        <f t="shared" ca="1" si="5555"/>
        <v/>
      </c>
      <c r="WX22" s="319"/>
      <c r="WY22" s="319"/>
      <c r="WZ22" s="324" t="s">
        <v>97</v>
      </c>
      <c r="XA22" s="325" t="s">
        <v>100</v>
      </c>
      <c r="XB22" s="325" t="s">
        <v>101</v>
      </c>
      <c r="XC22" s="325" t="s">
        <v>102</v>
      </c>
      <c r="XD22" s="324" t="s">
        <v>101</v>
      </c>
      <c r="XE22" s="324" t="s">
        <v>102</v>
      </c>
      <c r="XF22" s="324" t="s">
        <v>100</v>
      </c>
      <c r="XG22" s="324" t="s">
        <v>97</v>
      </c>
      <c r="XH22" s="325"/>
      <c r="XI22" s="326">
        <f t="shared" ref="XI22" ca="1" si="7313">IFERROR(MATCH(XI12,WZ22:XC22,0),0)</f>
        <v>1</v>
      </c>
      <c r="XJ22" s="326">
        <f t="shared" ref="XJ22" ca="1" si="7314">IFERROR(MATCH(XJ12,WZ22:XC22,0),0)</f>
        <v>2</v>
      </c>
      <c r="XK22" s="326">
        <f t="shared" ref="XK22" ca="1" si="7315">IFERROR(MATCH(XK12,WZ22:XC22,0),0)</f>
        <v>0</v>
      </c>
      <c r="XL22" s="326">
        <f t="shared" ref="XL22" ca="1" si="7316">IFERROR(MATCH(XL12,WZ22:XC22,0),0)</f>
        <v>0</v>
      </c>
      <c r="XM22" s="326">
        <f t="shared" ca="1" si="3686"/>
        <v>3</v>
      </c>
      <c r="XN22" s="325" t="s">
        <v>97</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97</v>
      </c>
      <c r="ABY22" s="325" t="s">
        <v>100</v>
      </c>
      <c r="ABZ22" s="325" t="s">
        <v>101</v>
      </c>
      <c r="ACA22" s="325" t="s">
        <v>102</v>
      </c>
      <c r="ACB22" s="324" t="s">
        <v>101</v>
      </c>
      <c r="ACC22" s="324" t="s">
        <v>102</v>
      </c>
      <c r="ACD22" s="324" t="s">
        <v>100</v>
      </c>
      <c r="ACE22" s="324" t="s">
        <v>97</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97</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0</v>
      </c>
      <c r="AGP22" s="322">
        <f ca="1">IF(OFFSET('Player Game Board'!Q29,0,AGO1)&lt;&gt;"",OFFSET('Player Game Board'!Q29,0,AGO1),0)</f>
        <v>0</v>
      </c>
      <c r="AGQ22" s="319" t="str">
        <f t="shared" si="67"/>
        <v>France</v>
      </c>
      <c r="AGR22" s="319" t="str">
        <f ca="1">IF(AND(OFFSET('Player Game Board'!P29,0,AGO1)&lt;&gt;"",OFFSET('Player Game Board'!Q29,0,AGO1)&lt;&gt;""),IF(AGO22&gt;AGP22,"W",IF(AGO22=AGP22,"D","L")),"")</f>
        <v/>
      </c>
      <c r="AGS22" s="319" t="str">
        <f t="shared" ca="1" si="5665"/>
        <v/>
      </c>
      <c r="AGT22" s="319"/>
      <c r="AGU22" s="319"/>
      <c r="AGV22" s="324" t="s">
        <v>97</v>
      </c>
      <c r="AGW22" s="325" t="s">
        <v>100</v>
      </c>
      <c r="AGX22" s="325" t="s">
        <v>101</v>
      </c>
      <c r="AGY22" s="325" t="s">
        <v>102</v>
      </c>
      <c r="AGZ22" s="324" t="s">
        <v>101</v>
      </c>
      <c r="AHA22" s="324" t="s">
        <v>102</v>
      </c>
      <c r="AHB22" s="324" t="s">
        <v>100</v>
      </c>
      <c r="AHC22" s="324" t="s">
        <v>97</v>
      </c>
      <c r="AHD22" s="325"/>
      <c r="AHE22" s="326">
        <f t="shared" ref="AHE22" ca="1" si="7323">IFERROR(MATCH(AHE12,AGV22:AGY22,0),0)</f>
        <v>1</v>
      </c>
      <c r="AHF22" s="326">
        <f t="shared" ref="AHF22" ca="1" si="7324">IFERROR(MATCH(AHF12,AGV22:AGY22,0),0)</f>
        <v>2</v>
      </c>
      <c r="AHG22" s="326">
        <f t="shared" ref="AHG22" ca="1" si="7325">IFERROR(MATCH(AHG12,AGV22:AGY22,0),0)</f>
        <v>0</v>
      </c>
      <c r="AHH22" s="326">
        <f t="shared" ref="AHH22" ca="1" si="7326">IFERROR(MATCH(AHH12,AGV22:AGY22,0),0)</f>
        <v>0</v>
      </c>
      <c r="AHI22" s="326">
        <f t="shared" ca="1" si="3826"/>
        <v>3</v>
      </c>
      <c r="AHJ22" s="325" t="s">
        <v>97</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
      </c>
      <c r="ALQ22" s="319" t="str">
        <f t="shared" ca="1" si="5720"/>
        <v/>
      </c>
      <c r="ALR22" s="319"/>
      <c r="ALS22" s="319"/>
      <c r="ALT22" s="324" t="s">
        <v>97</v>
      </c>
      <c r="ALU22" s="325" t="s">
        <v>100</v>
      </c>
      <c r="ALV22" s="325" t="s">
        <v>101</v>
      </c>
      <c r="ALW22" s="325" t="s">
        <v>102</v>
      </c>
      <c r="ALX22" s="324" t="s">
        <v>101</v>
      </c>
      <c r="ALY22" s="324" t="s">
        <v>102</v>
      </c>
      <c r="ALZ22" s="324" t="s">
        <v>100</v>
      </c>
      <c r="AMA22" s="324" t="s">
        <v>97</v>
      </c>
      <c r="AMB22" s="325"/>
      <c r="AMC22" s="326">
        <f t="shared" ref="AMC22" ca="1" si="7328">IFERROR(MATCH(AMC12,ALT22:ALW22,0),0)</f>
        <v>1</v>
      </c>
      <c r="AMD22" s="326">
        <f t="shared" ref="AMD22" ca="1" si="7329">IFERROR(MATCH(AMD12,ALT22:ALW22,0),0)</f>
        <v>2</v>
      </c>
      <c r="AME22" s="326">
        <f t="shared" ref="AME22" ca="1" si="7330">IFERROR(MATCH(AME12,ALT22:ALW22,0),0)</f>
        <v>0</v>
      </c>
      <c r="AMF22" s="326">
        <f t="shared" ref="AMF22" ca="1" si="7331">IFERROR(MATCH(AMF12,ALT22:ALW22,0),0)</f>
        <v>0</v>
      </c>
      <c r="AMG22" s="326">
        <f t="shared" ca="1" si="3896"/>
        <v>3</v>
      </c>
      <c r="AMH22" s="325" t="s">
        <v>97</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97</v>
      </c>
      <c r="AQS22" s="325" t="s">
        <v>100</v>
      </c>
      <c r="AQT22" s="325" t="s">
        <v>101</v>
      </c>
      <c r="AQU22" s="325" t="s">
        <v>102</v>
      </c>
      <c r="AQV22" s="324" t="s">
        <v>101</v>
      </c>
      <c r="AQW22" s="324" t="s">
        <v>102</v>
      </c>
      <c r="AQX22" s="324" t="s">
        <v>100</v>
      </c>
      <c r="AQY22" s="324" t="s">
        <v>97</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97</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97</v>
      </c>
      <c r="AVQ22" s="325" t="s">
        <v>100</v>
      </c>
      <c r="AVR22" s="325" t="s">
        <v>101</v>
      </c>
      <c r="AVS22" s="325" t="s">
        <v>102</v>
      </c>
      <c r="AVT22" s="324" t="s">
        <v>101</v>
      </c>
      <c r="AVU22" s="324" t="s">
        <v>102</v>
      </c>
      <c r="AVV22" s="324" t="s">
        <v>100</v>
      </c>
      <c r="AVW22" s="324" t="s">
        <v>97</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97</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97</v>
      </c>
      <c r="BAO22" s="325" t="s">
        <v>100</v>
      </c>
      <c r="BAP22" s="325" t="s">
        <v>101</v>
      </c>
      <c r="BAQ22" s="325" t="s">
        <v>102</v>
      </c>
      <c r="BAR22" s="324" t="s">
        <v>101</v>
      </c>
      <c r="BAS22" s="324" t="s">
        <v>102</v>
      </c>
      <c r="BAT22" s="324" t="s">
        <v>100</v>
      </c>
      <c r="BAU22" s="324" t="s">
        <v>97</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97</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97</v>
      </c>
      <c r="BFM22" s="325" t="s">
        <v>100</v>
      </c>
      <c r="BFN22" s="325" t="s">
        <v>101</v>
      </c>
      <c r="BFO22" s="325" t="s">
        <v>102</v>
      </c>
      <c r="BFP22" s="324" t="s">
        <v>101</v>
      </c>
      <c r="BFQ22" s="324" t="s">
        <v>102</v>
      </c>
      <c r="BFR22" s="324" t="s">
        <v>100</v>
      </c>
      <c r="BFS22" s="324" t="s">
        <v>97</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97</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98</v>
      </c>
      <c r="DI23" s="325" t="s">
        <v>99</v>
      </c>
      <c r="DJ23" s="325" t="s">
        <v>100</v>
      </c>
      <c r="DK23" s="325" t="s">
        <v>101</v>
      </c>
      <c r="DL23" s="324" t="s">
        <v>101</v>
      </c>
      <c r="DM23" s="324" t="s">
        <v>100</v>
      </c>
      <c r="DN23" s="324" t="s">
        <v>98</v>
      </c>
      <c r="DO23" s="324" t="s">
        <v>99</v>
      </c>
      <c r="DP23" s="325"/>
      <c r="DQ23" s="326">
        <f>IFERROR(MATCH(DQ12,DH23:DK23,0),0)</f>
        <v>3</v>
      </c>
      <c r="DR23" s="326">
        <f>IFERROR(MATCH(DR12,DH23:DK23,0),0)</f>
        <v>4</v>
      </c>
      <c r="DS23" s="326">
        <f>IFERROR(MATCH(DS12,DH23:DK23,0),0)</f>
        <v>2</v>
      </c>
      <c r="DT23" s="326">
        <f>IFERROR(MATCH(DT12,DH23:DK23,0),0)</f>
        <v>1</v>
      </c>
      <c r="DU23" s="326">
        <f t="shared" si="3541"/>
        <v>10</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0</v>
      </c>
      <c r="HZ23" s="322">
        <f ca="1">IF(OFFSET('Player Game Board'!Q30,0,HY1)&lt;&gt;"",OFFSET('Player Game Board'!Q30,0,HY1),0)</f>
        <v>1</v>
      </c>
      <c r="IA23" s="319" t="str">
        <f t="shared" si="165"/>
        <v>Ukraine</v>
      </c>
      <c r="IB23" s="319" t="str">
        <f ca="1">IF(AND(OFFSET('Player Game Board'!P30,0,HY1)&lt;&gt;"",OFFSET('Player Game Board'!Q30,0,HY1)&lt;&gt;""),IF(HY23&gt;HZ23,"W",IF(HY23=HZ23,"D","L")),"")</f>
        <v>L</v>
      </c>
      <c r="IC23" s="319" t="str">
        <f t="shared" ca="1" si="166"/>
        <v>W</v>
      </c>
      <c r="ID23" s="319"/>
      <c r="IE23" s="319"/>
      <c r="IF23" s="324" t="s">
        <v>98</v>
      </c>
      <c r="IG23" s="325" t="s">
        <v>99</v>
      </c>
      <c r="IH23" s="325" t="s">
        <v>100</v>
      </c>
      <c r="II23" s="325" t="s">
        <v>101</v>
      </c>
      <c r="IJ23" s="324" t="s">
        <v>101</v>
      </c>
      <c r="IK23" s="324" t="s">
        <v>100</v>
      </c>
      <c r="IL23" s="324" t="s">
        <v>98</v>
      </c>
      <c r="IM23" s="324" t="s">
        <v>99</v>
      </c>
      <c r="IN23" s="325"/>
      <c r="IO23" s="326">
        <f ca="1">IFERROR(MATCH(IO12,IF23:II23,0),0)</f>
        <v>1</v>
      </c>
      <c r="IP23" s="326">
        <f ca="1">IFERROR(MATCH(IP12,IF23:II23,0),0)</f>
        <v>2</v>
      </c>
      <c r="IQ23" s="326">
        <f ca="1">IFERROR(MATCH(IQ12,IF23:II23,0),0)</f>
        <v>0</v>
      </c>
      <c r="IR23" s="326">
        <f ca="1">IFERROR(MATCH(IR12,IF23:II23,0),0)</f>
        <v>4</v>
      </c>
      <c r="IS23" s="326">
        <f t="shared" ca="1" si="3544"/>
        <v>7</v>
      </c>
      <c r="IT23" s="325"/>
      <c r="IU23" s="325" t="str">
        <f ca="1">VLOOKUP(2,DY4:DZ7,2,FALSE)</f>
        <v>Scotland</v>
      </c>
      <c r="IV23" s="325">
        <f t="shared" ca="1" si="5047"/>
        <v>0</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2</v>
      </c>
      <c r="MY23" s="319" t="str">
        <f t="shared" si="171"/>
        <v>Ukraine</v>
      </c>
      <c r="MZ23" s="319" t="str">
        <f ca="1">IF(AND(OFFSET('Player Game Board'!P30,0,MW1)&lt;&gt;"",OFFSET('Player Game Board'!Q30,0,MW1)&lt;&gt;""),IF(MW23&gt;MX23,"W",IF(MW23=MX23,"D","L")),"")</f>
        <v>L</v>
      </c>
      <c r="NA23" s="319" t="str">
        <f t="shared" ca="1" si="172"/>
        <v>W</v>
      </c>
      <c r="NB23" s="319"/>
      <c r="NC23" s="319"/>
      <c r="ND23" s="324" t="s">
        <v>98</v>
      </c>
      <c r="NE23" s="325" t="s">
        <v>99</v>
      </c>
      <c r="NF23" s="325" t="s">
        <v>100</v>
      </c>
      <c r="NG23" s="325" t="s">
        <v>101</v>
      </c>
      <c r="NH23" s="324" t="s">
        <v>101</v>
      </c>
      <c r="NI23" s="324" t="s">
        <v>100</v>
      </c>
      <c r="NJ23" s="324" t="s">
        <v>98</v>
      </c>
      <c r="NK23" s="324" t="s">
        <v>99</v>
      </c>
      <c r="NL23" s="325"/>
      <c r="NM23" s="326">
        <f ca="1">IFERROR(MATCH(NM12,ND23:NG23,0),0)</f>
        <v>1</v>
      </c>
      <c r="NN23" s="326">
        <f ca="1">IFERROR(MATCH(NN12,ND23:NG23,0),0)</f>
        <v>0</v>
      </c>
      <c r="NO23" s="326">
        <f ca="1">IFERROR(MATCH(NO12,ND23:NG23,0),0)</f>
        <v>0</v>
      </c>
      <c r="NP23" s="326">
        <f ca="1">IFERROR(MATCH(NP12,ND23:NG23,0),0)</f>
        <v>3</v>
      </c>
      <c r="NQ23" s="326">
        <f t="shared" ca="1" si="3547"/>
        <v>4</v>
      </c>
      <c r="NR23" s="325"/>
      <c r="NS23" s="325" t="str">
        <f ca="1">VLOOKUP(2,IW4:IX7,2,FALSE)</f>
        <v>Switzerland</v>
      </c>
      <c r="NT23" s="325">
        <f t="shared" ca="1" si="5052"/>
        <v>1</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0</v>
      </c>
      <c r="RW23" s="319" t="str">
        <f t="shared" si="19"/>
        <v>Ukraine</v>
      </c>
      <c r="RX23" s="319" t="str">
        <f ca="1">IF(AND(OFFSET('Player Game Board'!P30,0,RU1)&lt;&gt;"",OFFSET('Player Game Board'!Q30,0,RU1)&lt;&gt;""),IF(RU23&gt;RV23,"W",IF(RU23=RV23,"D","L")),"")</f>
        <v/>
      </c>
      <c r="RY23" s="319" t="str">
        <f t="shared" ca="1" si="5500"/>
        <v/>
      </c>
      <c r="RZ23" s="319"/>
      <c r="SA23" s="319"/>
      <c r="SB23" s="324" t="s">
        <v>98</v>
      </c>
      <c r="SC23" s="325" t="s">
        <v>99</v>
      </c>
      <c r="SD23" s="325" t="s">
        <v>100</v>
      </c>
      <c r="SE23" s="325" t="s">
        <v>101</v>
      </c>
      <c r="SF23" s="324" t="s">
        <v>101</v>
      </c>
      <c r="SG23" s="324" t="s">
        <v>100</v>
      </c>
      <c r="SH23" s="324" t="s">
        <v>98</v>
      </c>
      <c r="SI23" s="324" t="s">
        <v>99</v>
      </c>
      <c r="SJ23" s="325"/>
      <c r="SK23" s="326">
        <f t="shared" ref="SK23" ca="1" si="7353">IFERROR(MATCH(SK12,SB23:SE23,0),0)</f>
        <v>0</v>
      </c>
      <c r="SL23" s="326">
        <f t="shared" ref="SL23" ca="1" si="7354">IFERROR(MATCH(SL12,SB23:SE23,0),0)</f>
        <v>3</v>
      </c>
      <c r="SM23" s="326">
        <f t="shared" ref="SM23" ca="1" si="7355">IFERROR(MATCH(SM12,SB23:SE23,0),0)</f>
        <v>1</v>
      </c>
      <c r="SN23" s="326">
        <f t="shared" ref="SN23" ca="1" si="7356">IFERROR(MATCH(SN12,SB23:SE23,0),0)</f>
        <v>2</v>
      </c>
      <c r="SO23" s="326">
        <f t="shared" ca="1" si="3616"/>
        <v>6</v>
      </c>
      <c r="SP23" s="325"/>
      <c r="SQ23" s="325" t="str">
        <f t="shared" ref="SQ23" ca="1" si="7357">VLOOKUP(2,NU4:NV7,2,FALSE)</f>
        <v>Hungary</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0</v>
      </c>
      <c r="WU23" s="319" t="str">
        <f t="shared" si="35"/>
        <v>Ukraine</v>
      </c>
      <c r="WV23" s="319" t="str">
        <f ca="1">IF(AND(OFFSET('Player Game Board'!P30,0,WS1)&lt;&gt;"",OFFSET('Player Game Board'!Q30,0,WS1)&lt;&gt;""),IF(WS23&gt;WT23,"W",IF(WS23=WT23,"D","L")),"")</f>
        <v/>
      </c>
      <c r="WW23" s="319" t="str">
        <f t="shared" ca="1" si="5555"/>
        <v/>
      </c>
      <c r="WX23" s="319"/>
      <c r="WY23" s="319"/>
      <c r="WZ23" s="324" t="s">
        <v>98</v>
      </c>
      <c r="XA23" s="325" t="s">
        <v>99</v>
      </c>
      <c r="XB23" s="325" t="s">
        <v>100</v>
      </c>
      <c r="XC23" s="325" t="s">
        <v>101</v>
      </c>
      <c r="XD23" s="324" t="s">
        <v>101</v>
      </c>
      <c r="XE23" s="324" t="s">
        <v>100</v>
      </c>
      <c r="XF23" s="324" t="s">
        <v>98</v>
      </c>
      <c r="XG23" s="324" t="s">
        <v>99</v>
      </c>
      <c r="XH23" s="325"/>
      <c r="XI23" s="326">
        <f t="shared" ref="XI23" ca="1" si="7358">IFERROR(MATCH(XI12,WZ23:XC23,0),0)</f>
        <v>0</v>
      </c>
      <c r="XJ23" s="326">
        <f t="shared" ref="XJ23" ca="1" si="7359">IFERROR(MATCH(XJ12,WZ23:XC23,0),0)</f>
        <v>3</v>
      </c>
      <c r="XK23" s="326">
        <f t="shared" ref="XK23" ca="1" si="7360">IFERROR(MATCH(XK12,WZ23:XC23,0),0)</f>
        <v>1</v>
      </c>
      <c r="XL23" s="326">
        <f t="shared" ref="XL23" ca="1" si="7361">IFERROR(MATCH(XL12,WZ23:XC23,0),0)</f>
        <v>2</v>
      </c>
      <c r="XM23" s="326">
        <f t="shared" ca="1" si="3686"/>
        <v>6</v>
      </c>
      <c r="XN23" s="325"/>
      <c r="XO23" s="325" t="str">
        <f t="shared" ref="XO23" ca="1" si="7362">VLOOKUP(2,SS4:ST7,2,FALSE)</f>
        <v>Hungary</v>
      </c>
      <c r="XP23" s="325">
        <f t="shared" ca="1" si="5138"/>
        <v>0</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98</v>
      </c>
      <c r="ABY23" s="325" t="s">
        <v>99</v>
      </c>
      <c r="ABZ23" s="325" t="s">
        <v>100</v>
      </c>
      <c r="ACA23" s="325" t="s">
        <v>101</v>
      </c>
      <c r="ACB23" s="324" t="s">
        <v>101</v>
      </c>
      <c r="ACC23" s="324" t="s">
        <v>100</v>
      </c>
      <c r="ACD23" s="324" t="s">
        <v>98</v>
      </c>
      <c r="ACE23" s="324" t="s">
        <v>99</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0</v>
      </c>
      <c r="AGQ23" s="319" t="str">
        <f t="shared" si="67"/>
        <v>Ukraine</v>
      </c>
      <c r="AGR23" s="319" t="str">
        <f ca="1">IF(AND(OFFSET('Player Game Board'!P30,0,AGO1)&lt;&gt;"",OFFSET('Player Game Board'!Q30,0,AGO1)&lt;&gt;""),IF(AGO23&gt;AGP23,"W",IF(AGO23=AGP23,"D","L")),"")</f>
        <v/>
      </c>
      <c r="AGS23" s="319" t="str">
        <f t="shared" ca="1" si="5665"/>
        <v/>
      </c>
      <c r="AGT23" s="319"/>
      <c r="AGU23" s="319"/>
      <c r="AGV23" s="324" t="s">
        <v>98</v>
      </c>
      <c r="AGW23" s="325" t="s">
        <v>99</v>
      </c>
      <c r="AGX23" s="325" t="s">
        <v>100</v>
      </c>
      <c r="AGY23" s="325" t="s">
        <v>101</v>
      </c>
      <c r="AGZ23" s="324" t="s">
        <v>101</v>
      </c>
      <c r="AHA23" s="324" t="s">
        <v>100</v>
      </c>
      <c r="AHB23" s="324" t="s">
        <v>98</v>
      </c>
      <c r="AHC23" s="324" t="s">
        <v>99</v>
      </c>
      <c r="AHD23" s="325"/>
      <c r="AHE23" s="326">
        <f t="shared" ref="AHE23" ca="1" si="7368">IFERROR(MATCH(AHE12,AGV23:AGY23,0),0)</f>
        <v>0</v>
      </c>
      <c r="AHF23" s="326">
        <f t="shared" ref="AHF23" ca="1" si="7369">IFERROR(MATCH(AHF12,AGV23:AGY23,0),0)</f>
        <v>3</v>
      </c>
      <c r="AHG23" s="326">
        <f t="shared" ref="AHG23" ca="1" si="7370">IFERROR(MATCH(AHG12,AGV23:AGY23,0),0)</f>
        <v>1</v>
      </c>
      <c r="AHH23" s="326">
        <f t="shared" ref="AHH23" ca="1" si="7371">IFERROR(MATCH(AHH12,AGV23:AGY23,0),0)</f>
        <v>2</v>
      </c>
      <c r="AHI23" s="326">
        <f t="shared" ca="1" si="3826"/>
        <v>6</v>
      </c>
      <c r="AHJ23" s="325"/>
      <c r="AHK23" s="325" t="str">
        <f t="shared" ref="AHK23" ca="1" si="7372">VLOOKUP(2,ACO4:ACP7,2,FALSE)</f>
        <v>Hungary</v>
      </c>
      <c r="AHL23" s="325">
        <f t="shared" ca="1" si="5224"/>
        <v>0</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
      </c>
      <c r="ALQ23" s="319" t="str">
        <f t="shared" ca="1" si="5720"/>
        <v/>
      </c>
      <c r="ALR23" s="319"/>
      <c r="ALS23" s="319"/>
      <c r="ALT23" s="324" t="s">
        <v>98</v>
      </c>
      <c r="ALU23" s="325" t="s">
        <v>99</v>
      </c>
      <c r="ALV23" s="325" t="s">
        <v>100</v>
      </c>
      <c r="ALW23" s="325" t="s">
        <v>101</v>
      </c>
      <c r="ALX23" s="324" t="s">
        <v>101</v>
      </c>
      <c r="ALY23" s="324" t="s">
        <v>100</v>
      </c>
      <c r="ALZ23" s="324" t="s">
        <v>98</v>
      </c>
      <c r="AMA23" s="324" t="s">
        <v>99</v>
      </c>
      <c r="AMB23" s="325"/>
      <c r="AMC23" s="326">
        <f t="shared" ref="AMC23" ca="1" si="7373">IFERROR(MATCH(AMC12,ALT23:ALW23,0),0)</f>
        <v>0</v>
      </c>
      <c r="AMD23" s="326">
        <f t="shared" ref="AMD23" ca="1" si="7374">IFERROR(MATCH(AMD12,ALT23:ALW23,0),0)</f>
        <v>3</v>
      </c>
      <c r="AME23" s="326">
        <f t="shared" ref="AME23" ca="1" si="7375">IFERROR(MATCH(AME12,ALT23:ALW23,0),0)</f>
        <v>1</v>
      </c>
      <c r="AMF23" s="326">
        <f t="shared" ref="AMF23" ca="1" si="7376">IFERROR(MATCH(AMF12,ALT23:ALW23,0),0)</f>
        <v>2</v>
      </c>
      <c r="AMG23" s="326">
        <f t="shared" ca="1" si="3896"/>
        <v>6</v>
      </c>
      <c r="AMH23" s="325"/>
      <c r="AMI23" s="325" t="str">
        <f t="shared" ref="AMI23" ca="1" si="7377">VLOOKUP(2,AHM4:AHN7,2,FALSE)</f>
        <v>Hungary</v>
      </c>
      <c r="AMJ23" s="325">
        <f t="shared" ca="1" si="5267"/>
        <v>0</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98</v>
      </c>
      <c r="AQS23" s="325" t="s">
        <v>99</v>
      </c>
      <c r="AQT23" s="325" t="s">
        <v>100</v>
      </c>
      <c r="AQU23" s="325" t="s">
        <v>101</v>
      </c>
      <c r="AQV23" s="324" t="s">
        <v>101</v>
      </c>
      <c r="AQW23" s="324" t="s">
        <v>100</v>
      </c>
      <c r="AQX23" s="324" t="s">
        <v>98</v>
      </c>
      <c r="AQY23" s="324" t="s">
        <v>99</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98</v>
      </c>
      <c r="AVQ23" s="325" t="s">
        <v>99</v>
      </c>
      <c r="AVR23" s="325" t="s">
        <v>100</v>
      </c>
      <c r="AVS23" s="325" t="s">
        <v>101</v>
      </c>
      <c r="AVT23" s="324" t="s">
        <v>101</v>
      </c>
      <c r="AVU23" s="324" t="s">
        <v>100</v>
      </c>
      <c r="AVV23" s="324" t="s">
        <v>98</v>
      </c>
      <c r="AVW23" s="324" t="s">
        <v>99</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0</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98</v>
      </c>
      <c r="BAO23" s="325" t="s">
        <v>99</v>
      </c>
      <c r="BAP23" s="325" t="s">
        <v>100</v>
      </c>
      <c r="BAQ23" s="325" t="s">
        <v>101</v>
      </c>
      <c r="BAR23" s="324" t="s">
        <v>101</v>
      </c>
      <c r="BAS23" s="324" t="s">
        <v>100</v>
      </c>
      <c r="BAT23" s="324" t="s">
        <v>98</v>
      </c>
      <c r="BAU23" s="324" t="s">
        <v>99</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98</v>
      </c>
      <c r="BFM23" s="325" t="s">
        <v>99</v>
      </c>
      <c r="BFN23" s="325" t="s">
        <v>100</v>
      </c>
      <c r="BFO23" s="325" t="s">
        <v>101</v>
      </c>
      <c r="BFP23" s="324" t="s">
        <v>101</v>
      </c>
      <c r="BFQ23" s="324" t="s">
        <v>100</v>
      </c>
      <c r="BFR23" s="324" t="s">
        <v>98</v>
      </c>
      <c r="BFS23" s="324" t="s">
        <v>99</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2</v>
      </c>
      <c r="DB24" s="319">
        <f>IF(AND(Matches!I29&lt;&gt;"",Matches!H29&lt;&gt;""),Matches!I29,0)</f>
        <v>0</v>
      </c>
      <c r="DC24" s="319" t="str">
        <f>Matches!J29</f>
        <v>Romania</v>
      </c>
      <c r="DD24" s="319" t="str">
        <f>IF(AND(Matches!H29&lt;&gt;"",Matches!I29&lt;&gt;""),IF(DA24&gt;DB24,"W",IF(DA24=DB24,"D","L")),"")</f>
        <v>W</v>
      </c>
      <c r="DE24" s="319" t="str">
        <f t="shared" si="162"/>
        <v>L</v>
      </c>
      <c r="DF24" s="319"/>
      <c r="DG24" s="319"/>
      <c r="DH24" s="324" t="s">
        <v>98</v>
      </c>
      <c r="DI24" s="325" t="s">
        <v>99</v>
      </c>
      <c r="DJ24" s="325" t="s">
        <v>100</v>
      </c>
      <c r="DK24" s="325" t="s">
        <v>102</v>
      </c>
      <c r="DL24" s="324" t="s">
        <v>102</v>
      </c>
      <c r="DM24" s="324" t="s">
        <v>100</v>
      </c>
      <c r="DN24" s="324" t="s">
        <v>99</v>
      </c>
      <c r="DO24" s="324" t="s">
        <v>98</v>
      </c>
      <c r="DP24" s="325"/>
      <c r="DQ24" s="326">
        <f>IFERROR(MATCH(DQ12,DH24:DK24,0),0)</f>
        <v>3</v>
      </c>
      <c r="DR24" s="326">
        <f>IFERROR(MATCH(DR12,DH24:DK24,0),0)</f>
        <v>0</v>
      </c>
      <c r="DS24" s="326">
        <f>IFERROR(MATCH(DS12,DH24:DK24,0),0)</f>
        <v>2</v>
      </c>
      <c r="DT24" s="326">
        <f>IFERROR(MATCH(DT12,DH24:DK24,0),0)</f>
        <v>1</v>
      </c>
      <c r="DU24" s="326">
        <f t="shared" si="3541"/>
        <v>6</v>
      </c>
      <c r="DV24" s="325" t="s">
        <v>98</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1</v>
      </c>
      <c r="HZ24" s="322">
        <f ca="1">IF(OFFSET('Player Game Board'!Q31,0,HY1)&lt;&gt;"",OFFSET('Player Game Board'!Q31,0,HY1),0)</f>
        <v>0</v>
      </c>
      <c r="IA24" s="319" t="str">
        <f t="shared" si="165"/>
        <v>Romania</v>
      </c>
      <c r="IB24" s="319" t="str">
        <f ca="1">IF(AND(OFFSET('Player Game Board'!P31,0,HY1)&lt;&gt;"",OFFSET('Player Game Board'!Q31,0,HY1)&lt;&gt;""),IF(HY24&gt;HZ24,"W",IF(HY24=HZ24,"D","L")),"")</f>
        <v>W</v>
      </c>
      <c r="IC24" s="319" t="str">
        <f t="shared" ca="1" si="166"/>
        <v>L</v>
      </c>
      <c r="ID24" s="319"/>
      <c r="IE24" s="319"/>
      <c r="IF24" s="324" t="s">
        <v>98</v>
      </c>
      <c r="IG24" s="325" t="s">
        <v>99</v>
      </c>
      <c r="IH24" s="325" t="s">
        <v>100</v>
      </c>
      <c r="II24" s="325" t="s">
        <v>102</v>
      </c>
      <c r="IJ24" s="324" t="s">
        <v>102</v>
      </c>
      <c r="IK24" s="324" t="s">
        <v>100</v>
      </c>
      <c r="IL24" s="324" t="s">
        <v>99</v>
      </c>
      <c r="IM24" s="324" t="s">
        <v>98</v>
      </c>
      <c r="IN24" s="325"/>
      <c r="IO24" s="326">
        <f ca="1">IFERROR(MATCH(IO12,IF24:II24,0),0)</f>
        <v>1</v>
      </c>
      <c r="IP24" s="326">
        <f ca="1">IFERROR(MATCH(IP12,IF24:II24,0),0)</f>
        <v>2</v>
      </c>
      <c r="IQ24" s="326">
        <f ca="1">IFERROR(MATCH(IQ12,IF24:II24,0),0)</f>
        <v>0</v>
      </c>
      <c r="IR24" s="326">
        <f ca="1">IFERROR(MATCH(IR12,IF24:II24,0),0)</f>
        <v>0</v>
      </c>
      <c r="IS24" s="326">
        <f t="shared" ca="1" si="3544"/>
        <v>3</v>
      </c>
      <c r="IT24" s="325" t="s">
        <v>98</v>
      </c>
      <c r="IU24" s="325" t="str">
        <f ca="1">VLOOKUP(1,DY11:DZ14,2,FALSE)</f>
        <v>Croatia</v>
      </c>
      <c r="IV24" s="325">
        <f t="shared" ca="1" si="5047"/>
        <v>0</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98</v>
      </c>
      <c r="NE24" s="325" t="s">
        <v>99</v>
      </c>
      <c r="NF24" s="325" t="s">
        <v>100</v>
      </c>
      <c r="NG24" s="325" t="s">
        <v>102</v>
      </c>
      <c r="NH24" s="324" t="s">
        <v>102</v>
      </c>
      <c r="NI24" s="324" t="s">
        <v>100</v>
      </c>
      <c r="NJ24" s="324" t="s">
        <v>99</v>
      </c>
      <c r="NK24" s="324" t="s">
        <v>98</v>
      </c>
      <c r="NL24" s="325"/>
      <c r="NM24" s="326">
        <f ca="1">IFERROR(MATCH(NM12,ND24:NG24,0),0)</f>
        <v>1</v>
      </c>
      <c r="NN24" s="326">
        <f ca="1">IFERROR(MATCH(NN12,ND24:NG24,0),0)</f>
        <v>4</v>
      </c>
      <c r="NO24" s="326">
        <f ca="1">IFERROR(MATCH(NO12,ND24:NG24,0),0)</f>
        <v>0</v>
      </c>
      <c r="NP24" s="326">
        <f ca="1">IFERROR(MATCH(NP12,ND24:NG24,0),0)</f>
        <v>3</v>
      </c>
      <c r="NQ24" s="326">
        <f t="shared" ca="1" si="3547"/>
        <v>8</v>
      </c>
      <c r="NR24" s="325" t="s">
        <v>98</v>
      </c>
      <c r="NS24" s="325" t="str">
        <f ca="1">VLOOKUP(1,IW11:IX14,2,FALSE)</f>
        <v>Croatia</v>
      </c>
      <c r="NT24" s="325">
        <f t="shared" ca="1" si="5052"/>
        <v>0</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0</v>
      </c>
      <c r="RW24" s="319" t="str">
        <f t="shared" si="19"/>
        <v>Romania</v>
      </c>
      <c r="RX24" s="319" t="str">
        <f ca="1">IF(AND(OFFSET('Player Game Board'!P31,0,RU1)&lt;&gt;"",OFFSET('Player Game Board'!Q31,0,RU1)&lt;&gt;""),IF(RU24&gt;RV24,"W",IF(RU24=RV24,"D","L")),"")</f>
        <v/>
      </c>
      <c r="RY24" s="319" t="str">
        <f t="shared" ca="1" si="5500"/>
        <v/>
      </c>
      <c r="RZ24" s="319"/>
      <c r="SA24" s="319"/>
      <c r="SB24" s="324" t="s">
        <v>98</v>
      </c>
      <c r="SC24" s="325" t="s">
        <v>99</v>
      </c>
      <c r="SD24" s="325" t="s">
        <v>100</v>
      </c>
      <c r="SE24" s="325" t="s">
        <v>102</v>
      </c>
      <c r="SF24" s="324" t="s">
        <v>102</v>
      </c>
      <c r="SG24" s="324" t="s">
        <v>100</v>
      </c>
      <c r="SH24" s="324" t="s">
        <v>99</v>
      </c>
      <c r="SI24" s="324" t="s">
        <v>98</v>
      </c>
      <c r="SJ24" s="325"/>
      <c r="SK24" s="326">
        <f t="shared" ref="SK24" ca="1" si="7398">IFERROR(MATCH(SK12,SB24:SE24,0),0)</f>
        <v>0</v>
      </c>
      <c r="SL24" s="326">
        <f t="shared" ref="SL24" ca="1" si="7399">IFERROR(MATCH(SL12,SB24:SE24,0),0)</f>
        <v>3</v>
      </c>
      <c r="SM24" s="326">
        <f t="shared" ref="SM24" ca="1" si="7400">IFERROR(MATCH(SM12,SB24:SE24,0),0)</f>
        <v>1</v>
      </c>
      <c r="SN24" s="326">
        <f t="shared" ref="SN24" ca="1" si="7401">IFERROR(MATCH(SN12,SB24:SE24,0),0)</f>
        <v>2</v>
      </c>
      <c r="SO24" s="326">
        <f t="shared" ca="1" si="3616"/>
        <v>6</v>
      </c>
      <c r="SP24" s="325" t="s">
        <v>98</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0</v>
      </c>
      <c r="WT24" s="322">
        <f ca="1">IF(OFFSET('Player Game Board'!Q31,0,WS1)&lt;&gt;"",OFFSET('Player Game Board'!Q31,0,WS1),0)</f>
        <v>0</v>
      </c>
      <c r="WU24" s="319" t="str">
        <f t="shared" si="35"/>
        <v>Romania</v>
      </c>
      <c r="WV24" s="319" t="str">
        <f ca="1">IF(AND(OFFSET('Player Game Board'!P31,0,WS1)&lt;&gt;"",OFFSET('Player Game Board'!Q31,0,WS1)&lt;&gt;""),IF(WS24&gt;WT24,"W",IF(WS24=WT24,"D","L")),"")</f>
        <v/>
      </c>
      <c r="WW24" s="319" t="str">
        <f t="shared" ca="1" si="5555"/>
        <v/>
      </c>
      <c r="WX24" s="319"/>
      <c r="WY24" s="319"/>
      <c r="WZ24" s="324" t="s">
        <v>98</v>
      </c>
      <c r="XA24" s="325" t="s">
        <v>99</v>
      </c>
      <c r="XB24" s="325" t="s">
        <v>100</v>
      </c>
      <c r="XC24" s="325" t="s">
        <v>102</v>
      </c>
      <c r="XD24" s="324" t="s">
        <v>102</v>
      </c>
      <c r="XE24" s="324" t="s">
        <v>100</v>
      </c>
      <c r="XF24" s="324" t="s">
        <v>99</v>
      </c>
      <c r="XG24" s="324" t="s">
        <v>98</v>
      </c>
      <c r="XH24" s="325"/>
      <c r="XI24" s="326">
        <f t="shared" ref="XI24" ca="1" si="7403">IFERROR(MATCH(XI12,WZ24:XC24,0),0)</f>
        <v>0</v>
      </c>
      <c r="XJ24" s="326">
        <f t="shared" ref="XJ24" ca="1" si="7404">IFERROR(MATCH(XJ12,WZ24:XC24,0),0)</f>
        <v>3</v>
      </c>
      <c r="XK24" s="326">
        <f t="shared" ref="XK24" ca="1" si="7405">IFERROR(MATCH(XK12,WZ24:XC24,0),0)</f>
        <v>1</v>
      </c>
      <c r="XL24" s="326">
        <f t="shared" ref="XL24" ca="1" si="7406">IFERROR(MATCH(XL12,WZ24:XC24,0),0)</f>
        <v>2</v>
      </c>
      <c r="XM24" s="326">
        <f t="shared" ca="1" si="3686"/>
        <v>6</v>
      </c>
      <c r="XN24" s="325" t="s">
        <v>98</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98</v>
      </c>
      <c r="ABY24" s="325" t="s">
        <v>99</v>
      </c>
      <c r="ABZ24" s="325" t="s">
        <v>100</v>
      </c>
      <c r="ACA24" s="325" t="s">
        <v>102</v>
      </c>
      <c r="ACB24" s="324" t="s">
        <v>102</v>
      </c>
      <c r="ACC24" s="324" t="s">
        <v>100</v>
      </c>
      <c r="ACD24" s="324" t="s">
        <v>99</v>
      </c>
      <c r="ACE24" s="324" t="s">
        <v>98</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98</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0</v>
      </c>
      <c r="AGP24" s="322">
        <f ca="1">IF(OFFSET('Player Game Board'!Q31,0,AGO1)&lt;&gt;"",OFFSET('Player Game Board'!Q31,0,AGO1),0)</f>
        <v>0</v>
      </c>
      <c r="AGQ24" s="319" t="str">
        <f t="shared" si="67"/>
        <v>Romania</v>
      </c>
      <c r="AGR24" s="319" t="str">
        <f ca="1">IF(AND(OFFSET('Player Game Board'!P31,0,AGO1)&lt;&gt;"",OFFSET('Player Game Board'!Q31,0,AGO1)&lt;&gt;""),IF(AGO24&gt;AGP24,"W",IF(AGO24=AGP24,"D","L")),"")</f>
        <v/>
      </c>
      <c r="AGS24" s="319" t="str">
        <f t="shared" ca="1" si="5665"/>
        <v/>
      </c>
      <c r="AGT24" s="319"/>
      <c r="AGU24" s="319"/>
      <c r="AGV24" s="324" t="s">
        <v>98</v>
      </c>
      <c r="AGW24" s="325" t="s">
        <v>99</v>
      </c>
      <c r="AGX24" s="325" t="s">
        <v>100</v>
      </c>
      <c r="AGY24" s="325" t="s">
        <v>102</v>
      </c>
      <c r="AGZ24" s="324" t="s">
        <v>102</v>
      </c>
      <c r="AHA24" s="324" t="s">
        <v>100</v>
      </c>
      <c r="AHB24" s="324" t="s">
        <v>99</v>
      </c>
      <c r="AHC24" s="324" t="s">
        <v>98</v>
      </c>
      <c r="AHD24" s="325"/>
      <c r="AHE24" s="326">
        <f t="shared" ref="AHE24" ca="1" si="7413">IFERROR(MATCH(AHE12,AGV24:AGY24,0),0)</f>
        <v>0</v>
      </c>
      <c r="AHF24" s="326">
        <f t="shared" ref="AHF24" ca="1" si="7414">IFERROR(MATCH(AHF12,AGV24:AGY24,0),0)</f>
        <v>3</v>
      </c>
      <c r="AHG24" s="326">
        <f t="shared" ref="AHG24" ca="1" si="7415">IFERROR(MATCH(AHG12,AGV24:AGY24,0),0)</f>
        <v>1</v>
      </c>
      <c r="AHH24" s="326">
        <f t="shared" ref="AHH24" ca="1" si="7416">IFERROR(MATCH(AHH12,AGV24:AGY24,0),0)</f>
        <v>2</v>
      </c>
      <c r="AHI24" s="326">
        <f t="shared" ca="1" si="3826"/>
        <v>6</v>
      </c>
      <c r="AHJ24" s="325" t="s">
        <v>98</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0</v>
      </c>
      <c r="ALN24" s="322">
        <f ca="1">IF(OFFSET('Player Game Board'!Q31,0,ALM1)&lt;&gt;"",OFFSET('Player Game Board'!Q31,0,ALM1),0)</f>
        <v>0</v>
      </c>
      <c r="ALO24" s="319" t="str">
        <f t="shared" si="83"/>
        <v>Romania</v>
      </c>
      <c r="ALP24" s="319" t="str">
        <f ca="1">IF(AND(OFFSET('Player Game Board'!P31,0,ALM1)&lt;&gt;"",OFFSET('Player Game Board'!Q31,0,ALM1)&lt;&gt;""),IF(ALM24&gt;ALN24,"W",IF(ALM24=ALN24,"D","L")),"")</f>
        <v/>
      </c>
      <c r="ALQ24" s="319" t="str">
        <f t="shared" ca="1" si="5720"/>
        <v/>
      </c>
      <c r="ALR24" s="319"/>
      <c r="ALS24" s="319"/>
      <c r="ALT24" s="324" t="s">
        <v>98</v>
      </c>
      <c r="ALU24" s="325" t="s">
        <v>99</v>
      </c>
      <c r="ALV24" s="325" t="s">
        <v>100</v>
      </c>
      <c r="ALW24" s="325" t="s">
        <v>102</v>
      </c>
      <c r="ALX24" s="324" t="s">
        <v>102</v>
      </c>
      <c r="ALY24" s="324" t="s">
        <v>100</v>
      </c>
      <c r="ALZ24" s="324" t="s">
        <v>99</v>
      </c>
      <c r="AMA24" s="324" t="s">
        <v>98</v>
      </c>
      <c r="AMB24" s="325"/>
      <c r="AMC24" s="326">
        <f t="shared" ref="AMC24" ca="1" si="7418">IFERROR(MATCH(AMC12,ALT24:ALW24,0),0)</f>
        <v>0</v>
      </c>
      <c r="AMD24" s="326">
        <f t="shared" ref="AMD24" ca="1" si="7419">IFERROR(MATCH(AMD12,ALT24:ALW24,0),0)</f>
        <v>3</v>
      </c>
      <c r="AME24" s="326">
        <f t="shared" ref="AME24" ca="1" si="7420">IFERROR(MATCH(AME12,ALT24:ALW24,0),0)</f>
        <v>1</v>
      </c>
      <c r="AMF24" s="326">
        <f t="shared" ref="AMF24" ca="1" si="7421">IFERROR(MATCH(AMF12,ALT24:ALW24,0),0)</f>
        <v>2</v>
      </c>
      <c r="AMG24" s="326">
        <f t="shared" ca="1" si="3896"/>
        <v>6</v>
      </c>
      <c r="AMH24" s="325" t="s">
        <v>98</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98</v>
      </c>
      <c r="AQS24" s="325" t="s">
        <v>99</v>
      </c>
      <c r="AQT24" s="325" t="s">
        <v>100</v>
      </c>
      <c r="AQU24" s="325" t="s">
        <v>102</v>
      </c>
      <c r="AQV24" s="324" t="s">
        <v>102</v>
      </c>
      <c r="AQW24" s="324" t="s">
        <v>100</v>
      </c>
      <c r="AQX24" s="324" t="s">
        <v>99</v>
      </c>
      <c r="AQY24" s="324" t="s">
        <v>98</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98</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98</v>
      </c>
      <c r="AVQ24" s="325" t="s">
        <v>99</v>
      </c>
      <c r="AVR24" s="325" t="s">
        <v>100</v>
      </c>
      <c r="AVS24" s="325" t="s">
        <v>102</v>
      </c>
      <c r="AVT24" s="324" t="s">
        <v>102</v>
      </c>
      <c r="AVU24" s="324" t="s">
        <v>100</v>
      </c>
      <c r="AVV24" s="324" t="s">
        <v>99</v>
      </c>
      <c r="AVW24" s="324" t="s">
        <v>98</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98</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98</v>
      </c>
      <c r="BAO24" s="325" t="s">
        <v>99</v>
      </c>
      <c r="BAP24" s="325" t="s">
        <v>100</v>
      </c>
      <c r="BAQ24" s="325" t="s">
        <v>102</v>
      </c>
      <c r="BAR24" s="324" t="s">
        <v>102</v>
      </c>
      <c r="BAS24" s="324" t="s">
        <v>100</v>
      </c>
      <c r="BAT24" s="324" t="s">
        <v>99</v>
      </c>
      <c r="BAU24" s="324" t="s">
        <v>98</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98</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98</v>
      </c>
      <c r="BFM24" s="325" t="s">
        <v>99</v>
      </c>
      <c r="BFN24" s="325" t="s">
        <v>100</v>
      </c>
      <c r="BFO24" s="325" t="s">
        <v>102</v>
      </c>
      <c r="BFP24" s="324" t="s">
        <v>102</v>
      </c>
      <c r="BFQ24" s="324" t="s">
        <v>100</v>
      </c>
      <c r="BFR24" s="324" t="s">
        <v>99</v>
      </c>
      <c r="BFS24" s="324" t="s">
        <v>98</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98</v>
      </c>
      <c r="BGA24" s="325" t="str">
        <f t="shared" ref="BGA24" ca="1" si="7442">VLOOKUP(1,BBE11:BBF14,2,FALSE)</f>
        <v>Spain</v>
      </c>
      <c r="BGB24" s="325">
        <f t="shared" ca="1" si="5439"/>
        <v>1</v>
      </c>
    </row>
    <row r="25" spans="1:1536" ht="13.8" x14ac:dyDescent="0.3">
      <c r="A25" s="319">
        <f>VLOOKUP(B25,CW25:CX29,2,FALSE)</f>
        <v>4</v>
      </c>
      <c r="B25" s="319" t="str">
        <f>'Language Table'!C27</f>
        <v>Poland</v>
      </c>
      <c r="C25" s="319">
        <f>SUMPRODUCT((CZ3:CZ42=B25)*(DD3:DD42="W"))+SUMPRODUCT((DC3:DC42=B25)*(DE3:DE42="W"))</f>
        <v>0</v>
      </c>
      <c r="D25" s="319">
        <f>SUMPRODUCT((CZ3:CZ42=B25)*(DD3:DD42="D"))+SUMPRODUCT((DC3:DC42=B25)*(DE3:DE42="D"))</f>
        <v>0</v>
      </c>
      <c r="E25" s="319">
        <f>SUMPRODUCT((CZ3:CZ42=B25)*(DD3:DD42="L"))+SUMPRODUCT((DC3:DC42=B25)*(DE3:DE42="L"))</f>
        <v>2</v>
      </c>
      <c r="F25" s="319">
        <f>SUMIF(CZ3:CZ60,B25,DA3:DA60)+SUMIF(DC3:DC60,B25,DB3:DB60)</f>
        <v>2</v>
      </c>
      <c r="G25" s="319">
        <f>SUMIF(DC3:DC60,B25,DA3:DA60)+SUMIF(CZ3:CZ60,B25,DB3:DB60)</f>
        <v>5</v>
      </c>
      <c r="H25" s="319">
        <f t="shared" ref="H25:H28" si="7443">F25-G25+1000</f>
        <v>997</v>
      </c>
      <c r="I25" s="319">
        <f t="shared" ref="I25:I28" si="7444">C25*3+D25*1</f>
        <v>0</v>
      </c>
      <c r="J25" s="319">
        <v>0</v>
      </c>
      <c r="K25" s="319">
        <f>IF(COUNTIF(I25:I29,4)&lt;&gt;4,RANK(I25,I25:I29),I65)</f>
        <v>4</v>
      </c>
      <c r="L25" s="319"/>
      <c r="M25" s="319">
        <f>SUMPRODUCT((K25:K28=K25)*(J25:J28&lt;J25))+K25</f>
        <v>4</v>
      </c>
      <c r="N25" s="319" t="str">
        <f>INDEX(B25:B29,MATCH(1,M25:M29,0),0)</f>
        <v>Netherlands</v>
      </c>
      <c r="O25" s="319">
        <f>INDEX(K25:K29,MATCH(N25,B25:B29,0),0)</f>
        <v>1</v>
      </c>
      <c r="P25" s="319" t="str">
        <f>IF(O26=1,N25,"")</f>
        <v>Netherlands</v>
      </c>
      <c r="Q25" s="319" t="str">
        <f>IF(O27=2,N26,"")</f>
        <v/>
      </c>
      <c r="R25" s="319" t="str">
        <f>IF(O28=3,N27,"")</f>
        <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1</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1</v>
      </c>
      <c r="AC25" s="319">
        <f>IF(U25&lt;&gt;"",VLOOKUP(U25,B4:H40,7,FALSE),"")</f>
        <v>1001</v>
      </c>
      <c r="AD25" s="319">
        <f>IF(U25&lt;&gt;"",VLOOKUP(U25,B4:H40,5,FALSE),"")</f>
        <v>2</v>
      </c>
      <c r="AE25" s="319">
        <f>IF(U25&lt;&gt;"",VLOOKUP(U25,B4:J40,9,FALSE),"")</f>
        <v>42</v>
      </c>
      <c r="AF25" s="319">
        <f t="shared" ref="AF25:AF28" si="7446">AB25</f>
        <v>1</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3</v>
      </c>
      <c r="DC25" s="319" t="str">
        <f>Matches!J30</f>
        <v>Portugal</v>
      </c>
      <c r="DD25" s="319" t="str">
        <f>IF(AND(Matches!H30&lt;&gt;"",Matches!I30&lt;&gt;""),IF(DA25&gt;DB25,"W",IF(DA25=DB25,"D","L")),"")</f>
        <v>L</v>
      </c>
      <c r="DE25" s="319" t="str">
        <f t="shared" si="162"/>
        <v>W</v>
      </c>
      <c r="DF25" s="319"/>
      <c r="DG25" s="319"/>
      <c r="DH25" s="324" t="s">
        <v>98</v>
      </c>
      <c r="DI25" s="325" t="s">
        <v>99</v>
      </c>
      <c r="DJ25" s="325" t="s">
        <v>101</v>
      </c>
      <c r="DK25" s="325" t="s">
        <v>102</v>
      </c>
      <c r="DL25" s="324" t="s">
        <v>102</v>
      </c>
      <c r="DM25" s="324" t="s">
        <v>101</v>
      </c>
      <c r="DN25" s="324" t="s">
        <v>99</v>
      </c>
      <c r="DO25" s="324" t="s">
        <v>98</v>
      </c>
      <c r="DP25" s="325"/>
      <c r="DQ25" s="326">
        <f>IFERROR(MATCH(DQ12,DH25:DK25,0),0)</f>
        <v>0</v>
      </c>
      <c r="DR25" s="326">
        <f>IFERROR(MATCH(DR12,DH25:DK25,0),0)</f>
        <v>3</v>
      </c>
      <c r="DS25" s="326">
        <f>IFERROR(MATCH(DS12,DH25:DK25,0),0)</f>
        <v>2</v>
      </c>
      <c r="DT25" s="326">
        <f>IFERROR(MATCH(DT12,DH25:DK25,0),0)</f>
        <v>1</v>
      </c>
      <c r="DU25" s="326">
        <f t="shared" si="3541"/>
        <v>6</v>
      </c>
      <c r="DV25" s="325"/>
      <c r="DW25" s="325" t="str">
        <f>VLOOKUP(2,A11:B14,2,FALSE)</f>
        <v>Italy</v>
      </c>
      <c r="DX25" s="325"/>
      <c r="DY25" s="319">
        <f ca="1">VLOOKUP(DZ25,HU25:HV29,2,FALSE)</f>
        <v>3</v>
      </c>
      <c r="DZ25" s="319" t="str">
        <f>B25</f>
        <v>Poland</v>
      </c>
      <c r="EA25" s="319">
        <f ca="1">SUMPRODUCT((HX3:HX42=DZ25)*(IB3:IB42="W"))+SUMPRODUCT((IA3:IA42=DZ25)*(IC3:IC42="W"))</f>
        <v>0</v>
      </c>
      <c r="EB25" s="319">
        <f ca="1">SUMPRODUCT((HX3:HX42=DZ25)*(IB3:IB42="D"))+SUMPRODUCT((IA3:IA42=DZ25)*(IC3:IC42="D"))</f>
        <v>2</v>
      </c>
      <c r="EC25" s="319">
        <f ca="1">SUMPRODUCT((HX3:HX42=DZ25)*(IB3:IB42="L"))+SUMPRODUCT((IA3:IA42=DZ25)*(IC3:IC42="L"))</f>
        <v>1</v>
      </c>
      <c r="ED25" s="319">
        <f ca="1">SUMIF(HX3:HX60,DZ25,HY3:HY60)+SUMIF(IA3:IA60,DZ25,HZ3:HZ60)</f>
        <v>2</v>
      </c>
      <c r="EE25" s="319">
        <f ca="1">SUMIF(IA3:IA60,DZ25,HY3:HY60)+SUMIF(HX3:HX60,DZ25,HZ3:HZ60)</f>
        <v>4</v>
      </c>
      <c r="EF25" s="319">
        <f t="shared" ref="EF25:EF28" ca="1" si="7447">ED25-EE25+1000</f>
        <v>998</v>
      </c>
      <c r="EG25" s="319">
        <f t="shared" ref="EG25:EG28" ca="1" si="7448">EA25*3+EB25*1</f>
        <v>2</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0</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98</v>
      </c>
      <c r="IG25" s="325" t="s">
        <v>99</v>
      </c>
      <c r="IH25" s="325" t="s">
        <v>101</v>
      </c>
      <c r="II25" s="325" t="s">
        <v>102</v>
      </c>
      <c r="IJ25" s="324" t="s">
        <v>102</v>
      </c>
      <c r="IK25" s="324" t="s">
        <v>101</v>
      </c>
      <c r="IL25" s="324" t="s">
        <v>99</v>
      </c>
      <c r="IM25" s="324" t="s">
        <v>98</v>
      </c>
      <c r="IN25" s="325"/>
      <c r="IO25" s="326">
        <f ca="1">IFERROR(MATCH(IO12,IF25:II25,0),0)</f>
        <v>1</v>
      </c>
      <c r="IP25" s="326">
        <f ca="1">IFERROR(MATCH(IP12,IF25:II25,0),0)</f>
        <v>2</v>
      </c>
      <c r="IQ25" s="326">
        <f ca="1">IFERROR(MATCH(IQ12,IF25:II25,0),0)</f>
        <v>0</v>
      </c>
      <c r="IR25" s="326">
        <f ca="1">IFERROR(MATCH(IR12,IF25:II25,0),0)</f>
        <v>3</v>
      </c>
      <c r="IS25" s="326">
        <f t="shared" ca="1" si="3544"/>
        <v>6</v>
      </c>
      <c r="IT25" s="325"/>
      <c r="IU25" s="325" t="str">
        <f ca="1">VLOOKUP(2,DY11:DZ14,2,FALSE)</f>
        <v>Spain</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6</v>
      </c>
      <c r="JD25" s="319">
        <f t="shared" ref="JD25:JD28" ca="1" si="7451">JB25-JC25+1000</f>
        <v>998</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1002</v>
      </c>
      <c r="JZ25" s="319">
        <f ca="1">IF(JQ25&lt;&gt;"",VLOOKUP(JQ25,IX4:JD40,5,FALSE),"")</f>
        <v>6</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1</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2</v>
      </c>
      <c r="KJ25" s="319" t="str">
        <f ca="1">IF(JQ25&lt;&gt;"",INDEX(JQ25:JQ29,MATCH(1,KI25:KI29,0),0),"")</f>
        <v>France</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2</v>
      </c>
      <c r="MX25" s="322">
        <f ca="1">IF(OFFSET('Player Game Board'!Q32,0,MW1)&lt;&gt;"",OFFSET('Player Game Board'!Q32,0,MW1),0)</f>
        <v>3</v>
      </c>
      <c r="MY25" s="319" t="str">
        <f t="shared" si="171"/>
        <v>Portugal</v>
      </c>
      <c r="MZ25" s="319" t="str">
        <f ca="1">IF(AND(OFFSET('Player Game Board'!P32,0,MW1)&lt;&gt;"",OFFSET('Player Game Board'!Q32,0,MW1)&lt;&gt;""),IF(MW25&gt;MX25,"W",IF(MW25=MX25,"D","L")),"")</f>
        <v>L</v>
      </c>
      <c r="NA25" s="319" t="str">
        <f t="shared" ca="1" si="172"/>
        <v>W</v>
      </c>
      <c r="NB25" s="319"/>
      <c r="NC25" s="319"/>
      <c r="ND25" s="324" t="s">
        <v>98</v>
      </c>
      <c r="NE25" s="325" t="s">
        <v>99</v>
      </c>
      <c r="NF25" s="325" t="s">
        <v>101</v>
      </c>
      <c r="NG25" s="325" t="s">
        <v>102</v>
      </c>
      <c r="NH25" s="324" t="s">
        <v>102</v>
      </c>
      <c r="NI25" s="324" t="s">
        <v>101</v>
      </c>
      <c r="NJ25" s="324" t="s">
        <v>99</v>
      </c>
      <c r="NK25" s="324" t="s">
        <v>98</v>
      </c>
      <c r="NL25" s="325"/>
      <c r="NM25" s="326">
        <f ca="1">IFERROR(MATCH(NM12,ND25:NG25,0),0)</f>
        <v>1</v>
      </c>
      <c r="NN25" s="326">
        <f ca="1">IFERROR(MATCH(NN12,ND25:NG25,0),0)</f>
        <v>4</v>
      </c>
      <c r="NO25" s="326">
        <f ca="1">IFERROR(MATCH(NO12,ND25:NG25,0),0)</f>
        <v>0</v>
      </c>
      <c r="NP25" s="326">
        <f ca="1">IFERROR(MATCH(NP12,ND25:NG25,0),0)</f>
        <v>0</v>
      </c>
      <c r="NQ25" s="326">
        <f t="shared" ca="1" si="3547"/>
        <v>5</v>
      </c>
      <c r="NR25" s="325"/>
      <c r="NS25" s="325" t="str">
        <f ca="1">VLOOKUP(2,IW11:IX14,2,FALSE)</f>
        <v>Spain</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0</v>
      </c>
      <c r="NZ25" s="319">
        <f t="shared" ref="NZ25" ca="1" si="7460">SUMIF(RT3:RT60,NV25,RU3:RU60)+SUMIF(RW3:RW60,NV25,RV3:RV60)</f>
        <v>0</v>
      </c>
      <c r="OA25" s="319">
        <f t="shared" ref="OA25" ca="1" si="7461">SUMIF(RW3:RW60,NV25,RU3:RU60)+SUMIF(RT3:RT60,NV25,RV3:RV60)</f>
        <v>0</v>
      </c>
      <c r="OB25" s="319">
        <f t="shared" ref="OB25:OB28" ca="1" si="7462">NZ25-OA25+1000</f>
        <v>1000</v>
      </c>
      <c r="OC25" s="319">
        <f t="shared" ref="OC25:OC28" ca="1" si="7463">NW25*3+NX25*1</f>
        <v>0</v>
      </c>
      <c r="OD25" s="319">
        <f t="shared" si="630"/>
        <v>0</v>
      </c>
      <c r="OE25" s="319">
        <f t="shared" ref="OE25" ca="1" si="7464">IF(COUNTIF(OC25:OC29,4)&lt;&gt;4,RANK(OC25,OC25:OC29),OC65)</f>
        <v>1</v>
      </c>
      <c r="OF25" s="319"/>
      <c r="OG25" s="319">
        <f t="shared" ref="OG25" ca="1" si="7465">SUMPRODUCT((OE25:OE28=OE25)*(OD25:OD28&lt;OD25))+OE25</f>
        <v>1</v>
      </c>
      <c r="OH25" s="319" t="str">
        <f t="shared" ref="OH25" ca="1" si="7466">INDEX(NV25:NV29,MATCH(1,OG25:OG29,0),0)</f>
        <v>Poland</v>
      </c>
      <c r="OI25" s="319">
        <f t="shared" ref="OI25" ca="1" si="7467">INDEX(OE25:OE29,MATCH(OH25,NV25:NV29,0),0)</f>
        <v>1</v>
      </c>
      <c r="OJ25" s="319" t="str">
        <f t="shared" ref="OJ25" ca="1" si="7468">IF(OI26=1,OH25,"")</f>
        <v>Poland</v>
      </c>
      <c r="OK25" s="319" t="str">
        <f t="shared" ref="OK25" ca="1" si="7469">IF(OI27=2,OH26,"")</f>
        <v/>
      </c>
      <c r="OL25" s="319" t="str">
        <f t="shared" ref="OL25" ca="1" si="7470">IF(OI28=3,OH27,"")</f>
        <v/>
      </c>
      <c r="OM25" s="319" t="str">
        <f t="shared" ref="OM25" si="7471">IF(OI29=4,OH28,"")</f>
        <v/>
      </c>
      <c r="ON25" s="319"/>
      <c r="OO25" s="319" t="str">
        <f t="shared" ref="OO25:OO28" ca="1" si="7472">IF(OJ25&lt;&gt;"",OJ25,"")</f>
        <v>Poland</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f t="shared" ref="OV25:OV28" ca="1" si="7479">IF(OO25&lt;&gt;"",OP25*3+OQ25*1,"")</f>
        <v>0</v>
      </c>
      <c r="OW25" s="319">
        <f t="shared" ref="OW25" ca="1" si="7480">IF(OO25&lt;&gt;"",VLOOKUP(OO25,NV4:OB40,7,FALSE),"")</f>
        <v>1000</v>
      </c>
      <c r="OX25" s="319">
        <f t="shared" ref="OX25" ca="1" si="7481">IF(OO25&lt;&gt;"",VLOOKUP(OO25,NV4:OB40,5,FALSE),"")</f>
        <v>0</v>
      </c>
      <c r="OY25" s="319">
        <f t="shared" ref="OY25" ca="1" si="7482">IF(OO25&lt;&gt;"",VLOOKUP(OO25,NV4:OD40,9,FALSE),"")</f>
        <v>0</v>
      </c>
      <c r="OZ25" s="319">
        <f t="shared" ref="OZ25:OZ28" ca="1" si="7483">OV25</f>
        <v>0</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3</v>
      </c>
      <c r="PG25" s="319">
        <f ca="1">IF(OO25&lt;&gt;"",IF(PG65&lt;&gt;"",IF(ON64=3,PG65,PG65+ON64),SUM(PA25:PF25)),"")</f>
        <v>4</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0</v>
      </c>
      <c r="RW25" s="319" t="str">
        <f t="shared" si="19"/>
        <v>Portugal</v>
      </c>
      <c r="RX25" s="319" t="str">
        <f ca="1">IF(AND(OFFSET('Player Game Board'!P32,0,RU1)&lt;&gt;"",OFFSET('Player Game Board'!Q32,0,RU1)&lt;&gt;""),IF(RU25&gt;RV25,"W",IF(RU25=RV25,"D","L")),"")</f>
        <v/>
      </c>
      <c r="RY25" s="319" t="str">
        <f t="shared" ca="1" si="5500"/>
        <v/>
      </c>
      <c r="RZ25" s="319"/>
      <c r="SA25" s="319"/>
      <c r="SB25" s="324" t="s">
        <v>98</v>
      </c>
      <c r="SC25" s="325" t="s">
        <v>99</v>
      </c>
      <c r="SD25" s="325" t="s">
        <v>101</v>
      </c>
      <c r="SE25" s="325" t="s">
        <v>102</v>
      </c>
      <c r="SF25" s="324" t="s">
        <v>102</v>
      </c>
      <c r="SG25" s="324" t="s">
        <v>101</v>
      </c>
      <c r="SH25" s="324" t="s">
        <v>99</v>
      </c>
      <c r="SI25" s="324" t="s">
        <v>98</v>
      </c>
      <c r="SJ25" s="325"/>
      <c r="SK25" s="326">
        <f t="shared" ref="SK25" ca="1" si="7492">IFERROR(MATCH(SK12,SB25:SE25,0),0)</f>
        <v>0</v>
      </c>
      <c r="SL25" s="326">
        <f t="shared" ref="SL25" ca="1" si="7493">IFERROR(MATCH(SL12,SB25:SE25,0),0)</f>
        <v>0</v>
      </c>
      <c r="SM25" s="326">
        <f t="shared" ref="SM25" ca="1" si="7494">IFERROR(MATCH(SM12,SB25:SE25,0),0)</f>
        <v>1</v>
      </c>
      <c r="SN25" s="326">
        <f t="shared" ref="SN25" ca="1" si="7495">IFERROR(MATCH(SN12,SB25:SE25,0),0)</f>
        <v>2</v>
      </c>
      <c r="SO25" s="326">
        <f t="shared" ca="1" si="3616"/>
        <v>3</v>
      </c>
      <c r="SP25" s="325"/>
      <c r="SQ25" s="325" t="str">
        <f t="shared" ref="SQ25" ca="1" si="7496">VLOOKUP(2,NU11:NV14,2,FALSE)</f>
        <v>Albania</v>
      </c>
      <c r="SR25" s="325">
        <f t="shared" ca="1" si="5095"/>
        <v>1</v>
      </c>
      <c r="SS25" s="319">
        <f t="shared" ref="SS25" ca="1" si="7497">VLOOKUP(ST25,WO25:WP29,2,FALSE)</f>
        <v>4</v>
      </c>
      <c r="ST25" s="319" t="str">
        <f t="shared" ref="ST25:ST28" si="7498">NV25</f>
        <v>Poland</v>
      </c>
      <c r="SU25" s="319">
        <f t="shared" ref="SU25" ca="1" si="7499">SUMPRODUCT((WR3:WR42=ST25)*(WV3:WV42="W"))+SUMPRODUCT((WU3:WU42=ST25)*(WW3:WW42="W"))</f>
        <v>0</v>
      </c>
      <c r="SV25" s="319">
        <f t="shared" ref="SV25" ca="1" si="7500">SUMPRODUCT((WR3:WR42=ST25)*(WV3:WV42="D"))+SUMPRODUCT((WU3:WU42=ST25)*(WW3:WW42="D"))</f>
        <v>0</v>
      </c>
      <c r="SW25" s="319">
        <f t="shared" ref="SW25" ca="1" si="7501">SUMPRODUCT((WR3:WR42=ST25)*(WV3:WV42="L"))+SUMPRODUCT((WU3:WU42=ST25)*(WW3:WW42="L"))</f>
        <v>0</v>
      </c>
      <c r="SX25" s="319">
        <f t="shared" ref="SX25" ca="1" si="7502">SUMIF(WR3:WR60,ST25,WS3:WS60)+SUMIF(WU3:WU60,ST25,WT3:WT60)</f>
        <v>0</v>
      </c>
      <c r="SY25" s="319">
        <f t="shared" ref="SY25" ca="1" si="7503">SUMIF(WU3:WU60,ST25,WS3:WS60)+SUMIF(WR3:WR60,ST25,WT3:WT60)</f>
        <v>0</v>
      </c>
      <c r="SZ25" s="319">
        <f t="shared" ref="SZ25:SZ28" ca="1" si="7504">SX25-SY25+1000</f>
        <v>1000</v>
      </c>
      <c r="TA25" s="319">
        <f t="shared" ref="TA25:TA28" ca="1" si="7505">SU25*3+SV25*1</f>
        <v>0</v>
      </c>
      <c r="TB25" s="319">
        <f t="shared" si="690"/>
        <v>0</v>
      </c>
      <c r="TC25" s="319">
        <f t="shared" ref="TC25" ca="1" si="7506">IF(COUNTIF(TA25:TA29,4)&lt;&gt;4,RANK(TA25,TA25:TA29),TA65)</f>
        <v>1</v>
      </c>
      <c r="TD25" s="319"/>
      <c r="TE25" s="319">
        <f t="shared" ref="TE25" ca="1" si="7507">SUMPRODUCT((TC25:TC28=TC25)*(TB25:TB28&lt;TB25))+TC25</f>
        <v>1</v>
      </c>
      <c r="TF25" s="319" t="str">
        <f t="shared" ref="TF25" ca="1" si="7508">INDEX(ST25:ST29,MATCH(1,TE25:TE29,0),0)</f>
        <v>Poland</v>
      </c>
      <c r="TG25" s="319">
        <f t="shared" ref="TG25" ca="1" si="7509">INDEX(TC25:TC29,MATCH(TF25,ST25:ST29,0),0)</f>
        <v>1</v>
      </c>
      <c r="TH25" s="319" t="str">
        <f t="shared" ref="TH25" ca="1" si="7510">IF(TG26=1,TF25,"")</f>
        <v>Poland</v>
      </c>
      <c r="TI25" s="319" t="str">
        <f t="shared" ref="TI25" ca="1" si="7511">IF(TG27=2,TF26,"")</f>
        <v/>
      </c>
      <c r="TJ25" s="319" t="str">
        <f t="shared" ref="TJ25" ca="1" si="7512">IF(TG28=3,TF27,"")</f>
        <v/>
      </c>
      <c r="TK25" s="319" t="str">
        <f t="shared" ref="TK25" si="7513">IF(TG29=4,TF28,"")</f>
        <v/>
      </c>
      <c r="TL25" s="319"/>
      <c r="TM25" s="319" t="str">
        <f t="shared" ref="TM25:TM28" ca="1" si="7514">IF(TH25&lt;&gt;"",TH25,"")</f>
        <v>Poland</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f t="shared" ref="TT25:TT28" ca="1" si="7521">IF(TM25&lt;&gt;"",TN25*3+TO25*1,"")</f>
        <v>0</v>
      </c>
      <c r="TU25" s="319">
        <f t="shared" ref="TU25" ca="1" si="7522">IF(TM25&lt;&gt;"",VLOOKUP(TM25,ST4:SZ40,7,FALSE),"")</f>
        <v>1000</v>
      </c>
      <c r="TV25" s="319">
        <f t="shared" ref="TV25" ca="1" si="7523">IF(TM25&lt;&gt;"",VLOOKUP(TM25,ST4:SZ40,5,FALSE),"")</f>
        <v>0</v>
      </c>
      <c r="TW25" s="319">
        <f t="shared" ref="TW25" ca="1" si="7524">IF(TM25&lt;&gt;"",VLOOKUP(TM25,ST4:TB40,9,FALSE),"")</f>
        <v>0</v>
      </c>
      <c r="TX25" s="319">
        <f t="shared" ref="TX25:TX28" ca="1" si="7525">TT25</f>
        <v>0</v>
      </c>
      <c r="TY25" s="319">
        <f t="shared" ref="TY25" ca="1" si="7526">IF(TM25&lt;&gt;"",RANK(TX25,TX25:TX29),"")</f>
        <v>1</v>
      </c>
      <c r="TZ25" s="319">
        <f t="shared" ref="TZ25" ca="1" si="7527">IF(TM25&lt;&gt;"",SUMPRODUCT((TX25:TX29=TX25)*(TS25:TS29&gt;TS25)),"")</f>
        <v>0</v>
      </c>
      <c r="UA25" s="319">
        <f t="shared" ref="UA25" ca="1" si="7528">IF(TM25&lt;&gt;"",SUMPRODUCT((TX25:TX29=TX25)*(TS25:TS29=TS25)*(TQ25:TQ29&gt;TQ25)),"")</f>
        <v>0</v>
      </c>
      <c r="UB25" s="319">
        <f t="shared" ref="UB25" ca="1" si="7529">IF(TM25&lt;&gt;"",SUMPRODUCT((TX25:TX29=TX25)*(TS25:TS29=TS25)*(TQ25:TQ29=TQ25)*(TU25:TU29&gt;TU25)),"")</f>
        <v>0</v>
      </c>
      <c r="UC25" s="319">
        <f t="shared" ref="UC25" ca="1" si="7530">IF(TM25&lt;&gt;"",SUMPRODUCT((TX25:TX29=TX25)*(TS25:TS29=TS25)*(TQ25:TQ29=TQ25)*(TU25:TU29=TU25)*(TV25:TV29&gt;TV25)),"")</f>
        <v>0</v>
      </c>
      <c r="UD25" s="319">
        <f t="shared" ref="UD25" ca="1" si="7531">IF(TM25&lt;&gt;"",SUMPRODUCT((TX25:TX29=TX25)*(TS25:TS29=TS25)*(TQ25:TQ29=TQ25)*(TU25:TU29=TU25)*(TV25:TV29=TV25)*(TW25:TW29&gt;TW25)),"")</f>
        <v>3</v>
      </c>
      <c r="UE25" s="319">
        <f ca="1">IF(TM25&lt;&gt;"",IF(UE65&lt;&gt;"",IF(TL64=3,UE65,UE65+TL64),SUM(TY25:UD25)),"")</f>
        <v>4</v>
      </c>
      <c r="UF25" s="319" t="str">
        <f t="shared" ref="UF25" ca="1" si="7532">IF(TM25&lt;&gt;"",INDEX(TM25:TM29,MATCH(1,UE25:UE29,0),0),"")</f>
        <v>France</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0</v>
      </c>
      <c r="WT25" s="322">
        <f ca="1">IF(OFFSET('Player Game Board'!Q32,0,WS1)&lt;&gt;"",OFFSET('Player Game Board'!Q32,0,WS1),0)</f>
        <v>0</v>
      </c>
      <c r="WU25" s="319" t="str">
        <f t="shared" si="35"/>
        <v>Portugal</v>
      </c>
      <c r="WV25" s="319" t="str">
        <f ca="1">IF(AND(OFFSET('Player Game Board'!P32,0,WS1)&lt;&gt;"",OFFSET('Player Game Board'!Q32,0,WS1)&lt;&gt;""),IF(WS25&gt;WT25,"W",IF(WS25=WT25,"D","L")),"")</f>
        <v/>
      </c>
      <c r="WW25" s="319" t="str">
        <f t="shared" ca="1" si="5555"/>
        <v/>
      </c>
      <c r="WX25" s="319"/>
      <c r="WY25" s="319"/>
      <c r="WZ25" s="324" t="s">
        <v>98</v>
      </c>
      <c r="XA25" s="325" t="s">
        <v>99</v>
      </c>
      <c r="XB25" s="325" t="s">
        <v>101</v>
      </c>
      <c r="XC25" s="325" t="s">
        <v>102</v>
      </c>
      <c r="XD25" s="324" t="s">
        <v>102</v>
      </c>
      <c r="XE25" s="324" t="s">
        <v>101</v>
      </c>
      <c r="XF25" s="324" t="s">
        <v>99</v>
      </c>
      <c r="XG25" s="324" t="s">
        <v>98</v>
      </c>
      <c r="XH25" s="325"/>
      <c r="XI25" s="326">
        <f t="shared" ref="XI25" ca="1" si="7534">IFERROR(MATCH(XI12,WZ25:XC25,0),0)</f>
        <v>0</v>
      </c>
      <c r="XJ25" s="326">
        <f t="shared" ref="XJ25" ca="1" si="7535">IFERROR(MATCH(XJ12,WZ25:XC25,0),0)</f>
        <v>0</v>
      </c>
      <c r="XK25" s="326">
        <f t="shared" ref="XK25" ca="1" si="7536">IFERROR(MATCH(XK12,WZ25:XC25,0),0)</f>
        <v>1</v>
      </c>
      <c r="XL25" s="326">
        <f t="shared" ref="XL25" ca="1" si="7537">IFERROR(MATCH(XL12,WZ25:XC25,0),0)</f>
        <v>2</v>
      </c>
      <c r="XM25" s="326">
        <f t="shared" ca="1" si="3686"/>
        <v>3</v>
      </c>
      <c r="XN25" s="325"/>
      <c r="XO25" s="325" t="str">
        <f t="shared" ref="XO25" ca="1" si="7538">VLOOKUP(2,SS11:ST14,2,FALSE)</f>
        <v>Albania</v>
      </c>
      <c r="XP25" s="325">
        <f t="shared" ca="1" si="5138"/>
        <v>1</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98</v>
      </c>
      <c r="ABY25" s="325" t="s">
        <v>99</v>
      </c>
      <c r="ABZ25" s="325" t="s">
        <v>101</v>
      </c>
      <c r="ACA25" s="325" t="s">
        <v>102</v>
      </c>
      <c r="ACB25" s="324" t="s">
        <v>102</v>
      </c>
      <c r="ACC25" s="324" t="s">
        <v>101</v>
      </c>
      <c r="ACD25" s="324" t="s">
        <v>99</v>
      </c>
      <c r="ACE25" s="324" t="s">
        <v>98</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0</v>
      </c>
      <c r="ACS25" s="319">
        <f t="shared" ref="ACS25" ca="1" si="7585">SUMPRODUCT((AGN3:AGN42=ACP25)*(AGR3:AGR42="L"))+SUMPRODUCT((AGQ3:AGQ42=ACP25)*(AGS3:AGS42="L"))</f>
        <v>0</v>
      </c>
      <c r="ACT25" s="319">
        <f t="shared" ref="ACT25" ca="1" si="7586">SUMIF(AGN3:AGN60,ACP25,AGO3:AGO60)+SUMIF(AGQ3:AGQ60,ACP25,AGP3:AGP60)</f>
        <v>0</v>
      </c>
      <c r="ACU25" s="319">
        <f t="shared" ref="ACU25" ca="1" si="7587">SUMIF(AGQ3:AGQ60,ACP25,AGO3:AGO60)+SUMIF(AGN3:AGN60,ACP25,AGP3:AGP60)</f>
        <v>0</v>
      </c>
      <c r="ACV25" s="319">
        <f t="shared" ref="ACV25:ACV28" ca="1" si="7588">ACT25-ACU25+1000</f>
        <v>1000</v>
      </c>
      <c r="ACW25" s="319">
        <f t="shared" ref="ACW25:ACW28" ca="1" si="7589">ACQ25*3+ACR25*1</f>
        <v>0</v>
      </c>
      <c r="ACX25" s="319">
        <f t="shared" si="810"/>
        <v>0</v>
      </c>
      <c r="ACY25" s="319">
        <f t="shared" ref="ACY25" ca="1" si="7590">IF(COUNTIF(ACW25:ACW29,4)&lt;&gt;4,RANK(ACW25,ACW25:ACW29),ACW65)</f>
        <v>1</v>
      </c>
      <c r="ACZ25" s="319"/>
      <c r="ADA25" s="319">
        <f t="shared" ref="ADA25" ca="1" si="7591">SUMPRODUCT((ACY25:ACY28=ACY25)*(ACX25:ACX28&lt;ACX25))+ACY25</f>
        <v>1</v>
      </c>
      <c r="ADB25" s="319" t="str">
        <f t="shared" ref="ADB25" ca="1" si="7592">INDEX(ACP25:ACP29,MATCH(1,ADA25:ADA29,0),0)</f>
        <v>Poland</v>
      </c>
      <c r="ADC25" s="319">
        <f t="shared" ref="ADC25" ca="1" si="7593">INDEX(ACY25:ACY29,MATCH(ADB25,ACP25:ACP29,0),0)</f>
        <v>1</v>
      </c>
      <c r="ADD25" s="319" t="str">
        <f t="shared" ref="ADD25" ca="1" si="7594">IF(ADC26=1,ADB25,"")</f>
        <v>Poland</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Poland</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f t="shared" ref="ADP25:ADP28" ca="1" si="7605">IF(ADI25&lt;&gt;"",ADJ25*3+ADK25*1,"")</f>
        <v>0</v>
      </c>
      <c r="ADQ25" s="319">
        <f t="shared" ref="ADQ25" ca="1" si="7606">IF(ADI25&lt;&gt;"",VLOOKUP(ADI25,ACP4:ACV40,7,FALSE),"")</f>
        <v>1000</v>
      </c>
      <c r="ADR25" s="319">
        <f t="shared" ref="ADR25" ca="1" si="7607">IF(ADI25&lt;&gt;"",VLOOKUP(ADI25,ACP4:ACV40,5,FALSE),"")</f>
        <v>0</v>
      </c>
      <c r="ADS25" s="319">
        <f t="shared" ref="ADS25" ca="1" si="7608">IF(ADI25&lt;&gt;"",VLOOKUP(ADI25,ACP4:ACX40,9,FALSE),"")</f>
        <v>0</v>
      </c>
      <c r="ADT25" s="319">
        <f t="shared" ref="ADT25:ADT28" ca="1" si="7609">ADP25</f>
        <v>0</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3</v>
      </c>
      <c r="AEA25" s="319">
        <f ca="1">IF(ADI25&lt;&gt;"",IF(AEA65&lt;&gt;"",IF(ADH64=3,AEA65,AEA65+ADH64),SUM(ADU25:ADZ25)),"")</f>
        <v>4</v>
      </c>
      <c r="AEB25" s="319" t="str">
        <f t="shared" ref="AEB25" ca="1" si="7616">IF(ADI25&lt;&gt;"",INDEX(ADI25:ADI29,MATCH(1,AEA25:AEA29,0),0),"")</f>
        <v>France</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France</v>
      </c>
      <c r="AGL25" s="319">
        <v>1</v>
      </c>
      <c r="AGM25" s="319">
        <v>23</v>
      </c>
      <c r="AGN25" s="319" t="str">
        <f t="shared" si="66"/>
        <v>Türkiye</v>
      </c>
      <c r="AGO25" s="322">
        <f ca="1">IF(OFFSET('Player Game Board'!P32,0,AGO1)&lt;&gt;"",OFFSET('Player Game Board'!P32,0,AGO1),0)</f>
        <v>0</v>
      </c>
      <c r="AGP25" s="322">
        <f ca="1">IF(OFFSET('Player Game Board'!Q32,0,AGO1)&lt;&gt;"",OFFSET('Player Game Board'!Q32,0,AGO1),0)</f>
        <v>0</v>
      </c>
      <c r="AGQ25" s="319" t="str">
        <f t="shared" si="67"/>
        <v>Portugal</v>
      </c>
      <c r="AGR25" s="319" t="str">
        <f ca="1">IF(AND(OFFSET('Player Game Board'!P32,0,AGO1)&lt;&gt;"",OFFSET('Player Game Board'!Q32,0,AGO1)&lt;&gt;""),IF(AGO25&gt;AGP25,"W",IF(AGO25=AGP25,"D","L")),"")</f>
        <v/>
      </c>
      <c r="AGS25" s="319" t="str">
        <f t="shared" ca="1" si="5665"/>
        <v/>
      </c>
      <c r="AGT25" s="319"/>
      <c r="AGU25" s="319"/>
      <c r="AGV25" s="324" t="s">
        <v>98</v>
      </c>
      <c r="AGW25" s="325" t="s">
        <v>99</v>
      </c>
      <c r="AGX25" s="325" t="s">
        <v>101</v>
      </c>
      <c r="AGY25" s="325" t="s">
        <v>102</v>
      </c>
      <c r="AGZ25" s="324" t="s">
        <v>102</v>
      </c>
      <c r="AHA25" s="324" t="s">
        <v>101</v>
      </c>
      <c r="AHB25" s="324" t="s">
        <v>99</v>
      </c>
      <c r="AHC25" s="324" t="s">
        <v>98</v>
      </c>
      <c r="AHD25" s="325"/>
      <c r="AHE25" s="326">
        <f t="shared" ref="AHE25" ca="1" si="7618">IFERROR(MATCH(AHE12,AGV25:AGY25,0),0)</f>
        <v>0</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3</v>
      </c>
      <c r="AHJ25" s="325"/>
      <c r="AHK25" s="325" t="str">
        <f t="shared" ref="AHK25" ca="1" si="7622">VLOOKUP(2,ACO11:ACP14,2,FALSE)</f>
        <v>Albania</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0</v>
      </c>
      <c r="AHR25" s="319">
        <f t="shared" ref="AHR25" ca="1" si="7628">SUMIF(ALL3:ALL60,AHN25,ALM3:ALM60)+SUMIF(ALO3:ALO60,AHN25,ALN3:ALN60)</f>
        <v>0</v>
      </c>
      <c r="AHS25" s="319">
        <f t="shared" ref="AHS25" ca="1" si="7629">SUMIF(ALO3:ALO60,AHN25,ALM3:ALM60)+SUMIF(ALL3:ALL60,AHN25,ALN3:ALN60)</f>
        <v>0</v>
      </c>
      <c r="AHT25" s="319">
        <f t="shared" ref="AHT25:AHT28" ca="1" si="7630">AHR25-AHS25+1000</f>
        <v>1000</v>
      </c>
      <c r="AHU25" s="319">
        <f t="shared" ref="AHU25:AHU28" ca="1" si="7631">AHO25*3+AHP25*1</f>
        <v>0</v>
      </c>
      <c r="AHV25" s="319">
        <f t="shared" si="870"/>
        <v>0</v>
      </c>
      <c r="AHW25" s="319">
        <f t="shared" ref="AHW25" ca="1" si="7632">IF(COUNTIF(AHU25:AHU29,4)&lt;&gt;4,RANK(AHU25,AHU25:AHU29),AHU65)</f>
        <v>1</v>
      </c>
      <c r="AHX25" s="319"/>
      <c r="AHY25" s="319">
        <f t="shared" ref="AHY25" ca="1" si="7633">SUMPRODUCT((AHW25:AHW28=AHW25)*(AHV25:AHV28&lt;AHV25))+AHW25</f>
        <v>1</v>
      </c>
      <c r="AHZ25" s="319" t="str">
        <f t="shared" ref="AHZ25" ca="1" si="7634">INDEX(AHN25:AHN29,MATCH(1,AHY25:AHY29,0),0)</f>
        <v>Poland</v>
      </c>
      <c r="AIA25" s="319">
        <f t="shared" ref="AIA25" ca="1" si="7635">INDEX(AHW25:AHW29,MATCH(AHZ25,AHN25:AHN29,0),0)</f>
        <v>1</v>
      </c>
      <c r="AIB25" s="319" t="str">
        <f t="shared" ref="AIB25" ca="1" si="7636">IF(AIA26=1,AHZ25,"")</f>
        <v>Poland</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Poland</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0</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0</v>
      </c>
      <c r="AIO25" s="319">
        <f t="shared" ref="AIO25" ca="1" si="7648">IF(AIG25&lt;&gt;"",VLOOKUP(AIG25,AHN4:AHT40,7,FALSE),"")</f>
        <v>1000</v>
      </c>
      <c r="AIP25" s="319">
        <f t="shared" ref="AIP25" ca="1" si="7649">IF(AIG25&lt;&gt;"",VLOOKUP(AIG25,AHN4:AHT40,5,FALSE),"")</f>
        <v>0</v>
      </c>
      <c r="AIQ25" s="319">
        <f t="shared" ref="AIQ25" ca="1" si="7650">IF(AIG25&lt;&gt;"",VLOOKUP(AIG25,AHN4:AHV40,9,FALSE),"")</f>
        <v>0</v>
      </c>
      <c r="AIR25" s="319">
        <f t="shared" ref="AIR25:AIR28" ca="1" si="7651">AIN25</f>
        <v>0</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0</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3</v>
      </c>
      <c r="AIY25" s="319">
        <f ca="1">IF(AIG25&lt;&gt;"",IF(AIY65&lt;&gt;"",IF(AIF64=3,AIY65,AIY65+AIF64),SUM(AIS25:AIX25)),"")</f>
        <v>4</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0</v>
      </c>
      <c r="ALO25" s="319" t="str">
        <f t="shared" si="83"/>
        <v>Portugal</v>
      </c>
      <c r="ALP25" s="319" t="str">
        <f ca="1">IF(AND(OFFSET('Player Game Board'!P32,0,ALM1)&lt;&gt;"",OFFSET('Player Game Board'!Q32,0,ALM1)&lt;&gt;""),IF(ALM25&gt;ALN25,"W",IF(ALM25=ALN25,"D","L")),"")</f>
        <v/>
      </c>
      <c r="ALQ25" s="319" t="str">
        <f t="shared" ca="1" si="5720"/>
        <v/>
      </c>
      <c r="ALR25" s="319"/>
      <c r="ALS25" s="319"/>
      <c r="ALT25" s="324" t="s">
        <v>98</v>
      </c>
      <c r="ALU25" s="325" t="s">
        <v>99</v>
      </c>
      <c r="ALV25" s="325" t="s">
        <v>101</v>
      </c>
      <c r="ALW25" s="325" t="s">
        <v>102</v>
      </c>
      <c r="ALX25" s="324" t="s">
        <v>102</v>
      </c>
      <c r="ALY25" s="324" t="s">
        <v>101</v>
      </c>
      <c r="ALZ25" s="324" t="s">
        <v>99</v>
      </c>
      <c r="AMA25" s="324" t="s">
        <v>98</v>
      </c>
      <c r="AMB25" s="325"/>
      <c r="AMC25" s="326">
        <f t="shared" ref="AMC25" ca="1" si="7660">IFERROR(MATCH(AMC12,ALT25:ALW25,0),0)</f>
        <v>0</v>
      </c>
      <c r="AMD25" s="326">
        <f t="shared" ref="AMD25" ca="1" si="7661">IFERROR(MATCH(AMD12,ALT25:ALW25,0),0)</f>
        <v>0</v>
      </c>
      <c r="AME25" s="326">
        <f t="shared" ref="AME25" ca="1" si="7662">IFERROR(MATCH(AME12,ALT25:ALW25,0),0)</f>
        <v>1</v>
      </c>
      <c r="AMF25" s="326">
        <f t="shared" ref="AMF25" ca="1" si="7663">IFERROR(MATCH(AMF12,ALT25:ALW25,0),0)</f>
        <v>2</v>
      </c>
      <c r="AMG25" s="326">
        <f t="shared" ca="1" si="3896"/>
        <v>3</v>
      </c>
      <c r="AMH25" s="325"/>
      <c r="AMI25" s="325" t="str">
        <f t="shared" ref="AMI25" ca="1" si="7664">VLOOKUP(2,AHM11:AHN14,2,FALSE)</f>
        <v>Albania</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98</v>
      </c>
      <c r="AQS25" s="325" t="s">
        <v>99</v>
      </c>
      <c r="AQT25" s="325" t="s">
        <v>101</v>
      </c>
      <c r="AQU25" s="325" t="s">
        <v>102</v>
      </c>
      <c r="AQV25" s="324" t="s">
        <v>102</v>
      </c>
      <c r="AQW25" s="324" t="s">
        <v>101</v>
      </c>
      <c r="AQX25" s="324" t="s">
        <v>99</v>
      </c>
      <c r="AQY25" s="324" t="s">
        <v>98</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1</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98</v>
      </c>
      <c r="AVQ25" s="325" t="s">
        <v>99</v>
      </c>
      <c r="AVR25" s="325" t="s">
        <v>101</v>
      </c>
      <c r="AVS25" s="325" t="s">
        <v>102</v>
      </c>
      <c r="AVT25" s="324" t="s">
        <v>102</v>
      </c>
      <c r="AVU25" s="324" t="s">
        <v>101</v>
      </c>
      <c r="AVV25" s="324" t="s">
        <v>99</v>
      </c>
      <c r="AVW25" s="324" t="s">
        <v>98</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1</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98</v>
      </c>
      <c r="BAO25" s="325" t="s">
        <v>99</v>
      </c>
      <c r="BAP25" s="325" t="s">
        <v>101</v>
      </c>
      <c r="BAQ25" s="325" t="s">
        <v>102</v>
      </c>
      <c r="BAR25" s="324" t="s">
        <v>102</v>
      </c>
      <c r="BAS25" s="324" t="s">
        <v>101</v>
      </c>
      <c r="BAT25" s="324" t="s">
        <v>99</v>
      </c>
      <c r="BAU25" s="324" t="s">
        <v>98</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98</v>
      </c>
      <c r="BFM25" s="325" t="s">
        <v>99</v>
      </c>
      <c r="BFN25" s="325" t="s">
        <v>101</v>
      </c>
      <c r="BFO25" s="325" t="s">
        <v>102</v>
      </c>
      <c r="BFP25" s="324" t="s">
        <v>102</v>
      </c>
      <c r="BFQ25" s="324" t="s">
        <v>101</v>
      </c>
      <c r="BFR25" s="324" t="s">
        <v>99</v>
      </c>
      <c r="BFS25" s="324" t="s">
        <v>98</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0</v>
      </c>
      <c r="F26" s="319">
        <f>SUMIF(CZ3:CZ60,B26,DA3:DA60)+SUMIF(DC3:DC60,B26,DB3:DB60)</f>
        <v>2</v>
      </c>
      <c r="G26" s="319">
        <f>SUMIF(DC3:DC60,B26,DA3:DA60)+SUMIF(CZ3:CZ60,B26,DB3:DB60)</f>
        <v>1</v>
      </c>
      <c r="H26" s="319">
        <f t="shared" si="7443"/>
        <v>1001</v>
      </c>
      <c r="I26" s="319">
        <f t="shared" si="7444"/>
        <v>4</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1</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1</v>
      </c>
      <c r="AC26" s="319">
        <f>IF(U26&lt;&gt;"",VLOOKUP(U26,B4:H40,7,FALSE),"")</f>
        <v>1001</v>
      </c>
      <c r="AD26" s="319">
        <f>IF(U26&lt;&gt;"",VLOOKUP(U26,B4:H40,5,FALSE),"")</f>
        <v>1</v>
      </c>
      <c r="AE26" s="319">
        <f>IF(U26&lt;&gt;"",VLOOKUP(U26,B4:J40,9,FALSE),"")</f>
        <v>52</v>
      </c>
      <c r="AF26" s="319">
        <f t="shared" si="7446"/>
        <v>1</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1</v>
      </c>
      <c r="DB26" s="319">
        <f>IF(AND(Matches!I31&lt;&gt;"",Matches!H31&lt;&gt;""),Matches!I31,0)</f>
        <v>1</v>
      </c>
      <c r="DC26" s="319" t="str">
        <f>Matches!J31</f>
        <v>Czechia</v>
      </c>
      <c r="DD26" s="319" t="str">
        <f>IF(AND(Matches!H31&lt;&gt;"",Matches!I31&lt;&gt;""),IF(DA26&gt;DB26,"W",IF(DA26=DB26,"D","L")),"")</f>
        <v>D</v>
      </c>
      <c r="DE26" s="319" t="str">
        <f t="shared" si="162"/>
        <v>D</v>
      </c>
      <c r="DF26" s="319"/>
      <c r="DG26" s="319"/>
      <c r="DH26" s="324" t="s">
        <v>98</v>
      </c>
      <c r="DI26" s="325" t="s">
        <v>100</v>
      </c>
      <c r="DJ26" s="325" t="s">
        <v>101</v>
      </c>
      <c r="DK26" s="325" t="s">
        <v>102</v>
      </c>
      <c r="DL26" s="324" t="s">
        <v>102</v>
      </c>
      <c r="DM26" s="324" t="s">
        <v>101</v>
      </c>
      <c r="DN26" s="324" t="s">
        <v>100</v>
      </c>
      <c r="DO26" s="324" t="s">
        <v>98</v>
      </c>
      <c r="DP26" s="325"/>
      <c r="DQ26" s="326">
        <f>IFERROR(MATCH(DQ12,DH26:DK26,0),0)</f>
        <v>2</v>
      </c>
      <c r="DR26" s="326">
        <f>IFERROR(MATCH(DR12,DH26:DK26,0),0)</f>
        <v>3</v>
      </c>
      <c r="DS26" s="326">
        <f>IFERROR(MATCH(DS12,DH26:DK26,0),0)</f>
        <v>0</v>
      </c>
      <c r="DT26" s="326">
        <f>IFERROR(MATCH(DT12,DH26:DK26,0),0)</f>
        <v>1</v>
      </c>
      <c r="DU26" s="326">
        <f t="shared" si="3541"/>
        <v>6</v>
      </c>
      <c r="DV26" s="325" t="s">
        <v>99</v>
      </c>
      <c r="DW26" s="325" t="str">
        <f>VLOOKUP(1,A18:B21,2,FALSE)</f>
        <v>England</v>
      </c>
      <c r="DX26" s="325"/>
      <c r="DY26" s="319">
        <f ca="1">VLOOKUP(DZ26,HU25:HV29,2,FALSE)</f>
        <v>2</v>
      </c>
      <c r="DZ26" s="319" t="str">
        <f t="shared" ref="DZ26:DZ28" si="7836">B26</f>
        <v>Netherlands</v>
      </c>
      <c r="EA26" s="319">
        <f ca="1">SUMPRODUCT((HX3:HX42=DZ26)*(IB3:IB42="W"))+SUMPRODUCT((IA3:IA42=DZ26)*(IC3:IC42="W"))</f>
        <v>1</v>
      </c>
      <c r="EB26" s="319">
        <f ca="1">SUMPRODUCT((HX3:HX42=DZ26)*(IB3:IB42="D"))+SUMPRODUCT((IA3:IA42=DZ26)*(IC3:IC42="D"))</f>
        <v>2</v>
      </c>
      <c r="EC26" s="319">
        <f ca="1">SUMPRODUCT((HX3:HX42=DZ26)*(IB3:IB42="L"))+SUMPRODUCT((IA3:IA42=DZ26)*(IC3:IC42="L"))</f>
        <v>0</v>
      </c>
      <c r="ED26" s="319">
        <f ca="1">SUMIF(HX3:HX60,DZ26,HY3:HY60)+SUMIF(IA3:IA60,DZ26,HZ3:HZ60)</f>
        <v>3</v>
      </c>
      <c r="EE26" s="319">
        <f ca="1">SUMIF(IA3:IA60,DZ26,HY3:HY60)+SUMIF(HX3:HX60,DZ26,HZ3:HZ60)</f>
        <v>2</v>
      </c>
      <c r="EF26" s="319">
        <f t="shared" ca="1" si="7447"/>
        <v>1001</v>
      </c>
      <c r="EG26" s="319">
        <f t="shared" ca="1" si="7448"/>
        <v>5</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0</v>
      </c>
      <c r="IA26" s="319" t="str">
        <f t="shared" si="165"/>
        <v>Czechia</v>
      </c>
      <c r="IB26" s="319" t="str">
        <f ca="1">IF(AND(OFFSET('Player Game Board'!P33,0,HY1)&lt;&gt;"",OFFSET('Player Game Board'!Q33,0,HY1)&lt;&gt;""),IF(HY26&gt;HZ26,"W",IF(HY26=HZ26,"D","L")),"")</f>
        <v>D</v>
      </c>
      <c r="IC26" s="319" t="str">
        <f t="shared" ca="1" si="166"/>
        <v>D</v>
      </c>
      <c r="ID26" s="319"/>
      <c r="IE26" s="319"/>
      <c r="IF26" s="324" t="s">
        <v>98</v>
      </c>
      <c r="IG26" s="325" t="s">
        <v>100</v>
      </c>
      <c r="IH26" s="325" t="s">
        <v>101</v>
      </c>
      <c r="II26" s="325" t="s">
        <v>102</v>
      </c>
      <c r="IJ26" s="324" t="s">
        <v>102</v>
      </c>
      <c r="IK26" s="324" t="s">
        <v>101</v>
      </c>
      <c r="IL26" s="324" t="s">
        <v>100</v>
      </c>
      <c r="IM26" s="324" t="s">
        <v>98</v>
      </c>
      <c r="IN26" s="325"/>
      <c r="IO26" s="326">
        <f ca="1">IFERROR(MATCH(IO12,IF26:II26,0),0)</f>
        <v>1</v>
      </c>
      <c r="IP26" s="326">
        <f ca="1">IFERROR(MATCH(IP12,IF26:II26,0),0)</f>
        <v>0</v>
      </c>
      <c r="IQ26" s="326">
        <f ca="1">IFERROR(MATCH(IQ12,IF26:II26,0),0)</f>
        <v>0</v>
      </c>
      <c r="IR26" s="326">
        <f ca="1">IFERROR(MATCH(IR12,IF26:II26,0),0)</f>
        <v>3</v>
      </c>
      <c r="IS26" s="326">
        <f t="shared" ca="1" si="3544"/>
        <v>4</v>
      </c>
      <c r="IT26" s="325" t="s">
        <v>99</v>
      </c>
      <c r="IU26" s="325" t="str">
        <f ca="1">VLOOKUP(1,DY18:DZ21,2,FALSE)</f>
        <v>England</v>
      </c>
      <c r="IV26" s="325">
        <f t="shared" ca="1" si="5047"/>
        <v>1</v>
      </c>
      <c r="IW26" s="319">
        <f ca="1">VLOOKUP(IX26,MS25:MT29,2,FALSE)</f>
        <v>2</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6</v>
      </c>
      <c r="JC26" s="319">
        <f ca="1">SUMIF(MY3:MY60,IX26,MW3:MW60)+SUMIF(MV3:MV60,IX26,MX3:MX60)</f>
        <v>4</v>
      </c>
      <c r="JD26" s="319">
        <f t="shared" ca="1" si="7451"/>
        <v>1002</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8</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0</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1</v>
      </c>
      <c r="KJ26" s="319" t="str">
        <f ca="1">IF(JQ26&lt;&gt;"",INDEX(JQ25:JQ29,MATCH(2,KI25:KI29,0),0),"")</f>
        <v>Netherlands</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Netherlands</v>
      </c>
      <c r="MT26" s="319">
        <v>2</v>
      </c>
      <c r="MU26" s="319">
        <v>24</v>
      </c>
      <c r="MV26" s="319" t="str">
        <f t="shared" si="170"/>
        <v>Georgia</v>
      </c>
      <c r="MW26" s="322">
        <f ca="1">IF(OFFSET('Player Game Board'!P33,0,MW1)&lt;&gt;"",OFFSET('Player Game Board'!P33,0,MW1),0)</f>
        <v>0</v>
      </c>
      <c r="MX26" s="322">
        <f ca="1">IF(OFFSET('Player Game Board'!Q33,0,MW1)&lt;&gt;"",OFFSET('Player Game Board'!Q33,0,MW1),0)</f>
        <v>1</v>
      </c>
      <c r="MY26" s="319" t="str">
        <f t="shared" si="171"/>
        <v>Czechia</v>
      </c>
      <c r="MZ26" s="319" t="str">
        <f ca="1">IF(AND(OFFSET('Player Game Board'!P33,0,MW1)&lt;&gt;"",OFFSET('Player Game Board'!Q33,0,MW1)&lt;&gt;""),IF(MW26&gt;MX26,"W",IF(MW26=MX26,"D","L")),"")</f>
        <v>L</v>
      </c>
      <c r="NA26" s="319" t="str">
        <f t="shared" ca="1" si="172"/>
        <v>W</v>
      </c>
      <c r="NB26" s="319"/>
      <c r="NC26" s="319"/>
      <c r="ND26" s="324" t="s">
        <v>98</v>
      </c>
      <c r="NE26" s="325" t="s">
        <v>100</v>
      </c>
      <c r="NF26" s="325" t="s">
        <v>101</v>
      </c>
      <c r="NG26" s="325" t="s">
        <v>102</v>
      </c>
      <c r="NH26" s="324" t="s">
        <v>102</v>
      </c>
      <c r="NI26" s="324" t="s">
        <v>101</v>
      </c>
      <c r="NJ26" s="324" t="s">
        <v>100</v>
      </c>
      <c r="NK26" s="324" t="s">
        <v>98</v>
      </c>
      <c r="NL26" s="325"/>
      <c r="NM26" s="326">
        <f ca="1">IFERROR(MATCH(NM12,ND26:NG26,0),0)</f>
        <v>1</v>
      </c>
      <c r="NN26" s="326">
        <f ca="1">IFERROR(MATCH(NN12,ND26:NG26,0),0)</f>
        <v>4</v>
      </c>
      <c r="NO26" s="326">
        <f ca="1">IFERROR(MATCH(NO12,ND26:NG26,0),0)</f>
        <v>0</v>
      </c>
      <c r="NP26" s="326">
        <f ca="1">IFERROR(MATCH(NP12,ND26:NG26,0),0)</f>
        <v>2</v>
      </c>
      <c r="NQ26" s="326">
        <f t="shared" ca="1" si="3547"/>
        <v>7</v>
      </c>
      <c r="NR26" s="325" t="s">
        <v>99</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0</v>
      </c>
      <c r="NX26" s="319">
        <f t="shared" ref="NX26" ca="1" si="7846">SUMPRODUCT((RT3:RT42=NV26)*(RX3:RX42="D"))+SUMPRODUCT((RW3:RW42=NV26)*(RY3:RY42="D"))</f>
        <v>0</v>
      </c>
      <c r="NY26" s="319">
        <f t="shared" ref="NY26" ca="1" si="7847">SUMPRODUCT((RT3:RT42=NV26)*(RX3:RX42="L"))+SUMPRODUCT((RW3:RW42=NV26)*(RY3:RY42="L"))</f>
        <v>0</v>
      </c>
      <c r="NZ26" s="319">
        <f t="shared" ref="NZ26" ca="1" si="7848">SUMIF(RT3:RT60,NV26,RU3:RU60)+SUMIF(RW3:RW60,NV26,RV3:RV60)</f>
        <v>0</v>
      </c>
      <c r="OA26" s="319">
        <f t="shared" ref="OA26" ca="1" si="7849">SUMIF(RW3:RW60,NV26,RU3:RU60)+SUMIF(RT3:RT60,NV26,RV3:RV60)</f>
        <v>0</v>
      </c>
      <c r="OB26" s="319">
        <f t="shared" ca="1" si="7462"/>
        <v>1000</v>
      </c>
      <c r="OC26" s="319">
        <f t="shared" ca="1" si="7463"/>
        <v>0</v>
      </c>
      <c r="OD26" s="319">
        <f t="shared" si="630"/>
        <v>42</v>
      </c>
      <c r="OE26" s="319">
        <f t="shared" ref="OE26" ca="1" si="7850">IF(COUNTIF(OC25:OC29,4)&lt;&gt;4,RANK(OC26,OC25:OC29),OC66)</f>
        <v>1</v>
      </c>
      <c r="OF26" s="319"/>
      <c r="OG26" s="319">
        <f t="shared" ref="OG26" ca="1" si="7851">SUMPRODUCT((OE25:OE28=OE26)*(OD25:OD28&lt;OD26))+OE26</f>
        <v>3</v>
      </c>
      <c r="OH26" s="319" t="str">
        <f t="shared" ref="OH26" ca="1" si="7852">INDEX(NV25:NV29,MATCH(2,OG25:OG29,0),0)</f>
        <v>Austria</v>
      </c>
      <c r="OI26" s="319">
        <f t="shared" ref="OI26" ca="1" si="7853">INDEX(OE25:OE29,MATCH(OH26,NV25:NV29,0),0)</f>
        <v>1</v>
      </c>
      <c r="OJ26" s="319" t="str">
        <f t="shared" ref="OJ26" ca="1" si="7854">IF(OJ25&lt;&gt;"",OH26,"")</f>
        <v>Austria</v>
      </c>
      <c r="OK26" s="319" t="str">
        <f t="shared" ref="OK26" ca="1" si="7855">IF(OK25&lt;&gt;"",OH27,"")</f>
        <v/>
      </c>
      <c r="OL26" s="319" t="str">
        <f t="shared" ref="OL26" ca="1" si="7856">IF(OL25&lt;&gt;"",OH28,"")</f>
        <v/>
      </c>
      <c r="OM26" s="319" t="str">
        <f t="shared" ref="OM26" si="7857">IF(OM25&lt;&gt;"",OH29,"")</f>
        <v/>
      </c>
      <c r="ON26" s="319"/>
      <c r="OO26" s="319" t="str">
        <f t="shared" ca="1" si="7472"/>
        <v>Austria</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f t="shared" ca="1" si="7479"/>
        <v>0</v>
      </c>
      <c r="OW26" s="319">
        <f t="shared" ref="OW26" ca="1" si="7863">IF(OO26&lt;&gt;"",VLOOKUP(OO26,NV4:OB40,7,FALSE),"")</f>
        <v>1000</v>
      </c>
      <c r="OX26" s="319">
        <f t="shared" ref="OX26" ca="1" si="7864">IF(OO26&lt;&gt;"",VLOOKUP(OO26,NV4:OB40,5,FALSE),"")</f>
        <v>0</v>
      </c>
      <c r="OY26" s="319">
        <f t="shared" ref="OY26" ca="1" si="7865">IF(OO26&lt;&gt;"",VLOOKUP(OO26,NV4:OD40,9,FALSE),"")</f>
        <v>41</v>
      </c>
      <c r="OZ26" s="319">
        <f t="shared" ca="1" si="7483"/>
        <v>0</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2</v>
      </c>
      <c r="PG26" s="319">
        <f ca="1">IF(OO26&lt;&gt;"",IF(PG66&lt;&gt;"",IF(ON64=3,PG66,PG66+ON64),SUM(PA26:PF26)),"")</f>
        <v>3</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
      </c>
      <c r="RY26" s="319" t="str">
        <f t="shared" ca="1" si="5500"/>
        <v/>
      </c>
      <c r="RZ26" s="319"/>
      <c r="SA26" s="319"/>
      <c r="SB26" s="324" t="s">
        <v>98</v>
      </c>
      <c r="SC26" s="325" t="s">
        <v>100</v>
      </c>
      <c r="SD26" s="325" t="s">
        <v>101</v>
      </c>
      <c r="SE26" s="325" t="s">
        <v>102</v>
      </c>
      <c r="SF26" s="324" t="s">
        <v>102</v>
      </c>
      <c r="SG26" s="324" t="s">
        <v>101</v>
      </c>
      <c r="SH26" s="324" t="s">
        <v>100</v>
      </c>
      <c r="SI26" s="324" t="s">
        <v>98</v>
      </c>
      <c r="SJ26" s="325"/>
      <c r="SK26" s="326">
        <f t="shared" ref="SK26" ca="1" si="7893">IFERROR(MATCH(SK12,SB26:SE26,0),0)</f>
        <v>0</v>
      </c>
      <c r="SL26" s="326">
        <f t="shared" ref="SL26" ca="1" si="7894">IFERROR(MATCH(SL12,SB26:SE26,0),0)</f>
        <v>2</v>
      </c>
      <c r="SM26" s="326">
        <f t="shared" ref="SM26" ca="1" si="7895">IFERROR(MATCH(SM12,SB26:SE26,0),0)</f>
        <v>1</v>
      </c>
      <c r="SN26" s="326">
        <f t="shared" ref="SN26" ca="1" si="7896">IFERROR(MATCH(SN12,SB26:SE26,0),0)</f>
        <v>0</v>
      </c>
      <c r="SO26" s="326">
        <f t="shared" ca="1" si="3616"/>
        <v>3</v>
      </c>
      <c r="SP26" s="325" t="s">
        <v>99</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0</v>
      </c>
      <c r="SV26" s="319">
        <f t="shared" ref="SV26" ca="1" si="7900">SUMPRODUCT((WR3:WR42=ST26)*(WV3:WV42="D"))+SUMPRODUCT((WU3:WU42=ST26)*(WW3:WW42="D"))</f>
        <v>0</v>
      </c>
      <c r="SW26" s="319">
        <f t="shared" ref="SW26" ca="1" si="7901">SUMPRODUCT((WR3:WR42=ST26)*(WV3:WV42="L"))+SUMPRODUCT((WU3:WU42=ST26)*(WW3:WW42="L"))</f>
        <v>0</v>
      </c>
      <c r="SX26" s="319">
        <f t="shared" ref="SX26" ca="1" si="7902">SUMIF(WR3:WR60,ST26,WS3:WS60)+SUMIF(WU3:WU60,ST26,WT3:WT60)</f>
        <v>0</v>
      </c>
      <c r="SY26" s="319">
        <f t="shared" ref="SY26" ca="1" si="7903">SUMIF(WU3:WU60,ST26,WS3:WS60)+SUMIF(WR3:WR60,ST26,WT3:WT60)</f>
        <v>0</v>
      </c>
      <c r="SZ26" s="319">
        <f t="shared" ca="1" si="7504"/>
        <v>1000</v>
      </c>
      <c r="TA26" s="319">
        <f t="shared" ca="1" si="7505"/>
        <v>0</v>
      </c>
      <c r="TB26" s="319">
        <f t="shared" si="690"/>
        <v>42</v>
      </c>
      <c r="TC26" s="319">
        <f t="shared" ref="TC26" ca="1" si="7904">IF(COUNTIF(TA25:TA29,4)&lt;&gt;4,RANK(TA26,TA25:TA29),TA66)</f>
        <v>1</v>
      </c>
      <c r="TD26" s="319"/>
      <c r="TE26" s="319">
        <f t="shared" ref="TE26" ca="1" si="7905">SUMPRODUCT((TC25:TC28=TC26)*(TB25:TB28&lt;TB26))+TC26</f>
        <v>3</v>
      </c>
      <c r="TF26" s="319" t="str">
        <f t="shared" ref="TF26" ca="1" si="7906">INDEX(ST25:ST29,MATCH(2,TE25:TE29,0),0)</f>
        <v>Austria</v>
      </c>
      <c r="TG26" s="319">
        <f t="shared" ref="TG26" ca="1" si="7907">INDEX(TC25:TC29,MATCH(TF26,ST25:ST29,0),0)</f>
        <v>1</v>
      </c>
      <c r="TH26" s="319" t="str">
        <f t="shared" ref="TH26" ca="1" si="7908">IF(TH25&lt;&gt;"",TF26,"")</f>
        <v>Austria</v>
      </c>
      <c r="TI26" s="319" t="str">
        <f t="shared" ref="TI26" ca="1" si="7909">IF(TI25&lt;&gt;"",TF27,"")</f>
        <v/>
      </c>
      <c r="TJ26" s="319" t="str">
        <f t="shared" ref="TJ26" ca="1" si="7910">IF(TJ25&lt;&gt;"",TF28,"")</f>
        <v/>
      </c>
      <c r="TK26" s="319" t="str">
        <f t="shared" ref="TK26" si="7911">IF(TK25&lt;&gt;"",TF29,"")</f>
        <v/>
      </c>
      <c r="TL26" s="319"/>
      <c r="TM26" s="319" t="str">
        <f t="shared" ca="1" si="7514"/>
        <v>Austria</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f t="shared" ca="1" si="7521"/>
        <v>0</v>
      </c>
      <c r="TU26" s="319">
        <f t="shared" ref="TU26" ca="1" si="7917">IF(TM26&lt;&gt;"",VLOOKUP(TM26,ST4:SZ40,7,FALSE),"")</f>
        <v>1000</v>
      </c>
      <c r="TV26" s="319">
        <f t="shared" ref="TV26" ca="1" si="7918">IF(TM26&lt;&gt;"",VLOOKUP(TM26,ST4:SZ40,5,FALSE),"")</f>
        <v>0</v>
      </c>
      <c r="TW26" s="319">
        <f t="shared" ref="TW26" ca="1" si="7919">IF(TM26&lt;&gt;"",VLOOKUP(TM26,ST4:TB40,9,FALSE),"")</f>
        <v>41</v>
      </c>
      <c r="TX26" s="319">
        <f t="shared" ca="1" si="7525"/>
        <v>0</v>
      </c>
      <c r="TY26" s="319">
        <f t="shared" ref="TY26" ca="1" si="7920">IF(TM26&lt;&gt;"",RANK(TX26,TX25:TX29),"")</f>
        <v>1</v>
      </c>
      <c r="TZ26" s="319">
        <f t="shared" ref="TZ26" ca="1" si="7921">IF(TM26&lt;&gt;"",SUMPRODUCT((TX25:TX29=TX26)*(TS25:TS29&gt;TS26)),"")</f>
        <v>0</v>
      </c>
      <c r="UA26" s="319">
        <f t="shared" ref="UA26" ca="1" si="7922">IF(TM26&lt;&gt;"",SUMPRODUCT((TX25:TX29=TX26)*(TS25:TS29=TS26)*(TQ25:TQ29&gt;TQ26)),"")</f>
        <v>0</v>
      </c>
      <c r="UB26" s="319">
        <f t="shared" ref="UB26" ca="1" si="7923">IF(TM26&lt;&gt;"",SUMPRODUCT((TX25:TX29=TX26)*(TS25:TS29=TS26)*(TQ25:TQ29=TQ26)*(TU25:TU29&gt;TU26)),"")</f>
        <v>0</v>
      </c>
      <c r="UC26" s="319">
        <f t="shared" ref="UC26" ca="1" si="7924">IF(TM26&lt;&gt;"",SUMPRODUCT((TX25:TX29=TX26)*(TS25:TS29=TS26)*(TQ25:TQ29=TQ26)*(TU25:TU29=TU26)*(TV25:TV29&gt;TV26)),"")</f>
        <v>0</v>
      </c>
      <c r="UD26" s="319">
        <f t="shared" ref="UD26" ca="1" si="7925">IF(TM26&lt;&gt;"",SUMPRODUCT((TX25:TX29=TX26)*(TS25:TS29=TS26)*(TQ25:TQ29=TQ26)*(TU25:TU29=TU26)*(TV25:TV29=TV26)*(TW25:TW29&gt;TW26)),"")</f>
        <v>2</v>
      </c>
      <c r="UE26" s="319">
        <f ca="1">IF(TM26&lt;&gt;"",IF(UE66&lt;&gt;"",IF(TL64=3,UE66,UE66+TL64),SUM(TY26:UD26)),"")</f>
        <v>3</v>
      </c>
      <c r="UF26" s="319" t="str">
        <f t="shared" ref="UF26" ca="1" si="7926">IF(TM26&lt;&gt;"",INDEX(TM25:TM29,MATCH(2,UE25:UE29,0),0),"")</f>
        <v>Netherlands</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0</v>
      </c>
      <c r="WU26" s="319" t="str">
        <f t="shared" si="35"/>
        <v>Czechia</v>
      </c>
      <c r="WV26" s="319" t="str">
        <f ca="1">IF(AND(OFFSET('Player Game Board'!P33,0,WS1)&lt;&gt;"",OFFSET('Player Game Board'!Q33,0,WS1)&lt;&gt;""),IF(WS26&gt;WT26,"W",IF(WS26=WT26,"D","L")),"")</f>
        <v/>
      </c>
      <c r="WW26" s="319" t="str">
        <f t="shared" ca="1" si="5555"/>
        <v/>
      </c>
      <c r="WX26" s="319"/>
      <c r="WY26" s="319"/>
      <c r="WZ26" s="324" t="s">
        <v>98</v>
      </c>
      <c r="XA26" s="325" t="s">
        <v>100</v>
      </c>
      <c r="XB26" s="325" t="s">
        <v>101</v>
      </c>
      <c r="XC26" s="325" t="s">
        <v>102</v>
      </c>
      <c r="XD26" s="324" t="s">
        <v>102</v>
      </c>
      <c r="XE26" s="324" t="s">
        <v>101</v>
      </c>
      <c r="XF26" s="324" t="s">
        <v>100</v>
      </c>
      <c r="XG26" s="324" t="s">
        <v>98</v>
      </c>
      <c r="XH26" s="325"/>
      <c r="XI26" s="326">
        <f t="shared" ref="XI26" ca="1" si="7947">IFERROR(MATCH(XI12,WZ26:XC26,0),0)</f>
        <v>0</v>
      </c>
      <c r="XJ26" s="326">
        <f t="shared" ref="XJ26" ca="1" si="7948">IFERROR(MATCH(XJ12,WZ26:XC26,0),0)</f>
        <v>2</v>
      </c>
      <c r="XK26" s="326">
        <f t="shared" ref="XK26" ca="1" si="7949">IFERROR(MATCH(XK12,WZ26:XC26,0),0)</f>
        <v>1</v>
      </c>
      <c r="XL26" s="326">
        <f t="shared" ref="XL26" ca="1" si="7950">IFERROR(MATCH(XL12,WZ26:XC26,0),0)</f>
        <v>0</v>
      </c>
      <c r="XM26" s="326">
        <f t="shared" ca="1" si="3686"/>
        <v>3</v>
      </c>
      <c r="XN26" s="325" t="s">
        <v>99</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98</v>
      </c>
      <c r="ABY26" s="325" t="s">
        <v>100</v>
      </c>
      <c r="ABZ26" s="325" t="s">
        <v>101</v>
      </c>
      <c r="ACA26" s="325" t="s">
        <v>102</v>
      </c>
      <c r="ACB26" s="324" t="s">
        <v>102</v>
      </c>
      <c r="ACC26" s="324" t="s">
        <v>101</v>
      </c>
      <c r="ACD26" s="324" t="s">
        <v>100</v>
      </c>
      <c r="ACE26" s="324" t="s">
        <v>98</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99</v>
      </c>
      <c r="ACM26" s="325" t="str">
        <f t="shared" ref="ACM26" ca="1" si="8005">VLOOKUP(1,XQ18:XR21,2,FALSE)</f>
        <v>England</v>
      </c>
      <c r="ACN26" s="325">
        <f t="shared" ca="1" si="5181"/>
        <v>1</v>
      </c>
      <c r="ACO26" s="319">
        <f t="shared" ref="ACO26" ca="1" si="8006">VLOOKUP(ACP26,AGK25:AGL29,2,FALSE)</f>
        <v>2</v>
      </c>
      <c r="ACP26" s="319" t="str">
        <f t="shared" si="7582"/>
        <v>Netherlands</v>
      </c>
      <c r="ACQ26" s="319">
        <f t="shared" ref="ACQ26" ca="1" si="8007">SUMPRODUCT((AGN3:AGN42=ACP26)*(AGR3:AGR42="W"))+SUMPRODUCT((AGQ3:AGQ42=ACP26)*(AGS3:AGS42="W"))</f>
        <v>0</v>
      </c>
      <c r="ACR26" s="319">
        <f t="shared" ref="ACR26" ca="1" si="8008">SUMPRODUCT((AGN3:AGN42=ACP26)*(AGR3:AGR42="D"))+SUMPRODUCT((AGQ3:AGQ42=ACP26)*(AGS3:AGS42="D"))</f>
        <v>0</v>
      </c>
      <c r="ACS26" s="319">
        <f t="shared" ref="ACS26" ca="1" si="8009">SUMPRODUCT((AGN3:AGN42=ACP26)*(AGR3:AGR42="L"))+SUMPRODUCT((AGQ3:AGQ42=ACP26)*(AGS3:AGS42="L"))</f>
        <v>0</v>
      </c>
      <c r="ACT26" s="319">
        <f t="shared" ref="ACT26" ca="1" si="8010">SUMIF(AGN3:AGN60,ACP26,AGO3:AGO60)+SUMIF(AGQ3:AGQ60,ACP26,AGP3:AGP60)</f>
        <v>0</v>
      </c>
      <c r="ACU26" s="319">
        <f t="shared" ref="ACU26" ca="1" si="8011">SUMIF(AGQ3:AGQ60,ACP26,AGO3:AGO60)+SUMIF(AGN3:AGN60,ACP26,AGP3:AGP60)</f>
        <v>0</v>
      </c>
      <c r="ACV26" s="319">
        <f t="shared" ca="1" si="7588"/>
        <v>1000</v>
      </c>
      <c r="ACW26" s="319">
        <f t="shared" ca="1" si="7589"/>
        <v>0</v>
      </c>
      <c r="ACX26" s="319">
        <f t="shared" si="810"/>
        <v>42</v>
      </c>
      <c r="ACY26" s="319">
        <f t="shared" ref="ACY26" ca="1" si="8012">IF(COUNTIF(ACW25:ACW29,4)&lt;&gt;4,RANK(ACW26,ACW25:ACW29),ACW66)</f>
        <v>1</v>
      </c>
      <c r="ACZ26" s="319"/>
      <c r="ADA26" s="319">
        <f t="shared" ref="ADA26" ca="1" si="8013">SUMPRODUCT((ACY25:ACY28=ACY26)*(ACX25:ACX28&lt;ACX26))+ACY26</f>
        <v>3</v>
      </c>
      <c r="ADB26" s="319" t="str">
        <f t="shared" ref="ADB26" ca="1" si="8014">INDEX(ACP25:ACP29,MATCH(2,ADA25:ADA29,0),0)</f>
        <v>Austria</v>
      </c>
      <c r="ADC26" s="319">
        <f t="shared" ref="ADC26" ca="1" si="8015">INDEX(ACY25:ACY29,MATCH(ADB26,ACP25:ACP29,0),0)</f>
        <v>1</v>
      </c>
      <c r="ADD26" s="319" t="str">
        <f t="shared" ref="ADD26" ca="1" si="8016">IF(ADD25&lt;&gt;"",ADB26,"")</f>
        <v>Austria</v>
      </c>
      <c r="ADE26" s="319" t="str">
        <f t="shared" ref="ADE26" ca="1" si="8017">IF(ADE25&lt;&gt;"",ADB27,"")</f>
        <v/>
      </c>
      <c r="ADF26" s="319" t="str">
        <f t="shared" ref="ADF26" ca="1" si="8018">IF(ADF25&lt;&gt;"",ADB28,"")</f>
        <v/>
      </c>
      <c r="ADG26" s="319" t="str">
        <f t="shared" ref="ADG26" si="8019">IF(ADG25&lt;&gt;"",ADB29,"")</f>
        <v/>
      </c>
      <c r="ADH26" s="319"/>
      <c r="ADI26" s="319" t="str">
        <f t="shared" ca="1" si="7598"/>
        <v>Austria</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f t="shared" ca="1" si="7605"/>
        <v>0</v>
      </c>
      <c r="ADQ26" s="319">
        <f t="shared" ref="ADQ26" ca="1" si="8025">IF(ADI26&lt;&gt;"",VLOOKUP(ADI26,ACP4:ACV40,7,FALSE),"")</f>
        <v>1000</v>
      </c>
      <c r="ADR26" s="319">
        <f t="shared" ref="ADR26" ca="1" si="8026">IF(ADI26&lt;&gt;"",VLOOKUP(ADI26,ACP4:ACV40,5,FALSE),"")</f>
        <v>0</v>
      </c>
      <c r="ADS26" s="319">
        <f t="shared" ref="ADS26" ca="1" si="8027">IF(ADI26&lt;&gt;"",VLOOKUP(ADI26,ACP4:ACX40,9,FALSE),"")</f>
        <v>41</v>
      </c>
      <c r="ADT26" s="319">
        <f t="shared" ca="1" si="7609"/>
        <v>0</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0</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2</v>
      </c>
      <c r="AEA26" s="319">
        <f ca="1">IF(ADI26&lt;&gt;"",IF(AEA66&lt;&gt;"",IF(ADH64=3,AEA66,AEA66+ADH64),SUM(ADU26:ADZ26)),"")</f>
        <v>3</v>
      </c>
      <c r="AEB26" s="319" t="str">
        <f t="shared" ref="AEB26" ca="1" si="8034">IF(ADI26&lt;&gt;"",INDEX(ADI25:ADI29,MATCH(2,AEA25:AEA29,0),0),"")</f>
        <v>Netherlands</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Netherlands</v>
      </c>
      <c r="AGL26" s="319">
        <v>2</v>
      </c>
      <c r="AGM26" s="319">
        <v>24</v>
      </c>
      <c r="AGN26" s="319" t="str">
        <f t="shared" si="66"/>
        <v>Georgia</v>
      </c>
      <c r="AGO26" s="322">
        <f ca="1">IF(OFFSET('Player Game Board'!P33,0,AGO1)&lt;&gt;"",OFFSET('Player Game Board'!P33,0,AGO1),0)</f>
        <v>0</v>
      </c>
      <c r="AGP26" s="322">
        <f ca="1">IF(OFFSET('Player Game Board'!Q33,0,AGO1)&lt;&gt;"",OFFSET('Player Game Board'!Q33,0,AGO1),0)</f>
        <v>0</v>
      </c>
      <c r="AGQ26" s="319" t="str">
        <f t="shared" si="67"/>
        <v>Czechia</v>
      </c>
      <c r="AGR26" s="319" t="str">
        <f ca="1">IF(AND(OFFSET('Player Game Board'!P33,0,AGO1)&lt;&gt;"",OFFSET('Player Game Board'!Q33,0,AGO1)&lt;&gt;""),IF(AGO26&gt;AGP26,"W",IF(AGO26=AGP26,"D","L")),"")</f>
        <v/>
      </c>
      <c r="AGS26" s="319" t="str">
        <f t="shared" ca="1" si="5665"/>
        <v/>
      </c>
      <c r="AGT26" s="319"/>
      <c r="AGU26" s="319"/>
      <c r="AGV26" s="324" t="s">
        <v>98</v>
      </c>
      <c r="AGW26" s="325" t="s">
        <v>100</v>
      </c>
      <c r="AGX26" s="325" t="s">
        <v>101</v>
      </c>
      <c r="AGY26" s="325" t="s">
        <v>102</v>
      </c>
      <c r="AGZ26" s="324" t="s">
        <v>102</v>
      </c>
      <c r="AHA26" s="324" t="s">
        <v>101</v>
      </c>
      <c r="AHB26" s="324" t="s">
        <v>100</v>
      </c>
      <c r="AHC26" s="324" t="s">
        <v>98</v>
      </c>
      <c r="AHD26" s="325"/>
      <c r="AHE26" s="326">
        <f t="shared" ref="AHE26" ca="1" si="8055">IFERROR(MATCH(AHE12,AGV26:AGY26,0),0)</f>
        <v>0</v>
      </c>
      <c r="AHF26" s="326">
        <f t="shared" ref="AHF26" ca="1" si="8056">IFERROR(MATCH(AHF12,AGV26:AGY26,0),0)</f>
        <v>2</v>
      </c>
      <c r="AHG26" s="326">
        <f t="shared" ref="AHG26" ca="1" si="8057">IFERROR(MATCH(AHG12,AGV26:AGY26,0),0)</f>
        <v>1</v>
      </c>
      <c r="AHH26" s="326">
        <f t="shared" ref="AHH26" ca="1" si="8058">IFERROR(MATCH(AHH12,AGV26:AGY26,0),0)</f>
        <v>0</v>
      </c>
      <c r="AHI26" s="326">
        <f t="shared" ca="1" si="3826"/>
        <v>3</v>
      </c>
      <c r="AHJ26" s="325" t="s">
        <v>99</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0</v>
      </c>
      <c r="AHP26" s="319">
        <f t="shared" ref="AHP26" ca="1" si="8062">SUMPRODUCT((ALL3:ALL42=AHN26)*(ALP3:ALP42="D"))+SUMPRODUCT((ALO3:ALO42=AHN26)*(ALQ3:ALQ42="D"))</f>
        <v>0</v>
      </c>
      <c r="AHQ26" s="319">
        <f t="shared" ref="AHQ26" ca="1" si="8063">SUMPRODUCT((ALL3:ALL42=AHN26)*(ALP3:ALP42="L"))+SUMPRODUCT((ALO3:ALO42=AHN26)*(ALQ3:ALQ42="L"))</f>
        <v>0</v>
      </c>
      <c r="AHR26" s="319">
        <f t="shared" ref="AHR26" ca="1" si="8064">SUMIF(ALL3:ALL60,AHN26,ALM3:ALM60)+SUMIF(ALO3:ALO60,AHN26,ALN3:ALN60)</f>
        <v>0</v>
      </c>
      <c r="AHS26" s="319">
        <f t="shared" ref="AHS26" ca="1" si="8065">SUMIF(ALO3:ALO60,AHN26,ALM3:ALM60)+SUMIF(ALL3:ALL60,AHN26,ALN3:ALN60)</f>
        <v>0</v>
      </c>
      <c r="AHT26" s="319">
        <f t="shared" ca="1" si="7630"/>
        <v>1000</v>
      </c>
      <c r="AHU26" s="319">
        <f t="shared" ca="1" si="7631"/>
        <v>0</v>
      </c>
      <c r="AHV26" s="319">
        <f t="shared" si="870"/>
        <v>42</v>
      </c>
      <c r="AHW26" s="319">
        <f t="shared" ref="AHW26" ca="1" si="8066">IF(COUNTIF(AHU25:AHU29,4)&lt;&gt;4,RANK(AHU26,AHU25:AHU29),AHU66)</f>
        <v>1</v>
      </c>
      <c r="AHX26" s="319"/>
      <c r="AHY26" s="319">
        <f t="shared" ref="AHY26" ca="1" si="8067">SUMPRODUCT((AHW25:AHW28=AHW26)*(AHV25:AHV28&lt;AHV26))+AHW26</f>
        <v>3</v>
      </c>
      <c r="AHZ26" s="319" t="str">
        <f t="shared" ref="AHZ26" ca="1" si="8068">INDEX(AHN25:AHN29,MATCH(2,AHY25:AHY29,0),0)</f>
        <v>Austria</v>
      </c>
      <c r="AIA26" s="319">
        <f t="shared" ref="AIA26" ca="1" si="8069">INDEX(AHW25:AHW29,MATCH(AHZ26,AHN25:AHN29,0),0)</f>
        <v>1</v>
      </c>
      <c r="AIB26" s="319" t="str">
        <f t="shared" ref="AIB26" ca="1" si="8070">IF(AIB25&lt;&gt;"",AHZ26,"")</f>
        <v>Austria</v>
      </c>
      <c r="AIC26" s="319" t="str">
        <f t="shared" ref="AIC26" ca="1" si="8071">IF(AIC25&lt;&gt;"",AHZ27,"")</f>
        <v/>
      </c>
      <c r="AID26" s="319" t="str">
        <f t="shared" ref="AID26" ca="1" si="8072">IF(AID25&lt;&gt;"",AHZ28,"")</f>
        <v/>
      </c>
      <c r="AIE26" s="319" t="str">
        <f t="shared" ref="AIE26" si="8073">IF(AIE25&lt;&gt;"",AHZ29,"")</f>
        <v/>
      </c>
      <c r="AIF26" s="319"/>
      <c r="AIG26" s="319" t="str">
        <f t="shared" ca="1" si="7640"/>
        <v>Austria</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0</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0</v>
      </c>
      <c r="AIO26" s="319">
        <f t="shared" ref="AIO26" ca="1" si="8079">IF(AIG26&lt;&gt;"",VLOOKUP(AIG26,AHN4:AHT40,7,FALSE),"")</f>
        <v>1000</v>
      </c>
      <c r="AIP26" s="319">
        <f t="shared" ref="AIP26" ca="1" si="8080">IF(AIG26&lt;&gt;"",VLOOKUP(AIG26,AHN4:AHT40,5,FALSE),"")</f>
        <v>0</v>
      </c>
      <c r="AIQ26" s="319">
        <f t="shared" ref="AIQ26" ca="1" si="8081">IF(AIG26&lt;&gt;"",VLOOKUP(AIG26,AHN4:AHV40,9,FALSE),"")</f>
        <v>41</v>
      </c>
      <c r="AIR26" s="319">
        <f t="shared" ca="1" si="7651"/>
        <v>0</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2</v>
      </c>
      <c r="AIY26" s="319">
        <f ca="1">IF(AIG26&lt;&gt;"",IF(AIY66&lt;&gt;"",IF(AIF64=3,AIY66,AIY66+AIF64),SUM(AIS26:AIX26)),"")</f>
        <v>3</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
      </c>
      <c r="ALQ26" s="319" t="str">
        <f t="shared" ca="1" si="5720"/>
        <v/>
      </c>
      <c r="ALR26" s="319"/>
      <c r="ALS26" s="319"/>
      <c r="ALT26" s="324" t="s">
        <v>98</v>
      </c>
      <c r="ALU26" s="325" t="s">
        <v>100</v>
      </c>
      <c r="ALV26" s="325" t="s">
        <v>101</v>
      </c>
      <c r="ALW26" s="325" t="s">
        <v>102</v>
      </c>
      <c r="ALX26" s="324" t="s">
        <v>102</v>
      </c>
      <c r="ALY26" s="324" t="s">
        <v>101</v>
      </c>
      <c r="ALZ26" s="324" t="s">
        <v>100</v>
      </c>
      <c r="AMA26" s="324" t="s">
        <v>98</v>
      </c>
      <c r="AMB26" s="325"/>
      <c r="AMC26" s="326">
        <f t="shared" ref="AMC26" ca="1" si="8109">IFERROR(MATCH(AMC12,ALT26:ALW26,0),0)</f>
        <v>0</v>
      </c>
      <c r="AMD26" s="326">
        <f t="shared" ref="AMD26" ca="1" si="8110">IFERROR(MATCH(AMD12,ALT26:ALW26,0),0)</f>
        <v>2</v>
      </c>
      <c r="AME26" s="326">
        <f t="shared" ref="AME26" ca="1" si="8111">IFERROR(MATCH(AME12,ALT26:ALW26,0),0)</f>
        <v>1</v>
      </c>
      <c r="AMF26" s="326">
        <f t="shared" ref="AMF26" ca="1" si="8112">IFERROR(MATCH(AMF12,ALT26:ALW26,0),0)</f>
        <v>0</v>
      </c>
      <c r="AMG26" s="326">
        <f t="shared" ca="1" si="3896"/>
        <v>3</v>
      </c>
      <c r="AMH26" s="325" t="s">
        <v>99</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98</v>
      </c>
      <c r="AQS26" s="325" t="s">
        <v>100</v>
      </c>
      <c r="AQT26" s="325" t="s">
        <v>101</v>
      </c>
      <c r="AQU26" s="325" t="s">
        <v>102</v>
      </c>
      <c r="AQV26" s="324" t="s">
        <v>102</v>
      </c>
      <c r="AQW26" s="324" t="s">
        <v>101</v>
      </c>
      <c r="AQX26" s="324" t="s">
        <v>100</v>
      </c>
      <c r="AQY26" s="324" t="s">
        <v>98</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99</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98</v>
      </c>
      <c r="AVQ26" s="325" t="s">
        <v>100</v>
      </c>
      <c r="AVR26" s="325" t="s">
        <v>101</v>
      </c>
      <c r="AVS26" s="325" t="s">
        <v>102</v>
      </c>
      <c r="AVT26" s="324" t="s">
        <v>102</v>
      </c>
      <c r="AVU26" s="324" t="s">
        <v>101</v>
      </c>
      <c r="AVV26" s="324" t="s">
        <v>100</v>
      </c>
      <c r="AVW26" s="324" t="s">
        <v>98</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99</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98</v>
      </c>
      <c r="BAO26" s="325" t="s">
        <v>100</v>
      </c>
      <c r="BAP26" s="325" t="s">
        <v>101</v>
      </c>
      <c r="BAQ26" s="325" t="s">
        <v>102</v>
      </c>
      <c r="BAR26" s="324" t="s">
        <v>102</v>
      </c>
      <c r="BAS26" s="324" t="s">
        <v>101</v>
      </c>
      <c r="BAT26" s="324" t="s">
        <v>100</v>
      </c>
      <c r="BAU26" s="324" t="s">
        <v>98</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99</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98</v>
      </c>
      <c r="BFM26" s="325" t="s">
        <v>100</v>
      </c>
      <c r="BFN26" s="325" t="s">
        <v>101</v>
      </c>
      <c r="BFO26" s="325" t="s">
        <v>102</v>
      </c>
      <c r="BFP26" s="324" t="s">
        <v>102</v>
      </c>
      <c r="BFQ26" s="324" t="s">
        <v>101</v>
      </c>
      <c r="BFR26" s="324" t="s">
        <v>100</v>
      </c>
      <c r="BFS26" s="324" t="s">
        <v>98</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99</v>
      </c>
      <c r="BGA26" s="325" t="str">
        <f t="shared" ref="BGA26" ca="1" si="8329">VLOOKUP(1,BBE18:BBF21,2,FALSE)</f>
        <v>England</v>
      </c>
      <c r="BGB26" s="325">
        <f t="shared" ca="1" si="5439"/>
        <v>1</v>
      </c>
    </row>
    <row r="27" spans="1:1536" ht="13.8" x14ac:dyDescent="0.3">
      <c r="A27" s="319">
        <f>VLOOKUP(B27,CW25:CX29,2,FALSE)</f>
        <v>3</v>
      </c>
      <c r="B27" s="319" t="str">
        <f>'Language Table'!C7</f>
        <v>Austria</v>
      </c>
      <c r="C27" s="319">
        <f>SUMPRODUCT((CZ3:CZ42=B27)*(DD3:DD42="W"))+SUMPRODUCT((DC3:DC42=B27)*(DE3:DE42="W"))</f>
        <v>1</v>
      </c>
      <c r="D27" s="319">
        <f>SUMPRODUCT((CZ3:CZ42=B27)*(DD3:DD42="D"))+SUMPRODUCT((DC3:DC42=B27)*(DE3:DE42="D"))</f>
        <v>0</v>
      </c>
      <c r="E27" s="319">
        <f>SUMPRODUCT((CZ3:CZ42=B27)*(DD3:DD42="L"))+SUMPRODUCT((DC3:DC42=B27)*(DE3:DE42="L"))</f>
        <v>1</v>
      </c>
      <c r="F27" s="319">
        <f>SUMIF(CZ3:CZ60,B27,DA3:DA60)+SUMIF(DC3:DC60,B27,DB3:DB60)</f>
        <v>3</v>
      </c>
      <c r="G27" s="319">
        <f>SUMIF(DC3:DC60,B27,DA3:DA60)+SUMIF(CZ3:CZ60,B27,DB3:DB60)</f>
        <v>2</v>
      </c>
      <c r="H27" s="319">
        <f t="shared" si="7443"/>
        <v>1001</v>
      </c>
      <c r="I27" s="319">
        <f t="shared" si="7444"/>
        <v>3</v>
      </c>
      <c r="J27" s="319">
        <v>41</v>
      </c>
      <c r="K27" s="319">
        <f>IF(COUNTIF(I25:I29,4)&lt;&gt;4,RANK(I27,I25:I29),I67)</f>
        <v>3</v>
      </c>
      <c r="L27" s="319"/>
      <c r="M27" s="319">
        <f>SUMPRODUCT((K25:K28=K27)*(J25:J28&lt;J27))+K27</f>
        <v>3</v>
      </c>
      <c r="N27" s="319" t="str">
        <f>INDEX(B25:B29,MATCH(3,M25:M29,0),0)</f>
        <v>Austria</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Austria</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99</v>
      </c>
      <c r="DI27" s="325" t="s">
        <v>100</v>
      </c>
      <c r="DJ27" s="325" t="s">
        <v>101</v>
      </c>
      <c r="DK27" s="325" t="s">
        <v>102</v>
      </c>
      <c r="DL27" s="324" t="s">
        <v>102</v>
      </c>
      <c r="DM27" s="324" t="s">
        <v>101</v>
      </c>
      <c r="DN27" s="324" t="s">
        <v>100</v>
      </c>
      <c r="DO27" s="324" t="s">
        <v>99</v>
      </c>
      <c r="DP27" s="325"/>
      <c r="DQ27" s="326">
        <f>IFERROR(MATCH(DQ12,DH27:DK27,0),0)</f>
        <v>2</v>
      </c>
      <c r="DR27" s="326">
        <f>IFERROR(MATCH(DR12,DH27:DK27,0),0)</f>
        <v>3</v>
      </c>
      <c r="DS27" s="326">
        <f>IFERROR(MATCH(DS12,DH27:DK27,0),0)</f>
        <v>1</v>
      </c>
      <c r="DT27" s="326">
        <f>IFERROR(MATCH(DT12,DH27:DK27,0),0)</f>
        <v>0</v>
      </c>
      <c r="DU27" s="326">
        <f t="shared" si="3541"/>
        <v>6</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1</v>
      </c>
      <c r="EC27" s="319">
        <f ca="1">SUMPRODUCT((HX3:HX42=DZ27)*(IB3:IB42="L"))+SUMPRODUCT((IA3:IA42=DZ27)*(IC3:IC42="L"))</f>
        <v>2</v>
      </c>
      <c r="ED27" s="319">
        <f ca="1">SUMIF(HX3:HX60,DZ27,HY3:HY60)+SUMIF(IA3:IA60,DZ27,HZ3:HZ60)</f>
        <v>1</v>
      </c>
      <c r="EE27" s="319">
        <f ca="1">SUMIF(IA3:IA60,DZ27,HY3:HY60)+SUMIF(HX3:HX60,DZ27,HZ3:HZ60)</f>
        <v>4</v>
      </c>
      <c r="EF27" s="319">
        <f t="shared" ca="1" si="7447"/>
        <v>997</v>
      </c>
      <c r="EG27" s="319">
        <f t="shared" ca="1" si="7448"/>
        <v>1</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2</v>
      </c>
      <c r="IA27" s="319" t="str">
        <f t="shared" si="165"/>
        <v>Germany</v>
      </c>
      <c r="IB27" s="319" t="str">
        <f ca="1">IF(AND(OFFSET('Player Game Board'!P34,0,HY1)&lt;&gt;"",OFFSET('Player Game Board'!Q34,0,HY1)&lt;&gt;""),IF(HY27&gt;HZ27,"W",IF(HY27=HZ27,"D","L")),"")</f>
        <v>L</v>
      </c>
      <c r="IC27" s="319" t="str">
        <f t="shared" ca="1" si="166"/>
        <v>W</v>
      </c>
      <c r="ID27" s="319"/>
      <c r="IE27" s="319"/>
      <c r="IF27" s="324" t="s">
        <v>99</v>
      </c>
      <c r="IG27" s="325" t="s">
        <v>100</v>
      </c>
      <c r="IH27" s="325" t="s">
        <v>101</v>
      </c>
      <c r="II27" s="325" t="s">
        <v>102</v>
      </c>
      <c r="IJ27" s="324" t="s">
        <v>102</v>
      </c>
      <c r="IK27" s="324" t="s">
        <v>101</v>
      </c>
      <c r="IL27" s="324" t="s">
        <v>100</v>
      </c>
      <c r="IM27" s="324" t="s">
        <v>99</v>
      </c>
      <c r="IN27" s="325"/>
      <c r="IO27" s="326">
        <f ca="1">IFERROR(MATCH(IO12,IF27:II27,0),0)</f>
        <v>0</v>
      </c>
      <c r="IP27" s="326">
        <f ca="1">IFERROR(MATCH(IP12,IF27:II27,0),0)</f>
        <v>1</v>
      </c>
      <c r="IQ27" s="326">
        <f ca="1">IFERROR(MATCH(IQ12,IF27:II27,0),0)</f>
        <v>0</v>
      </c>
      <c r="IR27" s="326">
        <f ca="1">IFERROR(MATCH(IR12,IF27:II27,0),0)</f>
        <v>3</v>
      </c>
      <c r="IS27" s="326">
        <f t="shared" ca="1" si="3544"/>
        <v>4</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4</v>
      </c>
      <c r="JC27" s="319">
        <f ca="1">SUMIF(MY3:MY60,IX27,MW3:MW60)+SUMIF(MV3:MV60,IX27,MX3:MX60)</f>
        <v>7</v>
      </c>
      <c r="JD27" s="319">
        <f t="shared" ca="1" si="7451"/>
        <v>997</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2</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99</v>
      </c>
      <c r="NE27" s="325" t="s">
        <v>100</v>
      </c>
      <c r="NF27" s="325" t="s">
        <v>101</v>
      </c>
      <c r="NG27" s="325" t="s">
        <v>102</v>
      </c>
      <c r="NH27" s="324" t="s">
        <v>102</v>
      </c>
      <c r="NI27" s="324" t="s">
        <v>101</v>
      </c>
      <c r="NJ27" s="324" t="s">
        <v>100</v>
      </c>
      <c r="NK27" s="324" t="s">
        <v>99</v>
      </c>
      <c r="NL27" s="325"/>
      <c r="NM27" s="326">
        <f ca="1">IFERROR(MATCH(NM12,ND27:NG27,0),0)</f>
        <v>0</v>
      </c>
      <c r="NN27" s="326">
        <f ca="1">IFERROR(MATCH(NN12,ND27:NG27,0),0)</f>
        <v>4</v>
      </c>
      <c r="NO27" s="326">
        <f ca="1">IFERROR(MATCH(NO12,ND27:NG27,0),0)</f>
        <v>0</v>
      </c>
      <c r="NP27" s="326">
        <f ca="1">IFERROR(MATCH(NP12,ND27:NG27,0),0)</f>
        <v>2</v>
      </c>
      <c r="NQ27" s="326">
        <f t="shared" ca="1" si="3547"/>
        <v>6</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0</v>
      </c>
      <c r="NY27" s="319">
        <f t="shared" ref="NY27" ca="1" si="8339">SUMPRODUCT((RT3:RT42=NV27)*(RX3:RX42="L"))+SUMPRODUCT((RW3:RW42=NV27)*(RY3:RY42="L"))</f>
        <v>0</v>
      </c>
      <c r="NZ27" s="319">
        <f t="shared" ref="NZ27" ca="1" si="8340">SUMIF(RT3:RT60,NV27,RU3:RU60)+SUMIF(RW3:RW60,NV27,RV3:RV60)</f>
        <v>0</v>
      </c>
      <c r="OA27" s="319">
        <f t="shared" ref="OA27" ca="1" si="8341">SUMIF(RW3:RW60,NV27,RU3:RU60)+SUMIF(RT3:RT60,NV27,RV3:RV60)</f>
        <v>0</v>
      </c>
      <c r="OB27" s="319">
        <f t="shared" ca="1" si="7462"/>
        <v>1000</v>
      </c>
      <c r="OC27" s="319">
        <f t="shared" ca="1" si="7463"/>
        <v>0</v>
      </c>
      <c r="OD27" s="319">
        <f t="shared" si="630"/>
        <v>41</v>
      </c>
      <c r="OE27" s="319">
        <f t="shared" ref="OE27" ca="1" si="8342">IF(COUNTIF(OC25:OC29,4)&lt;&gt;4,RANK(OC27,OC25:OC29),OC67)</f>
        <v>1</v>
      </c>
      <c r="OF27" s="319"/>
      <c r="OG27" s="319">
        <f t="shared" ref="OG27" ca="1" si="8343">SUMPRODUCT((OE25:OE28=OE27)*(OD25:OD28&lt;OD27))+OE27</f>
        <v>2</v>
      </c>
      <c r="OH27" s="319" t="str">
        <f t="shared" ref="OH27" ca="1" si="8344">INDEX(NV25:NV29,MATCH(3,OG25:OG29,0),0)</f>
        <v>Netherlands</v>
      </c>
      <c r="OI27" s="319">
        <f t="shared" ref="OI27" ca="1" si="8345">INDEX(OE25:OE29,MATCH(OH27,NV25:NV29,0),0)</f>
        <v>1</v>
      </c>
      <c r="OJ27" s="319" t="str">
        <f t="shared" ref="OJ27:OJ28" ca="1" si="8346">IF(AND(OJ26&lt;&gt;"",OI27=1),OH27,"")</f>
        <v>Netherlands</v>
      </c>
      <c r="OK27" s="319" t="str">
        <f t="shared" ref="OK27:OK28" ca="1" si="8347">IF(AND(OK26&lt;&gt;"",OI28=2),OH28,"")</f>
        <v/>
      </c>
      <c r="OL27" s="319" t="str">
        <f t="shared" ref="OL27" ca="1" si="8348">IF(AND(OL26&lt;&gt;"",OI29=3),OH29,"")</f>
        <v/>
      </c>
      <c r="OM27" s="319"/>
      <c r="ON27" s="319"/>
      <c r="OO27" s="319" t="str">
        <f t="shared" ca="1" si="7472"/>
        <v>Netherlands</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f t="shared" ca="1" si="7479"/>
        <v>0</v>
      </c>
      <c r="OW27" s="319">
        <f t="shared" ref="OW27" ca="1" si="8354">IF(OO27&lt;&gt;"",VLOOKUP(OO27,NV4:OB40,7,FALSE),"")</f>
        <v>1000</v>
      </c>
      <c r="OX27" s="319">
        <f t="shared" ref="OX27" ca="1" si="8355">IF(OO27&lt;&gt;"",VLOOKUP(OO27,NV4:OB40,5,FALSE),"")</f>
        <v>0</v>
      </c>
      <c r="OY27" s="319">
        <f t="shared" ref="OY27" ca="1" si="8356">IF(OO27&lt;&gt;"",VLOOKUP(OO27,NV4:OD40,9,FALSE),"")</f>
        <v>42</v>
      </c>
      <c r="OZ27" s="319">
        <f t="shared" ca="1" si="7483"/>
        <v>0</v>
      </c>
      <c r="PA27" s="319">
        <f t="shared" ref="PA27" ca="1" si="8357">IF(OO27&lt;&gt;"",RANK(OZ27,OZ25:OZ29),"")</f>
        <v>1</v>
      </c>
      <c r="PB27" s="319">
        <f t="shared" ref="PB27" ca="1" si="8358">IF(OO27&lt;&gt;"",SUMPRODUCT((OZ25:OZ29=OZ27)*(OU25:OU29&gt;OU27)),"")</f>
        <v>0</v>
      </c>
      <c r="PC27" s="319">
        <f t="shared" ref="PC27" ca="1" si="8359">IF(OO27&lt;&gt;"",SUMPRODUCT((OZ25:OZ29=OZ27)*(OU25:OU29=OU27)*(OS25:OS29&gt;OS27)),"")</f>
        <v>0</v>
      </c>
      <c r="PD27" s="319">
        <f t="shared" ref="PD27" ca="1" si="8360">IF(OO27&lt;&gt;"",SUMPRODUCT((OZ25:OZ29=OZ27)*(OU25:OU29=OU27)*(OS25:OS29=OS27)*(OW25:OW29&gt;OW27)),"")</f>
        <v>0</v>
      </c>
      <c r="PE27" s="319">
        <f t="shared" ref="PE27" ca="1" si="8361">IF(OO27&lt;&gt;"",SUMPRODUCT((OZ25:OZ29=OZ27)*(OU25:OU29=OU27)*(OS25:OS29=OS27)*(OW25:OW29=OW27)*(OX25:OX29&gt;OX27)),"")</f>
        <v>0</v>
      </c>
      <c r="PF27" s="319">
        <f t="shared" ref="PF27" ca="1" si="8362">IF(OO27&lt;&gt;"",SUMPRODUCT((OZ25:OZ29=OZ27)*(OU25:OU29=OU27)*(OS25:OS29=OS27)*(OW25:OW29=OW27)*(OX25:OX29=OX27)*(OY25:OY29&gt;OY27)),"")</f>
        <v>1</v>
      </c>
      <c r="PG27" s="319">
        <f ca="1">IF(OO27&lt;&gt;"",IF(PG67&lt;&gt;"",IF(ON64=3,PG67,PG67+ON64),SUM(PA27:PF27)),"")</f>
        <v>2</v>
      </c>
      <c r="PH27" s="319" t="str">
        <f t="shared" ref="PH27" ca="1" si="8363">IF(OO27&lt;&gt;"",INDEX(OO25:OO29,MATCH(3,PG25:PG29,0),0),"")</f>
        <v>Austria</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0</v>
      </c>
      <c r="RW27" s="319" t="str">
        <f t="shared" si="19"/>
        <v>Germany</v>
      </c>
      <c r="RX27" s="319" t="str">
        <f ca="1">IF(AND(OFFSET('Player Game Board'!P34,0,RU1)&lt;&gt;"",OFFSET('Player Game Board'!Q34,0,RU1)&lt;&gt;""),IF(RU27&gt;RV27,"W",IF(RU27=RV27,"D","L")),"")</f>
        <v/>
      </c>
      <c r="RY27" s="319" t="str">
        <f t="shared" ca="1" si="5500"/>
        <v/>
      </c>
      <c r="RZ27" s="319"/>
      <c r="SA27" s="319"/>
      <c r="SB27" s="324" t="s">
        <v>99</v>
      </c>
      <c r="SC27" s="325" t="s">
        <v>100</v>
      </c>
      <c r="SD27" s="325" t="s">
        <v>101</v>
      </c>
      <c r="SE27" s="325" t="s">
        <v>102</v>
      </c>
      <c r="SF27" s="324" t="s">
        <v>102</v>
      </c>
      <c r="SG27" s="324" t="s">
        <v>101</v>
      </c>
      <c r="SH27" s="324" t="s">
        <v>100</v>
      </c>
      <c r="SI27" s="324" t="s">
        <v>99</v>
      </c>
      <c r="SJ27" s="325"/>
      <c r="SK27" s="326">
        <f t="shared" ref="SK27" ca="1" si="8400">IFERROR(MATCH(SK12,SB27:SE27,0),0)</f>
        <v>0</v>
      </c>
      <c r="SL27" s="326">
        <f t="shared" ref="SL27" ca="1" si="8401">IFERROR(MATCH(SL12,SB27:SE27,0),0)</f>
        <v>2</v>
      </c>
      <c r="SM27" s="326">
        <f t="shared" ref="SM27" ca="1" si="8402">IFERROR(MATCH(SM12,SB27:SE27,0),0)</f>
        <v>0</v>
      </c>
      <c r="SN27" s="326">
        <f t="shared" ref="SN27" ca="1" si="8403">IFERROR(MATCH(SN12,SB27:SE27,0),0)</f>
        <v>1</v>
      </c>
      <c r="SO27" s="326">
        <f t="shared" ca="1" si="3616"/>
        <v>3</v>
      </c>
      <c r="SP27" s="319"/>
      <c r="SQ27" s="319" t="str">
        <f t="shared" ref="SQ27" ca="1" si="8404">VLOOKUP(2,NU18:NV21,2,FALSE)</f>
        <v>Denmark</v>
      </c>
      <c r="SR27" s="325">
        <f t="shared" ca="1" si="5095"/>
        <v>1</v>
      </c>
      <c r="SS27" s="319">
        <f t="shared" ref="SS27" ca="1" si="8405">VLOOKUP(ST27,WO25:WP29,2,FALSE)</f>
        <v>3</v>
      </c>
      <c r="ST27" s="319" t="str">
        <f t="shared" si="7498"/>
        <v>Austria</v>
      </c>
      <c r="SU27" s="319">
        <f t="shared" ref="SU27" ca="1" si="8406">SUMPRODUCT((WR3:WR42=ST27)*(WV3:WV42="W"))+SUMPRODUCT((WU3:WU42=ST27)*(WW3:WW42="W"))</f>
        <v>0</v>
      </c>
      <c r="SV27" s="319">
        <f t="shared" ref="SV27" ca="1" si="8407">SUMPRODUCT((WR3:WR42=ST27)*(WV3:WV42="D"))+SUMPRODUCT((WU3:WU42=ST27)*(WW3:WW42="D"))</f>
        <v>0</v>
      </c>
      <c r="SW27" s="319">
        <f t="shared" ref="SW27" ca="1" si="8408">SUMPRODUCT((WR3:WR42=ST27)*(WV3:WV42="L"))+SUMPRODUCT((WU3:WU42=ST27)*(WW3:WW42="L"))</f>
        <v>0</v>
      </c>
      <c r="SX27" s="319">
        <f t="shared" ref="SX27" ca="1" si="8409">SUMIF(WR3:WR60,ST27,WS3:WS60)+SUMIF(WU3:WU60,ST27,WT3:WT60)</f>
        <v>0</v>
      </c>
      <c r="SY27" s="319">
        <f t="shared" ref="SY27" ca="1" si="8410">SUMIF(WU3:WU60,ST27,WS3:WS60)+SUMIF(WR3:WR60,ST27,WT3:WT60)</f>
        <v>0</v>
      </c>
      <c r="SZ27" s="319">
        <f t="shared" ca="1" si="7504"/>
        <v>1000</v>
      </c>
      <c r="TA27" s="319">
        <f t="shared" ca="1" si="7505"/>
        <v>0</v>
      </c>
      <c r="TB27" s="319">
        <f t="shared" si="690"/>
        <v>41</v>
      </c>
      <c r="TC27" s="319">
        <f t="shared" ref="TC27" ca="1" si="8411">IF(COUNTIF(TA25:TA29,4)&lt;&gt;4,RANK(TA27,TA25:TA29),TA67)</f>
        <v>1</v>
      </c>
      <c r="TD27" s="319"/>
      <c r="TE27" s="319">
        <f t="shared" ref="TE27" ca="1" si="8412">SUMPRODUCT((TC25:TC28=TC27)*(TB25:TB28&lt;TB27))+TC27</f>
        <v>2</v>
      </c>
      <c r="TF27" s="319" t="str">
        <f t="shared" ref="TF27" ca="1" si="8413">INDEX(ST25:ST29,MATCH(3,TE25:TE29,0),0)</f>
        <v>Netherlands</v>
      </c>
      <c r="TG27" s="319">
        <f t="shared" ref="TG27" ca="1" si="8414">INDEX(TC25:TC29,MATCH(TF27,ST25:ST29,0),0)</f>
        <v>1</v>
      </c>
      <c r="TH27" s="319" t="str">
        <f t="shared" ref="TH27:TH28" ca="1" si="8415">IF(AND(TH26&lt;&gt;"",TG27=1),TF27,"")</f>
        <v>Netherlands</v>
      </c>
      <c r="TI27" s="319" t="str">
        <f t="shared" ref="TI27:TI28" ca="1" si="8416">IF(AND(TI26&lt;&gt;"",TG28=2),TF28,"")</f>
        <v/>
      </c>
      <c r="TJ27" s="319" t="str">
        <f t="shared" ref="TJ27" ca="1" si="8417">IF(AND(TJ26&lt;&gt;"",TG29=3),TF29,"")</f>
        <v/>
      </c>
      <c r="TK27" s="319"/>
      <c r="TL27" s="319"/>
      <c r="TM27" s="319" t="str">
        <f t="shared" ca="1" si="7514"/>
        <v>Netherlands</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f t="shared" ca="1" si="7521"/>
        <v>0</v>
      </c>
      <c r="TU27" s="319">
        <f t="shared" ref="TU27" ca="1" si="8423">IF(TM27&lt;&gt;"",VLOOKUP(TM27,ST4:SZ40,7,FALSE),"")</f>
        <v>1000</v>
      </c>
      <c r="TV27" s="319">
        <f t="shared" ref="TV27" ca="1" si="8424">IF(TM27&lt;&gt;"",VLOOKUP(TM27,ST4:SZ40,5,FALSE),"")</f>
        <v>0</v>
      </c>
      <c r="TW27" s="319">
        <f t="shared" ref="TW27" ca="1" si="8425">IF(TM27&lt;&gt;"",VLOOKUP(TM27,ST4:TB40,9,FALSE),"")</f>
        <v>42</v>
      </c>
      <c r="TX27" s="319">
        <f t="shared" ca="1" si="7525"/>
        <v>0</v>
      </c>
      <c r="TY27" s="319">
        <f t="shared" ref="TY27" ca="1" si="8426">IF(TM27&lt;&gt;"",RANK(TX27,TX25:TX29),"")</f>
        <v>1</v>
      </c>
      <c r="TZ27" s="319">
        <f t="shared" ref="TZ27" ca="1" si="8427">IF(TM27&lt;&gt;"",SUMPRODUCT((TX25:TX29=TX27)*(TS25:TS29&gt;TS27)),"")</f>
        <v>0</v>
      </c>
      <c r="UA27" s="319">
        <f t="shared" ref="UA27" ca="1" si="8428">IF(TM27&lt;&gt;"",SUMPRODUCT((TX25:TX29=TX27)*(TS25:TS29=TS27)*(TQ25:TQ29&gt;TQ27)),"")</f>
        <v>0</v>
      </c>
      <c r="UB27" s="319">
        <f t="shared" ref="UB27" ca="1" si="8429">IF(TM27&lt;&gt;"",SUMPRODUCT((TX25:TX29=TX27)*(TS25:TS29=TS27)*(TQ25:TQ29=TQ27)*(TU25:TU29&gt;TU27)),"")</f>
        <v>0</v>
      </c>
      <c r="UC27" s="319">
        <f t="shared" ref="UC27" ca="1" si="8430">IF(TM27&lt;&gt;"",SUMPRODUCT((TX25:TX29=TX27)*(TS25:TS29=TS27)*(TQ25:TQ29=TQ27)*(TU25:TU29=TU27)*(TV25:TV29&gt;TV27)),"")</f>
        <v>0</v>
      </c>
      <c r="UD27" s="319">
        <f t="shared" ref="UD27" ca="1" si="8431">IF(TM27&lt;&gt;"",SUMPRODUCT((TX25:TX29=TX27)*(TS25:TS29=TS27)*(TQ25:TQ29=TQ27)*(TU25:TU29=TU27)*(TV25:TV29=TV27)*(TW25:TW29&gt;TW27)),"")</f>
        <v>1</v>
      </c>
      <c r="UE27" s="319">
        <f ca="1">IF(TM27&lt;&gt;"",IF(UE67&lt;&gt;"",IF(TL64=3,UE67,UE67+TL64),SUM(TY27:UD27)),"")</f>
        <v>2</v>
      </c>
      <c r="UF27" s="319" t="str">
        <f t="shared" ref="UF27" ca="1" si="8432">IF(TM27&lt;&gt;"",INDEX(TM25:TM29,MATCH(3,UE25:UE29,0),0),"")</f>
        <v>Austria</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Austria</v>
      </c>
      <c r="WP27" s="319">
        <v>3</v>
      </c>
      <c r="WQ27" s="319">
        <v>25</v>
      </c>
      <c r="WR27" s="319" t="str">
        <f t="shared" si="34"/>
        <v>Switzerland</v>
      </c>
      <c r="WS27" s="322">
        <f ca="1">IF(OFFSET('Player Game Board'!P34,0,WS1)&lt;&gt;"",OFFSET('Player Game Board'!P34,0,WS1),0)</f>
        <v>0</v>
      </c>
      <c r="WT27" s="322">
        <f ca="1">IF(OFFSET('Player Game Board'!Q34,0,WS1)&lt;&gt;"",OFFSET('Player Game Board'!Q34,0,WS1),0)</f>
        <v>0</v>
      </c>
      <c r="WU27" s="319" t="str">
        <f t="shared" si="35"/>
        <v>Germany</v>
      </c>
      <c r="WV27" s="319" t="str">
        <f ca="1">IF(AND(OFFSET('Player Game Board'!P34,0,WS1)&lt;&gt;"",OFFSET('Player Game Board'!Q34,0,WS1)&lt;&gt;""),IF(WS27&gt;WT27,"W",IF(WS27=WT27,"D","L")),"")</f>
        <v/>
      </c>
      <c r="WW27" s="319" t="str">
        <f t="shared" ca="1" si="5555"/>
        <v/>
      </c>
      <c r="WX27" s="319"/>
      <c r="WY27" s="319"/>
      <c r="WZ27" s="324" t="s">
        <v>99</v>
      </c>
      <c r="XA27" s="325" t="s">
        <v>100</v>
      </c>
      <c r="XB27" s="325" t="s">
        <v>101</v>
      </c>
      <c r="XC27" s="325" t="s">
        <v>102</v>
      </c>
      <c r="XD27" s="324" t="s">
        <v>102</v>
      </c>
      <c r="XE27" s="324" t="s">
        <v>101</v>
      </c>
      <c r="XF27" s="324" t="s">
        <v>100</v>
      </c>
      <c r="XG27" s="324" t="s">
        <v>99</v>
      </c>
      <c r="XH27" s="325"/>
      <c r="XI27" s="326">
        <f t="shared" ref="XI27" ca="1" si="8469">IFERROR(MATCH(XI12,WZ27:XC27,0),0)</f>
        <v>0</v>
      </c>
      <c r="XJ27" s="326">
        <f t="shared" ref="XJ27" ca="1" si="8470">IFERROR(MATCH(XJ12,WZ27:XC27,0),0)</f>
        <v>2</v>
      </c>
      <c r="XK27" s="326">
        <f t="shared" ref="XK27" ca="1" si="8471">IFERROR(MATCH(XK12,WZ27:XC27,0),0)</f>
        <v>0</v>
      </c>
      <c r="XL27" s="326">
        <f t="shared" ref="XL27" ca="1" si="8472">IFERROR(MATCH(XL12,WZ27:XC27,0),0)</f>
        <v>1</v>
      </c>
      <c r="XM27" s="326">
        <f t="shared" ca="1" si="3686"/>
        <v>3</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99</v>
      </c>
      <c r="ABY27" s="325" t="s">
        <v>100</v>
      </c>
      <c r="ABZ27" s="325" t="s">
        <v>101</v>
      </c>
      <c r="ACA27" s="325" t="s">
        <v>102</v>
      </c>
      <c r="ACB27" s="324" t="s">
        <v>102</v>
      </c>
      <c r="ACC27" s="324" t="s">
        <v>101</v>
      </c>
      <c r="ACD27" s="324" t="s">
        <v>100</v>
      </c>
      <c r="ACE27" s="324" t="s">
        <v>99</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0</v>
      </c>
      <c r="ACT27" s="319">
        <f t="shared" ref="ACT27" ca="1" si="8547">SUMIF(AGN3:AGN60,ACP27,AGO3:AGO60)+SUMIF(AGQ3:AGQ60,ACP27,AGP3:AGP60)</f>
        <v>0</v>
      </c>
      <c r="ACU27" s="319">
        <f t="shared" ref="ACU27" ca="1" si="8548">SUMIF(AGQ3:AGQ60,ACP27,AGO3:AGO60)+SUMIF(AGN3:AGN60,ACP27,AGP3:AGP60)</f>
        <v>0</v>
      </c>
      <c r="ACV27" s="319">
        <f t="shared" ca="1" si="7588"/>
        <v>1000</v>
      </c>
      <c r="ACW27" s="319">
        <f t="shared" ca="1" si="7589"/>
        <v>0</v>
      </c>
      <c r="ACX27" s="319">
        <f t="shared" si="810"/>
        <v>41</v>
      </c>
      <c r="ACY27" s="319">
        <f t="shared" ref="ACY27" ca="1" si="8549">IF(COUNTIF(ACW25:ACW29,4)&lt;&gt;4,RANK(ACW27,ACW25:ACW29),ACW67)</f>
        <v>1</v>
      </c>
      <c r="ACZ27" s="319"/>
      <c r="ADA27" s="319">
        <f t="shared" ref="ADA27" ca="1" si="8550">SUMPRODUCT((ACY25:ACY28=ACY27)*(ACX25:ACX28&lt;ACX27))+ACY27</f>
        <v>2</v>
      </c>
      <c r="ADB27" s="319" t="str">
        <f t="shared" ref="ADB27" ca="1" si="8551">INDEX(ACP25:ACP29,MATCH(3,ADA25:ADA29,0),0)</f>
        <v>Netherlands</v>
      </c>
      <c r="ADC27" s="319">
        <f t="shared" ref="ADC27" ca="1" si="8552">INDEX(ACY25:ACY29,MATCH(ADB27,ACP25:ACP29,0),0)</f>
        <v>1</v>
      </c>
      <c r="ADD27" s="319" t="str">
        <f t="shared" ref="ADD27:ADD28" ca="1" si="8553">IF(AND(ADD26&lt;&gt;"",ADC27=1),ADB27,"")</f>
        <v>Netherlands</v>
      </c>
      <c r="ADE27" s="319" t="str">
        <f t="shared" ref="ADE27:ADE28" ca="1" si="8554">IF(AND(ADE26&lt;&gt;"",ADC28=2),ADB28,"")</f>
        <v/>
      </c>
      <c r="ADF27" s="319" t="str">
        <f t="shared" ref="ADF27" ca="1" si="8555">IF(AND(ADF26&lt;&gt;"",ADC29=3),ADB29,"")</f>
        <v/>
      </c>
      <c r="ADG27" s="319"/>
      <c r="ADH27" s="319"/>
      <c r="ADI27" s="319" t="str">
        <f t="shared" ca="1" si="7598"/>
        <v>Netherlands</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f t="shared" ca="1" si="7605"/>
        <v>0</v>
      </c>
      <c r="ADQ27" s="319">
        <f t="shared" ref="ADQ27" ca="1" si="8561">IF(ADI27&lt;&gt;"",VLOOKUP(ADI27,ACP4:ACV40,7,FALSE),"")</f>
        <v>1000</v>
      </c>
      <c r="ADR27" s="319">
        <f t="shared" ref="ADR27" ca="1" si="8562">IF(ADI27&lt;&gt;"",VLOOKUP(ADI27,ACP4:ACV40,5,FALSE),"")</f>
        <v>0</v>
      </c>
      <c r="ADS27" s="319">
        <f t="shared" ref="ADS27" ca="1" si="8563">IF(ADI27&lt;&gt;"",VLOOKUP(ADI27,ACP4:ACX40,9,FALSE),"")</f>
        <v>42</v>
      </c>
      <c r="ADT27" s="319">
        <f t="shared" ca="1" si="7609"/>
        <v>0</v>
      </c>
      <c r="ADU27" s="319">
        <f t="shared" ref="ADU27" ca="1" si="8564">IF(ADI27&lt;&gt;"",RANK(ADT27,ADT25:ADT29),"")</f>
        <v>1</v>
      </c>
      <c r="ADV27" s="319">
        <f t="shared" ref="ADV27" ca="1" si="8565">IF(ADI27&lt;&gt;"",SUMPRODUCT((ADT25:ADT29=ADT27)*(ADO25:ADO29&gt;ADO27)),"")</f>
        <v>0</v>
      </c>
      <c r="ADW27" s="319">
        <f t="shared" ref="ADW27" ca="1" si="8566">IF(ADI27&lt;&gt;"",SUMPRODUCT((ADT25:ADT29=ADT27)*(ADO25:ADO29=ADO27)*(ADM25:ADM29&gt;ADM27)),"")</f>
        <v>0</v>
      </c>
      <c r="ADX27" s="319">
        <f t="shared" ref="ADX27" ca="1" si="8567">IF(ADI27&lt;&gt;"",SUMPRODUCT((ADT25:ADT29=ADT27)*(ADO25:ADO29=ADO27)*(ADM25:ADM29=ADM27)*(ADQ25:ADQ29&gt;ADQ27)),"")</f>
        <v>0</v>
      </c>
      <c r="ADY27" s="319">
        <f t="shared" ref="ADY27" ca="1" si="8568">IF(ADI27&lt;&gt;"",SUMPRODUCT((ADT25:ADT29=ADT27)*(ADO25:ADO29=ADO27)*(ADM25:ADM29=ADM27)*(ADQ25:ADQ29=ADQ27)*(ADR25:ADR29&gt;ADR27)),"")</f>
        <v>0</v>
      </c>
      <c r="ADZ27" s="319">
        <f t="shared" ref="ADZ27" ca="1" si="8569">IF(ADI27&lt;&gt;"",SUMPRODUCT((ADT25:ADT29=ADT27)*(ADO25:ADO29=ADO27)*(ADM25:ADM29=ADM27)*(ADQ25:ADQ29=ADQ27)*(ADR25:ADR29=ADR27)*(ADS25:ADS29&gt;ADS27)),"")</f>
        <v>1</v>
      </c>
      <c r="AEA27" s="319">
        <f ca="1">IF(ADI27&lt;&gt;"",IF(AEA67&lt;&gt;"",IF(ADH64=3,AEA67,AEA67+ADH64),SUM(ADU27:ADZ27)),"")</f>
        <v>2</v>
      </c>
      <c r="AEB27" s="319" t="str">
        <f t="shared" ref="AEB27" ca="1" si="8570">IF(ADI27&lt;&gt;"",INDEX(ADI25:ADI29,MATCH(3,AEA25:AEA29,0),0),"")</f>
        <v>Austria</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0</v>
      </c>
      <c r="AGP27" s="322">
        <f ca="1">IF(OFFSET('Player Game Board'!Q34,0,AGO1)&lt;&gt;"",OFFSET('Player Game Board'!Q34,0,AGO1),0)</f>
        <v>0</v>
      </c>
      <c r="AGQ27" s="319" t="str">
        <f t="shared" si="67"/>
        <v>Germany</v>
      </c>
      <c r="AGR27" s="319" t="str">
        <f ca="1">IF(AND(OFFSET('Player Game Board'!P34,0,AGO1)&lt;&gt;"",OFFSET('Player Game Board'!Q34,0,AGO1)&lt;&gt;""),IF(AGO27&gt;AGP27,"W",IF(AGO27=AGP27,"D","L")),"")</f>
        <v/>
      </c>
      <c r="AGS27" s="319" t="str">
        <f t="shared" ca="1" si="5665"/>
        <v/>
      </c>
      <c r="AGT27" s="319"/>
      <c r="AGU27" s="319"/>
      <c r="AGV27" s="324" t="s">
        <v>99</v>
      </c>
      <c r="AGW27" s="325" t="s">
        <v>100</v>
      </c>
      <c r="AGX27" s="325" t="s">
        <v>101</v>
      </c>
      <c r="AGY27" s="325" t="s">
        <v>102</v>
      </c>
      <c r="AGZ27" s="324" t="s">
        <v>102</v>
      </c>
      <c r="AHA27" s="324" t="s">
        <v>101</v>
      </c>
      <c r="AHB27" s="324" t="s">
        <v>100</v>
      </c>
      <c r="AHC27" s="324" t="s">
        <v>99</v>
      </c>
      <c r="AHD27" s="325"/>
      <c r="AHE27" s="326">
        <f t="shared" ref="AHE27" ca="1" si="8607">IFERROR(MATCH(AHE12,AGV27:AGY27,0),0)</f>
        <v>0</v>
      </c>
      <c r="AHF27" s="326">
        <f t="shared" ref="AHF27" ca="1" si="8608">IFERROR(MATCH(AHF12,AGV27:AGY27,0),0)</f>
        <v>2</v>
      </c>
      <c r="AHG27" s="326">
        <f t="shared" ref="AHG27" ca="1" si="8609">IFERROR(MATCH(AHG12,AGV27:AGY27,0),0)</f>
        <v>0</v>
      </c>
      <c r="AHH27" s="326">
        <f t="shared" ref="AHH27" ca="1" si="8610">IFERROR(MATCH(AHH12,AGV27:AGY27,0),0)</f>
        <v>1</v>
      </c>
      <c r="AHI27" s="326">
        <f t="shared" ca="1" si="3826"/>
        <v>3</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0</v>
      </c>
      <c r="AHQ27" s="319">
        <f t="shared" ref="AHQ27" ca="1" si="8615">SUMPRODUCT((ALL3:ALL42=AHN27)*(ALP3:ALP42="L"))+SUMPRODUCT((ALO3:ALO42=AHN27)*(ALQ3:ALQ42="L"))</f>
        <v>0</v>
      </c>
      <c r="AHR27" s="319">
        <f t="shared" ref="AHR27" ca="1" si="8616">SUMIF(ALL3:ALL60,AHN27,ALM3:ALM60)+SUMIF(ALO3:ALO60,AHN27,ALN3:ALN60)</f>
        <v>0</v>
      </c>
      <c r="AHS27" s="319">
        <f t="shared" ref="AHS27" ca="1" si="8617">SUMIF(ALO3:ALO60,AHN27,ALM3:ALM60)+SUMIF(ALL3:ALL60,AHN27,ALN3:ALN60)</f>
        <v>0</v>
      </c>
      <c r="AHT27" s="319">
        <f t="shared" ca="1" si="7630"/>
        <v>1000</v>
      </c>
      <c r="AHU27" s="319">
        <f t="shared" ca="1" si="7631"/>
        <v>0</v>
      </c>
      <c r="AHV27" s="319">
        <f t="shared" si="870"/>
        <v>41</v>
      </c>
      <c r="AHW27" s="319">
        <f t="shared" ref="AHW27" ca="1" si="8618">IF(COUNTIF(AHU25:AHU29,4)&lt;&gt;4,RANK(AHU27,AHU25:AHU29),AHU67)</f>
        <v>1</v>
      </c>
      <c r="AHX27" s="319"/>
      <c r="AHY27" s="319">
        <f t="shared" ref="AHY27" ca="1" si="8619">SUMPRODUCT((AHW25:AHW28=AHW27)*(AHV25:AHV28&lt;AHV27))+AHW27</f>
        <v>2</v>
      </c>
      <c r="AHZ27" s="319" t="str">
        <f t="shared" ref="AHZ27" ca="1" si="8620">INDEX(AHN25:AHN29,MATCH(3,AHY25:AHY29,0),0)</f>
        <v>Netherlands</v>
      </c>
      <c r="AIA27" s="319">
        <f t="shared" ref="AIA27" ca="1" si="8621">INDEX(AHW25:AHW29,MATCH(AHZ27,AHN25:AHN29,0),0)</f>
        <v>1</v>
      </c>
      <c r="AIB27" s="319" t="str">
        <f t="shared" ref="AIB27:AIB28" ca="1" si="8622">IF(AND(AIB26&lt;&gt;"",AIA27=1),AHZ27,"")</f>
        <v>Netherlands</v>
      </c>
      <c r="AIC27" s="319" t="str">
        <f t="shared" ref="AIC27:AIC28" ca="1" si="8623">IF(AND(AIC26&lt;&gt;"",AIA28=2),AHZ28,"")</f>
        <v/>
      </c>
      <c r="AID27" s="319" t="str">
        <f t="shared" ref="AID27" ca="1" si="8624">IF(AND(AID26&lt;&gt;"",AIA29=3),AHZ29,"")</f>
        <v/>
      </c>
      <c r="AIE27" s="319"/>
      <c r="AIF27" s="319"/>
      <c r="AIG27" s="319" t="str">
        <f t="shared" ca="1" si="7640"/>
        <v>Netherlands</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f t="shared" ca="1" si="7647"/>
        <v>0</v>
      </c>
      <c r="AIO27" s="319">
        <f t="shared" ref="AIO27" ca="1" si="8630">IF(AIG27&lt;&gt;"",VLOOKUP(AIG27,AHN4:AHT40,7,FALSE),"")</f>
        <v>1000</v>
      </c>
      <c r="AIP27" s="319">
        <f t="shared" ref="AIP27" ca="1" si="8631">IF(AIG27&lt;&gt;"",VLOOKUP(AIG27,AHN4:AHT40,5,FALSE),"")</f>
        <v>0</v>
      </c>
      <c r="AIQ27" s="319">
        <f t="shared" ref="AIQ27" ca="1" si="8632">IF(AIG27&lt;&gt;"",VLOOKUP(AIG27,AHN4:AHV40,9,FALSE),"")</f>
        <v>42</v>
      </c>
      <c r="AIR27" s="319">
        <f t="shared" ca="1" si="7651"/>
        <v>0</v>
      </c>
      <c r="AIS27" s="319">
        <f t="shared" ref="AIS27" ca="1" si="8633">IF(AIG27&lt;&gt;"",RANK(AIR27,AIR25:AIR29),"")</f>
        <v>1</v>
      </c>
      <c r="AIT27" s="319">
        <f t="shared" ref="AIT27" ca="1" si="8634">IF(AIG27&lt;&gt;"",SUMPRODUCT((AIR25:AIR29=AIR27)*(AIM25:AIM29&gt;AIM27)),"")</f>
        <v>0</v>
      </c>
      <c r="AIU27" s="319">
        <f t="shared" ref="AIU27" ca="1" si="8635">IF(AIG27&lt;&gt;"",SUMPRODUCT((AIR25:AIR29=AIR27)*(AIM25:AIM29=AIM27)*(AIK25:AIK29&gt;AIK27)),"")</f>
        <v>0</v>
      </c>
      <c r="AIV27" s="319">
        <f t="shared" ref="AIV27" ca="1" si="8636">IF(AIG27&lt;&gt;"",SUMPRODUCT((AIR25:AIR29=AIR27)*(AIM25:AIM29=AIM27)*(AIK25:AIK29=AIK27)*(AIO25:AIO29&gt;AIO27)),"")</f>
        <v>0</v>
      </c>
      <c r="AIW27" s="319">
        <f t="shared" ref="AIW27" ca="1" si="8637">IF(AIG27&lt;&gt;"",SUMPRODUCT((AIR25:AIR29=AIR27)*(AIM25:AIM29=AIM27)*(AIK25:AIK29=AIK27)*(AIO25:AIO29=AIO27)*(AIP25:AIP29&gt;AIP27)),"")</f>
        <v>0</v>
      </c>
      <c r="AIX27" s="319">
        <f t="shared" ref="AIX27" ca="1" si="8638">IF(AIG27&lt;&gt;"",SUMPRODUCT((AIR25:AIR29=AIR27)*(AIM25:AIM29=AIM27)*(AIK25:AIK29=AIK27)*(AIO25:AIO29=AIO27)*(AIP25:AIP29=AIP27)*(AIQ25:AIQ29&gt;AIQ27)),"")</f>
        <v>1</v>
      </c>
      <c r="AIY27" s="319">
        <f ca="1">IF(AIG27&lt;&gt;"",IF(AIY67&lt;&gt;"",IF(AIF64=3,AIY67,AIY67+AIF64),SUM(AIS27:AIX27)),"")</f>
        <v>2</v>
      </c>
      <c r="AIZ27" s="319" t="str">
        <f t="shared" ref="AIZ27" ca="1" si="8639">IF(AIG27&lt;&gt;"",INDEX(AIG25:AIG29,MATCH(3,AIY25:AIY29,0),0),"")</f>
        <v>Austria</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0</v>
      </c>
      <c r="ALO27" s="319" t="str">
        <f t="shared" si="83"/>
        <v>Germany</v>
      </c>
      <c r="ALP27" s="319" t="str">
        <f ca="1">IF(AND(OFFSET('Player Game Board'!P34,0,ALM1)&lt;&gt;"",OFFSET('Player Game Board'!Q34,0,ALM1)&lt;&gt;""),IF(ALM27&gt;ALN27,"W",IF(ALM27=ALN27,"D","L")),"")</f>
        <v/>
      </c>
      <c r="ALQ27" s="319" t="str">
        <f t="shared" ca="1" si="5720"/>
        <v/>
      </c>
      <c r="ALR27" s="319"/>
      <c r="ALS27" s="319"/>
      <c r="ALT27" s="324" t="s">
        <v>99</v>
      </c>
      <c r="ALU27" s="325" t="s">
        <v>100</v>
      </c>
      <c r="ALV27" s="325" t="s">
        <v>101</v>
      </c>
      <c r="ALW27" s="325" t="s">
        <v>102</v>
      </c>
      <c r="ALX27" s="324" t="s">
        <v>102</v>
      </c>
      <c r="ALY27" s="324" t="s">
        <v>101</v>
      </c>
      <c r="ALZ27" s="324" t="s">
        <v>100</v>
      </c>
      <c r="AMA27" s="324" t="s">
        <v>99</v>
      </c>
      <c r="AMB27" s="325"/>
      <c r="AMC27" s="326">
        <f t="shared" ref="AMC27" ca="1" si="8676">IFERROR(MATCH(AMC12,ALT27:ALW27,0),0)</f>
        <v>0</v>
      </c>
      <c r="AMD27" s="326">
        <f t="shared" ref="AMD27" ca="1" si="8677">IFERROR(MATCH(AMD12,ALT27:ALW27,0),0)</f>
        <v>2</v>
      </c>
      <c r="AME27" s="326">
        <f t="shared" ref="AME27" ca="1" si="8678">IFERROR(MATCH(AME12,ALT27:ALW27,0),0)</f>
        <v>0</v>
      </c>
      <c r="AMF27" s="326">
        <f t="shared" ref="AMF27" ca="1" si="8679">IFERROR(MATCH(AMF12,ALT27:ALW27,0),0)</f>
        <v>1</v>
      </c>
      <c r="AMG27" s="326">
        <f t="shared" ca="1" si="3896"/>
        <v>3</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99</v>
      </c>
      <c r="AQS27" s="325" t="s">
        <v>100</v>
      </c>
      <c r="AQT27" s="325" t="s">
        <v>101</v>
      </c>
      <c r="AQU27" s="325" t="s">
        <v>102</v>
      </c>
      <c r="AQV27" s="324" t="s">
        <v>102</v>
      </c>
      <c r="AQW27" s="324" t="s">
        <v>101</v>
      </c>
      <c r="AQX27" s="324" t="s">
        <v>100</v>
      </c>
      <c r="AQY27" s="324" t="s">
        <v>99</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99</v>
      </c>
      <c r="AVQ27" s="325" t="s">
        <v>100</v>
      </c>
      <c r="AVR27" s="325" t="s">
        <v>101</v>
      </c>
      <c r="AVS27" s="325" t="s">
        <v>102</v>
      </c>
      <c r="AVT27" s="324" t="s">
        <v>102</v>
      </c>
      <c r="AVU27" s="324" t="s">
        <v>101</v>
      </c>
      <c r="AVV27" s="324" t="s">
        <v>100</v>
      </c>
      <c r="AVW27" s="324" t="s">
        <v>99</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99</v>
      </c>
      <c r="BAO27" s="325" t="s">
        <v>100</v>
      </c>
      <c r="BAP27" s="325" t="s">
        <v>101</v>
      </c>
      <c r="BAQ27" s="325" t="s">
        <v>102</v>
      </c>
      <c r="BAR27" s="324" t="s">
        <v>102</v>
      </c>
      <c r="BAS27" s="324" t="s">
        <v>101</v>
      </c>
      <c r="BAT27" s="324" t="s">
        <v>100</v>
      </c>
      <c r="BAU27" s="324" t="s">
        <v>99</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99</v>
      </c>
      <c r="BFM27" s="325" t="s">
        <v>100</v>
      </c>
      <c r="BFN27" s="325" t="s">
        <v>101</v>
      </c>
      <c r="BFO27" s="325" t="s">
        <v>102</v>
      </c>
      <c r="BFP27" s="324" t="s">
        <v>102</v>
      </c>
      <c r="BFQ27" s="324" t="s">
        <v>101</v>
      </c>
      <c r="BFR27" s="324" t="s">
        <v>100</v>
      </c>
      <c r="BFS27" s="324" t="s">
        <v>99</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1</v>
      </c>
      <c r="E28" s="319">
        <f>SUMPRODUCT((CZ3:CZ42=B28)*(DD3:DD42="L"))+SUMPRODUCT((DC3:DC42=B28)*(DE3:DE42="L"))</f>
        <v>0</v>
      </c>
      <c r="F28" s="319">
        <f>SUMIF(CZ3:CZ60,B28,DA3:DA60)+SUMIF(DC3:DC60,B28,DB3:DB60)</f>
        <v>1</v>
      </c>
      <c r="G28" s="319">
        <f>SUMIF(DC3:DC60,B28,DA3:DA60)+SUMIF(CZ3:CZ60,B28,DB3:DB60)</f>
        <v>0</v>
      </c>
      <c r="H28" s="319">
        <f t="shared" si="7443"/>
        <v>1001</v>
      </c>
      <c r="I28" s="319">
        <f t="shared" si="7444"/>
        <v>4</v>
      </c>
      <c r="J28" s="319">
        <v>52</v>
      </c>
      <c r="K28" s="319">
        <f>IF(COUNTIF(I25:I29,4)&lt;&gt;4,RANK(I28,I25:I29),I68)</f>
        <v>1</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100</v>
      </c>
      <c r="DW28" s="319" t="str">
        <f>VLOOKUP(1,A25:B28,2,FALSE)</f>
        <v>Netherlands</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5</v>
      </c>
      <c r="EE28" s="319">
        <f ca="1">SUMIF(IA3:IA60,DZ28,HY3:HY60)+SUMIF(HX3:HX60,DZ28,HZ3:HZ60)</f>
        <v>1</v>
      </c>
      <c r="EF28" s="319">
        <f t="shared" ca="1" si="7447"/>
        <v>1004</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100</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8</v>
      </c>
      <c r="JC28" s="319">
        <f ca="1">SUMIF(MY3:MY60,IX28,MW3:MW60)+SUMIF(MV3:MV60,IX28,MX3:MX60)</f>
        <v>5</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0</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100</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0</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0</v>
      </c>
      <c r="OA28" s="319">
        <f t="shared" ref="OA28" ca="1" si="8968">SUMIF(RW3:RW60,NV28,RU3:RU60)+SUMIF(RT3:RT60,NV28,RV3:RV60)</f>
        <v>0</v>
      </c>
      <c r="OB28" s="319">
        <f t="shared" ca="1" si="7462"/>
        <v>1000</v>
      </c>
      <c r="OC28" s="319">
        <f t="shared" ca="1" si="7463"/>
        <v>0</v>
      </c>
      <c r="OD28" s="319">
        <f t="shared" si="630"/>
        <v>52</v>
      </c>
      <c r="OE28" s="319">
        <f t="shared" ref="OE28" ca="1" si="8969">IF(COUNTIF(OC25:OC29,4)&lt;&gt;4,RANK(OC28,OC25:OC29),OC68)</f>
        <v>1</v>
      </c>
      <c r="OF28" s="319"/>
      <c r="OG28" s="319">
        <f t="shared" ref="OG28" ca="1" si="8970">SUMPRODUCT((OE25:OE28=OE28)*(OD25:OD28&lt;OD28))+OE28</f>
        <v>4</v>
      </c>
      <c r="OH28" s="319" t="str">
        <f t="shared" ref="OH28" ca="1" si="8971">INDEX(NV25:NV29,MATCH(4,OG25:OG29,0),0)</f>
        <v>France</v>
      </c>
      <c r="OI28" s="319">
        <f t="shared" ref="OI28" ca="1" si="8972">INDEX(OE25:OE29,MATCH(OH28,NV25:NV29,0),0)</f>
        <v>1</v>
      </c>
      <c r="OJ28" s="319" t="str">
        <f t="shared" ca="1" si="8346"/>
        <v>France</v>
      </c>
      <c r="OK28" s="319" t="str">
        <f t="shared" ca="1" si="8347"/>
        <v/>
      </c>
      <c r="OL28" s="319"/>
      <c r="OM28" s="319"/>
      <c r="ON28" s="319"/>
      <c r="OO28" s="319" t="str">
        <f t="shared" ca="1" si="7472"/>
        <v>France</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f t="shared" ca="1" si="7479"/>
        <v>0</v>
      </c>
      <c r="OW28" s="319">
        <f t="shared" ref="OW28" ca="1" si="8978">IF(OO28&lt;&gt;"",VLOOKUP(OO28,NV4:OB40,7,FALSE),"")</f>
        <v>1000</v>
      </c>
      <c r="OX28" s="319">
        <f t="shared" ref="OX28" ca="1" si="8979">IF(OO28&lt;&gt;"",VLOOKUP(OO28,NV4:OB40,5,FALSE),"")</f>
        <v>0</v>
      </c>
      <c r="OY28" s="319">
        <f t="shared" ref="OY28" ca="1" si="8980">IF(OO28&lt;&gt;"",VLOOKUP(OO28,NV4:OD40,9,FALSE),"")</f>
        <v>52</v>
      </c>
      <c r="OZ28" s="319">
        <f t="shared" ca="1" si="7483"/>
        <v>0</v>
      </c>
      <c r="PA28" s="319">
        <f t="shared" ref="PA28" ca="1" si="8981">IF(OO28&lt;&gt;"",RANK(OZ28,OZ25:OZ29),"")</f>
        <v>1</v>
      </c>
      <c r="PB28" s="319">
        <f t="shared" ref="PB28" ca="1" si="8982">IF(OO28&lt;&gt;"",SUMPRODUCT((OZ25:OZ29=OZ28)*(OU25:OU29&gt;OU28)),"")</f>
        <v>0</v>
      </c>
      <c r="PC28" s="319">
        <f t="shared" ref="PC28" ca="1" si="8983">IF(OO28&lt;&gt;"",SUMPRODUCT((OZ25:OZ29=OZ28)*(OU25:OU29=OU28)*(OS25:OS29&gt;OS28)),"")</f>
        <v>0</v>
      </c>
      <c r="PD28" s="319">
        <f t="shared" ref="PD28" ca="1" si="8984">IF(OO28&lt;&gt;"",SUMPRODUCT((OZ25:OZ29=OZ28)*(OU25:OU29=OU28)*(OS25:OS29=OS28)*(OW25:OW29&gt;OW28)),"")</f>
        <v>0</v>
      </c>
      <c r="PE28" s="319">
        <f t="shared" ref="PE28" ca="1" si="8985">IF(OO28&lt;&gt;"",SUMPRODUCT((OZ25:OZ29=OZ28)*(OU25:OU29=OU28)*(OS25:OS29=OS28)*(OW25:OW29=OW28)*(OX25:OX29&gt;OX28)),"")</f>
        <v>0</v>
      </c>
      <c r="PF28" s="319">
        <f t="shared" ref="PF28" ca="1" si="8986">IF(OO28&lt;&gt;"",SUMPRODUCT((OZ25:OZ29=OZ28)*(OU25:OU29=OU28)*(OS25:OS29=OS28)*(OW25:OW29=OW28)*(OX25:OX29=OX28)*(OY25:OY29&gt;OY28)),"")</f>
        <v>0</v>
      </c>
      <c r="PG28" s="319">
        <f ca="1">IF(OO28&lt;&gt;"",IF(PG68&lt;&gt;"",IF(ON64=3,PG68,PG68+ON64),SUM(PA28:PF28)),"")</f>
        <v>1</v>
      </c>
      <c r="PH28" s="319" t="str">
        <f t="shared" ref="PH28" ca="1" si="8987">IF(OO28&lt;&gt;"",INDEX(OO25:OO29,MATCH(4,PG25:PG29,0),0),"")</f>
        <v>Poland</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0</v>
      </c>
      <c r="RW28" s="319" t="str">
        <f t="shared" si="19"/>
        <v>Hungary</v>
      </c>
      <c r="RX28" s="319" t="str">
        <f ca="1">IF(AND(OFFSET('Player Game Board'!P35,0,RU1)&lt;&gt;"",OFFSET('Player Game Board'!Q35,0,RU1)&lt;&gt;""),IF(RU28&gt;RV28,"W",IF(RU28=RV28,"D","L")),"")</f>
        <v/>
      </c>
      <c r="RY28" s="319" t="str">
        <f t="shared" ca="1" si="5500"/>
        <v/>
      </c>
      <c r="RZ28" s="319"/>
      <c r="SA28" s="319"/>
      <c r="SB28" s="319"/>
      <c r="SC28" s="320"/>
      <c r="SD28" s="320"/>
      <c r="SE28" s="320"/>
      <c r="SF28" s="320"/>
      <c r="SG28" s="320"/>
      <c r="SH28" s="320"/>
      <c r="SI28" s="320"/>
      <c r="SJ28" s="319"/>
      <c r="SK28" s="319"/>
      <c r="SL28" s="319"/>
      <c r="SM28" s="319"/>
      <c r="SN28" s="319"/>
      <c r="SO28" s="319"/>
      <c r="SP28" s="319" t="s">
        <v>100</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0</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0</v>
      </c>
      <c r="SY28" s="319">
        <f t="shared" ref="SY28" ca="1" si="9045">SUMIF(WU3:WU60,ST28,WS3:WS60)+SUMIF(WR3:WR60,ST28,WT3:WT60)</f>
        <v>0</v>
      </c>
      <c r="SZ28" s="319">
        <f t="shared" ca="1" si="7504"/>
        <v>1000</v>
      </c>
      <c r="TA28" s="319">
        <f t="shared" ca="1" si="7505"/>
        <v>0</v>
      </c>
      <c r="TB28" s="319">
        <f t="shared" si="690"/>
        <v>52</v>
      </c>
      <c r="TC28" s="319">
        <f t="shared" ref="TC28" ca="1" si="9046">IF(COUNTIF(TA25:TA29,4)&lt;&gt;4,RANK(TA28,TA25:TA29),TA68)</f>
        <v>1</v>
      </c>
      <c r="TD28" s="319"/>
      <c r="TE28" s="319">
        <f t="shared" ref="TE28" ca="1" si="9047">SUMPRODUCT((TC25:TC28=TC28)*(TB25:TB28&lt;TB28))+TC28</f>
        <v>4</v>
      </c>
      <c r="TF28" s="319" t="str">
        <f t="shared" ref="TF28" ca="1" si="9048">INDEX(ST25:ST29,MATCH(4,TE25:TE29,0),0)</f>
        <v>France</v>
      </c>
      <c r="TG28" s="319">
        <f t="shared" ref="TG28" ca="1" si="9049">INDEX(TC25:TC29,MATCH(TF28,ST25:ST29,0),0)</f>
        <v>1</v>
      </c>
      <c r="TH28" s="319" t="str">
        <f t="shared" ca="1" si="8415"/>
        <v>France</v>
      </c>
      <c r="TI28" s="319" t="str">
        <f t="shared" ca="1" si="8416"/>
        <v/>
      </c>
      <c r="TJ28" s="319"/>
      <c r="TK28" s="319"/>
      <c r="TL28" s="319"/>
      <c r="TM28" s="319" t="str">
        <f t="shared" ca="1" si="7514"/>
        <v>France</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f t="shared" ca="1" si="7521"/>
        <v>0</v>
      </c>
      <c r="TU28" s="319">
        <f t="shared" ref="TU28" ca="1" si="9055">IF(TM28&lt;&gt;"",VLOOKUP(TM28,ST4:SZ40,7,FALSE),"")</f>
        <v>1000</v>
      </c>
      <c r="TV28" s="319">
        <f t="shared" ref="TV28" ca="1" si="9056">IF(TM28&lt;&gt;"",VLOOKUP(TM28,ST4:SZ40,5,FALSE),"")</f>
        <v>0</v>
      </c>
      <c r="TW28" s="319">
        <f t="shared" ref="TW28" ca="1" si="9057">IF(TM28&lt;&gt;"",VLOOKUP(TM28,ST4:TB40,9,FALSE),"")</f>
        <v>52</v>
      </c>
      <c r="TX28" s="319">
        <f t="shared" ca="1" si="7525"/>
        <v>0</v>
      </c>
      <c r="TY28" s="319">
        <f t="shared" ref="TY28" ca="1" si="9058">IF(TM28&lt;&gt;"",RANK(TX28,TX25:TX29),"")</f>
        <v>1</v>
      </c>
      <c r="TZ28" s="319">
        <f t="shared" ref="TZ28" ca="1" si="9059">IF(TM28&lt;&gt;"",SUMPRODUCT((TX25:TX29=TX28)*(TS25:TS29&gt;TS28)),"")</f>
        <v>0</v>
      </c>
      <c r="UA28" s="319">
        <f t="shared" ref="UA28" ca="1" si="9060">IF(TM28&lt;&gt;"",SUMPRODUCT((TX25:TX29=TX28)*(TS25:TS29=TS28)*(TQ25:TQ29&gt;TQ28)),"")</f>
        <v>0</v>
      </c>
      <c r="UB28" s="319">
        <f t="shared" ref="UB28" ca="1" si="9061">IF(TM28&lt;&gt;"",SUMPRODUCT((TX25:TX29=TX28)*(TS25:TS29=TS28)*(TQ25:TQ29=TQ28)*(TU25:TU29&gt;TU28)),"")</f>
        <v>0</v>
      </c>
      <c r="UC28" s="319">
        <f t="shared" ref="UC28" ca="1" si="9062">IF(TM28&lt;&gt;"",SUMPRODUCT((TX25:TX29=TX28)*(TS25:TS29=TS28)*(TQ25:TQ29=TQ28)*(TU25:TU29=TU28)*(TV25:TV29&gt;TV28)),"")</f>
        <v>0</v>
      </c>
      <c r="UD28" s="319">
        <f t="shared" ref="UD28" ca="1" si="9063">IF(TM28&lt;&gt;"",SUMPRODUCT((TX25:TX29=TX28)*(TS25:TS29=TS28)*(TQ25:TQ29=TQ28)*(TU25:TU29=TU28)*(TV25:TV29=TV28)*(TW25:TW29&gt;TW28)),"")</f>
        <v>0</v>
      </c>
      <c r="UE28" s="319">
        <f ca="1">IF(TM28&lt;&gt;"",IF(UE68&lt;&gt;"",IF(TL64=3,UE68,UE68+TL64),SUM(TY28:UD28)),"")</f>
        <v>1</v>
      </c>
      <c r="UF28" s="319" t="str">
        <f t="shared" ref="UF28" ca="1" si="9064">IF(TM28&lt;&gt;"",INDEX(TM25:TM29,MATCH(4,UE25:UE29,0),0),"")</f>
        <v>Poland</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Poland</v>
      </c>
      <c r="WP28" s="319">
        <v>4</v>
      </c>
      <c r="WQ28" s="319">
        <v>26</v>
      </c>
      <c r="WR28" s="319" t="str">
        <f t="shared" si="34"/>
        <v>Scotland</v>
      </c>
      <c r="WS28" s="322">
        <f ca="1">IF(OFFSET('Player Game Board'!P35,0,WS1)&lt;&gt;"",OFFSET('Player Game Board'!P35,0,WS1),0)</f>
        <v>0</v>
      </c>
      <c r="WT28" s="322">
        <f ca="1">IF(OFFSET('Player Game Board'!Q35,0,WS1)&lt;&gt;"",OFFSET('Player Game Board'!Q35,0,WS1),0)</f>
        <v>0</v>
      </c>
      <c r="WU28" s="319" t="str">
        <f t="shared" si="35"/>
        <v>Hungary</v>
      </c>
      <c r="WV28" s="319" t="str">
        <f ca="1">IF(AND(OFFSET('Player Game Board'!P35,0,WS1)&lt;&gt;"",OFFSET('Player Game Board'!Q35,0,WS1)&lt;&gt;""),IF(WS28&gt;WT28,"W",IF(WS28=WT28,"D","L")),"")</f>
        <v/>
      </c>
      <c r="WW28" s="319" t="str">
        <f t="shared" ca="1" si="5555"/>
        <v/>
      </c>
      <c r="WX28" s="319"/>
      <c r="WY28" s="319"/>
      <c r="WZ28" s="319"/>
      <c r="XA28" s="320"/>
      <c r="XB28" s="320"/>
      <c r="XC28" s="320"/>
      <c r="XD28" s="320"/>
      <c r="XE28" s="320"/>
      <c r="XF28" s="320"/>
      <c r="XG28" s="320"/>
      <c r="XH28" s="319"/>
      <c r="XI28" s="319"/>
      <c r="XJ28" s="319"/>
      <c r="XK28" s="319"/>
      <c r="XL28" s="319"/>
      <c r="XM28" s="319"/>
      <c r="XN28" s="319" t="s">
        <v>100</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100</v>
      </c>
      <c r="ACM28" s="319" t="str">
        <f t="shared" ref="ACM28" ca="1" si="9193">VLOOKUP(1,XQ25:XR28,2,FALSE)</f>
        <v>France</v>
      </c>
      <c r="ACN28" s="325">
        <f t="shared" ca="1" si="5181"/>
        <v>1</v>
      </c>
      <c r="ACO28" s="319">
        <f t="shared" ref="ACO28" ca="1" si="9194">VLOOKUP(ACP28,AGK25:AGL29,2,FALSE)</f>
        <v>1</v>
      </c>
      <c r="ACP28" s="319" t="str">
        <f t="shared" si="7582"/>
        <v>France</v>
      </c>
      <c r="ACQ28" s="319">
        <f t="shared" ref="ACQ28" ca="1" si="9195">SUMPRODUCT((AGN3:AGN42=ACP28)*(AGR3:AGR42="W"))+SUMPRODUCT((AGQ3:AGQ42=ACP28)*(AGS3:AGS42="W"))</f>
        <v>0</v>
      </c>
      <c r="ACR28" s="319">
        <f t="shared" ref="ACR28" ca="1" si="9196">SUMPRODUCT((AGN3:AGN42=ACP28)*(AGR3:AGR42="D"))+SUMPRODUCT((AGQ3:AGQ42=ACP28)*(AGS3:AGS42="D"))</f>
        <v>0</v>
      </c>
      <c r="ACS28" s="319">
        <f t="shared" ref="ACS28" ca="1" si="9197">SUMPRODUCT((AGN3:AGN42=ACP28)*(AGR3:AGR42="L"))+SUMPRODUCT((AGQ3:AGQ42=ACP28)*(AGS3:AGS42="L"))</f>
        <v>0</v>
      </c>
      <c r="ACT28" s="319">
        <f t="shared" ref="ACT28" ca="1" si="9198">SUMIF(AGN3:AGN60,ACP28,AGO3:AGO60)+SUMIF(AGQ3:AGQ60,ACP28,AGP3:AGP60)</f>
        <v>0</v>
      </c>
      <c r="ACU28" s="319">
        <f t="shared" ref="ACU28" ca="1" si="9199">SUMIF(AGQ3:AGQ60,ACP28,AGO3:AGO60)+SUMIF(AGN3:AGN60,ACP28,AGP3:AGP60)</f>
        <v>0</v>
      </c>
      <c r="ACV28" s="319">
        <f t="shared" ca="1" si="7588"/>
        <v>1000</v>
      </c>
      <c r="ACW28" s="319">
        <f t="shared" ca="1" si="7589"/>
        <v>0</v>
      </c>
      <c r="ACX28" s="319">
        <f t="shared" si="810"/>
        <v>52</v>
      </c>
      <c r="ACY28" s="319">
        <f t="shared" ref="ACY28" ca="1" si="9200">IF(COUNTIF(ACW25:ACW29,4)&lt;&gt;4,RANK(ACW28,ACW25:ACW29),ACW68)</f>
        <v>1</v>
      </c>
      <c r="ACZ28" s="319"/>
      <c r="ADA28" s="319">
        <f t="shared" ref="ADA28" ca="1" si="9201">SUMPRODUCT((ACY25:ACY28=ACY28)*(ACX25:ACX28&lt;ACX28))+ACY28</f>
        <v>4</v>
      </c>
      <c r="ADB28" s="319" t="str">
        <f t="shared" ref="ADB28" ca="1" si="9202">INDEX(ACP25:ACP29,MATCH(4,ADA25:ADA29,0),0)</f>
        <v>France</v>
      </c>
      <c r="ADC28" s="319">
        <f t="shared" ref="ADC28" ca="1" si="9203">INDEX(ACY25:ACY29,MATCH(ADB28,ACP25:ACP29,0),0)</f>
        <v>1</v>
      </c>
      <c r="ADD28" s="319" t="str">
        <f t="shared" ca="1" si="8553"/>
        <v>France</v>
      </c>
      <c r="ADE28" s="319" t="str">
        <f t="shared" ca="1" si="8554"/>
        <v/>
      </c>
      <c r="ADF28" s="319"/>
      <c r="ADG28" s="319"/>
      <c r="ADH28" s="319"/>
      <c r="ADI28" s="319" t="str">
        <f t="shared" ca="1" si="7598"/>
        <v>France</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f t="shared" ca="1" si="7605"/>
        <v>0</v>
      </c>
      <c r="ADQ28" s="319">
        <f t="shared" ref="ADQ28" ca="1" si="9209">IF(ADI28&lt;&gt;"",VLOOKUP(ADI28,ACP4:ACV40,7,FALSE),"")</f>
        <v>1000</v>
      </c>
      <c r="ADR28" s="319">
        <f t="shared" ref="ADR28" ca="1" si="9210">IF(ADI28&lt;&gt;"",VLOOKUP(ADI28,ACP4:ACV40,5,FALSE),"")</f>
        <v>0</v>
      </c>
      <c r="ADS28" s="319">
        <f t="shared" ref="ADS28" ca="1" si="9211">IF(ADI28&lt;&gt;"",VLOOKUP(ADI28,ACP4:ACX40,9,FALSE),"")</f>
        <v>52</v>
      </c>
      <c r="ADT28" s="319">
        <f t="shared" ca="1" si="7609"/>
        <v>0</v>
      </c>
      <c r="ADU28" s="319">
        <f t="shared" ref="ADU28" ca="1" si="9212">IF(ADI28&lt;&gt;"",RANK(ADT28,ADT25:ADT29),"")</f>
        <v>1</v>
      </c>
      <c r="ADV28" s="319">
        <f t="shared" ref="ADV28" ca="1" si="9213">IF(ADI28&lt;&gt;"",SUMPRODUCT((ADT25:ADT29=ADT28)*(ADO25:ADO29&gt;ADO28)),"")</f>
        <v>0</v>
      </c>
      <c r="ADW28" s="319">
        <f t="shared" ref="ADW28" ca="1" si="9214">IF(ADI28&lt;&gt;"",SUMPRODUCT((ADT25:ADT29=ADT28)*(ADO25:ADO29=ADO28)*(ADM25:ADM29&gt;ADM28)),"")</f>
        <v>0</v>
      </c>
      <c r="ADX28" s="319">
        <f t="shared" ref="ADX28" ca="1" si="9215">IF(ADI28&lt;&gt;"",SUMPRODUCT((ADT25:ADT29=ADT28)*(ADO25:ADO29=ADO28)*(ADM25:ADM29=ADM28)*(ADQ25:ADQ29&gt;ADQ28)),"")</f>
        <v>0</v>
      </c>
      <c r="ADY28" s="319">
        <f t="shared" ref="ADY28" ca="1" si="9216">IF(ADI28&lt;&gt;"",SUMPRODUCT((ADT25:ADT29=ADT28)*(ADO25:ADO29=ADO28)*(ADM25:ADM29=ADM28)*(ADQ25:ADQ29=ADQ28)*(ADR25:ADR29&gt;ADR28)),"")</f>
        <v>0</v>
      </c>
      <c r="ADZ28" s="319">
        <f t="shared" ref="ADZ28" ca="1" si="9217">IF(ADI28&lt;&gt;"",SUMPRODUCT((ADT25:ADT29=ADT28)*(ADO25:ADO29=ADO28)*(ADM25:ADM29=ADM28)*(ADQ25:ADQ29=ADQ28)*(ADR25:ADR29=ADR28)*(ADS25:ADS29&gt;ADS28)),"")</f>
        <v>0</v>
      </c>
      <c r="AEA28" s="319">
        <f ca="1">IF(ADI28&lt;&gt;"",IF(AEA68&lt;&gt;"",IF(ADH64=3,AEA68,AEA68+ADH64),SUM(ADU28:ADZ28)),"")</f>
        <v>1</v>
      </c>
      <c r="AEB28" s="319" t="str">
        <f t="shared" ref="AEB28" ca="1" si="9218">IF(ADI28&lt;&gt;"",INDEX(ADI25:ADI29,MATCH(4,AEA25:AEA29,0),0),"")</f>
        <v>Poland</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0</v>
      </c>
      <c r="AGP28" s="322">
        <f ca="1">IF(OFFSET('Player Game Board'!Q35,0,AGO1)&lt;&gt;"",OFFSET('Player Game Board'!Q35,0,AGO1),0)</f>
        <v>0</v>
      </c>
      <c r="AGQ28" s="319" t="str">
        <f t="shared" si="67"/>
        <v>Hungary</v>
      </c>
      <c r="AGR28" s="319" t="str">
        <f ca="1">IF(AND(OFFSET('Player Game Board'!P35,0,AGO1)&lt;&gt;"",OFFSET('Player Game Board'!Q35,0,AGO1)&lt;&gt;""),IF(AGO28&gt;AGP28,"W",IF(AGO28=AGP28,"D","L")),"")</f>
        <v/>
      </c>
      <c r="AGS28" s="319" t="str">
        <f t="shared" ca="1" si="5665"/>
        <v/>
      </c>
      <c r="AGT28" s="319"/>
      <c r="AGU28" s="319"/>
      <c r="AGV28" s="319"/>
      <c r="AGW28" s="320"/>
      <c r="AGX28" s="320"/>
      <c r="AGY28" s="320"/>
      <c r="AGZ28" s="320"/>
      <c r="AHA28" s="320"/>
      <c r="AHB28" s="320"/>
      <c r="AHC28" s="320"/>
      <c r="AHD28" s="319"/>
      <c r="AHE28" s="319"/>
      <c r="AHF28" s="319"/>
      <c r="AHG28" s="319"/>
      <c r="AHH28" s="319"/>
      <c r="AHI28" s="319"/>
      <c r="AHJ28" s="319" t="s">
        <v>100</v>
      </c>
      <c r="AHK28" s="319" t="str">
        <f t="shared" ref="AHK28" ca="1" si="9270">VLOOKUP(1,ACO25:ACP28,2,FALSE)</f>
        <v>France</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0</v>
      </c>
      <c r="AHP28" s="319">
        <f t="shared" ref="AHP28" ca="1" si="9273">SUMPRODUCT((ALL3:ALL42=AHN28)*(ALP3:ALP42="D"))+SUMPRODUCT((ALO3:ALO42=AHN28)*(ALQ3:ALQ42="D"))</f>
        <v>0</v>
      </c>
      <c r="AHQ28" s="319">
        <f t="shared" ref="AHQ28" ca="1" si="9274">SUMPRODUCT((ALL3:ALL42=AHN28)*(ALP3:ALP42="L"))+SUMPRODUCT((ALO3:ALO42=AHN28)*(ALQ3:ALQ42="L"))</f>
        <v>0</v>
      </c>
      <c r="AHR28" s="319">
        <f t="shared" ref="AHR28" ca="1" si="9275">SUMIF(ALL3:ALL60,AHN28,ALM3:ALM60)+SUMIF(ALO3:ALO60,AHN28,ALN3:ALN60)</f>
        <v>0</v>
      </c>
      <c r="AHS28" s="319">
        <f t="shared" ref="AHS28" ca="1" si="9276">SUMIF(ALO3:ALO60,AHN28,ALM3:ALM60)+SUMIF(ALL3:ALL60,AHN28,ALN3:ALN60)</f>
        <v>0</v>
      </c>
      <c r="AHT28" s="319">
        <f t="shared" ca="1" si="7630"/>
        <v>1000</v>
      </c>
      <c r="AHU28" s="319">
        <f t="shared" ca="1" si="7631"/>
        <v>0</v>
      </c>
      <c r="AHV28" s="319">
        <f t="shared" si="870"/>
        <v>52</v>
      </c>
      <c r="AHW28" s="319">
        <f t="shared" ref="AHW28" ca="1" si="9277">IF(COUNTIF(AHU25:AHU29,4)&lt;&gt;4,RANK(AHU28,AHU25:AHU29),AHU68)</f>
        <v>1</v>
      </c>
      <c r="AHX28" s="319"/>
      <c r="AHY28" s="319">
        <f t="shared" ref="AHY28" ca="1" si="9278">SUMPRODUCT((AHW25:AHW28=AHW28)*(AHV25:AHV28&lt;AHV28))+AHW28</f>
        <v>4</v>
      </c>
      <c r="AHZ28" s="319" t="str">
        <f t="shared" ref="AHZ28" ca="1" si="9279">INDEX(AHN25:AHN29,MATCH(4,AHY25:AHY29,0),0)</f>
        <v>France</v>
      </c>
      <c r="AIA28" s="319">
        <f t="shared" ref="AIA28" ca="1" si="9280">INDEX(AHW25:AHW29,MATCH(AHZ28,AHN25:AHN29,0),0)</f>
        <v>1</v>
      </c>
      <c r="AIB28" s="319" t="str">
        <f t="shared" ca="1" si="8622"/>
        <v>France</v>
      </c>
      <c r="AIC28" s="319" t="str">
        <f t="shared" ca="1" si="8623"/>
        <v/>
      </c>
      <c r="AID28" s="319"/>
      <c r="AIE28" s="319"/>
      <c r="AIF28" s="319"/>
      <c r="AIG28" s="319" t="str">
        <f t="shared" ca="1" si="7640"/>
        <v>France</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f t="shared" ca="1" si="7647"/>
        <v>0</v>
      </c>
      <c r="AIO28" s="319">
        <f t="shared" ref="AIO28" ca="1" si="9286">IF(AIG28&lt;&gt;"",VLOOKUP(AIG28,AHN4:AHT40,7,FALSE),"")</f>
        <v>1000</v>
      </c>
      <c r="AIP28" s="319">
        <f t="shared" ref="AIP28" ca="1" si="9287">IF(AIG28&lt;&gt;"",VLOOKUP(AIG28,AHN4:AHT40,5,FALSE),"")</f>
        <v>0</v>
      </c>
      <c r="AIQ28" s="319">
        <f t="shared" ref="AIQ28" ca="1" si="9288">IF(AIG28&lt;&gt;"",VLOOKUP(AIG28,AHN4:AHV40,9,FALSE),"")</f>
        <v>52</v>
      </c>
      <c r="AIR28" s="319">
        <f t="shared" ca="1" si="7651"/>
        <v>0</v>
      </c>
      <c r="AIS28" s="319">
        <f t="shared" ref="AIS28" ca="1" si="9289">IF(AIG28&lt;&gt;"",RANK(AIR28,AIR25:AIR29),"")</f>
        <v>1</v>
      </c>
      <c r="AIT28" s="319">
        <f t="shared" ref="AIT28" ca="1" si="9290">IF(AIG28&lt;&gt;"",SUMPRODUCT((AIR25:AIR29=AIR28)*(AIM25:AIM29&gt;AIM28)),"")</f>
        <v>0</v>
      </c>
      <c r="AIU28" s="319">
        <f t="shared" ref="AIU28" ca="1" si="9291">IF(AIG28&lt;&gt;"",SUMPRODUCT((AIR25:AIR29=AIR28)*(AIM25:AIM29=AIM28)*(AIK25:AIK29&gt;AIK28)),"")</f>
        <v>0</v>
      </c>
      <c r="AIV28" s="319">
        <f t="shared" ref="AIV28" ca="1" si="9292">IF(AIG28&lt;&gt;"",SUMPRODUCT((AIR25:AIR29=AIR28)*(AIM25:AIM29=AIM28)*(AIK25:AIK29=AIK28)*(AIO25:AIO29&gt;AIO28)),"")</f>
        <v>0</v>
      </c>
      <c r="AIW28" s="319">
        <f t="shared" ref="AIW28" ca="1" si="9293">IF(AIG28&lt;&gt;"",SUMPRODUCT((AIR25:AIR29=AIR28)*(AIM25:AIM29=AIM28)*(AIK25:AIK29=AIK28)*(AIO25:AIO29=AIO28)*(AIP25:AIP29&gt;AIP28)),"")</f>
        <v>0</v>
      </c>
      <c r="AIX28" s="319">
        <f t="shared" ref="AIX28" ca="1" si="9294">IF(AIG28&lt;&gt;"",SUMPRODUCT((AIR25:AIR29=AIR28)*(AIM25:AIM29=AIM28)*(AIK25:AIK29=AIK28)*(AIO25:AIO29=AIO28)*(AIP25:AIP29=AIP28)*(AIQ25:AIQ29&gt;AIQ28)),"")</f>
        <v>0</v>
      </c>
      <c r="AIY28" s="319">
        <f ca="1">IF(AIG28&lt;&gt;"",IF(AIY68&lt;&gt;"",IF(AIF64=3,AIY68,AIY68+AIF64),SUM(AIS28:AIX28)),"")</f>
        <v>1</v>
      </c>
      <c r="AIZ28" s="319" t="str">
        <f t="shared" ref="AIZ28" ca="1" si="9295">IF(AIG28&lt;&gt;"",INDEX(AIG25:AIG29,MATCH(4,AIY25:AIY29,0),0),"")</f>
        <v>Poland</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0</v>
      </c>
      <c r="ALN28" s="322">
        <f ca="1">IF(OFFSET('Player Game Board'!Q35,0,ALM1)&lt;&gt;"",OFFSET('Player Game Board'!Q35,0,ALM1),0)</f>
        <v>0</v>
      </c>
      <c r="ALO28" s="319" t="str">
        <f t="shared" si="83"/>
        <v>Hungary</v>
      </c>
      <c r="ALP28" s="319" t="str">
        <f ca="1">IF(AND(OFFSET('Player Game Board'!P35,0,ALM1)&lt;&gt;"",OFFSET('Player Game Board'!Q35,0,ALM1)&lt;&gt;""),IF(ALM28&gt;ALN28,"W",IF(ALM28=ALN28,"D","L")),"")</f>
        <v/>
      </c>
      <c r="ALQ28" s="319" t="str">
        <f t="shared" ca="1" si="5720"/>
        <v/>
      </c>
      <c r="ALR28" s="319"/>
      <c r="ALS28" s="319"/>
      <c r="ALT28" s="319"/>
      <c r="ALU28" s="320"/>
      <c r="ALV28" s="320"/>
      <c r="ALW28" s="320"/>
      <c r="ALX28" s="320"/>
      <c r="ALY28" s="320"/>
      <c r="ALZ28" s="320"/>
      <c r="AMA28" s="320"/>
      <c r="AMB28" s="319"/>
      <c r="AMC28" s="319"/>
      <c r="AMD28" s="319"/>
      <c r="AME28" s="319"/>
      <c r="AMF28" s="319"/>
      <c r="AMG28" s="319"/>
      <c r="AMH28" s="319" t="s">
        <v>100</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100</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100</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100</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100</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4</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Netherlands</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0</v>
      </c>
      <c r="RW29" s="319" t="str">
        <f t="shared" si="19"/>
        <v>Spain</v>
      </c>
      <c r="RX29" s="319" t="str">
        <f ca="1">IF(AND(OFFSET('Player Game Board'!P36,0,RU1)&lt;&gt;"",OFFSET('Player Game Board'!Q36,0,RU1)&lt;&gt;""),IF(RU29&gt;RV29,"W",IF(RU29=RV29,"D","L")),"")</f>
        <v/>
      </c>
      <c r="RY29" s="319" t="str">
        <f t="shared" ca="1" si="5500"/>
        <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0</v>
      </c>
      <c r="WU29" s="319" t="str">
        <f t="shared" si="35"/>
        <v>Spain</v>
      </c>
      <c r="WV29" s="319" t="str">
        <f ca="1">IF(AND(OFFSET('Player Game Board'!P36,0,WS1)&lt;&gt;"",OFFSET('Player Game Board'!Q36,0,WS1)&lt;&gt;""),IF(WS29&gt;WT29,"W",IF(WS29=WT29,"D","L")),"")</f>
        <v/>
      </c>
      <c r="WW29" s="319" t="str">
        <f t="shared" ca="1" si="5555"/>
        <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0</v>
      </c>
      <c r="AGQ29" s="319" t="str">
        <f t="shared" si="67"/>
        <v>Spain</v>
      </c>
      <c r="AGR29" s="319" t="str">
        <f ca="1">IF(AND(OFFSET('Player Game Board'!P36,0,AGO1)&lt;&gt;"",OFFSET('Player Game Board'!Q36,0,AGO1)&lt;&gt;""),IF(AGO29&gt;AGP29,"W",IF(AGO29=AGP29,"D","L")),"")</f>
        <v/>
      </c>
      <c r="AGS29" s="319" t="str">
        <f t="shared" ca="1" si="5665"/>
        <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Netherlands</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0</v>
      </c>
      <c r="ALO29" s="319" t="str">
        <f t="shared" si="83"/>
        <v>Spain</v>
      </c>
      <c r="ALP29" s="319" t="str">
        <f ca="1">IF(AND(OFFSET('Player Game Board'!P36,0,ALM1)&lt;&gt;"",OFFSET('Player Game Board'!Q36,0,ALM1)&lt;&gt;""),IF(ALM29&gt;ALN29,"W",IF(ALM29=ALN29,"D","L")),"")</f>
        <v/>
      </c>
      <c r="ALQ29" s="319" t="str">
        <f t="shared" ca="1" si="5720"/>
        <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101</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3</v>
      </c>
      <c r="HZ30" s="322">
        <f ca="1">IF(OFFSET('Player Game Board'!Q37,0,HY1)&lt;&gt;"",OFFSET('Player Game Board'!Q37,0,HY1),0)</f>
        <v>2</v>
      </c>
      <c r="IA30" s="319" t="str">
        <f t="shared" si="165"/>
        <v>Italy</v>
      </c>
      <c r="IB30" s="319" t="str">
        <f ca="1">IF(AND(OFFSET('Player Game Board'!P37,0,HY1)&lt;&gt;"",OFFSET('Player Game Board'!Q37,0,HY1)&lt;&gt;""),IF(HY30&gt;HZ30,"W",IF(HY30=HZ30,"D","L")),"")</f>
        <v>W</v>
      </c>
      <c r="IC30" s="319" t="str">
        <f t="shared" ca="1" si="166"/>
        <v>L</v>
      </c>
      <c r="ID30" s="319"/>
      <c r="IE30" s="319"/>
      <c r="IF30" s="319"/>
      <c r="IG30" s="320"/>
      <c r="IH30" s="320"/>
      <c r="II30" s="320"/>
      <c r="IJ30" s="320"/>
      <c r="IK30" s="320"/>
      <c r="IL30" s="320"/>
      <c r="IM30" s="320"/>
      <c r="IN30" s="319"/>
      <c r="IO30" s="319"/>
      <c r="IP30" s="319"/>
      <c r="IQ30" s="319"/>
      <c r="IR30" s="319"/>
      <c r="IS30" s="319"/>
      <c r="IT30" s="319" t="s">
        <v>101</v>
      </c>
      <c r="IU30" s="319" t="str">
        <f ca="1">VLOOKUP(1,DY31:DZ34,2,FALSE)</f>
        <v>Belgium</v>
      </c>
      <c r="IV30" s="325">
        <f t="shared" ca="1" si="5047"/>
        <v>1</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1</v>
      </c>
      <c r="MX30" s="322">
        <f ca="1">IF(OFFSET('Player Game Board'!Q37,0,MW1)&lt;&gt;"",OFFSET('Player Game Board'!Q37,0,MW1),0)</f>
        <v>0</v>
      </c>
      <c r="MY30" s="319" t="str">
        <f t="shared" si="171"/>
        <v>Italy</v>
      </c>
      <c r="MZ30" s="319" t="str">
        <f ca="1">IF(AND(OFFSET('Player Game Board'!P37,0,MW1)&lt;&gt;"",OFFSET('Player Game Board'!Q37,0,MW1)&lt;&gt;""),IF(MW30&gt;MX30,"W",IF(MW30=MX30,"D","L")),"")</f>
        <v>W</v>
      </c>
      <c r="NA30" s="319" t="str">
        <f t="shared" ca="1" si="172"/>
        <v>L</v>
      </c>
      <c r="NB30" s="319"/>
      <c r="NC30" s="319"/>
      <c r="ND30" s="319"/>
      <c r="NE30" s="320"/>
      <c r="NF30" s="320"/>
      <c r="NG30" s="320"/>
      <c r="NH30" s="320"/>
      <c r="NI30" s="320"/>
      <c r="NJ30" s="320"/>
      <c r="NK30" s="320"/>
      <c r="NL30" s="319"/>
      <c r="NM30" s="319"/>
      <c r="NN30" s="319"/>
      <c r="NO30" s="319"/>
      <c r="NP30" s="319"/>
      <c r="NQ30" s="319"/>
      <c r="NR30" s="319" t="s">
        <v>101</v>
      </c>
      <c r="NS30" s="319" t="str">
        <f ca="1">VLOOKUP(1,IW31:IX34,2,FALSE)</f>
        <v>Belgium</v>
      </c>
      <c r="NT30" s="325">
        <f t="shared" ca="1" si="5052"/>
        <v>1</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0</v>
      </c>
      <c r="RV30" s="322">
        <f ca="1">IF(OFFSET('Player Game Board'!Q37,0,RU1)&lt;&gt;"",OFFSET('Player Game Board'!Q37,0,RU1),0)</f>
        <v>0</v>
      </c>
      <c r="RW30" s="319" t="str">
        <f t="shared" si="19"/>
        <v>Italy</v>
      </c>
      <c r="RX30" s="319" t="str">
        <f ca="1">IF(AND(OFFSET('Player Game Board'!P37,0,RU1)&lt;&gt;"",OFFSET('Player Game Board'!Q37,0,RU1)&lt;&gt;""),IF(RU30&gt;RV30,"W",IF(RU30=RV30,"D","L")),"")</f>
        <v/>
      </c>
      <c r="RY30" s="319" t="str">
        <f t="shared" ca="1" si="5500"/>
        <v/>
      </c>
      <c r="RZ30" s="319"/>
      <c r="SA30" s="319"/>
      <c r="SB30" s="319"/>
      <c r="SC30" s="320"/>
      <c r="SD30" s="320"/>
      <c r="SE30" s="320"/>
      <c r="SF30" s="320"/>
      <c r="SG30" s="320"/>
      <c r="SH30" s="320"/>
      <c r="SI30" s="320"/>
      <c r="SJ30" s="319"/>
      <c r="SK30" s="319"/>
      <c r="SL30" s="319"/>
      <c r="SM30" s="319"/>
      <c r="SN30" s="319"/>
      <c r="SO30" s="319"/>
      <c r="SP30" s="319" t="s">
        <v>101</v>
      </c>
      <c r="SQ30" s="319" t="str">
        <f t="shared" ref="SQ30" ca="1" si="9675">VLOOKUP(1,NU31:NV34,2,FALSE)</f>
        <v>Belgium</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0</v>
      </c>
      <c r="WT30" s="322">
        <f ca="1">IF(OFFSET('Player Game Board'!Q37,0,WS1)&lt;&gt;"",OFFSET('Player Game Board'!Q37,0,WS1),0)</f>
        <v>0</v>
      </c>
      <c r="WU30" s="319" t="str">
        <f t="shared" si="35"/>
        <v>Italy</v>
      </c>
      <c r="WV30" s="319" t="str">
        <f ca="1">IF(AND(OFFSET('Player Game Board'!P37,0,WS1)&lt;&gt;"",OFFSET('Player Game Board'!Q37,0,WS1)&lt;&gt;""),IF(WS30&gt;WT30,"W",IF(WS30=WT30,"D","L")),"")</f>
        <v/>
      </c>
      <c r="WW30" s="319" t="str">
        <f t="shared" ca="1" si="5555"/>
        <v/>
      </c>
      <c r="WX30" s="319"/>
      <c r="WY30" s="319"/>
      <c r="WZ30" s="319"/>
      <c r="XA30" s="320"/>
      <c r="XB30" s="320"/>
      <c r="XC30" s="320"/>
      <c r="XD30" s="320"/>
      <c r="XE30" s="320"/>
      <c r="XF30" s="320"/>
      <c r="XG30" s="320"/>
      <c r="XH30" s="319"/>
      <c r="XI30" s="319"/>
      <c r="XJ30" s="319"/>
      <c r="XK30" s="319"/>
      <c r="XL30" s="319"/>
      <c r="XM30" s="319"/>
      <c r="XN30" s="319" t="s">
        <v>101</v>
      </c>
      <c r="XO30" s="319" t="str">
        <f t="shared" ref="XO30" ca="1" si="9677">VLOOKUP(1,SS31:ST34,2,FALSE)</f>
        <v>Belgium</v>
      </c>
      <c r="XP30" s="325">
        <f t="shared" ca="1" si="5138"/>
        <v>1</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101</v>
      </c>
      <c r="ACM30" s="319" t="str">
        <f t="shared" ref="ACM30" ca="1" si="9679">VLOOKUP(1,XQ31:XR34,2,FALSE)</f>
        <v>Belgium</v>
      </c>
      <c r="ACN30" s="325">
        <f t="shared" ca="1" si="5181"/>
        <v>1</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
      </c>
      <c r="AGS30" s="319" t="str">
        <f t="shared" ca="1" si="5665"/>
        <v/>
      </c>
      <c r="AGT30" s="319"/>
      <c r="AGU30" s="319"/>
      <c r="AGV30" s="319"/>
      <c r="AGW30" s="320"/>
      <c r="AGX30" s="320"/>
      <c r="AGY30" s="320"/>
      <c r="AGZ30" s="320"/>
      <c r="AHA30" s="320"/>
      <c r="AHB30" s="320"/>
      <c r="AHC30" s="320"/>
      <c r="AHD30" s="319"/>
      <c r="AHE30" s="319"/>
      <c r="AHF30" s="319"/>
      <c r="AHG30" s="319"/>
      <c r="AHH30" s="319"/>
      <c r="AHI30" s="319"/>
      <c r="AHJ30" s="319" t="s">
        <v>101</v>
      </c>
      <c r="AHK30" s="319" t="str">
        <f t="shared" ref="AHK30" ca="1" si="9681">VLOOKUP(1,ACO31:ACP34,2,FALSE)</f>
        <v>Belgium</v>
      </c>
      <c r="AHL30" s="325">
        <f t="shared" ca="1" si="5224"/>
        <v>1</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0</v>
      </c>
      <c r="ALN30" s="322">
        <f ca="1">IF(OFFSET('Player Game Board'!Q37,0,ALM1)&lt;&gt;"",OFFSET('Player Game Board'!Q37,0,ALM1),0)</f>
        <v>0</v>
      </c>
      <c r="ALO30" s="319" t="str">
        <f t="shared" si="83"/>
        <v>Italy</v>
      </c>
      <c r="ALP30" s="319" t="str">
        <f ca="1">IF(AND(OFFSET('Player Game Board'!P37,0,ALM1)&lt;&gt;"",OFFSET('Player Game Board'!Q37,0,ALM1)&lt;&gt;""),IF(ALM30&gt;ALN30,"W",IF(ALM30=ALN30,"D","L")),"")</f>
        <v/>
      </c>
      <c r="ALQ30" s="319" t="str">
        <f t="shared" ca="1" si="5720"/>
        <v/>
      </c>
      <c r="ALR30" s="319"/>
      <c r="ALS30" s="319"/>
      <c r="ALT30" s="319"/>
      <c r="ALU30" s="320"/>
      <c r="ALV30" s="320"/>
      <c r="ALW30" s="320"/>
      <c r="ALX30" s="320"/>
      <c r="ALY30" s="320"/>
      <c r="ALZ30" s="320"/>
      <c r="AMA30" s="320"/>
      <c r="AMB30" s="319"/>
      <c r="AMC30" s="319"/>
      <c r="AMD30" s="319"/>
      <c r="AME30" s="319"/>
      <c r="AMF30" s="319"/>
      <c r="AMG30" s="319"/>
      <c r="AMH30" s="319" t="s">
        <v>101</v>
      </c>
      <c r="AMI30" s="319" t="str">
        <f t="shared" ref="AMI30" ca="1" si="9683">VLOOKUP(1,AHM31:AHN34,2,FALSE)</f>
        <v>Belgium</v>
      </c>
      <c r="AMJ30" s="325">
        <f t="shared" ca="1" si="5267"/>
        <v>1</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101</v>
      </c>
      <c r="ARG30" s="319" t="str">
        <f t="shared" ref="ARG30" ca="1" si="9685">VLOOKUP(1,AMK31:AML34,2,FALSE)</f>
        <v>Belgium</v>
      </c>
      <c r="ARH30" s="325">
        <f t="shared" ca="1" si="5310"/>
        <v>1</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101</v>
      </c>
      <c r="AWE30" s="319" t="str">
        <f t="shared" ref="AWE30" ca="1" si="9687">VLOOKUP(1,ARI31:ARJ34,2,FALSE)</f>
        <v>Belgium</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101</v>
      </c>
      <c r="BBC30" s="319" t="str">
        <f t="shared" ref="BBC30" ca="1" si="9689">VLOOKUP(1,AWG31:AWH34,2,FALSE)</f>
        <v>Belgium</v>
      </c>
      <c r="BBD30" s="325">
        <f t="shared" ca="1" si="5396"/>
        <v>1</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101</v>
      </c>
      <c r="BGA30" s="319" t="str">
        <f t="shared" ref="BGA30" ca="1" si="9691">VLOOKUP(1,BBE31:BBF34,2,FALSE)</f>
        <v>Belgium</v>
      </c>
      <c r="BGB30" s="325">
        <f t="shared" ca="1" si="5439"/>
        <v>1</v>
      </c>
    </row>
    <row r="31" spans="1:1536" ht="13.8" x14ac:dyDescent="0.3">
      <c r="A31" s="319">
        <f>VLOOKUP(B31,CW31:CX35,2,FALSE)</f>
        <v>2</v>
      </c>
      <c r="B31" s="319" t="str">
        <f>'Language Table'!C8</f>
        <v>Belgium</v>
      </c>
      <c r="C31" s="319">
        <f>SUMPRODUCT((CZ3:CZ42=B31)*(DD3:DD42="W"))+SUMPRODUCT((DC3:DC42=B31)*(DE3:DE42="W"))</f>
        <v>1</v>
      </c>
      <c r="D31" s="319">
        <f>SUMPRODUCT((CZ3:CZ42=B31)*(DD3:DD42="D"))+SUMPRODUCT((DC3:DC42=B31)*(DE3:DE42="D"))</f>
        <v>0</v>
      </c>
      <c r="E31" s="319">
        <f>SUMPRODUCT((CZ3:CZ42=B31)*(DD3:DD42="L"))+SUMPRODUCT((DC3:DC42=B31)*(DE3:DE42="L"))</f>
        <v>1</v>
      </c>
      <c r="F31" s="319">
        <f>SUMIF(CZ3:CZ60,B31,DA3:DA60)+SUMIF(DC3:DC60,B31,DB3:DB60)</f>
        <v>2</v>
      </c>
      <c r="G31" s="319">
        <f>SUMIF(DC3:DC60,B31,DA3:DA60)+SUMIF(CZ3:CZ60,B31,DB3:DB60)</f>
        <v>1</v>
      </c>
      <c r="H31" s="319">
        <f t="shared" ref="H31:H34" si="9692">F31-G31+1000</f>
        <v>1001</v>
      </c>
      <c r="I31" s="319">
        <f t="shared" ref="I31:I34" si="9693">C31*3+D31*1</f>
        <v>3</v>
      </c>
      <c r="J31" s="319">
        <v>50</v>
      </c>
      <c r="K31" s="319">
        <f>IF(COUNTIF(I31:I35,4)&lt;&gt;4,RANK(I31,I31:I35),I71)</f>
        <v>1</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3</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4</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Belgium</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4</v>
      </c>
      <c r="EE31" s="319">
        <f ca="1">SUMIF(IA3:IA60,DZ31,HY3:HY60)+SUMIF(HX3:HX60,DZ31,HZ3:HZ60)</f>
        <v>1</v>
      </c>
      <c r="EF31" s="319">
        <f t="shared" ref="EF31:EF34" ca="1" si="9696">ED31-EE31+1000</f>
        <v>1003</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2</v>
      </c>
      <c r="HZ31" s="322">
        <f ca="1">IF(OFFSET('Player Game Board'!Q38,0,HY1)&lt;&gt;"",OFFSET('Player Game Board'!Q38,0,HY1),0)</f>
        <v>1</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Ukraine</v>
      </c>
      <c r="IV31" s="325">
        <f t="shared" ca="1" si="5047"/>
        <v>0</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2</v>
      </c>
      <c r="JD31" s="319">
        <f t="shared" ref="JD31:JD34" ca="1" si="9700">JB31-JC31+1000</f>
        <v>1003</v>
      </c>
      <c r="JE31" s="319">
        <f t="shared" ref="JE31:JE34" ca="1" si="9701">IY31*3+IZ31*1</f>
        <v>7</v>
      </c>
      <c r="JF31" s="319">
        <f t="shared" si="618"/>
        <v>50</v>
      </c>
      <c r="JG31" s="319">
        <f ca="1">IF(COUNTIF(JE31:JE35,4)&lt;&gt;4,RANK(JE31,JE31:JE35),JE71)</f>
        <v>1</v>
      </c>
      <c r="JH31" s="319"/>
      <c r="JI31" s="319">
        <f ca="1">SUMPRODUCT((JG31:JG34=JG31)*(JF31:JF34&lt;JF31))+JG31</f>
        <v>2</v>
      </c>
      <c r="JJ31" s="319" t="str">
        <f ca="1">INDEX(IX31:IX35,MATCH(1,JI31:JI35,0),0)</f>
        <v>Ukraine</v>
      </c>
      <c r="JK31" s="319">
        <f ca="1">INDEX(JG31:JG35,MATCH(JJ31,IX31:IX35,0),0)</f>
        <v>1</v>
      </c>
      <c r="JL31" s="319" t="str">
        <f ca="1">IF(JK32=1,JJ31,"")</f>
        <v>Ukraine</v>
      </c>
      <c r="JM31" s="319" t="str">
        <f ca="1">IF(JK33=2,JJ32,"")</f>
        <v/>
      </c>
      <c r="JN31" s="319" t="str">
        <f ca="1">IF(JK34=3,JJ33,"")</f>
        <v>Slovakia</v>
      </c>
      <c r="JO31" s="319" t="str">
        <f>IF(JK35=4,JJ34,"")</f>
        <v/>
      </c>
      <c r="JP31" s="319"/>
      <c r="JQ31" s="319" t="str">
        <f ca="1">IF(JL31&lt;&gt;"",JL31,"")</f>
        <v>Ukraine</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1</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1</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1</v>
      </c>
      <c r="JW31" s="319">
        <f ca="1">JU31-JV31+1000</f>
        <v>1000</v>
      </c>
      <c r="JX31" s="319">
        <f t="shared" ref="JX31:JX34" ca="1" si="9702">IF(JQ31&lt;&gt;"",JR31*3+JS31*1,"")</f>
        <v>1</v>
      </c>
      <c r="JY31" s="319">
        <f ca="1">IF(JQ31&lt;&gt;"",VLOOKUP(JQ31,IX4:JD40,7,FALSE),"")</f>
        <v>1002</v>
      </c>
      <c r="JZ31" s="319">
        <f ca="1">IF(JQ31&lt;&gt;"",VLOOKUP(JQ31,IX4:JD40,5,FALSE),"")</f>
        <v>4</v>
      </c>
      <c r="KA31" s="319">
        <f ca="1">IF(JQ31&lt;&gt;"",VLOOKUP(JQ31,IX4:JF40,9,FALSE),"")</f>
        <v>0</v>
      </c>
      <c r="KB31" s="319">
        <f t="shared" ref="KB31:KB34" ca="1" si="9703">JX31</f>
        <v>1</v>
      </c>
      <c r="KC31" s="319">
        <f ca="1">IF(JQ31&lt;&gt;"",RANK(KB31,KB31:KB35),"")</f>
        <v>1</v>
      </c>
      <c r="KD31" s="319">
        <f ca="1">IF(JQ31&lt;&gt;"",SUMPRODUCT((KB31:KB35=KB31)*(JW31:JW35&gt;JW31)),"")</f>
        <v>0</v>
      </c>
      <c r="KE31" s="319">
        <f ca="1">IF(JQ31&lt;&gt;"",SUMPRODUCT((KB31:KB35=KB31)*(JW31:JW35=JW31)*(JU31:JU35&gt;JU31)),"")</f>
        <v>0</v>
      </c>
      <c r="KF31" s="319">
        <f ca="1">IF(JQ31&lt;&gt;"",SUMPRODUCT((KB31:KB35=KB31)*(JW31:JW35=JW31)*(JU31:JU35=JU31)*(JY31:JY35&gt;JY31)),"")</f>
        <v>1</v>
      </c>
      <c r="KG31" s="319">
        <f ca="1">IF(JQ31&lt;&gt;"",SUMPRODUCT((KB31:KB35=KB31)*(JW31:JW35=JW31)*(JU31:JU35=JU31)*(JY31:JY35=JY31)*(JZ31:JZ35&gt;JZ31)),"")</f>
        <v>0</v>
      </c>
      <c r="KH31" s="319">
        <f ca="1">IF(JQ31&lt;&gt;"",SUMPRODUCT((KB31:KB35=KB31)*(JW31:JW35=JW31)*(JU31:JU35=JU31)*(JY31:JY35=JY31)*(JZ31:JZ35=JZ31)*(KA31:KA35&gt;KA31)),"")</f>
        <v>0</v>
      </c>
      <c r="KI31" s="319">
        <f ca="1">IF(JQ31&lt;&gt;"",IF(KI71&lt;&gt;"",IF(JP70=3,KI71,KI71+JP70),SUM(KC31:KH31)),"")</f>
        <v>2</v>
      </c>
      <c r="KJ31" s="319" t="str">
        <f ca="1">IF(JQ31&lt;&gt;"",INDEX(JQ31:JQ35,MATCH(1,KI31:KI35,0),0),"")</f>
        <v>Belgium</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1</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0</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0</v>
      </c>
      <c r="OA31" s="319">
        <f t="shared" ref="OA31" ca="1" si="9710">SUMIF(RW3:RW60,NV31,RU3:RU60)+SUMIF(RT3:RT60,NV31,RV3:RV60)</f>
        <v>0</v>
      </c>
      <c r="OB31" s="319">
        <f t="shared" ref="OB31:OB34" ca="1" si="9711">NZ31-OA31+1000</f>
        <v>1000</v>
      </c>
      <c r="OC31" s="319">
        <f t="shared" ref="OC31:OC34" ca="1" si="9712">NW31*3+NX31*1</f>
        <v>0</v>
      </c>
      <c r="OD31" s="319">
        <f t="shared" si="630"/>
        <v>50</v>
      </c>
      <c r="OE31" s="319">
        <f t="shared" ref="OE31" ca="1" si="9713">IF(COUNTIF(OC31:OC35,4)&lt;&gt;4,RANK(OC31,OC31:OC35),OC71)</f>
        <v>1</v>
      </c>
      <c r="OF31" s="319"/>
      <c r="OG31" s="319">
        <f t="shared" ref="OG31" ca="1" si="9714">SUMPRODUCT((OE31:OE34=OE31)*(OD31:OD34&lt;OD31))+OE31</f>
        <v>4</v>
      </c>
      <c r="OH31" s="319" t="str">
        <f t="shared" ref="OH31" ca="1" si="9715">INDEX(NV31:NV35,MATCH(1,OG31:OG35,0),0)</f>
        <v>Ukraine</v>
      </c>
      <c r="OI31" s="319">
        <f t="shared" ref="OI31" ca="1" si="9716">INDEX(OE31:OE35,MATCH(OH31,NV31:NV35,0),0)</f>
        <v>1</v>
      </c>
      <c r="OJ31" s="319" t="str">
        <f t="shared" ref="OJ31" ca="1" si="9717">IF(OI32=1,OH31,"")</f>
        <v>Ukraine</v>
      </c>
      <c r="OK31" s="319" t="str">
        <f t="shared" ref="OK31" ca="1" si="9718">IF(OI33=2,OH32,"")</f>
        <v/>
      </c>
      <c r="OL31" s="319" t="str">
        <f t="shared" ref="OL31" ca="1" si="9719">IF(OI34=3,OH33,"")</f>
        <v/>
      </c>
      <c r="OM31" s="319" t="str">
        <f t="shared" ref="OM31" si="9720">IF(OI35=4,OH34,"")</f>
        <v/>
      </c>
      <c r="ON31" s="319"/>
      <c r="OO31" s="319" t="str">
        <f t="shared" ref="OO31:OO34" ca="1" si="9721">IF(OJ31&lt;&gt;"",OJ31,"")</f>
        <v>Ukraine</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f t="shared" ref="OV31:OV34" ca="1" si="9728">IF(OO31&lt;&gt;"",OP31*3+OQ31*1,"")</f>
        <v>0</v>
      </c>
      <c r="OW31" s="319">
        <f t="shared" ref="OW31" ca="1" si="9729">IF(OO31&lt;&gt;"",VLOOKUP(OO31,NV4:OB40,7,FALSE),"")</f>
        <v>1000</v>
      </c>
      <c r="OX31" s="319">
        <f t="shared" ref="OX31" ca="1" si="9730">IF(OO31&lt;&gt;"",VLOOKUP(OO31,NV4:OB40,5,FALSE),"")</f>
        <v>0</v>
      </c>
      <c r="OY31" s="319">
        <f t="shared" ref="OY31" ca="1" si="9731">IF(OO31&lt;&gt;"",VLOOKUP(OO31,NV4:OD40,9,FALSE),"")</f>
        <v>0</v>
      </c>
      <c r="OZ31" s="319">
        <f t="shared" ref="OZ31:OZ34" ca="1" si="9732">OV31</f>
        <v>0</v>
      </c>
      <c r="PA31" s="319">
        <f t="shared" ref="PA31" ca="1" si="9733">IF(OO31&lt;&gt;"",RANK(OZ31,OZ31:OZ35),"")</f>
        <v>1</v>
      </c>
      <c r="PB31" s="319">
        <f t="shared" ref="PB31" ca="1" si="9734">IF(OO31&lt;&gt;"",SUMPRODUCT((OZ31:OZ35=OZ31)*(OU31:OU35&gt;OU31)),"")</f>
        <v>0</v>
      </c>
      <c r="PC31" s="319">
        <f t="shared" ref="PC31" ca="1" si="9735">IF(OO31&lt;&gt;"",SUMPRODUCT((OZ31:OZ35=OZ31)*(OU31:OU35=OU31)*(OS31:OS35&gt;OS31)),"")</f>
        <v>0</v>
      </c>
      <c r="PD31" s="319">
        <f t="shared" ref="PD31" ca="1" si="9736">IF(OO31&lt;&gt;"",SUMPRODUCT((OZ31:OZ35=OZ31)*(OU31:OU35=OU31)*(OS31:OS35=OS31)*(OW31:OW35&gt;OW31)),"")</f>
        <v>0</v>
      </c>
      <c r="PE31" s="319">
        <f t="shared" ref="PE31" ca="1" si="9737">IF(OO31&lt;&gt;"",SUMPRODUCT((OZ31:OZ35=OZ31)*(OU31:OU35=OU31)*(OS31:OS35=OS31)*(OW31:OW35=OW31)*(OX31:OX35&gt;OX31)),"")</f>
        <v>0</v>
      </c>
      <c r="PF31" s="319">
        <f t="shared" ref="PF31" ca="1" si="9738">IF(OO31&lt;&gt;"",SUMPRODUCT((OZ31:OZ35=OZ31)*(OU31:OU35=OU31)*(OS31:OS35=OS31)*(OW31:OW35=OW31)*(OX31:OX35=OX31)*(OY31:OY35&gt;OY31)),"")</f>
        <v>3</v>
      </c>
      <c r="PG31" s="319">
        <f ca="1">IF(OO31&lt;&gt;"",IF(PG71&lt;&gt;"",IF(ON70=3,PG71,PG71+ON70),SUM(PA31:PF31)),"")</f>
        <v>4</v>
      </c>
      <c r="PH31" s="319" t="str">
        <f t="shared" ref="PH31" ca="1" si="9739">IF(OO31&lt;&gt;"",INDEX(OO31:OO35,MATCH(1,PG31:PG35,0),0),"")</f>
        <v>Belgium</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0</v>
      </c>
      <c r="RV31" s="322">
        <f ca="1">IF(OFFSET('Player Game Board'!Q38,0,RU1)&lt;&gt;"",OFFSET('Player Game Board'!Q38,0,RU1),0)</f>
        <v>0</v>
      </c>
      <c r="RW31" s="319" t="str">
        <f t="shared" si="19"/>
        <v>Slovenia</v>
      </c>
      <c r="RX31" s="319" t="str">
        <f ca="1">IF(AND(OFFSET('Player Game Board'!P38,0,RU1)&lt;&gt;"",OFFSET('Player Game Board'!Q38,0,RU1)&lt;&gt;""),IF(RU31&gt;RV31,"W",IF(RU31=RV31,"D","L")),"")</f>
        <v/>
      </c>
      <c r="RY31" s="319" t="str">
        <f t="shared" ca="1" si="5500"/>
        <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Romania</v>
      </c>
      <c r="SR31" s="325">
        <f t="shared" ca="1" si="5095"/>
        <v>1</v>
      </c>
      <c r="SS31" s="319">
        <f t="shared" ref="SS31" ca="1" si="9742">VLOOKUP(ST31,WO31:WP35,2,FALSE)</f>
        <v>1</v>
      </c>
      <c r="ST31" s="319" t="str">
        <f t="shared" ref="ST31:ST34" si="9743">NV31</f>
        <v>Belgium</v>
      </c>
      <c r="SU31" s="319">
        <f t="shared" ref="SU31" ca="1" si="9744">SUMPRODUCT((WR3:WR42=ST31)*(WV3:WV42="W"))+SUMPRODUCT((WU3:WU42=ST31)*(WW3:WW42="W"))</f>
        <v>0</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0</v>
      </c>
      <c r="SY31" s="319">
        <f t="shared" ref="SY31" ca="1" si="9748">SUMIF(WU3:WU60,ST31,WS3:WS60)+SUMIF(WR3:WR60,ST31,WT3:WT60)</f>
        <v>0</v>
      </c>
      <c r="SZ31" s="319">
        <f t="shared" ref="SZ31:SZ34" ca="1" si="9749">SX31-SY31+1000</f>
        <v>1000</v>
      </c>
      <c r="TA31" s="319">
        <f t="shared" ref="TA31:TA34" ca="1" si="9750">SU31*3+SV31*1</f>
        <v>0</v>
      </c>
      <c r="TB31" s="319">
        <f t="shared" si="690"/>
        <v>50</v>
      </c>
      <c r="TC31" s="319">
        <f t="shared" ref="TC31" ca="1" si="9751">IF(COUNTIF(TA31:TA35,4)&lt;&gt;4,RANK(TA31,TA31:TA35),TA71)</f>
        <v>1</v>
      </c>
      <c r="TD31" s="319"/>
      <c r="TE31" s="319">
        <f t="shared" ref="TE31" ca="1" si="9752">SUMPRODUCT((TC31:TC34=TC31)*(TB31:TB34&lt;TB31))+TC31</f>
        <v>4</v>
      </c>
      <c r="TF31" s="319" t="str">
        <f t="shared" ref="TF31" ca="1" si="9753">INDEX(ST31:ST35,MATCH(1,TE31:TE35,0),0)</f>
        <v>Ukraine</v>
      </c>
      <c r="TG31" s="319">
        <f t="shared" ref="TG31" ca="1" si="9754">INDEX(TC31:TC35,MATCH(TF31,ST31:ST35,0),0)</f>
        <v>1</v>
      </c>
      <c r="TH31" s="319" t="str">
        <f t="shared" ref="TH31" ca="1" si="9755">IF(TG32=1,TF31,"")</f>
        <v>Ukraine</v>
      </c>
      <c r="TI31" s="319" t="str">
        <f t="shared" ref="TI31" ca="1" si="9756">IF(TG33=2,TF32,"")</f>
        <v/>
      </c>
      <c r="TJ31" s="319" t="str">
        <f t="shared" ref="TJ31" ca="1" si="9757">IF(TG34=3,TF33,"")</f>
        <v/>
      </c>
      <c r="TK31" s="319" t="str">
        <f t="shared" ref="TK31" si="9758">IF(TG35=4,TF34,"")</f>
        <v/>
      </c>
      <c r="TL31" s="319"/>
      <c r="TM31" s="319" t="str">
        <f t="shared" ref="TM31:TM34" ca="1" si="9759">IF(TH31&lt;&gt;"",TH31,"")</f>
        <v>Ukraine</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f t="shared" ref="TT31:TT34" ca="1" si="9766">IF(TM31&lt;&gt;"",TN31*3+TO31*1,"")</f>
        <v>0</v>
      </c>
      <c r="TU31" s="319">
        <f t="shared" ref="TU31" ca="1" si="9767">IF(TM31&lt;&gt;"",VLOOKUP(TM31,ST4:SZ40,7,FALSE),"")</f>
        <v>1000</v>
      </c>
      <c r="TV31" s="319">
        <f t="shared" ref="TV31" ca="1" si="9768">IF(TM31&lt;&gt;"",VLOOKUP(TM31,ST4:SZ40,5,FALSE),"")</f>
        <v>0</v>
      </c>
      <c r="TW31" s="319">
        <f t="shared" ref="TW31" ca="1" si="9769">IF(TM31&lt;&gt;"",VLOOKUP(TM31,ST4:TB40,9,FALSE),"")</f>
        <v>0</v>
      </c>
      <c r="TX31" s="319">
        <f t="shared" ref="TX31:TX34" ca="1" si="9770">TT31</f>
        <v>0</v>
      </c>
      <c r="TY31" s="319">
        <f t="shared" ref="TY31" ca="1" si="9771">IF(TM31&lt;&gt;"",RANK(TX31,TX31:TX35),"")</f>
        <v>1</v>
      </c>
      <c r="TZ31" s="319">
        <f t="shared" ref="TZ31" ca="1" si="9772">IF(TM31&lt;&gt;"",SUMPRODUCT((TX31:TX35=TX31)*(TS31:TS35&gt;TS31)),"")</f>
        <v>0</v>
      </c>
      <c r="UA31" s="319">
        <f t="shared" ref="UA31" ca="1" si="9773">IF(TM31&lt;&gt;"",SUMPRODUCT((TX31:TX35=TX31)*(TS31:TS35=TS31)*(TQ31:TQ35&gt;TQ31)),"")</f>
        <v>0</v>
      </c>
      <c r="UB31" s="319">
        <f t="shared" ref="UB31" ca="1" si="9774">IF(TM31&lt;&gt;"",SUMPRODUCT((TX31:TX35=TX31)*(TS31:TS35=TS31)*(TQ31:TQ35=TQ31)*(TU31:TU35&gt;TU31)),"")</f>
        <v>0</v>
      </c>
      <c r="UC31" s="319">
        <f t="shared" ref="UC31" ca="1" si="9775">IF(TM31&lt;&gt;"",SUMPRODUCT((TX31:TX35=TX31)*(TS31:TS35=TS31)*(TQ31:TQ35=TQ31)*(TU31:TU35=TU31)*(TV31:TV35&gt;TV31)),"")</f>
        <v>0</v>
      </c>
      <c r="UD31" s="319">
        <f t="shared" ref="UD31" ca="1" si="9776">IF(TM31&lt;&gt;"",SUMPRODUCT((TX31:TX35=TX31)*(TS31:TS35=TS31)*(TQ31:TQ35=TQ31)*(TU31:TU35=TU31)*(TV31:TV35=TV31)*(TW31:TW35&gt;TW31)),"")</f>
        <v>3</v>
      </c>
      <c r="UE31" s="319">
        <f ca="1">IF(TM31&lt;&gt;"",IF(UE71&lt;&gt;"",IF(TL70=3,UE71,UE71+TL70),SUM(TY31:UD31)),"")</f>
        <v>4</v>
      </c>
      <c r="UF31" s="319" t="str">
        <f t="shared" ref="UF31" ca="1" si="9777">IF(TM31&lt;&gt;"",INDEX(TM31:TM35,MATCH(1,UE31:UE35,0),0),"")</f>
        <v>Belgium</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0</v>
      </c>
      <c r="WT31" s="322">
        <f ca="1">IF(OFFSET('Player Game Board'!Q38,0,WS1)&lt;&gt;"",OFFSET('Player Game Board'!Q38,0,WS1),0)</f>
        <v>0</v>
      </c>
      <c r="WU31" s="319" t="str">
        <f t="shared" si="35"/>
        <v>Slovenia</v>
      </c>
      <c r="WV31" s="319" t="str">
        <f ca="1">IF(AND(OFFSET('Player Game Board'!P38,0,WS1)&lt;&gt;"",OFFSET('Player Game Board'!Q38,0,WS1)&lt;&gt;""),IF(WS31&gt;WT31,"W",IF(WS31=WT31,"D","L")),"")</f>
        <v/>
      </c>
      <c r="WW31" s="319" t="str">
        <f t="shared" ca="1" si="5555"/>
        <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0</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0</v>
      </c>
      <c r="ACU31" s="319">
        <f t="shared" ref="ACU31" ca="1" si="9824">SUMIF(AGQ3:AGQ60,ACP31,AGO3:AGO60)+SUMIF(AGN3:AGN60,ACP31,AGP3:AGP60)</f>
        <v>0</v>
      </c>
      <c r="ACV31" s="319">
        <f t="shared" ref="ACV31:ACV34" ca="1" si="9825">ACT31-ACU31+1000</f>
        <v>1000</v>
      </c>
      <c r="ACW31" s="319">
        <f t="shared" ref="ACW31:ACW34" ca="1" si="9826">ACQ31*3+ACR31*1</f>
        <v>0</v>
      </c>
      <c r="ACX31" s="319">
        <f t="shared" si="810"/>
        <v>50</v>
      </c>
      <c r="ACY31" s="319">
        <f t="shared" ref="ACY31" ca="1" si="9827">IF(COUNTIF(ACW31:ACW35,4)&lt;&gt;4,RANK(ACW31,ACW31:ACW35),ACW71)</f>
        <v>1</v>
      </c>
      <c r="ACZ31" s="319"/>
      <c r="ADA31" s="319">
        <f t="shared" ref="ADA31" ca="1" si="9828">SUMPRODUCT((ACY31:ACY34=ACY31)*(ACX31:ACX34&lt;ACX31))+ACY31</f>
        <v>4</v>
      </c>
      <c r="ADB31" s="319" t="str">
        <f t="shared" ref="ADB31" ca="1" si="9829">INDEX(ACP31:ACP35,MATCH(1,ADA31:ADA35,0),0)</f>
        <v>Ukraine</v>
      </c>
      <c r="ADC31" s="319">
        <f t="shared" ref="ADC31" ca="1" si="9830">INDEX(ACY31:ACY35,MATCH(ADB31,ACP31:ACP35,0),0)</f>
        <v>1</v>
      </c>
      <c r="ADD31" s="319" t="str">
        <f t="shared" ref="ADD31" ca="1" si="9831">IF(ADC32=1,ADB31,"")</f>
        <v>Ukraine</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Ukraine</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f t="shared" ref="ADP31:ADP34" ca="1" si="9842">IF(ADI31&lt;&gt;"",ADJ31*3+ADK31*1,"")</f>
        <v>0</v>
      </c>
      <c r="ADQ31" s="319">
        <f t="shared" ref="ADQ31" ca="1" si="9843">IF(ADI31&lt;&gt;"",VLOOKUP(ADI31,ACP4:ACV40,7,FALSE),"")</f>
        <v>1000</v>
      </c>
      <c r="ADR31" s="319">
        <f t="shared" ref="ADR31" ca="1" si="9844">IF(ADI31&lt;&gt;"",VLOOKUP(ADI31,ACP4:ACV40,5,FALSE),"")</f>
        <v>0</v>
      </c>
      <c r="ADS31" s="319">
        <f t="shared" ref="ADS31" ca="1" si="9845">IF(ADI31&lt;&gt;"",VLOOKUP(ADI31,ACP4:ACX40,9,FALSE),"")</f>
        <v>0</v>
      </c>
      <c r="ADT31" s="319">
        <f t="shared" ref="ADT31:ADT34" ca="1" si="9846">ADP31</f>
        <v>0</v>
      </c>
      <c r="ADU31" s="319">
        <f t="shared" ref="ADU31" ca="1" si="9847">IF(ADI31&lt;&gt;"",RANK(ADT31,ADT31:ADT35),"")</f>
        <v>1</v>
      </c>
      <c r="ADV31" s="319">
        <f t="shared" ref="ADV31" ca="1" si="9848">IF(ADI31&lt;&gt;"",SUMPRODUCT((ADT31:ADT35=ADT31)*(ADO31:ADO35&gt;ADO31)),"")</f>
        <v>0</v>
      </c>
      <c r="ADW31" s="319">
        <f t="shared" ref="ADW31" ca="1" si="9849">IF(ADI31&lt;&gt;"",SUMPRODUCT((ADT31:ADT35=ADT31)*(ADO31:ADO35=ADO31)*(ADM31:ADM35&gt;ADM31)),"")</f>
        <v>0</v>
      </c>
      <c r="ADX31" s="319">
        <f t="shared" ref="ADX31" ca="1" si="9850">IF(ADI31&lt;&gt;"",SUMPRODUCT((ADT31:ADT35=ADT31)*(ADO31:ADO35=ADO31)*(ADM31:ADM35=ADM31)*(ADQ31:ADQ35&gt;ADQ31)),"")</f>
        <v>0</v>
      </c>
      <c r="ADY31" s="319">
        <f t="shared" ref="ADY31" ca="1" si="9851">IF(ADI31&lt;&gt;"",SUMPRODUCT((ADT31:ADT35=ADT31)*(ADO31:ADO35=ADO31)*(ADM31:ADM35=ADM31)*(ADQ31:ADQ35=ADQ31)*(ADR31:ADR35&gt;ADR31)),"")</f>
        <v>0</v>
      </c>
      <c r="ADZ31" s="319">
        <f t="shared" ref="ADZ31" ca="1" si="9852">IF(ADI31&lt;&gt;"",SUMPRODUCT((ADT31:ADT35=ADT31)*(ADO31:ADO35=ADO31)*(ADM31:ADM35=ADM31)*(ADQ31:ADQ35=ADQ31)*(ADR31:ADR35=ADR31)*(ADS31:ADS35&gt;ADS31)),"")</f>
        <v>3</v>
      </c>
      <c r="AEA31" s="319">
        <f ca="1">IF(ADI31&lt;&gt;"",IF(AEA71&lt;&gt;"",IF(ADH70=3,AEA71,AEA71+ADH70),SUM(ADU31:ADZ31)),"")</f>
        <v>4</v>
      </c>
      <c r="AEB31" s="319" t="str">
        <f t="shared" ref="AEB31" ca="1" si="9853">IF(ADI31&lt;&gt;"",INDEX(ADI31:ADI35,MATCH(1,AEA31:AEA35,0),0),"")</f>
        <v>Belgium</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
      </c>
      <c r="AGS31" s="319" t="str">
        <f t="shared" ca="1" si="5665"/>
        <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Romania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0</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0</v>
      </c>
      <c r="AHS31" s="319">
        <f t="shared" ref="AHS31" ca="1" si="9862">SUMIF(ALO3:ALO60,AHN31,ALM3:ALM60)+SUMIF(ALL3:ALL60,AHN31,ALN3:ALN60)</f>
        <v>0</v>
      </c>
      <c r="AHT31" s="319">
        <f t="shared" ref="AHT31:AHT34" ca="1" si="9863">AHR31-AHS31+1000</f>
        <v>1000</v>
      </c>
      <c r="AHU31" s="319">
        <f t="shared" ref="AHU31:AHU34" ca="1" si="9864">AHO31*3+AHP31*1</f>
        <v>0</v>
      </c>
      <c r="AHV31" s="319">
        <f t="shared" si="870"/>
        <v>50</v>
      </c>
      <c r="AHW31" s="319">
        <f t="shared" ref="AHW31" ca="1" si="9865">IF(COUNTIF(AHU31:AHU35,4)&lt;&gt;4,RANK(AHU31,AHU31:AHU35),AHU71)</f>
        <v>1</v>
      </c>
      <c r="AHX31" s="319"/>
      <c r="AHY31" s="319">
        <f t="shared" ref="AHY31" ca="1" si="9866">SUMPRODUCT((AHW31:AHW34=AHW31)*(AHV31:AHV34&lt;AHV31))+AHW31</f>
        <v>4</v>
      </c>
      <c r="AHZ31" s="319" t="str">
        <f t="shared" ref="AHZ31" ca="1" si="9867">INDEX(AHN31:AHN35,MATCH(1,AHY31:AHY35,0),0)</f>
        <v>Ukraine</v>
      </c>
      <c r="AIA31" s="319">
        <f t="shared" ref="AIA31" ca="1" si="9868">INDEX(AHW31:AHW35,MATCH(AHZ31,AHN31:AHN35,0),0)</f>
        <v>1</v>
      </c>
      <c r="AIB31" s="319" t="str">
        <f t="shared" ref="AIB31" ca="1" si="9869">IF(AIA32=1,AHZ31,"")</f>
        <v>Ukraine</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Ukraine</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f t="shared" ref="AIN31:AIN34" ca="1" si="9880">IF(AIG31&lt;&gt;"",AIH31*3+AII31*1,"")</f>
        <v>0</v>
      </c>
      <c r="AIO31" s="319">
        <f t="shared" ref="AIO31" ca="1" si="9881">IF(AIG31&lt;&gt;"",VLOOKUP(AIG31,AHN4:AHT40,7,FALSE),"")</f>
        <v>1000</v>
      </c>
      <c r="AIP31" s="319">
        <f t="shared" ref="AIP31" ca="1" si="9882">IF(AIG31&lt;&gt;"",VLOOKUP(AIG31,AHN4:AHT40,5,FALSE),"")</f>
        <v>0</v>
      </c>
      <c r="AIQ31" s="319">
        <f t="shared" ref="AIQ31" ca="1" si="9883">IF(AIG31&lt;&gt;"",VLOOKUP(AIG31,AHN4:AHV40,9,FALSE),"")</f>
        <v>0</v>
      </c>
      <c r="AIR31" s="319">
        <f t="shared" ref="AIR31:AIR34" ca="1" si="9884">AIN31</f>
        <v>0</v>
      </c>
      <c r="AIS31" s="319">
        <f t="shared" ref="AIS31" ca="1" si="9885">IF(AIG31&lt;&gt;"",RANK(AIR31,AIR31:AIR35),"")</f>
        <v>1</v>
      </c>
      <c r="AIT31" s="319">
        <f t="shared" ref="AIT31" ca="1" si="9886">IF(AIG31&lt;&gt;"",SUMPRODUCT((AIR31:AIR35=AIR31)*(AIM31:AIM35&gt;AIM31)),"")</f>
        <v>0</v>
      </c>
      <c r="AIU31" s="319">
        <f t="shared" ref="AIU31" ca="1" si="9887">IF(AIG31&lt;&gt;"",SUMPRODUCT((AIR31:AIR35=AIR31)*(AIM31:AIM35=AIM31)*(AIK31:AIK35&gt;AIK31)),"")</f>
        <v>0</v>
      </c>
      <c r="AIV31" s="319">
        <f t="shared" ref="AIV31" ca="1" si="9888">IF(AIG31&lt;&gt;"",SUMPRODUCT((AIR31:AIR35=AIR31)*(AIM31:AIM35=AIM31)*(AIK31:AIK35=AIK31)*(AIO31:AIO35&gt;AIO31)),"")</f>
        <v>0</v>
      </c>
      <c r="AIW31" s="319">
        <f t="shared" ref="AIW31" ca="1" si="9889">IF(AIG31&lt;&gt;"",SUMPRODUCT((AIR31:AIR35=AIR31)*(AIM31:AIM35=AIM31)*(AIK31:AIK35=AIK31)*(AIO31:AIO35=AIO31)*(AIP31:AIP35&gt;AIP31)),"")</f>
        <v>0</v>
      </c>
      <c r="AIX31" s="319">
        <f t="shared" ref="AIX31" ca="1" si="9890">IF(AIG31&lt;&gt;"",SUMPRODUCT((AIR31:AIR35=AIR31)*(AIM31:AIM35=AIM31)*(AIK31:AIK35=AIK31)*(AIO31:AIO35=AIO31)*(AIP31:AIP35=AIP31)*(AIQ31:AIQ35&gt;AIQ31)),"")</f>
        <v>3</v>
      </c>
      <c r="AIY31" s="319">
        <f ca="1">IF(AIG31&lt;&gt;"",IF(AIY71&lt;&gt;"",IF(AIF70=3,AIY71,AIY71+AIF70),SUM(AIS31:AIX31)),"")</f>
        <v>4</v>
      </c>
      <c r="AIZ31" s="319" t="str">
        <f t="shared" ref="AIZ31" ca="1" si="9891">IF(AIG31&lt;&gt;"",INDEX(AIG31:AIG35,MATCH(1,AIY31:AIY35,0),0),"")</f>
        <v>Belgium</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0</v>
      </c>
      <c r="ALN31" s="322">
        <f ca="1">IF(OFFSET('Player Game Board'!Q38,0,ALM1)&lt;&gt;"",OFFSET('Player Game Board'!Q38,0,ALM1),0)</f>
        <v>0</v>
      </c>
      <c r="ALO31" s="319" t="str">
        <f t="shared" si="83"/>
        <v>Slovenia</v>
      </c>
      <c r="ALP31" s="319" t="str">
        <f ca="1">IF(AND(OFFSET('Player Game Board'!P38,0,ALM1)&lt;&gt;"",OFFSET('Player Game Board'!Q38,0,ALM1)&lt;&gt;""),IF(ALM31&gt;ALN31,"W",IF(ALM31=ALN31,"D","L")),"")</f>
        <v/>
      </c>
      <c r="ALQ31" s="319" t="str">
        <f t="shared" ca="1" si="5720"/>
        <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1</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2</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1000</v>
      </c>
      <c r="AB32" s="319">
        <f t="shared" si="9694"/>
        <v>3</v>
      </c>
      <c r="AC32" s="319">
        <f>IF(U32&lt;&gt;"",VLOOKUP(U32,B4:H40,7,FALSE),"")</f>
        <v>1000</v>
      </c>
      <c r="AD32" s="319">
        <f>IF(U32&lt;&gt;"",VLOOKUP(U32,B4:H40,5,FALSE),"")</f>
        <v>2</v>
      </c>
      <c r="AE32" s="319">
        <f>IF(U32&lt;&gt;"",VLOOKUP(U32,B4:J40,9,FALSE),"")</f>
        <v>38</v>
      </c>
      <c r="AF32" s="319">
        <f t="shared" si="9695"/>
        <v>3</v>
      </c>
      <c r="AG32" s="319">
        <f>IF(U32&lt;&gt;"",RANK(AF32,AF31:AF35),"")</f>
        <v>1</v>
      </c>
      <c r="AH32" s="319">
        <f>IF(U32&lt;&gt;"",SUMPRODUCT((AF31:AF35=AF32)*(AA31:AA35&gt;AA32)),"")</f>
        <v>2</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Belgium</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Belgium</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102</v>
      </c>
      <c r="DW32" s="319" t="str">
        <f>VLOOKUP(1,A37:B40,2,FALSE)</f>
        <v>Portugal</v>
      </c>
      <c r="DX32" s="319"/>
      <c r="DY32" s="319">
        <f ca="1">VLOOKUP(DZ32,HU31:HV35,2,FALSE)</f>
        <v>4</v>
      </c>
      <c r="DZ32" s="319" t="str">
        <f t="shared" ref="DZ32:DZ34" si="10049">B32</f>
        <v>Slovakia</v>
      </c>
      <c r="EA32" s="319">
        <f ca="1">SUMPRODUCT((HX3:HX42=DZ32)*(IB3:IB42="W"))+SUMPRODUCT((IA3:IA42=DZ32)*(IC3:IC42="W"))</f>
        <v>0</v>
      </c>
      <c r="EB32" s="319">
        <f ca="1">SUMPRODUCT((HX3:HX42=DZ32)*(IB3:IB42="D"))+SUMPRODUCT((IA3:IA42=DZ32)*(IC3:IC42="D"))</f>
        <v>1</v>
      </c>
      <c r="EC32" s="319">
        <f ca="1">SUMPRODUCT((HX3:HX42=DZ32)*(IB3:IB42="L"))+SUMPRODUCT((IA3:IA42=DZ32)*(IC3:IC42="L"))</f>
        <v>2</v>
      </c>
      <c r="ED32" s="319">
        <f ca="1">SUMIF(HX3:HX60,DZ32,HY3:HY60)+SUMIF(IA3:IA60,DZ32,HZ3:HZ60)</f>
        <v>1</v>
      </c>
      <c r="EE32" s="319">
        <f ca="1">SUMIF(IA3:IA60,DZ32,HY3:HY60)+SUMIF(HX3:HX60,DZ32,HZ3:HZ60)</f>
        <v>3</v>
      </c>
      <c r="EF32" s="319">
        <f t="shared" ca="1" si="9696"/>
        <v>998</v>
      </c>
      <c r="EG32" s="319">
        <f t="shared" ca="1" si="9697"/>
        <v>1</v>
      </c>
      <c r="EH32" s="319">
        <f t="shared" si="609"/>
        <v>38</v>
      </c>
      <c r="EI32" s="319">
        <f ca="1">IF(COUNTIF(EG31:EG35,4)&lt;&gt;4,RANK(EG32,EG31:EG35),EG72)</f>
        <v>4</v>
      </c>
      <c r="EJ32" s="319"/>
      <c r="EK32" s="319">
        <f ca="1">SUMPRODUCT((EI31:EI34=EI32)*(EH31:EH34&lt;EH32))+EI32</f>
        <v>4</v>
      </c>
      <c r="EL32" s="319" t="str">
        <f ca="1">INDEX(DZ31:DZ35,MATCH(2,EK31:EK35,0),0)</f>
        <v>Ukraine</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Ukraine</v>
      </c>
      <c r="HV32" s="319">
        <v>2</v>
      </c>
      <c r="HW32" s="319">
        <v>30</v>
      </c>
      <c r="HX32" s="319" t="str">
        <f t="shared" si="164"/>
        <v>Denmark</v>
      </c>
      <c r="HY32" s="322">
        <f ca="1">IF(OFFSET('Player Game Board'!P39,0,HY1)&lt;&gt;"",OFFSET('Player Game Board'!P39,0,HY1),0)</f>
        <v>1</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102</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0</v>
      </c>
      <c r="IZ32" s="319">
        <f ca="1">SUMPRODUCT((MV3:MV42=IX32)*(MZ3:MZ42="D"))+SUMPRODUCT((MY3:MY42=IX32)*(NA3:NA42="D"))</f>
        <v>1</v>
      </c>
      <c r="JA32" s="319">
        <f ca="1">SUMPRODUCT((MV3:MV42=IX32)*(MZ3:MZ42="L"))+SUMPRODUCT((MY3:MY42=IX32)*(NA3:NA42="L"))</f>
        <v>2</v>
      </c>
      <c r="JB32" s="319">
        <f ca="1">SUMIF(MV3:MV60,IX32,MW3:MW60)+SUMIF(MY3:MY60,IX32,MX3:MX60)</f>
        <v>2</v>
      </c>
      <c r="JC32" s="319">
        <f ca="1">SUMIF(MY3:MY60,IX32,MW3:MW60)+SUMIF(MV3:MV60,IX32,MX3:MX60)</f>
        <v>4</v>
      </c>
      <c r="JD32" s="319">
        <f t="shared" ca="1" si="9700"/>
        <v>998</v>
      </c>
      <c r="JE32" s="319">
        <f t="shared" ca="1" si="9701"/>
        <v>1</v>
      </c>
      <c r="JF32" s="319">
        <f t="shared" si="618"/>
        <v>38</v>
      </c>
      <c r="JG32" s="319">
        <f ca="1">IF(COUNTIF(JE31:JE35,4)&lt;&gt;4,RANK(JE32,JE31:JE35),JE72)</f>
        <v>3</v>
      </c>
      <c r="JH32" s="319"/>
      <c r="JI32" s="319">
        <f ca="1">SUMPRODUCT((JG31:JG34=JG32)*(JF31:JF34&lt;JF32))+JG32</f>
        <v>3</v>
      </c>
      <c r="JJ32" s="319" t="str">
        <f ca="1">INDEX(IX31:IX35,MATCH(2,JI31:JI35,0),0)</f>
        <v>Belgium</v>
      </c>
      <c r="JK32" s="319">
        <f ca="1">INDEX(JG31:JG35,MATCH(JJ32,IX31:IX35,0),0)</f>
        <v>1</v>
      </c>
      <c r="JL32" s="319" t="str">
        <f ca="1">IF(JL31&lt;&gt;"",JJ32,"")</f>
        <v>Belgium</v>
      </c>
      <c r="JM32" s="319" t="str">
        <f ca="1">IF(JM31&lt;&gt;"",JJ33,"")</f>
        <v/>
      </c>
      <c r="JN32" s="319" t="str">
        <f ca="1">IF(JN31&lt;&gt;"",JJ34,"")</f>
        <v>Romania</v>
      </c>
      <c r="JO32" s="319" t="str">
        <f>IF(JO31&lt;&gt;"",JJ35,"")</f>
        <v/>
      </c>
      <c r="JP32" s="319"/>
      <c r="JQ32" s="319" t="str">
        <f t="shared" ref="JQ32:JQ34" ca="1" si="10054">IF(JL32&lt;&gt;"",JL32,"")</f>
        <v>Belgium</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1</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1</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1</v>
      </c>
      <c r="JW32" s="319">
        <f ca="1">JU32-JV32+1000</f>
        <v>1000</v>
      </c>
      <c r="JX32" s="319">
        <f t="shared" ca="1" si="9702"/>
        <v>1</v>
      </c>
      <c r="JY32" s="319">
        <f ca="1">IF(JQ32&lt;&gt;"",VLOOKUP(JQ32,IX4:JD40,7,FALSE),"")</f>
        <v>1003</v>
      </c>
      <c r="JZ32" s="319">
        <f ca="1">IF(JQ32&lt;&gt;"",VLOOKUP(JQ32,IX4:JD40,5,FALSE),"")</f>
        <v>5</v>
      </c>
      <c r="KA32" s="319">
        <f ca="1">IF(JQ32&lt;&gt;"",VLOOKUP(JQ32,IX4:JF40,9,FALSE),"")</f>
        <v>50</v>
      </c>
      <c r="KB32" s="319">
        <f t="shared" ca="1" si="9703"/>
        <v>1</v>
      </c>
      <c r="KC32" s="319">
        <f ca="1">IF(JQ32&lt;&gt;"",RANK(KB32,KB31:KB35),"")</f>
        <v>1</v>
      </c>
      <c r="KD32" s="319">
        <f ca="1">IF(JQ32&lt;&gt;"",SUMPRODUCT((KB31:KB35=KB32)*(JW31:JW35&gt;JW32)),"")</f>
        <v>0</v>
      </c>
      <c r="KE32" s="319">
        <f ca="1">IF(JQ32&lt;&gt;"",SUMPRODUCT((KB31:KB35=KB32)*(JW31:JW35=JW32)*(JU31:JU35&gt;JU32)),"")</f>
        <v>0</v>
      </c>
      <c r="KF32" s="319">
        <f ca="1">IF(JQ32&lt;&gt;"",SUMPRODUCT((KB31:KB35=KB32)*(JW31:JW35=JW32)*(JU31:JU35=JU32)*(JY31:JY35&gt;JY32)),"")</f>
        <v>0</v>
      </c>
      <c r="KG32" s="319">
        <f ca="1">IF(JQ32&lt;&gt;"",SUMPRODUCT((KB31:KB35=KB32)*(JW31:JW35=JW32)*(JU31:JU35=JU32)*(JY31:JY35=JY32)*(JZ31:JZ35&gt;JZ32)),"")</f>
        <v>0</v>
      </c>
      <c r="KH32" s="319">
        <f ca="1">IF(JQ32&lt;&gt;"",SUMPRODUCT((KB31:KB35=KB32)*(JW31:JW35=JW32)*(JU31:JU35=JU32)*(JY31:JY35=JY32)*(JZ31:JZ35=JZ32)*(KA31:KA35&gt;KA32)),"")</f>
        <v>0</v>
      </c>
      <c r="KI32" s="319">
        <f ca="1">IF(JQ32&lt;&gt;"",IF(KI72&lt;&gt;"",IF(JP70=3,KI72,KI72+JP70),SUM(KC32:KH32)),"")</f>
        <v>1</v>
      </c>
      <c r="KJ32" s="319" t="str">
        <f ca="1">IF(JQ32&lt;&gt;"",INDEX(JQ31:JQ35,MATCH(2,KI31:KI35,0),0),"")</f>
        <v>Ukraine</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0</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102</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0</v>
      </c>
      <c r="NX32" s="319">
        <f t="shared" ref="NX32" ca="1" si="10059">SUMPRODUCT((RT3:RT42=NV32)*(RX3:RX42="D"))+SUMPRODUCT((RW3:RW42=NV32)*(RY3:RY42="D"))</f>
        <v>0</v>
      </c>
      <c r="NY32" s="319">
        <f t="shared" ref="NY32" ca="1" si="10060">SUMPRODUCT((RT3:RT42=NV32)*(RX3:RX42="L"))+SUMPRODUCT((RW3:RW42=NV32)*(RY3:RY42="L"))</f>
        <v>0</v>
      </c>
      <c r="NZ32" s="319">
        <f t="shared" ref="NZ32" ca="1" si="10061">SUMIF(RT3:RT60,NV32,RU3:RU60)+SUMIF(RW3:RW60,NV32,RV3:RV60)</f>
        <v>0</v>
      </c>
      <c r="OA32" s="319">
        <f t="shared" ref="OA32" ca="1" si="10062">SUMIF(RW3:RW60,NV32,RU3:RU60)+SUMIF(RT3:RT60,NV32,RV3:RV60)</f>
        <v>0</v>
      </c>
      <c r="OB32" s="319">
        <f t="shared" ca="1" si="9711"/>
        <v>1000</v>
      </c>
      <c r="OC32" s="319">
        <f t="shared" ca="1" si="9712"/>
        <v>0</v>
      </c>
      <c r="OD32" s="319">
        <f t="shared" si="630"/>
        <v>38</v>
      </c>
      <c r="OE32" s="319">
        <f t="shared" ref="OE32" ca="1" si="10063">IF(COUNTIF(OC31:OC35,4)&lt;&gt;4,RANK(OC32,OC31:OC35),OC72)</f>
        <v>1</v>
      </c>
      <c r="OF32" s="319"/>
      <c r="OG32" s="319">
        <f t="shared" ref="OG32" ca="1" si="10064">SUMPRODUCT((OE31:OE34=OE32)*(OD31:OD34&lt;OD32))+OE32</f>
        <v>2</v>
      </c>
      <c r="OH32" s="319" t="str">
        <f t="shared" ref="OH32" ca="1" si="10065">INDEX(NV31:NV35,MATCH(2,OG31:OG35,0),0)</f>
        <v>Slovakia</v>
      </c>
      <c r="OI32" s="319">
        <f t="shared" ref="OI32" ca="1" si="10066">INDEX(OE31:OE35,MATCH(OH32,NV31:NV35,0),0)</f>
        <v>1</v>
      </c>
      <c r="OJ32" s="319" t="str">
        <f t="shared" ref="OJ32" ca="1" si="10067">IF(OJ31&lt;&gt;"",OH32,"")</f>
        <v>Slovakia</v>
      </c>
      <c r="OK32" s="319" t="str">
        <f t="shared" ref="OK32" ca="1" si="10068">IF(OK31&lt;&gt;"",OH33,"")</f>
        <v/>
      </c>
      <c r="OL32" s="319" t="str">
        <f t="shared" ref="OL32" ca="1" si="10069">IF(OL31&lt;&gt;"",OH34,"")</f>
        <v/>
      </c>
      <c r="OM32" s="319" t="str">
        <f t="shared" ref="OM32" si="10070">IF(OM31&lt;&gt;"",OH35,"")</f>
        <v/>
      </c>
      <c r="ON32" s="319"/>
      <c r="OO32" s="319" t="str">
        <f t="shared" ca="1" si="9721"/>
        <v>Slovakia</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f t="shared" ca="1" si="9728"/>
        <v>0</v>
      </c>
      <c r="OW32" s="319">
        <f t="shared" ref="OW32" ca="1" si="10076">IF(OO32&lt;&gt;"",VLOOKUP(OO32,NV4:OB40,7,FALSE),"")</f>
        <v>1000</v>
      </c>
      <c r="OX32" s="319">
        <f t="shared" ref="OX32" ca="1" si="10077">IF(OO32&lt;&gt;"",VLOOKUP(OO32,NV4:OB40,5,FALSE),"")</f>
        <v>0</v>
      </c>
      <c r="OY32" s="319">
        <f t="shared" ref="OY32" ca="1" si="10078">IF(OO32&lt;&gt;"",VLOOKUP(OO32,NV4:OD40,9,FALSE),"")</f>
        <v>38</v>
      </c>
      <c r="OZ32" s="319">
        <f t="shared" ca="1" si="9732"/>
        <v>0</v>
      </c>
      <c r="PA32" s="319">
        <f t="shared" ref="PA32" ca="1" si="10079">IF(OO32&lt;&gt;"",RANK(OZ32,OZ31:OZ35),"")</f>
        <v>1</v>
      </c>
      <c r="PB32" s="319">
        <f t="shared" ref="PB32" ca="1" si="10080">IF(OO32&lt;&gt;"",SUMPRODUCT((OZ31:OZ35=OZ32)*(OU31:OU35&gt;OU32)),"")</f>
        <v>0</v>
      </c>
      <c r="PC32" s="319">
        <f t="shared" ref="PC32" ca="1" si="10081">IF(OO32&lt;&gt;"",SUMPRODUCT((OZ31:OZ35=OZ32)*(OU31:OU35=OU32)*(OS31:OS35&gt;OS32)),"")</f>
        <v>0</v>
      </c>
      <c r="PD32" s="319">
        <f t="shared" ref="PD32" ca="1" si="10082">IF(OO32&lt;&gt;"",SUMPRODUCT((OZ31:OZ35=OZ32)*(OU31:OU35=OU32)*(OS31:OS35=OS32)*(OW31:OW35&gt;OW32)),"")</f>
        <v>0</v>
      </c>
      <c r="PE32" s="319">
        <f t="shared" ref="PE32" ca="1" si="10083">IF(OO32&lt;&gt;"",SUMPRODUCT((OZ31:OZ35=OZ32)*(OU31:OU35=OU32)*(OS31:OS35=OS32)*(OW31:OW35=OW32)*(OX31:OX35&gt;OX32)),"")</f>
        <v>0</v>
      </c>
      <c r="PF32" s="319">
        <f t="shared" ref="PF32" ca="1" si="10084">IF(OO32&lt;&gt;"",SUMPRODUCT((OZ31:OZ35=OZ32)*(OU31:OU35=OU32)*(OS31:OS35=OS32)*(OW31:OW35=OW32)*(OX31:OX35=OX32)*(OY31:OY35&gt;OY32)),"")</f>
        <v>2</v>
      </c>
      <c r="PG32" s="319">
        <f ca="1">IF(OO32&lt;&gt;"",IF(PG72&lt;&gt;"",IF(ON70=3,PG72,PG72+ON70),SUM(PA32:PF32)),"")</f>
        <v>3</v>
      </c>
      <c r="PH32" s="319" t="str">
        <f t="shared" ref="PH32" ca="1" si="10085">IF(OO32&lt;&gt;"",INDEX(OO31:OO35,MATCH(2,PG31:PG35,0),0),"")</f>
        <v>Romania</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Romania</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
      </c>
      <c r="RY32" s="319" t="str">
        <f t="shared" ca="1" si="5500"/>
        <v/>
      </c>
      <c r="RZ32" s="319"/>
      <c r="SA32" s="319"/>
      <c r="SB32" s="319"/>
      <c r="SC32" s="320"/>
      <c r="SD32" s="320"/>
      <c r="SE32" s="320"/>
      <c r="SF32" s="320"/>
      <c r="SG32" s="320"/>
      <c r="SH32" s="320"/>
      <c r="SI32" s="320"/>
      <c r="SJ32" s="319"/>
      <c r="SK32" s="319"/>
      <c r="SL32" s="319"/>
      <c r="SM32" s="319"/>
      <c r="SN32" s="319"/>
      <c r="SO32" s="319"/>
      <c r="SP32" s="319" t="s">
        <v>102</v>
      </c>
      <c r="SQ32" s="319" t="str">
        <f t="shared" ref="SQ32" ca="1" si="10106">VLOOKUP(1,NU37:NV40,2,FALSE)</f>
        <v>Portugal</v>
      </c>
      <c r="SR32" s="325">
        <f t="shared" ca="1" si="5095"/>
        <v>1</v>
      </c>
      <c r="SS32" s="319">
        <f t="shared" ref="SS32" ca="1" si="10107">VLOOKUP(ST32,WO31:WP35,2,FALSE)</f>
        <v>3</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0</v>
      </c>
      <c r="SX32" s="319">
        <f t="shared" ref="SX32" ca="1" si="10111">SUMIF(WR3:WR60,ST32,WS3:WS60)+SUMIF(WU3:WU60,ST32,WT3:WT60)</f>
        <v>0</v>
      </c>
      <c r="SY32" s="319">
        <f t="shared" ref="SY32" ca="1" si="10112">SUMIF(WU3:WU60,ST32,WS3:WS60)+SUMIF(WR3:WR60,ST32,WT3:WT60)</f>
        <v>0</v>
      </c>
      <c r="SZ32" s="319">
        <f t="shared" ca="1" si="9749"/>
        <v>1000</v>
      </c>
      <c r="TA32" s="319">
        <f t="shared" ca="1" si="9750"/>
        <v>0</v>
      </c>
      <c r="TB32" s="319">
        <f t="shared" si="690"/>
        <v>38</v>
      </c>
      <c r="TC32" s="319">
        <f t="shared" ref="TC32" ca="1" si="10113">IF(COUNTIF(TA31:TA35,4)&lt;&gt;4,RANK(TA32,TA31:TA35),TA72)</f>
        <v>1</v>
      </c>
      <c r="TD32" s="319"/>
      <c r="TE32" s="319">
        <f t="shared" ref="TE32" ca="1" si="10114">SUMPRODUCT((TC31:TC34=TC32)*(TB31:TB34&lt;TB32))+TC32</f>
        <v>2</v>
      </c>
      <c r="TF32" s="319" t="str">
        <f t="shared" ref="TF32" ca="1" si="10115">INDEX(ST31:ST35,MATCH(2,TE31:TE35,0),0)</f>
        <v>Slovakia</v>
      </c>
      <c r="TG32" s="319">
        <f t="shared" ref="TG32" ca="1" si="10116">INDEX(TC31:TC35,MATCH(TF32,ST31:ST35,0),0)</f>
        <v>1</v>
      </c>
      <c r="TH32" s="319" t="str">
        <f t="shared" ref="TH32" ca="1" si="10117">IF(TH31&lt;&gt;"",TF32,"")</f>
        <v>Slovakia</v>
      </c>
      <c r="TI32" s="319" t="str">
        <f t="shared" ref="TI32" ca="1" si="10118">IF(TI31&lt;&gt;"",TF33,"")</f>
        <v/>
      </c>
      <c r="TJ32" s="319" t="str">
        <f t="shared" ref="TJ32" ca="1" si="10119">IF(TJ31&lt;&gt;"",TF34,"")</f>
        <v/>
      </c>
      <c r="TK32" s="319" t="str">
        <f t="shared" ref="TK32" si="10120">IF(TK31&lt;&gt;"",TF35,"")</f>
        <v/>
      </c>
      <c r="TL32" s="319"/>
      <c r="TM32" s="319" t="str">
        <f t="shared" ca="1" si="9759"/>
        <v>Slovakia</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f t="shared" ca="1" si="9766"/>
        <v>0</v>
      </c>
      <c r="TU32" s="319">
        <f t="shared" ref="TU32" ca="1" si="10126">IF(TM32&lt;&gt;"",VLOOKUP(TM32,ST4:SZ40,7,FALSE),"")</f>
        <v>1000</v>
      </c>
      <c r="TV32" s="319">
        <f t="shared" ref="TV32" ca="1" si="10127">IF(TM32&lt;&gt;"",VLOOKUP(TM32,ST4:SZ40,5,FALSE),"")</f>
        <v>0</v>
      </c>
      <c r="TW32" s="319">
        <f t="shared" ref="TW32" ca="1" si="10128">IF(TM32&lt;&gt;"",VLOOKUP(TM32,ST4:TB40,9,FALSE),"")</f>
        <v>38</v>
      </c>
      <c r="TX32" s="319">
        <f t="shared" ca="1" si="9770"/>
        <v>0</v>
      </c>
      <c r="TY32" s="319">
        <f t="shared" ref="TY32" ca="1" si="10129">IF(TM32&lt;&gt;"",RANK(TX32,TX31:TX35),"")</f>
        <v>1</v>
      </c>
      <c r="TZ32" s="319">
        <f t="shared" ref="TZ32" ca="1" si="10130">IF(TM32&lt;&gt;"",SUMPRODUCT((TX31:TX35=TX32)*(TS31:TS35&gt;TS32)),"")</f>
        <v>0</v>
      </c>
      <c r="UA32" s="319">
        <f t="shared" ref="UA32" ca="1" si="10131">IF(TM32&lt;&gt;"",SUMPRODUCT((TX31:TX35=TX32)*(TS31:TS35=TS32)*(TQ31:TQ35&gt;TQ32)),"")</f>
        <v>0</v>
      </c>
      <c r="UB32" s="319">
        <f t="shared" ref="UB32" ca="1" si="10132">IF(TM32&lt;&gt;"",SUMPRODUCT((TX31:TX35=TX32)*(TS31:TS35=TS32)*(TQ31:TQ35=TQ32)*(TU31:TU35&gt;TU32)),"")</f>
        <v>0</v>
      </c>
      <c r="UC32" s="319">
        <f t="shared" ref="UC32" ca="1" si="10133">IF(TM32&lt;&gt;"",SUMPRODUCT((TX31:TX35=TX32)*(TS31:TS35=TS32)*(TQ31:TQ35=TQ32)*(TU31:TU35=TU32)*(TV31:TV35&gt;TV32)),"")</f>
        <v>0</v>
      </c>
      <c r="UD32" s="319">
        <f t="shared" ref="UD32" ca="1" si="10134">IF(TM32&lt;&gt;"",SUMPRODUCT((TX31:TX35=TX32)*(TS31:TS35=TS32)*(TQ31:TQ35=TQ32)*(TU31:TU35=TU32)*(TV31:TV35=TV32)*(TW31:TW35&gt;TW32)),"")</f>
        <v>2</v>
      </c>
      <c r="UE32" s="319">
        <f ca="1">IF(TM32&lt;&gt;"",IF(UE72&lt;&gt;"",IF(TL70=3,UE72,UE72+TL70),SUM(TY32:UD32)),"")</f>
        <v>3</v>
      </c>
      <c r="UF32" s="319" t="str">
        <f t="shared" ref="UF32" ca="1" si="10135">IF(TM32&lt;&gt;"",INDEX(TM31:TM35,MATCH(2,UE31:UE35,0),0),"")</f>
        <v>Romania</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0</v>
      </c>
      <c r="WT32" s="322">
        <f ca="1">IF(OFFSET('Player Game Board'!Q39,0,WS1)&lt;&gt;"",OFFSET('Player Game Board'!Q39,0,WS1),0)</f>
        <v>0</v>
      </c>
      <c r="WU32" s="319" t="str">
        <f t="shared" si="35"/>
        <v>Serbia</v>
      </c>
      <c r="WV32" s="319" t="str">
        <f ca="1">IF(AND(OFFSET('Player Game Board'!P39,0,WS1)&lt;&gt;"",OFFSET('Player Game Board'!Q39,0,WS1)&lt;&gt;""),IF(WS32&gt;WT32,"W",IF(WS32=WT32,"D","L")),"")</f>
        <v/>
      </c>
      <c r="WW32" s="319" t="str">
        <f t="shared" ca="1" si="5555"/>
        <v/>
      </c>
      <c r="WX32" s="319"/>
      <c r="WY32" s="319"/>
      <c r="WZ32" s="319"/>
      <c r="XA32" s="320"/>
      <c r="XB32" s="320"/>
      <c r="XC32" s="320"/>
      <c r="XD32" s="320"/>
      <c r="XE32" s="320"/>
      <c r="XF32" s="320"/>
      <c r="XG32" s="320"/>
      <c r="XH32" s="319"/>
      <c r="XI32" s="319"/>
      <c r="XJ32" s="319"/>
      <c r="XK32" s="319"/>
      <c r="XL32" s="319"/>
      <c r="XM32" s="319"/>
      <c r="XN32" s="319" t="s">
        <v>102</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102</v>
      </c>
      <c r="ACM32" s="319" t="str">
        <f t="shared" ref="ACM32" ca="1" si="10206">VLOOKUP(1,XQ37:XR40,2,FALSE)</f>
        <v>Türkiye</v>
      </c>
      <c r="ACN32" s="325">
        <f t="shared" ca="1" si="5181"/>
        <v>1</v>
      </c>
      <c r="ACO32" s="319">
        <f t="shared" ref="ACO32" ca="1" si="10207">VLOOKUP(ACP32,AGK31:AGL35,2,FALSE)</f>
        <v>3</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0</v>
      </c>
      <c r="ACS32" s="319">
        <f t="shared" ref="ACS32" ca="1" si="10210">SUMPRODUCT((AGN3:AGN42=ACP32)*(AGR3:AGR42="L"))+SUMPRODUCT((AGQ3:AGQ42=ACP32)*(AGS3:AGS42="L"))</f>
        <v>0</v>
      </c>
      <c r="ACT32" s="319">
        <f t="shared" ref="ACT32" ca="1" si="10211">SUMIF(AGN3:AGN60,ACP32,AGO3:AGO60)+SUMIF(AGQ3:AGQ60,ACP32,AGP3:AGP60)</f>
        <v>0</v>
      </c>
      <c r="ACU32" s="319">
        <f t="shared" ref="ACU32" ca="1" si="10212">SUMIF(AGQ3:AGQ60,ACP32,AGO3:AGO60)+SUMIF(AGN3:AGN60,ACP32,AGP3:AGP60)</f>
        <v>0</v>
      </c>
      <c r="ACV32" s="319">
        <f t="shared" ca="1" si="9825"/>
        <v>1000</v>
      </c>
      <c r="ACW32" s="319">
        <f t="shared" ca="1" si="9826"/>
        <v>0</v>
      </c>
      <c r="ACX32" s="319">
        <f t="shared" si="810"/>
        <v>38</v>
      </c>
      <c r="ACY32" s="319">
        <f t="shared" ref="ACY32" ca="1" si="10213">IF(COUNTIF(ACW31:ACW35,4)&lt;&gt;4,RANK(ACW32,ACW31:ACW35),ACW72)</f>
        <v>1</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1</v>
      </c>
      <c r="ADD32" s="319" t="str">
        <f t="shared" ref="ADD32" ca="1" si="10217">IF(ADD31&lt;&gt;"",ADB32,"")</f>
        <v>Slovakia</v>
      </c>
      <c r="ADE32" s="319" t="str">
        <f t="shared" ref="ADE32" ca="1" si="10218">IF(ADE31&lt;&gt;"",ADB33,"")</f>
        <v/>
      </c>
      <c r="ADF32" s="319" t="str">
        <f t="shared" ref="ADF32" ca="1" si="10219">IF(ADF31&lt;&gt;"",ADB34,"")</f>
        <v/>
      </c>
      <c r="ADG32" s="319" t="str">
        <f t="shared" ref="ADG32" si="10220">IF(ADG31&lt;&gt;"",ADB35,"")</f>
        <v/>
      </c>
      <c r="ADH32" s="319"/>
      <c r="ADI32" s="319" t="str">
        <f t="shared" ca="1" si="9835"/>
        <v>Slovakia</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f t="shared" ca="1" si="9842"/>
        <v>0</v>
      </c>
      <c r="ADQ32" s="319">
        <f t="shared" ref="ADQ32" ca="1" si="10226">IF(ADI32&lt;&gt;"",VLOOKUP(ADI32,ACP4:ACV40,7,FALSE),"")</f>
        <v>1000</v>
      </c>
      <c r="ADR32" s="319">
        <f t="shared" ref="ADR32" ca="1" si="10227">IF(ADI32&lt;&gt;"",VLOOKUP(ADI32,ACP4:ACV40,5,FALSE),"")</f>
        <v>0</v>
      </c>
      <c r="ADS32" s="319">
        <f t="shared" ref="ADS32" ca="1" si="10228">IF(ADI32&lt;&gt;"",VLOOKUP(ADI32,ACP4:ACX40,9,FALSE),"")</f>
        <v>38</v>
      </c>
      <c r="ADT32" s="319">
        <f t="shared" ca="1" si="9846"/>
        <v>0</v>
      </c>
      <c r="ADU32" s="319">
        <f t="shared" ref="ADU32" ca="1" si="10229">IF(ADI32&lt;&gt;"",RANK(ADT32,ADT31:ADT35),"")</f>
        <v>1</v>
      </c>
      <c r="ADV32" s="319">
        <f t="shared" ref="ADV32" ca="1" si="10230">IF(ADI32&lt;&gt;"",SUMPRODUCT((ADT31:ADT35=ADT32)*(ADO31:ADO35&gt;ADO32)),"")</f>
        <v>0</v>
      </c>
      <c r="ADW32" s="319">
        <f t="shared" ref="ADW32" ca="1" si="10231">IF(ADI32&lt;&gt;"",SUMPRODUCT((ADT31:ADT35=ADT32)*(ADO31:ADO35=ADO32)*(ADM31:ADM35&gt;ADM32)),"")</f>
        <v>0</v>
      </c>
      <c r="ADX32" s="319">
        <f t="shared" ref="ADX32" ca="1" si="10232">IF(ADI32&lt;&gt;"",SUMPRODUCT((ADT31:ADT35=ADT32)*(ADO31:ADO35=ADO32)*(ADM31:ADM35=ADM32)*(ADQ31:ADQ35&gt;ADQ32)),"")</f>
        <v>0</v>
      </c>
      <c r="ADY32" s="319">
        <f t="shared" ref="ADY32" ca="1" si="10233">IF(ADI32&lt;&gt;"",SUMPRODUCT((ADT31:ADT35=ADT32)*(ADO31:ADO35=ADO32)*(ADM31:ADM35=ADM32)*(ADQ31:ADQ35=ADQ32)*(ADR31:ADR35&gt;ADR32)),"")</f>
        <v>0</v>
      </c>
      <c r="ADZ32" s="319">
        <f t="shared" ref="ADZ32" ca="1" si="10234">IF(ADI32&lt;&gt;"",SUMPRODUCT((ADT31:ADT35=ADT32)*(ADO31:ADO35=ADO32)*(ADM31:ADM35=ADM32)*(ADQ31:ADQ35=ADQ32)*(ADR31:ADR35=ADR32)*(ADS31:ADS35&gt;ADS32)),"")</f>
        <v>2</v>
      </c>
      <c r="AEA32" s="319">
        <f ca="1">IF(ADI32&lt;&gt;"",IF(AEA72&lt;&gt;"",IF(ADH70=3,AEA72,AEA72+ADH70),SUM(ADU32:ADZ32)),"")</f>
        <v>3</v>
      </c>
      <c r="AEB32" s="319" t="str">
        <f t="shared" ref="AEB32" ca="1" si="10235">IF(ADI32&lt;&gt;"",INDEX(ADI31:ADI35,MATCH(2,AEA31:AEA35,0),0),"")</f>
        <v>Romania</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Romania</v>
      </c>
      <c r="AGL32" s="319">
        <v>2</v>
      </c>
      <c r="AGM32" s="319">
        <v>30</v>
      </c>
      <c r="AGN32" s="319" t="str">
        <f t="shared" si="66"/>
        <v>Denmark</v>
      </c>
      <c r="AGO32" s="322">
        <f ca="1">IF(OFFSET('Player Game Board'!P39,0,AGO1)&lt;&gt;"",OFFSET('Player Game Board'!P39,0,AGO1),0)</f>
        <v>0</v>
      </c>
      <c r="AGP32" s="322">
        <f ca="1">IF(OFFSET('Player Game Board'!Q39,0,AGO1)&lt;&gt;"",OFFSET('Player Game Board'!Q39,0,AGO1),0)</f>
        <v>0</v>
      </c>
      <c r="AGQ32" s="319" t="str">
        <f t="shared" si="67"/>
        <v>Serbia</v>
      </c>
      <c r="AGR32" s="319" t="str">
        <f ca="1">IF(AND(OFFSET('Player Game Board'!P39,0,AGO1)&lt;&gt;"",OFFSET('Player Game Board'!Q39,0,AGO1)&lt;&gt;""),IF(AGO32&gt;AGP32,"W",IF(AGO32=AGP32,"D","L")),"")</f>
        <v/>
      </c>
      <c r="AGS32" s="319" t="str">
        <f t="shared" ca="1" si="5665"/>
        <v/>
      </c>
      <c r="AGT32" s="319"/>
      <c r="AGU32" s="319"/>
      <c r="AGV32" s="319"/>
      <c r="AGW32" s="320"/>
      <c r="AGX32" s="320"/>
      <c r="AGY32" s="320"/>
      <c r="AGZ32" s="320"/>
      <c r="AHA32" s="320"/>
      <c r="AHB32" s="320"/>
      <c r="AHC32" s="320"/>
      <c r="AHD32" s="319"/>
      <c r="AHE32" s="319"/>
      <c r="AHF32" s="319"/>
      <c r="AHG32" s="319"/>
      <c r="AHH32" s="319"/>
      <c r="AHI32" s="319"/>
      <c r="AHJ32" s="319" t="s">
        <v>102</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0</v>
      </c>
      <c r="AHQ32" s="319">
        <f t="shared" ref="AHQ32" ca="1" si="10260">SUMPRODUCT((ALL3:ALL42=AHN32)*(ALP3:ALP42="L"))+SUMPRODUCT((ALO3:ALO42=AHN32)*(ALQ3:ALQ42="L"))</f>
        <v>0</v>
      </c>
      <c r="AHR32" s="319">
        <f t="shared" ref="AHR32" ca="1" si="10261">SUMIF(ALL3:ALL60,AHN32,ALM3:ALM60)+SUMIF(ALO3:ALO60,AHN32,ALN3:ALN60)</f>
        <v>0</v>
      </c>
      <c r="AHS32" s="319">
        <f t="shared" ref="AHS32" ca="1" si="10262">SUMIF(ALO3:ALO60,AHN32,ALM3:ALM60)+SUMIF(ALL3:ALL60,AHN32,ALN3:ALN60)</f>
        <v>0</v>
      </c>
      <c r="AHT32" s="319">
        <f t="shared" ca="1" si="9863"/>
        <v>1000</v>
      </c>
      <c r="AHU32" s="319">
        <f t="shared" ca="1" si="9864"/>
        <v>0</v>
      </c>
      <c r="AHV32" s="319">
        <f t="shared" si="870"/>
        <v>38</v>
      </c>
      <c r="AHW32" s="319">
        <f t="shared" ref="AHW32" ca="1" si="10263">IF(COUNTIF(AHU31:AHU35,4)&lt;&gt;4,RANK(AHU32,AHU31:AHU35),AHU72)</f>
        <v>1</v>
      </c>
      <c r="AHX32" s="319"/>
      <c r="AHY32" s="319">
        <f t="shared" ref="AHY32" ca="1" si="10264">SUMPRODUCT((AHW31:AHW34=AHW32)*(AHV31:AHV34&lt;AHV32))+AHW32</f>
        <v>2</v>
      </c>
      <c r="AHZ32" s="319" t="str">
        <f t="shared" ref="AHZ32" ca="1" si="10265">INDEX(AHN31:AHN35,MATCH(2,AHY31:AHY35,0),0)</f>
        <v>Slovakia</v>
      </c>
      <c r="AIA32" s="319">
        <f t="shared" ref="AIA32" ca="1" si="10266">INDEX(AHW31:AHW35,MATCH(AHZ32,AHN31:AHN35,0),0)</f>
        <v>1</v>
      </c>
      <c r="AIB32" s="319" t="str">
        <f t="shared" ref="AIB32" ca="1" si="10267">IF(AIB31&lt;&gt;"",AHZ32,"")</f>
        <v>Slovakia</v>
      </c>
      <c r="AIC32" s="319" t="str">
        <f t="shared" ref="AIC32" ca="1" si="10268">IF(AIC31&lt;&gt;"",AHZ33,"")</f>
        <v/>
      </c>
      <c r="AID32" s="319" t="str">
        <f t="shared" ref="AID32" ca="1" si="10269">IF(AID31&lt;&gt;"",AHZ34,"")</f>
        <v/>
      </c>
      <c r="AIE32" s="319" t="str">
        <f t="shared" ref="AIE32" si="10270">IF(AIE31&lt;&gt;"",AHZ35,"")</f>
        <v/>
      </c>
      <c r="AIF32" s="319"/>
      <c r="AIG32" s="319" t="str">
        <f t="shared" ca="1" si="9873"/>
        <v>Slovakia</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f t="shared" ca="1" si="9880"/>
        <v>0</v>
      </c>
      <c r="AIO32" s="319">
        <f t="shared" ref="AIO32" ca="1" si="10276">IF(AIG32&lt;&gt;"",VLOOKUP(AIG32,AHN4:AHT40,7,FALSE),"")</f>
        <v>1000</v>
      </c>
      <c r="AIP32" s="319">
        <f t="shared" ref="AIP32" ca="1" si="10277">IF(AIG32&lt;&gt;"",VLOOKUP(AIG32,AHN4:AHT40,5,FALSE),"")</f>
        <v>0</v>
      </c>
      <c r="AIQ32" s="319">
        <f t="shared" ref="AIQ32" ca="1" si="10278">IF(AIG32&lt;&gt;"",VLOOKUP(AIG32,AHN4:AHV40,9,FALSE),"")</f>
        <v>38</v>
      </c>
      <c r="AIR32" s="319">
        <f t="shared" ca="1" si="9884"/>
        <v>0</v>
      </c>
      <c r="AIS32" s="319">
        <f t="shared" ref="AIS32" ca="1" si="10279">IF(AIG32&lt;&gt;"",RANK(AIR32,AIR31:AIR35),"")</f>
        <v>1</v>
      </c>
      <c r="AIT32" s="319">
        <f t="shared" ref="AIT32" ca="1" si="10280">IF(AIG32&lt;&gt;"",SUMPRODUCT((AIR31:AIR35=AIR32)*(AIM31:AIM35&gt;AIM32)),"")</f>
        <v>0</v>
      </c>
      <c r="AIU32" s="319">
        <f t="shared" ref="AIU32" ca="1" si="10281">IF(AIG32&lt;&gt;"",SUMPRODUCT((AIR31:AIR35=AIR32)*(AIM31:AIM35=AIM32)*(AIK31:AIK35&gt;AIK32)),"")</f>
        <v>0</v>
      </c>
      <c r="AIV32" s="319">
        <f t="shared" ref="AIV32" ca="1" si="10282">IF(AIG32&lt;&gt;"",SUMPRODUCT((AIR31:AIR35=AIR32)*(AIM31:AIM35=AIM32)*(AIK31:AIK35=AIK32)*(AIO31:AIO35&gt;AIO32)),"")</f>
        <v>0</v>
      </c>
      <c r="AIW32" s="319">
        <f t="shared" ref="AIW32" ca="1" si="10283">IF(AIG32&lt;&gt;"",SUMPRODUCT((AIR31:AIR35=AIR32)*(AIM31:AIM35=AIM32)*(AIK31:AIK35=AIK32)*(AIO31:AIO35=AIO32)*(AIP31:AIP35&gt;AIP32)),"")</f>
        <v>0</v>
      </c>
      <c r="AIX32" s="319">
        <f t="shared" ref="AIX32" ca="1" si="10284">IF(AIG32&lt;&gt;"",SUMPRODUCT((AIR31:AIR35=AIR32)*(AIM31:AIM35=AIM32)*(AIK31:AIK35=AIK32)*(AIO31:AIO35=AIO32)*(AIP31:AIP35=AIP32)*(AIQ31:AIQ35&gt;AIQ32)),"")</f>
        <v>2</v>
      </c>
      <c r="AIY32" s="319">
        <f ca="1">IF(AIG32&lt;&gt;"",IF(AIY72&lt;&gt;"",IF(AIF70=3,AIY72,AIY72+AIF70),SUM(AIS32:AIX32)),"")</f>
        <v>3</v>
      </c>
      <c r="AIZ32" s="319" t="str">
        <f t="shared" ref="AIZ32" ca="1" si="10285">IF(AIG32&lt;&gt;"",INDEX(AIG31:AIG35,MATCH(2,AIY31:AIY35,0),0),"")</f>
        <v>Romania</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0</v>
      </c>
      <c r="ALN32" s="322">
        <f ca="1">IF(OFFSET('Player Game Board'!Q39,0,ALM1)&lt;&gt;"",OFFSET('Player Game Board'!Q39,0,ALM1),0)</f>
        <v>0</v>
      </c>
      <c r="ALO32" s="319" t="str">
        <f t="shared" si="83"/>
        <v>Serbia</v>
      </c>
      <c r="ALP32" s="319" t="str">
        <f ca="1">IF(AND(OFFSET('Player Game Board'!P39,0,ALM1)&lt;&gt;"",OFFSET('Player Game Board'!Q39,0,ALM1)&lt;&gt;""),IF(ALM32&gt;ALN32,"W",IF(ALM32=ALN32,"D","L")),"")</f>
        <v/>
      </c>
      <c r="ALQ32" s="319" t="str">
        <f t="shared" ca="1" si="5720"/>
        <v/>
      </c>
      <c r="ALR32" s="319"/>
      <c r="ALS32" s="319"/>
      <c r="ALT32" s="319"/>
      <c r="ALU32" s="320"/>
      <c r="ALV32" s="320"/>
      <c r="ALW32" s="320"/>
      <c r="ALX32" s="320"/>
      <c r="ALY32" s="320"/>
      <c r="ALZ32" s="320"/>
      <c r="AMA32" s="320"/>
      <c r="AMB32" s="319"/>
      <c r="AMC32" s="319"/>
      <c r="AMD32" s="319"/>
      <c r="AME32" s="319"/>
      <c r="AMF32" s="319"/>
      <c r="AMG32" s="319"/>
      <c r="AMH32" s="319" t="s">
        <v>102</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102</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102</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102</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102</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1</v>
      </c>
      <c r="F33" s="319">
        <f>SUMIF(CZ3:CZ60,B33,DA3:DA60)+SUMIF(DC3:DC60,B33,DB3:DB60)</f>
        <v>3</v>
      </c>
      <c r="G33" s="319">
        <f>SUMIF(DC3:DC60,B33,DA3:DA60)+SUMIF(CZ3:CZ60,B33,DB3:DB60)</f>
        <v>2</v>
      </c>
      <c r="H33" s="319">
        <f t="shared" si="9692"/>
        <v>1001</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1</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2</v>
      </c>
      <c r="AA33" s="319">
        <f>Y33-Z33+1000</f>
        <v>1001</v>
      </c>
      <c r="AB33" s="319">
        <f t="shared" si="9694"/>
        <v>3</v>
      </c>
      <c r="AC33" s="319">
        <f>IF(U33&lt;&gt;"",VLOOKUP(U33,B4:H40,7,FALSE),"")</f>
        <v>1001</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3</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1</v>
      </c>
      <c r="EE33" s="319">
        <f ca="1">SUMIF(IA3:IA60,DZ33,HY3:HY60)+SUMIF(HX3:HX60,DZ33,HZ3:HZ60)</f>
        <v>2</v>
      </c>
      <c r="EF33" s="319">
        <f t="shared" ca="1" si="9696"/>
        <v>999</v>
      </c>
      <c r="EG33" s="319">
        <f t="shared" ca="1" si="9697"/>
        <v>2</v>
      </c>
      <c r="EH33" s="319">
        <f t="shared" si="609"/>
        <v>46</v>
      </c>
      <c r="EI33" s="319">
        <f ca="1">IF(COUNTIF(EG31:EG35,4)&lt;&gt;4,RANK(EG33,EG31:EG35),EG73)</f>
        <v>3</v>
      </c>
      <c r="EJ33" s="319"/>
      <c r="EK33" s="319">
        <f ca="1">SUMPRODUCT((EI31:EI34=EI33)*(EH31:EH34&lt;EH33))+EI33</f>
        <v>3</v>
      </c>
      <c r="EL33" s="319" t="str">
        <f ca="1">INDEX(DZ31:DZ35,MATCH(3,EK31:EK35,0),0)</f>
        <v>Romania</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Romania</v>
      </c>
      <c r="HV33" s="319">
        <v>3</v>
      </c>
      <c r="HW33" s="319">
        <v>31</v>
      </c>
      <c r="HX33" s="319" t="str">
        <f t="shared" si="164"/>
        <v>Netherlands</v>
      </c>
      <c r="HY33" s="322">
        <f ca="1">IF(OFFSET('Player Game Board'!P40,0,HY1)&lt;&gt;"",OFFSET('Player Game Board'!P40,0,HY1),0)</f>
        <v>1</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1</v>
      </c>
      <c r="JA33" s="319">
        <f ca="1">SUMPRODUCT((MV3:MV42=IX33)*(MZ3:MZ42="L"))+SUMPRODUCT((MY3:MY42=IX33)*(NA3:NA42="L"))</f>
        <v>2</v>
      </c>
      <c r="JB33" s="319">
        <f ca="1">SUMIF(MV3:MV60,IX33,MW3:MW60)+SUMIF(MY3:MY60,IX33,MX3:MX60)</f>
        <v>2</v>
      </c>
      <c r="JC33" s="319">
        <f ca="1">SUMIF(MY3:MY60,IX33,MW3:MW60)+SUMIF(MV3:MV60,IX33,MX3:MX60)</f>
        <v>5</v>
      </c>
      <c r="JD33" s="319">
        <f t="shared" ca="1" si="9700"/>
        <v>997</v>
      </c>
      <c r="JE33" s="319">
        <f t="shared" ca="1" si="9701"/>
        <v>1</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998</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0</v>
      </c>
      <c r="LV33" s="319">
        <f ca="1">IF(LE33&lt;&gt;"",SUMPRODUCT((LP31:LP35=LP33)*(LK31:LK35=LK33)*(LI31:LI35=LI33)*(LM31:LM35=LM33)*(LN31:LN35=LN33)*(LO31:LO35&gt;LO33)),"")</f>
        <v>0</v>
      </c>
      <c r="LW33" s="319">
        <f ca="1">IF(LE33&lt;&gt;"",SUM(LQ33:LV33)+2,"")</f>
        <v>3</v>
      </c>
      <c r="LX33" s="319" t="str">
        <f ca="1">IF(LE33&lt;&gt;"",INDEX(LE33:LE35,MATCH(3,LW33:LW35,0),0),"")</f>
        <v>Slovakia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2</v>
      </c>
      <c r="MX33" s="322">
        <f ca="1">IF(OFFSET('Player Game Board'!Q40,0,MW1)&lt;&gt;"",OFFSET('Player Game Board'!Q40,0,MW1),0)</f>
        <v>1</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2</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0</v>
      </c>
      <c r="NZ33" s="319">
        <f t="shared" ref="NZ33" ca="1" si="10517">SUMIF(RT3:RT60,NV33,RU3:RU60)+SUMIF(RW3:RW60,NV33,RV3:RV60)</f>
        <v>0</v>
      </c>
      <c r="OA33" s="319">
        <f t="shared" ref="OA33" ca="1" si="10518">SUMIF(RW3:RW60,NV33,RU3:RU60)+SUMIF(RT3:RT60,NV33,RV3:RV60)</f>
        <v>0</v>
      </c>
      <c r="OB33" s="319">
        <f t="shared" ca="1" si="9711"/>
        <v>1000</v>
      </c>
      <c r="OC33" s="319">
        <f t="shared" ca="1" si="9712"/>
        <v>0</v>
      </c>
      <c r="OD33" s="319">
        <f t="shared" si="630"/>
        <v>46</v>
      </c>
      <c r="OE33" s="319">
        <f t="shared" ref="OE33" ca="1" si="10519">IF(COUNTIF(OC31:OC35,4)&lt;&gt;4,RANK(OC33,OC31:OC35),OC73)</f>
        <v>1</v>
      </c>
      <c r="OF33" s="319"/>
      <c r="OG33" s="319">
        <f t="shared" ref="OG33" ca="1" si="10520">SUMPRODUCT((OE31:OE34=OE33)*(OD31:OD34&lt;OD33))+OE33</f>
        <v>3</v>
      </c>
      <c r="OH33" s="319" t="str">
        <f t="shared" ref="OH33" ca="1" si="10521">INDEX(NV31:NV35,MATCH(3,OG31:OG35,0),0)</f>
        <v>Romania</v>
      </c>
      <c r="OI33" s="319">
        <f t="shared" ref="OI33" ca="1" si="10522">INDEX(OE31:OE35,MATCH(OH33,NV31:NV35,0),0)</f>
        <v>1</v>
      </c>
      <c r="OJ33" s="319" t="str">
        <f t="shared" ref="OJ33:OJ34" ca="1" si="10523">IF(AND(OJ32&lt;&gt;"",OI33=1),OH33,"")</f>
        <v>Romania</v>
      </c>
      <c r="OK33" s="319" t="str">
        <f t="shared" ref="OK33:OK34" ca="1" si="10524">IF(AND(OK32&lt;&gt;"",OI34=2),OH34,"")</f>
        <v/>
      </c>
      <c r="OL33" s="319" t="str">
        <f t="shared" ref="OL33" ca="1" si="10525">IF(AND(OL32&lt;&gt;"",OI35=3),OH35,"")</f>
        <v/>
      </c>
      <c r="OM33" s="319"/>
      <c r="ON33" s="319"/>
      <c r="OO33" s="319" t="str">
        <f t="shared" ca="1" si="9721"/>
        <v>Romania</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f t="shared" ca="1" si="9728"/>
        <v>0</v>
      </c>
      <c r="OW33" s="319">
        <f t="shared" ref="OW33" ca="1" si="10531">IF(OO33&lt;&gt;"",VLOOKUP(OO33,NV4:OB40,7,FALSE),"")</f>
        <v>1000</v>
      </c>
      <c r="OX33" s="319">
        <f t="shared" ref="OX33" ca="1" si="10532">IF(OO33&lt;&gt;"",VLOOKUP(OO33,NV4:OB40,5,FALSE),"")</f>
        <v>0</v>
      </c>
      <c r="OY33" s="319">
        <f t="shared" ref="OY33" ca="1" si="10533">IF(OO33&lt;&gt;"",VLOOKUP(OO33,NV4:OD40,9,FALSE),"")</f>
        <v>46</v>
      </c>
      <c r="OZ33" s="319">
        <f t="shared" ca="1" si="9732"/>
        <v>0</v>
      </c>
      <c r="PA33" s="319">
        <f t="shared" ref="PA33" ca="1" si="10534">IF(OO33&lt;&gt;"",RANK(OZ33,OZ31:OZ35),"")</f>
        <v>1</v>
      </c>
      <c r="PB33" s="319">
        <f t="shared" ref="PB33" ca="1" si="10535">IF(OO33&lt;&gt;"",SUMPRODUCT((OZ31:OZ35=OZ33)*(OU31:OU35&gt;OU33)),"")</f>
        <v>0</v>
      </c>
      <c r="PC33" s="319">
        <f t="shared" ref="PC33" ca="1" si="10536">IF(OO33&lt;&gt;"",SUMPRODUCT((OZ31:OZ35=OZ33)*(OU31:OU35=OU33)*(OS31:OS35&gt;OS33)),"")</f>
        <v>0</v>
      </c>
      <c r="PD33" s="319">
        <f t="shared" ref="PD33" ca="1" si="10537">IF(OO33&lt;&gt;"",SUMPRODUCT((OZ31:OZ35=OZ33)*(OU31:OU35=OU33)*(OS31:OS35=OS33)*(OW31:OW35&gt;OW33)),"")</f>
        <v>0</v>
      </c>
      <c r="PE33" s="319">
        <f t="shared" ref="PE33" ca="1" si="10538">IF(OO33&lt;&gt;"",SUMPRODUCT((OZ31:OZ35=OZ33)*(OU31:OU35=OU33)*(OS31:OS35=OS33)*(OW31:OW35=OW33)*(OX31:OX35&gt;OX33)),"")</f>
        <v>0</v>
      </c>
      <c r="PF33" s="319">
        <f t="shared" ref="PF33" ca="1" si="10539">IF(OO33&lt;&gt;"",SUMPRODUCT((OZ31:OZ35=OZ33)*(OU31:OU35=OU33)*(OS31:OS35=OS33)*(OW31:OW35=OW33)*(OX31:OX35=OX33)*(OY31:OY35&gt;OY33)),"")</f>
        <v>1</v>
      </c>
      <c r="PG33" s="319">
        <f ca="1">IF(OO33&lt;&gt;"",IF(PG73&lt;&gt;"",IF(ON70=3,PG73,PG73+ON70),SUM(PA33:PF33)),"")</f>
        <v>2</v>
      </c>
      <c r="PH33" s="319" t="str">
        <f t="shared" ref="PH33" ca="1" si="10540">IF(OO33&lt;&gt;"",INDEX(OO31:OO35,MATCH(3,PG31:PG35,0),0),"")</f>
        <v>Slovakia</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0</v>
      </c>
      <c r="RV33" s="322">
        <f ca="1">IF(OFFSET('Player Game Board'!Q40,0,RU1)&lt;&gt;"",OFFSET('Player Game Board'!Q40,0,RU1),0)</f>
        <v>0</v>
      </c>
      <c r="RW33" s="319" t="str">
        <f t="shared" si="19"/>
        <v>Austria</v>
      </c>
      <c r="RX33" s="319" t="str">
        <f ca="1">IF(AND(OFFSET('Player Game Board'!P40,0,RU1)&lt;&gt;"",OFFSET('Player Game Board'!Q40,0,RU1)&lt;&gt;""),IF(RU33&gt;RV33,"W",IF(RU33=RV33,"D","L")),"")</f>
        <v/>
      </c>
      <c r="RY33" s="319" t="str">
        <f t="shared" ca="1" si="5500"/>
        <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Türkiye</v>
      </c>
      <c r="SR33" s="325">
        <f t="shared" ca="1" si="5095"/>
        <v>1</v>
      </c>
      <c r="SS33" s="319">
        <f t="shared" ref="SS33" ca="1" si="10578">VLOOKUP(ST33,WO31:WP35,2,FALSE)</f>
        <v>2</v>
      </c>
      <c r="ST33" s="319" t="str">
        <f t="shared" si="9743"/>
        <v>Romania</v>
      </c>
      <c r="SU33" s="319">
        <f t="shared" ref="SU33" ca="1" si="10579">SUMPRODUCT((WR3:WR42=ST33)*(WV3:WV42="W"))+SUMPRODUCT((WU3:WU42=ST33)*(WW3:WW42="W"))</f>
        <v>0</v>
      </c>
      <c r="SV33" s="319">
        <f t="shared" ref="SV33" ca="1" si="10580">SUMPRODUCT((WR3:WR42=ST33)*(WV3:WV42="D"))+SUMPRODUCT((WU3:WU42=ST33)*(WW3:WW42="D"))</f>
        <v>0</v>
      </c>
      <c r="SW33" s="319">
        <f t="shared" ref="SW33" ca="1" si="10581">SUMPRODUCT((WR3:WR42=ST33)*(WV3:WV42="L"))+SUMPRODUCT((WU3:WU42=ST33)*(WW3:WW42="L"))</f>
        <v>0</v>
      </c>
      <c r="SX33" s="319">
        <f t="shared" ref="SX33" ca="1" si="10582">SUMIF(WR3:WR60,ST33,WS3:WS60)+SUMIF(WU3:WU60,ST33,WT3:WT60)</f>
        <v>0</v>
      </c>
      <c r="SY33" s="319">
        <f t="shared" ref="SY33" ca="1" si="10583">SUMIF(WU3:WU60,ST33,WS3:WS60)+SUMIF(WR3:WR60,ST33,WT3:WT60)</f>
        <v>0</v>
      </c>
      <c r="SZ33" s="319">
        <f t="shared" ca="1" si="9749"/>
        <v>1000</v>
      </c>
      <c r="TA33" s="319">
        <f t="shared" ca="1" si="9750"/>
        <v>0</v>
      </c>
      <c r="TB33" s="319">
        <f t="shared" si="690"/>
        <v>46</v>
      </c>
      <c r="TC33" s="319">
        <f t="shared" ref="TC33" ca="1" si="10584">IF(COUNTIF(TA31:TA35,4)&lt;&gt;4,RANK(TA33,TA31:TA35),TA73)</f>
        <v>1</v>
      </c>
      <c r="TD33" s="319"/>
      <c r="TE33" s="319">
        <f t="shared" ref="TE33" ca="1" si="10585">SUMPRODUCT((TC31:TC34=TC33)*(TB31:TB34&lt;TB33))+TC33</f>
        <v>3</v>
      </c>
      <c r="TF33" s="319" t="str">
        <f t="shared" ref="TF33" ca="1" si="10586">INDEX(ST31:ST35,MATCH(3,TE31:TE35,0),0)</f>
        <v>Romania</v>
      </c>
      <c r="TG33" s="319">
        <f t="shared" ref="TG33" ca="1" si="10587">INDEX(TC31:TC35,MATCH(TF33,ST31:ST35,0),0)</f>
        <v>1</v>
      </c>
      <c r="TH33" s="319" t="str">
        <f t="shared" ref="TH33:TH34" ca="1" si="10588">IF(AND(TH32&lt;&gt;"",TG33=1),TF33,"")</f>
        <v>Romania</v>
      </c>
      <c r="TI33" s="319" t="str">
        <f t="shared" ref="TI33:TI34" ca="1" si="10589">IF(AND(TI32&lt;&gt;"",TG34=2),TF34,"")</f>
        <v/>
      </c>
      <c r="TJ33" s="319" t="str">
        <f t="shared" ref="TJ33" ca="1" si="10590">IF(AND(TJ32&lt;&gt;"",TG35=3),TF35,"")</f>
        <v/>
      </c>
      <c r="TK33" s="319"/>
      <c r="TL33" s="319"/>
      <c r="TM33" s="319" t="str">
        <f t="shared" ca="1" si="9759"/>
        <v>Romania</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f t="shared" ca="1" si="9766"/>
        <v>0</v>
      </c>
      <c r="TU33" s="319">
        <f t="shared" ref="TU33" ca="1" si="10596">IF(TM33&lt;&gt;"",VLOOKUP(TM33,ST4:SZ40,7,FALSE),"")</f>
        <v>1000</v>
      </c>
      <c r="TV33" s="319">
        <f t="shared" ref="TV33" ca="1" si="10597">IF(TM33&lt;&gt;"",VLOOKUP(TM33,ST4:SZ40,5,FALSE),"")</f>
        <v>0</v>
      </c>
      <c r="TW33" s="319">
        <f t="shared" ref="TW33" ca="1" si="10598">IF(TM33&lt;&gt;"",VLOOKUP(TM33,ST4:TB40,9,FALSE),"")</f>
        <v>46</v>
      </c>
      <c r="TX33" s="319">
        <f t="shared" ca="1" si="9770"/>
        <v>0</v>
      </c>
      <c r="TY33" s="319">
        <f t="shared" ref="TY33" ca="1" si="10599">IF(TM33&lt;&gt;"",RANK(TX33,TX31:TX35),"")</f>
        <v>1</v>
      </c>
      <c r="TZ33" s="319">
        <f t="shared" ref="TZ33" ca="1" si="10600">IF(TM33&lt;&gt;"",SUMPRODUCT((TX31:TX35=TX33)*(TS31:TS35&gt;TS33)),"")</f>
        <v>0</v>
      </c>
      <c r="UA33" s="319">
        <f t="shared" ref="UA33" ca="1" si="10601">IF(TM33&lt;&gt;"",SUMPRODUCT((TX31:TX35=TX33)*(TS31:TS35=TS33)*(TQ31:TQ35&gt;TQ33)),"")</f>
        <v>0</v>
      </c>
      <c r="UB33" s="319">
        <f t="shared" ref="UB33" ca="1" si="10602">IF(TM33&lt;&gt;"",SUMPRODUCT((TX31:TX35=TX33)*(TS31:TS35=TS33)*(TQ31:TQ35=TQ33)*(TU31:TU35&gt;TU33)),"")</f>
        <v>0</v>
      </c>
      <c r="UC33" s="319">
        <f t="shared" ref="UC33" ca="1" si="10603">IF(TM33&lt;&gt;"",SUMPRODUCT((TX31:TX35=TX33)*(TS31:TS35=TS33)*(TQ31:TQ35=TQ33)*(TU31:TU35=TU33)*(TV31:TV35&gt;TV33)),"")</f>
        <v>0</v>
      </c>
      <c r="UD33" s="319">
        <f t="shared" ref="UD33" ca="1" si="10604">IF(TM33&lt;&gt;"",SUMPRODUCT((TX31:TX35=TX33)*(TS31:TS35=TS33)*(TQ31:TQ35=TQ33)*(TU31:TU35=TU33)*(TV31:TV35=TV33)*(TW31:TW35&gt;TW33)),"")</f>
        <v>1</v>
      </c>
      <c r="UE33" s="319">
        <f ca="1">IF(TM33&lt;&gt;"",IF(UE73&lt;&gt;"",IF(TL70=3,UE73,UE73+TL70),SUM(TY33:UD33)),"")</f>
        <v>2</v>
      </c>
      <c r="UF33" s="319" t="str">
        <f t="shared" ref="UF33" ca="1" si="10605">IF(TM33&lt;&gt;"",INDEX(TM31:TM35,MATCH(3,UE31:UE35,0),0),"")</f>
        <v>Slovakia</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Slovakia</v>
      </c>
      <c r="WP33" s="319">
        <v>3</v>
      </c>
      <c r="WQ33" s="319">
        <v>31</v>
      </c>
      <c r="WR33" s="319" t="str">
        <f t="shared" si="34"/>
        <v>Netherlands</v>
      </c>
      <c r="WS33" s="322">
        <f ca="1">IF(OFFSET('Player Game Board'!P40,0,WS1)&lt;&gt;"",OFFSET('Player Game Board'!P40,0,WS1),0)</f>
        <v>0</v>
      </c>
      <c r="WT33" s="322">
        <f ca="1">IF(OFFSET('Player Game Board'!Q40,0,WS1)&lt;&gt;"",OFFSET('Player Game Board'!Q40,0,WS1),0)</f>
        <v>0</v>
      </c>
      <c r="WU33" s="319" t="str">
        <f t="shared" si="35"/>
        <v>Austria</v>
      </c>
      <c r="WV33" s="319" t="str">
        <f ca="1">IF(AND(OFFSET('Player Game Board'!P40,0,WS1)&lt;&gt;"",OFFSET('Player Game Board'!Q40,0,WS1)&lt;&gt;""),IF(WS33&gt;WT33,"W",IF(WS33=WT33,"D","L")),"")</f>
        <v/>
      </c>
      <c r="WW33" s="319" t="str">
        <f t="shared" ca="1" si="5555"/>
        <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2</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0</v>
      </c>
      <c r="ACT33" s="319">
        <f t="shared" ref="ACT33" ca="1" si="10712">SUMIF(AGN3:AGN60,ACP33,AGO3:AGO60)+SUMIF(AGQ3:AGQ60,ACP33,AGP3:AGP60)</f>
        <v>0</v>
      </c>
      <c r="ACU33" s="319">
        <f t="shared" ref="ACU33" ca="1" si="10713">SUMIF(AGQ3:AGQ60,ACP33,AGO3:AGO60)+SUMIF(AGN3:AGN60,ACP33,AGP3:AGP60)</f>
        <v>0</v>
      </c>
      <c r="ACV33" s="319">
        <f t="shared" ca="1" si="9825"/>
        <v>1000</v>
      </c>
      <c r="ACW33" s="319">
        <f t="shared" ca="1" si="9826"/>
        <v>0</v>
      </c>
      <c r="ACX33" s="319">
        <f t="shared" si="810"/>
        <v>46</v>
      </c>
      <c r="ACY33" s="319">
        <f t="shared" ref="ACY33" ca="1" si="10714">IF(COUNTIF(ACW31:ACW35,4)&lt;&gt;4,RANK(ACW33,ACW31:ACW35),ACW73)</f>
        <v>1</v>
      </c>
      <c r="ACZ33" s="319"/>
      <c r="ADA33" s="319">
        <f t="shared" ref="ADA33" ca="1" si="10715">SUMPRODUCT((ACY31:ACY34=ACY33)*(ACX31:ACX34&lt;ACX33))+ACY33</f>
        <v>3</v>
      </c>
      <c r="ADB33" s="319" t="str">
        <f t="shared" ref="ADB33" ca="1" si="10716">INDEX(ACP31:ACP35,MATCH(3,ADA31:ADA35,0),0)</f>
        <v>Romania</v>
      </c>
      <c r="ADC33" s="319">
        <f t="shared" ref="ADC33" ca="1" si="10717">INDEX(ACY31:ACY35,MATCH(ADB33,ACP31:ACP35,0),0)</f>
        <v>1</v>
      </c>
      <c r="ADD33" s="319" t="str">
        <f t="shared" ref="ADD33:ADD34" ca="1" si="10718">IF(AND(ADD32&lt;&gt;"",ADC33=1),ADB33,"")</f>
        <v>Romania</v>
      </c>
      <c r="ADE33" s="319" t="str">
        <f t="shared" ref="ADE33:ADE34" ca="1" si="10719">IF(AND(ADE32&lt;&gt;"",ADC34=2),ADB34,"")</f>
        <v/>
      </c>
      <c r="ADF33" s="319" t="str">
        <f t="shared" ref="ADF33" ca="1" si="10720">IF(AND(ADF32&lt;&gt;"",ADC35=3),ADB35,"")</f>
        <v/>
      </c>
      <c r="ADG33" s="319"/>
      <c r="ADH33" s="319"/>
      <c r="ADI33" s="319" t="str">
        <f t="shared" ca="1" si="9835"/>
        <v>Romania</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f t="shared" ca="1" si="9842"/>
        <v>0</v>
      </c>
      <c r="ADQ33" s="319">
        <f t="shared" ref="ADQ33" ca="1" si="10726">IF(ADI33&lt;&gt;"",VLOOKUP(ADI33,ACP4:ACV40,7,FALSE),"")</f>
        <v>1000</v>
      </c>
      <c r="ADR33" s="319">
        <f t="shared" ref="ADR33" ca="1" si="10727">IF(ADI33&lt;&gt;"",VLOOKUP(ADI33,ACP4:ACV40,5,FALSE),"")</f>
        <v>0</v>
      </c>
      <c r="ADS33" s="319">
        <f t="shared" ref="ADS33" ca="1" si="10728">IF(ADI33&lt;&gt;"",VLOOKUP(ADI33,ACP4:ACX40,9,FALSE),"")</f>
        <v>46</v>
      </c>
      <c r="ADT33" s="319">
        <f t="shared" ca="1" si="9846"/>
        <v>0</v>
      </c>
      <c r="ADU33" s="319">
        <f t="shared" ref="ADU33" ca="1" si="10729">IF(ADI33&lt;&gt;"",RANK(ADT33,ADT31:ADT35),"")</f>
        <v>1</v>
      </c>
      <c r="ADV33" s="319">
        <f t="shared" ref="ADV33" ca="1" si="10730">IF(ADI33&lt;&gt;"",SUMPRODUCT((ADT31:ADT35=ADT33)*(ADO31:ADO35&gt;ADO33)),"")</f>
        <v>0</v>
      </c>
      <c r="ADW33" s="319">
        <f t="shared" ref="ADW33" ca="1" si="10731">IF(ADI33&lt;&gt;"",SUMPRODUCT((ADT31:ADT35=ADT33)*(ADO31:ADO35=ADO33)*(ADM31:ADM35&gt;ADM33)),"")</f>
        <v>0</v>
      </c>
      <c r="ADX33" s="319">
        <f t="shared" ref="ADX33" ca="1" si="10732">IF(ADI33&lt;&gt;"",SUMPRODUCT((ADT31:ADT35=ADT33)*(ADO31:ADO35=ADO33)*(ADM31:ADM35=ADM33)*(ADQ31:ADQ35&gt;ADQ33)),"")</f>
        <v>0</v>
      </c>
      <c r="ADY33" s="319">
        <f t="shared" ref="ADY33" ca="1" si="10733">IF(ADI33&lt;&gt;"",SUMPRODUCT((ADT31:ADT35=ADT33)*(ADO31:ADO35=ADO33)*(ADM31:ADM35=ADM33)*(ADQ31:ADQ35=ADQ33)*(ADR31:ADR35&gt;ADR33)),"")</f>
        <v>0</v>
      </c>
      <c r="ADZ33" s="319">
        <f t="shared" ref="ADZ33" ca="1" si="10734">IF(ADI33&lt;&gt;"",SUMPRODUCT((ADT31:ADT35=ADT33)*(ADO31:ADO35=ADO33)*(ADM31:ADM35=ADM33)*(ADQ31:ADQ35=ADQ33)*(ADR31:ADR35=ADR33)*(ADS31:ADS35&gt;ADS33)),"")</f>
        <v>1</v>
      </c>
      <c r="AEA33" s="319">
        <f ca="1">IF(ADI33&lt;&gt;"",IF(AEA73&lt;&gt;"",IF(ADH70=3,AEA73,AEA73+ADH70),SUM(ADU33:ADZ33)),"")</f>
        <v>2</v>
      </c>
      <c r="AEB33" s="319" t="str">
        <f t="shared" ref="AEB33" ca="1" si="10735">IF(ADI33&lt;&gt;"",INDEX(ADI31:ADI35,MATCH(3,AEA31:AEA35,0),0),"")</f>
        <v>Slovakia</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Slovakia</v>
      </c>
      <c r="AGL33" s="319">
        <v>3</v>
      </c>
      <c r="AGM33" s="319">
        <v>31</v>
      </c>
      <c r="AGN33" s="319" t="str">
        <f t="shared" si="66"/>
        <v>Netherlands</v>
      </c>
      <c r="AGO33" s="322">
        <f ca="1">IF(OFFSET('Player Game Board'!P40,0,AGO1)&lt;&gt;"",OFFSET('Player Game Board'!P40,0,AGO1),0)</f>
        <v>0</v>
      </c>
      <c r="AGP33" s="322">
        <f ca="1">IF(OFFSET('Player Game Board'!Q40,0,AGO1)&lt;&gt;"",OFFSET('Player Game Board'!Q40,0,AGO1),0)</f>
        <v>0</v>
      </c>
      <c r="AGQ33" s="319" t="str">
        <f t="shared" si="67"/>
        <v>Austria</v>
      </c>
      <c r="AGR33" s="319" t="str">
        <f ca="1">IF(AND(OFFSET('Player Game Board'!P40,0,AGO1)&lt;&gt;"",OFFSET('Player Game Board'!Q40,0,AGO1)&lt;&gt;""),IF(AGO33&gt;AGP33,"W",IF(AGO33=AGP33,"D","L")),"")</f>
        <v/>
      </c>
      <c r="AGS33" s="319" t="str">
        <f t="shared" ca="1" si="5665"/>
        <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Türkiye</v>
      </c>
      <c r="AHL33" s="325">
        <f t="shared" ca="1" si="5224"/>
        <v>1</v>
      </c>
      <c r="AHM33" s="319">
        <f t="shared" ref="AHM33" ca="1" si="10773">VLOOKUP(AHN33,ALI31:ALJ35,2,FALSE)</f>
        <v>2</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0</v>
      </c>
      <c r="AHQ33" s="319">
        <f t="shared" ref="AHQ33" ca="1" si="10776">SUMPRODUCT((ALL3:ALL42=AHN33)*(ALP3:ALP42="L"))+SUMPRODUCT((ALO3:ALO42=AHN33)*(ALQ3:ALQ42="L"))</f>
        <v>0</v>
      </c>
      <c r="AHR33" s="319">
        <f t="shared" ref="AHR33" ca="1" si="10777">SUMIF(ALL3:ALL60,AHN33,ALM3:ALM60)+SUMIF(ALO3:ALO60,AHN33,ALN3:ALN60)</f>
        <v>0</v>
      </c>
      <c r="AHS33" s="319">
        <f t="shared" ref="AHS33" ca="1" si="10778">SUMIF(ALO3:ALO60,AHN33,ALM3:ALM60)+SUMIF(ALL3:ALL60,AHN33,ALN3:ALN60)</f>
        <v>0</v>
      </c>
      <c r="AHT33" s="319">
        <f t="shared" ca="1" si="9863"/>
        <v>1000</v>
      </c>
      <c r="AHU33" s="319">
        <f t="shared" ca="1" si="9864"/>
        <v>0</v>
      </c>
      <c r="AHV33" s="319">
        <f t="shared" si="870"/>
        <v>46</v>
      </c>
      <c r="AHW33" s="319">
        <f t="shared" ref="AHW33" ca="1" si="10779">IF(COUNTIF(AHU31:AHU35,4)&lt;&gt;4,RANK(AHU33,AHU31:AHU35),AHU73)</f>
        <v>1</v>
      </c>
      <c r="AHX33" s="319"/>
      <c r="AHY33" s="319">
        <f t="shared" ref="AHY33" ca="1" si="10780">SUMPRODUCT((AHW31:AHW34=AHW33)*(AHV31:AHV34&lt;AHV33))+AHW33</f>
        <v>3</v>
      </c>
      <c r="AHZ33" s="319" t="str">
        <f t="shared" ref="AHZ33" ca="1" si="10781">INDEX(AHN31:AHN35,MATCH(3,AHY31:AHY35,0),0)</f>
        <v>Romania</v>
      </c>
      <c r="AIA33" s="319">
        <f t="shared" ref="AIA33" ca="1" si="10782">INDEX(AHW31:AHW35,MATCH(AHZ33,AHN31:AHN35,0),0)</f>
        <v>1</v>
      </c>
      <c r="AIB33" s="319" t="str">
        <f t="shared" ref="AIB33:AIB34" ca="1" si="10783">IF(AND(AIB32&lt;&gt;"",AIA33=1),AHZ33,"")</f>
        <v>Romania</v>
      </c>
      <c r="AIC33" s="319" t="str">
        <f t="shared" ref="AIC33:AIC34" ca="1" si="10784">IF(AND(AIC32&lt;&gt;"",AIA34=2),AHZ34,"")</f>
        <v/>
      </c>
      <c r="AID33" s="319" t="str">
        <f t="shared" ref="AID33" ca="1" si="10785">IF(AND(AID32&lt;&gt;"",AIA35=3),AHZ35,"")</f>
        <v/>
      </c>
      <c r="AIE33" s="319"/>
      <c r="AIF33" s="319"/>
      <c r="AIG33" s="319" t="str">
        <f t="shared" ca="1" si="9873"/>
        <v>Romania</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f t="shared" ca="1" si="9880"/>
        <v>0</v>
      </c>
      <c r="AIO33" s="319">
        <f t="shared" ref="AIO33" ca="1" si="10791">IF(AIG33&lt;&gt;"",VLOOKUP(AIG33,AHN4:AHT40,7,FALSE),"")</f>
        <v>1000</v>
      </c>
      <c r="AIP33" s="319">
        <f t="shared" ref="AIP33" ca="1" si="10792">IF(AIG33&lt;&gt;"",VLOOKUP(AIG33,AHN4:AHT40,5,FALSE),"")</f>
        <v>0</v>
      </c>
      <c r="AIQ33" s="319">
        <f t="shared" ref="AIQ33" ca="1" si="10793">IF(AIG33&lt;&gt;"",VLOOKUP(AIG33,AHN4:AHV40,9,FALSE),"")</f>
        <v>46</v>
      </c>
      <c r="AIR33" s="319">
        <f t="shared" ca="1" si="9884"/>
        <v>0</v>
      </c>
      <c r="AIS33" s="319">
        <f t="shared" ref="AIS33" ca="1" si="10794">IF(AIG33&lt;&gt;"",RANK(AIR33,AIR31:AIR35),"")</f>
        <v>1</v>
      </c>
      <c r="AIT33" s="319">
        <f t="shared" ref="AIT33" ca="1" si="10795">IF(AIG33&lt;&gt;"",SUMPRODUCT((AIR31:AIR35=AIR33)*(AIM31:AIM35&gt;AIM33)),"")</f>
        <v>0</v>
      </c>
      <c r="AIU33" s="319">
        <f t="shared" ref="AIU33" ca="1" si="10796">IF(AIG33&lt;&gt;"",SUMPRODUCT((AIR31:AIR35=AIR33)*(AIM31:AIM35=AIM33)*(AIK31:AIK35&gt;AIK33)),"")</f>
        <v>0</v>
      </c>
      <c r="AIV33" s="319">
        <f t="shared" ref="AIV33" ca="1" si="10797">IF(AIG33&lt;&gt;"",SUMPRODUCT((AIR31:AIR35=AIR33)*(AIM31:AIM35=AIM33)*(AIK31:AIK35=AIK33)*(AIO31:AIO35&gt;AIO33)),"")</f>
        <v>0</v>
      </c>
      <c r="AIW33" s="319">
        <f t="shared" ref="AIW33" ca="1" si="10798">IF(AIG33&lt;&gt;"",SUMPRODUCT((AIR31:AIR35=AIR33)*(AIM31:AIM35=AIM33)*(AIK31:AIK35=AIK33)*(AIO31:AIO35=AIO33)*(AIP31:AIP35&gt;AIP33)),"")</f>
        <v>0</v>
      </c>
      <c r="AIX33" s="319">
        <f t="shared" ref="AIX33" ca="1" si="10799">IF(AIG33&lt;&gt;"",SUMPRODUCT((AIR31:AIR35=AIR33)*(AIM31:AIM35=AIM33)*(AIK31:AIK35=AIK33)*(AIO31:AIO35=AIO33)*(AIP31:AIP35=AIP33)*(AIQ31:AIQ35&gt;AIQ33)),"")</f>
        <v>1</v>
      </c>
      <c r="AIY33" s="319">
        <f ca="1">IF(AIG33&lt;&gt;"",IF(AIY73&lt;&gt;"",IF(AIF70=3,AIY73,AIY73+AIF70),SUM(AIS33:AIX33)),"")</f>
        <v>2</v>
      </c>
      <c r="AIZ33" s="319" t="str">
        <f t="shared" ref="AIZ33" ca="1" si="10800">IF(AIG33&lt;&gt;"",INDEX(AIG31:AIG35,MATCH(3,AIY31:AIY35,0),0),"")</f>
        <v>Slovakia</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0</v>
      </c>
      <c r="ALN33" s="322">
        <f ca="1">IF(OFFSET('Player Game Board'!Q40,0,ALM1)&lt;&gt;"",OFFSET('Player Game Board'!Q40,0,ALM1),0)</f>
        <v>0</v>
      </c>
      <c r="ALO33" s="319" t="str">
        <f t="shared" si="83"/>
        <v>Austria</v>
      </c>
      <c r="ALP33" s="319" t="str">
        <f ca="1">IF(AND(OFFSET('Player Game Board'!P40,0,ALM1)&lt;&gt;"",OFFSET('Player Game Board'!Q40,0,ALM1)&lt;&gt;""),IF(ALM33&gt;ALN33,"W",IF(ALM33=ALN33,"D","L")),"")</f>
        <v/>
      </c>
      <c r="ALQ33" s="319" t="str">
        <f t="shared" ca="1" si="5720"/>
        <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4</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1</v>
      </c>
      <c r="P34" s="319" t="str">
        <f>IF(AND(P33&lt;&gt;"",O34=1),N34,"")</f>
        <v>Belgium</v>
      </c>
      <c r="Q34" s="319" t="str">
        <f>IF(AND(Q33&lt;&gt;"",O35=2),N35,"")</f>
        <v/>
      </c>
      <c r="R34" s="319"/>
      <c r="S34" s="319"/>
      <c r="T34" s="319"/>
      <c r="U34" s="319" t="str">
        <f t="shared" si="10046"/>
        <v>Belgium</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2</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1</v>
      </c>
      <c r="AA34" s="319">
        <f>Y34-Z34+1000</f>
        <v>1001</v>
      </c>
      <c r="AB34" s="319">
        <f t="shared" si="9694"/>
        <v>3</v>
      </c>
      <c r="AC34" s="319">
        <f>IF(U34&lt;&gt;"",VLOOKUP(U34,B4:H40,7,FALSE),"")</f>
        <v>1001</v>
      </c>
      <c r="AD34" s="319">
        <f>IF(U34&lt;&gt;"",VLOOKUP(U34,B4:H40,5,FALSE),"")</f>
        <v>2</v>
      </c>
      <c r="AE34" s="319">
        <f>IF(U34&lt;&gt;"",VLOOKUP(U34,B4:J40,9,FALSE),"")</f>
        <v>50</v>
      </c>
      <c r="AF34" s="319">
        <f t="shared" si="9695"/>
        <v>3</v>
      </c>
      <c r="AG34" s="319">
        <f>IF(U34&lt;&gt;"",RANK(AF34,AF31:AF35),"")</f>
        <v>1</v>
      </c>
      <c r="AH34" s="319">
        <f>IF(U34&lt;&gt;"",SUMPRODUCT((AF31:AF35=AF34)*(AA31:AA35&gt;AA34)),"")</f>
        <v>0</v>
      </c>
      <c r="AI34" s="319">
        <f>IF(U34&lt;&gt;"",SUMPRODUCT((AF31:AF35=AF34)*(AA31:AA35=AA34)*(Y31:Y35&gt;Y34)),"")</f>
        <v>1</v>
      </c>
      <c r="AJ34" s="319">
        <f>IF(U34&lt;&gt;"",SUMPRODUCT((AF31:AF35=AF34)*(AA31:AA35=AA34)*(Y31:Y35=Y34)*(AC31:AC35&gt;AC34)),"")</f>
        <v>0</v>
      </c>
      <c r="AK34" s="319">
        <f>IF(U34&lt;&gt;"",SUMPRODUCT((AF31:AF35=AF34)*(AA31:AA35=AA34)*(Y31:Y35=Y34)*(AC31:AC35=AC34)*(AD31:AD35&gt;AD34)),"")</f>
        <v>0</v>
      </c>
      <c r="AL34" s="319">
        <f>IF(U34&lt;&gt;"",SUMPRODUCT((AF31:AF35=AF34)*(AA31:AA35=AA34)*(Y31:Y35=Y34)*(AC31:AC35=AC34)*(AD31:AD35=AD34)*(AE31:AE35&gt;AE34)),"")</f>
        <v>0</v>
      </c>
      <c r="AM34" s="319">
        <f>IF(U34&lt;&gt;"",IF(AM74&lt;&gt;"",IF(T70=3,AM74,AM74+T70),SUM(AG34:AL34)),"")</f>
        <v>2</v>
      </c>
      <c r="AN34" s="319" t="str">
        <f>IF(U34&lt;&gt;"",INDEX(U31:U35,MATCH(4,AM31:AM35,0),0),"")</f>
        <v>Ukraine</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2</v>
      </c>
      <c r="DZ34" s="319" t="str">
        <f t="shared" si="10049"/>
        <v>Ukraine</v>
      </c>
      <c r="EA34" s="319">
        <f ca="1">SUMPRODUCT((HX3:HX42=DZ34)*(IB3:IB42="W"))+SUMPRODUCT((IA3:IA42=DZ34)*(IC3:IC42="W"))</f>
        <v>1</v>
      </c>
      <c r="EB34" s="319">
        <f ca="1">SUMPRODUCT((HX3:HX42=DZ34)*(IB3:IB42="D"))+SUMPRODUCT((IA3:IA42=DZ34)*(IC3:IC42="D"))</f>
        <v>1</v>
      </c>
      <c r="EC34" s="319">
        <f ca="1">SUMPRODUCT((HX3:HX42=DZ34)*(IB3:IB42="L"))+SUMPRODUCT((IA3:IA42=DZ34)*(IC3:IC42="L"))</f>
        <v>1</v>
      </c>
      <c r="ED34" s="319">
        <f ca="1">SUMIF(HX3:HX60,DZ34,HY3:HY60)+SUMIF(IA3:IA60,DZ34,HZ3:HZ60)</f>
        <v>2</v>
      </c>
      <c r="EE34" s="319">
        <f ca="1">SUMIF(IA3:IA60,DZ34,HY3:HY60)+SUMIF(HX3:HX60,DZ34,HZ3:HZ60)</f>
        <v>2</v>
      </c>
      <c r="EF34" s="319">
        <f t="shared" ca="1" si="9696"/>
        <v>1000</v>
      </c>
      <c r="EG34" s="319">
        <f t="shared" ca="1" si="9697"/>
        <v>4</v>
      </c>
      <c r="EH34" s="319">
        <f t="shared" si="609"/>
        <v>0</v>
      </c>
      <c r="EI34" s="319">
        <f ca="1">IF(COUNTIF(EG31:EG35,4)&lt;&gt;4,RANK(EG34,EG31:EG35),EG74)</f>
        <v>2</v>
      </c>
      <c r="EJ34" s="319"/>
      <c r="EK34" s="319">
        <f ca="1">SUMPRODUCT((EI31:EI34=EI34)*(EH31:EH34&lt;EH34))+EI34</f>
        <v>2</v>
      </c>
      <c r="EL34" s="319" t="str">
        <f ca="1">INDEX(DZ31:DZ35,MATCH(4,EK31:EK35,0),0)</f>
        <v>Slovakia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Slovakia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2</v>
      </c>
      <c r="IZ34" s="319">
        <f ca="1">SUMPRODUCT((MV3:MV42=IX34)*(MZ3:MZ42="D"))+SUMPRODUCT((MY3:MY42=IX34)*(NA3:NA42="D"))</f>
        <v>1</v>
      </c>
      <c r="JA34" s="319">
        <f ca="1">SUMPRODUCT((MV3:MV42=IX34)*(MZ3:MZ42="L"))+SUMPRODUCT((MY3:MY42=IX34)*(NA3:NA42="L"))</f>
        <v>0</v>
      </c>
      <c r="JB34" s="319">
        <f ca="1">SUMIF(MV3:MV60,IX34,MW3:MW60)+SUMIF(MY3:MY60,IX34,MX3:MX60)</f>
        <v>4</v>
      </c>
      <c r="JC34" s="319">
        <f ca="1">SUMIF(MY3:MY60,IX34,MW3:MW60)+SUMIF(MV3:MV60,IX34,MX3:MX60)</f>
        <v>2</v>
      </c>
      <c r="JD34" s="319">
        <f t="shared" ca="1" si="9700"/>
        <v>1002</v>
      </c>
      <c r="JE34" s="319">
        <f t="shared" ca="1" si="9701"/>
        <v>7</v>
      </c>
      <c r="JF34" s="319">
        <f t="shared" si="618"/>
        <v>0</v>
      </c>
      <c r="JG34" s="319">
        <f ca="1">IF(COUNTIF(JE31:JE35,4)&lt;&gt;4,RANK(JE34,JE31:JE35),JE74)</f>
        <v>1</v>
      </c>
      <c r="JH34" s="319"/>
      <c r="JI34" s="319">
        <f ca="1">SUMPRODUCT((JG31:JG34=JG34)*(JF31:JF34&lt;JF34))+JG34</f>
        <v>1</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997</v>
      </c>
      <c r="LN34" s="319">
        <f ca="1">IF(LE34&lt;&gt;"",VLOOKUP(LE34,IX4:JD40,5,FALSE),"")</f>
        <v>2</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1</v>
      </c>
      <c r="LU34" s="319">
        <f ca="1">IF(LE34&lt;&gt;"",SUMPRODUCT((LP31:LP35=LP34)*(LK31:LK35=LK34)*(LI31:LI35=LI34)*(LM31:LM35=LM34)*(LN31:LN35&gt;LN34)),"")</f>
        <v>0</v>
      </c>
      <c r="LV34" s="319">
        <f ca="1">IF(LE34&lt;&gt;"",SUMPRODUCT((LP31:LP35=LP34)*(LK31:LK35=LK34)*(LI31:LI35=LI34)*(LM31:LM35=LM34)*(LN31:LN35=LN34)*(LO31:LO35&gt;LO34)),"")</f>
        <v>0</v>
      </c>
      <c r="LW34" s="319">
        <f ca="1">IF(LE34&lt;&gt;"",SUM(LQ34:LV34)+2,"")</f>
        <v>4</v>
      </c>
      <c r="LX34" s="319" t="str">
        <f ca="1">IF(LE34&lt;&gt;"",INDEX(LE33:LE35,MATCH(4,LW33:LW35,0),0),"")</f>
        <v>Romania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3</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4</v>
      </c>
      <c r="NV34" s="319" t="str">
        <f t="shared" si="9705"/>
        <v>Ukraine</v>
      </c>
      <c r="NW34" s="319">
        <f t="shared" ref="NW34" ca="1" si="11105">SUMPRODUCT((RT3:RT42=NV34)*(RX3:RX42="W"))+SUMPRODUCT((RW3:RW42=NV34)*(RY3:RY42="W"))</f>
        <v>0</v>
      </c>
      <c r="NX34" s="319">
        <f t="shared" ref="NX34" ca="1" si="11106">SUMPRODUCT((RT3:RT42=NV34)*(RX3:RX42="D"))+SUMPRODUCT((RW3:RW42=NV34)*(RY3:RY42="D"))</f>
        <v>0</v>
      </c>
      <c r="NY34" s="319">
        <f t="shared" ref="NY34" ca="1" si="11107">SUMPRODUCT((RT3:RT42=NV34)*(RX3:RX42="L"))+SUMPRODUCT((RW3:RW42=NV34)*(RY3:RY42="L"))</f>
        <v>0</v>
      </c>
      <c r="NZ34" s="319">
        <f t="shared" ref="NZ34" ca="1" si="11108">SUMIF(RT3:RT60,NV34,RU3:RU60)+SUMIF(RW3:RW60,NV34,RV3:RV60)</f>
        <v>0</v>
      </c>
      <c r="OA34" s="319">
        <f t="shared" ref="OA34" ca="1" si="11109">SUMIF(RW3:RW60,NV34,RU3:RU60)+SUMIF(RT3:RT60,NV34,RV3:RV60)</f>
        <v>0</v>
      </c>
      <c r="OB34" s="319">
        <f t="shared" ca="1" si="9711"/>
        <v>1000</v>
      </c>
      <c r="OC34" s="319">
        <f t="shared" ca="1" si="9712"/>
        <v>0</v>
      </c>
      <c r="OD34" s="319">
        <f t="shared" si="630"/>
        <v>0</v>
      </c>
      <c r="OE34" s="319">
        <f t="shared" ref="OE34" ca="1" si="11110">IF(COUNTIF(OC31:OC35,4)&lt;&gt;4,RANK(OC34,OC31:OC35),OC74)</f>
        <v>1</v>
      </c>
      <c r="OF34" s="319"/>
      <c r="OG34" s="319">
        <f t="shared" ref="OG34" ca="1" si="11111">SUMPRODUCT((OE31:OE34=OE34)*(OD31:OD34&lt;OD34))+OE34</f>
        <v>1</v>
      </c>
      <c r="OH34" s="319" t="str">
        <f t="shared" ref="OH34" ca="1" si="11112">INDEX(NV31:NV35,MATCH(4,OG31:OG35,0),0)</f>
        <v>Belgium</v>
      </c>
      <c r="OI34" s="319">
        <f t="shared" ref="OI34" ca="1" si="11113">INDEX(OE31:OE35,MATCH(OH34,NV31:NV35,0),0)</f>
        <v>1</v>
      </c>
      <c r="OJ34" s="319" t="str">
        <f t="shared" ca="1" si="10523"/>
        <v>Belgium</v>
      </c>
      <c r="OK34" s="319" t="str">
        <f t="shared" ca="1" si="10524"/>
        <v/>
      </c>
      <c r="OL34" s="319"/>
      <c r="OM34" s="319"/>
      <c r="ON34" s="319"/>
      <c r="OO34" s="319" t="str">
        <f t="shared" ca="1" si="9721"/>
        <v>Belgium</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f t="shared" ca="1" si="9728"/>
        <v>0</v>
      </c>
      <c r="OW34" s="319">
        <f t="shared" ref="OW34" ca="1" si="11119">IF(OO34&lt;&gt;"",VLOOKUP(OO34,NV4:OB40,7,FALSE),"")</f>
        <v>1000</v>
      </c>
      <c r="OX34" s="319">
        <f t="shared" ref="OX34" ca="1" si="11120">IF(OO34&lt;&gt;"",VLOOKUP(OO34,NV4:OB40,5,FALSE),"")</f>
        <v>0</v>
      </c>
      <c r="OY34" s="319">
        <f t="shared" ref="OY34" ca="1" si="11121">IF(OO34&lt;&gt;"",VLOOKUP(OO34,NV4:OD40,9,FALSE),"")</f>
        <v>50</v>
      </c>
      <c r="OZ34" s="319">
        <f t="shared" ca="1" si="9732"/>
        <v>0</v>
      </c>
      <c r="PA34" s="319">
        <f t="shared" ref="PA34" ca="1" si="11122">IF(OO34&lt;&gt;"",RANK(OZ34,OZ31:OZ35),"")</f>
        <v>1</v>
      </c>
      <c r="PB34" s="319">
        <f t="shared" ref="PB34" ca="1" si="11123">IF(OO34&lt;&gt;"",SUMPRODUCT((OZ31:OZ35=OZ34)*(OU31:OU35&gt;OU34)),"")</f>
        <v>0</v>
      </c>
      <c r="PC34" s="319">
        <f t="shared" ref="PC34" ca="1" si="11124">IF(OO34&lt;&gt;"",SUMPRODUCT((OZ31:OZ35=OZ34)*(OU31:OU35=OU34)*(OS31:OS35&gt;OS34)),"")</f>
        <v>0</v>
      </c>
      <c r="PD34" s="319">
        <f t="shared" ref="PD34" ca="1" si="11125">IF(OO34&lt;&gt;"",SUMPRODUCT((OZ31:OZ35=OZ34)*(OU31:OU35=OU34)*(OS31:OS35=OS34)*(OW31:OW35&gt;OW34)),"")</f>
        <v>0</v>
      </c>
      <c r="PE34" s="319">
        <f t="shared" ref="PE34" ca="1" si="11126">IF(OO34&lt;&gt;"",SUMPRODUCT((OZ31:OZ35=OZ34)*(OU31:OU35=OU34)*(OS31:OS35=OS34)*(OW31:OW35=OW34)*(OX31:OX35&gt;OX34)),"")</f>
        <v>0</v>
      </c>
      <c r="PF34" s="319">
        <f t="shared" ref="PF34" ca="1" si="11127">IF(OO34&lt;&gt;"",SUMPRODUCT((OZ31:OZ35=OZ34)*(OU31:OU35=OU34)*(OS31:OS35=OS34)*(OW31:OW35=OW34)*(OX31:OX35=OX34)*(OY31:OY35&gt;OY34)),"")</f>
        <v>0</v>
      </c>
      <c r="PG34" s="319">
        <f ca="1">IF(OO34&lt;&gt;"",IF(PG74&lt;&gt;"",IF(ON70=3,PG74,PG74+ON70),SUM(PA34:PF34)),"")</f>
        <v>1</v>
      </c>
      <c r="PH34" s="319" t="str">
        <f t="shared" ref="PH34" ca="1" si="11128">IF(OO34&lt;&gt;"",INDEX(OO31:OO35,MATCH(4,PG31:PG35,0),0),"")</f>
        <v>Ukraine</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Ukraine</v>
      </c>
      <c r="RR34" s="319">
        <v>4</v>
      </c>
      <c r="RS34" s="319">
        <v>32</v>
      </c>
      <c r="RT34" s="319" t="str">
        <f t="shared" si="18"/>
        <v>France</v>
      </c>
      <c r="RU34" s="322">
        <f ca="1">IF(OFFSET('Player Game Board'!P41,0,RU1)&lt;&gt;"",OFFSET('Player Game Board'!P41,0,RU1),0)</f>
        <v>0</v>
      </c>
      <c r="RV34" s="322">
        <f ca="1">IF(OFFSET('Player Game Board'!Q41,0,RU1)&lt;&gt;"",OFFSET('Player Game Board'!Q41,0,RU1),0)</f>
        <v>0</v>
      </c>
      <c r="RW34" s="319" t="str">
        <f t="shared" si="19"/>
        <v>Poland</v>
      </c>
      <c r="RX34" s="319" t="str">
        <f ca="1">IF(AND(OFFSET('Player Game Board'!P41,0,RU1)&lt;&gt;"",OFFSET('Player Game Board'!Q41,0,RU1)&lt;&gt;""),IF(RU34&gt;RV34,"W",IF(RU34=RV34,"D","L")),"")</f>
        <v/>
      </c>
      <c r="RY34" s="319" t="str">
        <f t="shared" ca="1" si="5500"/>
        <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13</v>
      </c>
      <c r="SS34" s="319">
        <f t="shared" ref="SS34" ca="1" si="11180">VLOOKUP(ST34,WO31:WP35,2,FALSE)</f>
        <v>4</v>
      </c>
      <c r="ST34" s="319" t="str">
        <f t="shared" si="9743"/>
        <v>Ukraine</v>
      </c>
      <c r="SU34" s="319">
        <f t="shared" ref="SU34" ca="1" si="11181">SUMPRODUCT((WR3:WR42=ST34)*(WV3:WV42="W"))+SUMPRODUCT((WU3:WU42=ST34)*(WW3:WW42="W"))</f>
        <v>0</v>
      </c>
      <c r="SV34" s="319">
        <f t="shared" ref="SV34" ca="1" si="11182">SUMPRODUCT((WR3:WR42=ST34)*(WV3:WV42="D"))+SUMPRODUCT((WU3:WU42=ST34)*(WW3:WW42="D"))</f>
        <v>0</v>
      </c>
      <c r="SW34" s="319">
        <f t="shared" ref="SW34" ca="1" si="11183">SUMPRODUCT((WR3:WR42=ST34)*(WV3:WV42="L"))+SUMPRODUCT((WU3:WU42=ST34)*(WW3:WW42="L"))</f>
        <v>0</v>
      </c>
      <c r="SX34" s="319">
        <f t="shared" ref="SX34" ca="1" si="11184">SUMIF(WR3:WR60,ST34,WS3:WS60)+SUMIF(WU3:WU60,ST34,WT3:WT60)</f>
        <v>0</v>
      </c>
      <c r="SY34" s="319">
        <f t="shared" ref="SY34" ca="1" si="11185">SUMIF(WU3:WU60,ST34,WS3:WS60)+SUMIF(WR3:WR60,ST34,WT3:WT60)</f>
        <v>0</v>
      </c>
      <c r="SZ34" s="319">
        <f t="shared" ca="1" si="9749"/>
        <v>1000</v>
      </c>
      <c r="TA34" s="319">
        <f t="shared" ca="1" si="9750"/>
        <v>0</v>
      </c>
      <c r="TB34" s="319">
        <f t="shared" si="690"/>
        <v>0</v>
      </c>
      <c r="TC34" s="319">
        <f t="shared" ref="TC34" ca="1" si="11186">IF(COUNTIF(TA31:TA35,4)&lt;&gt;4,RANK(TA34,TA31:TA35),TA74)</f>
        <v>1</v>
      </c>
      <c r="TD34" s="319"/>
      <c r="TE34" s="319">
        <f t="shared" ref="TE34" ca="1" si="11187">SUMPRODUCT((TC31:TC34=TC34)*(TB31:TB34&lt;TB34))+TC34</f>
        <v>1</v>
      </c>
      <c r="TF34" s="319" t="str">
        <f t="shared" ref="TF34" ca="1" si="11188">INDEX(ST31:ST35,MATCH(4,TE31:TE35,0),0)</f>
        <v>Belgium</v>
      </c>
      <c r="TG34" s="319">
        <f t="shared" ref="TG34" ca="1" si="11189">INDEX(TC31:TC35,MATCH(TF34,ST31:ST35,0),0)</f>
        <v>1</v>
      </c>
      <c r="TH34" s="319" t="str">
        <f t="shared" ca="1" si="10588"/>
        <v>Belgium</v>
      </c>
      <c r="TI34" s="319" t="str">
        <f t="shared" ca="1" si="10589"/>
        <v/>
      </c>
      <c r="TJ34" s="319"/>
      <c r="TK34" s="319"/>
      <c r="TL34" s="319"/>
      <c r="TM34" s="319" t="str">
        <f t="shared" ca="1" si="9759"/>
        <v>Belgium</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f t="shared" ca="1" si="9766"/>
        <v>0</v>
      </c>
      <c r="TU34" s="319">
        <f t="shared" ref="TU34" ca="1" si="11195">IF(TM34&lt;&gt;"",VLOOKUP(TM34,ST4:SZ40,7,FALSE),"")</f>
        <v>1000</v>
      </c>
      <c r="TV34" s="319">
        <f t="shared" ref="TV34" ca="1" si="11196">IF(TM34&lt;&gt;"",VLOOKUP(TM34,ST4:SZ40,5,FALSE),"")</f>
        <v>0</v>
      </c>
      <c r="TW34" s="319">
        <f t="shared" ref="TW34" ca="1" si="11197">IF(TM34&lt;&gt;"",VLOOKUP(TM34,ST4:TB40,9,FALSE),"")</f>
        <v>50</v>
      </c>
      <c r="TX34" s="319">
        <f t="shared" ca="1" si="9770"/>
        <v>0</v>
      </c>
      <c r="TY34" s="319">
        <f t="shared" ref="TY34" ca="1" si="11198">IF(TM34&lt;&gt;"",RANK(TX34,TX31:TX35),"")</f>
        <v>1</v>
      </c>
      <c r="TZ34" s="319">
        <f t="shared" ref="TZ34" ca="1" si="11199">IF(TM34&lt;&gt;"",SUMPRODUCT((TX31:TX35=TX34)*(TS31:TS35&gt;TS34)),"")</f>
        <v>0</v>
      </c>
      <c r="UA34" s="319">
        <f t="shared" ref="UA34" ca="1" si="11200">IF(TM34&lt;&gt;"",SUMPRODUCT((TX31:TX35=TX34)*(TS31:TS35=TS34)*(TQ31:TQ35&gt;TQ34)),"")</f>
        <v>0</v>
      </c>
      <c r="UB34" s="319">
        <f t="shared" ref="UB34" ca="1" si="11201">IF(TM34&lt;&gt;"",SUMPRODUCT((TX31:TX35=TX34)*(TS31:TS35=TS34)*(TQ31:TQ35=TQ34)*(TU31:TU35&gt;TU34)),"")</f>
        <v>0</v>
      </c>
      <c r="UC34" s="319">
        <f t="shared" ref="UC34" ca="1" si="11202">IF(TM34&lt;&gt;"",SUMPRODUCT((TX31:TX35=TX34)*(TS31:TS35=TS34)*(TQ31:TQ35=TQ34)*(TU31:TU35=TU34)*(TV31:TV35&gt;TV34)),"")</f>
        <v>0</v>
      </c>
      <c r="UD34" s="319">
        <f t="shared" ref="UD34" ca="1" si="11203">IF(TM34&lt;&gt;"",SUMPRODUCT((TX31:TX35=TX34)*(TS31:TS35=TS34)*(TQ31:TQ35=TQ34)*(TU31:TU35=TU34)*(TV31:TV35=TV34)*(TW31:TW35&gt;TW34)),"")</f>
        <v>0</v>
      </c>
      <c r="UE34" s="319">
        <f ca="1">IF(TM34&lt;&gt;"",IF(UE74&lt;&gt;"",IF(TL70=3,UE74,UE74+TL70),SUM(TY34:UD34)),"")</f>
        <v>1</v>
      </c>
      <c r="UF34" s="319" t="str">
        <f t="shared" ref="UF34" ca="1" si="11204">IF(TM34&lt;&gt;"",INDEX(TM31:TM35,MATCH(4,UE31:UE35,0),0),"")</f>
        <v>Ukraine</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Ukraine</v>
      </c>
      <c r="WP34" s="319">
        <v>4</v>
      </c>
      <c r="WQ34" s="319">
        <v>32</v>
      </c>
      <c r="WR34" s="319" t="str">
        <f t="shared" si="34"/>
        <v>France</v>
      </c>
      <c r="WS34" s="322">
        <f ca="1">IF(OFFSET('Player Game Board'!P41,0,WS1)&lt;&gt;"",OFFSET('Player Game Board'!P41,0,WS1),0)</f>
        <v>0</v>
      </c>
      <c r="WT34" s="322">
        <f ca="1">IF(OFFSET('Player Game Board'!Q41,0,WS1)&lt;&gt;"",OFFSET('Player Game Board'!Q41,0,WS1),0)</f>
        <v>0</v>
      </c>
      <c r="WU34" s="319" t="str">
        <f t="shared" si="35"/>
        <v>Poland</v>
      </c>
      <c r="WV34" s="319" t="str">
        <f ca="1">IF(AND(OFFSET('Player Game Board'!P41,0,WS1)&lt;&gt;"",OFFSET('Player Game Board'!Q41,0,WS1)&lt;&gt;""),IF(WS34&gt;WT34,"W",IF(WS34=WT34,"D","L")),"")</f>
        <v/>
      </c>
      <c r="WW34" s="319" t="str">
        <f t="shared" ca="1" si="5555"/>
        <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13</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4</v>
      </c>
      <c r="ACP34" s="319" t="str">
        <f t="shared" si="9819"/>
        <v>Ukraine</v>
      </c>
      <c r="ACQ34" s="319">
        <f t="shared" ref="ACQ34" ca="1" si="11333">SUMPRODUCT((AGN3:AGN42=ACP34)*(AGR3:AGR42="W"))+SUMPRODUCT((AGQ3:AGQ42=ACP34)*(AGS3:AGS42="W"))</f>
        <v>0</v>
      </c>
      <c r="ACR34" s="319">
        <f t="shared" ref="ACR34" ca="1" si="11334">SUMPRODUCT((AGN3:AGN42=ACP34)*(AGR3:AGR42="D"))+SUMPRODUCT((AGQ3:AGQ42=ACP34)*(AGS3:AGS42="D"))</f>
        <v>0</v>
      </c>
      <c r="ACS34" s="319">
        <f t="shared" ref="ACS34" ca="1" si="11335">SUMPRODUCT((AGN3:AGN42=ACP34)*(AGR3:AGR42="L"))+SUMPRODUCT((AGQ3:AGQ42=ACP34)*(AGS3:AGS42="L"))</f>
        <v>0</v>
      </c>
      <c r="ACT34" s="319">
        <f t="shared" ref="ACT34" ca="1" si="11336">SUMIF(AGN3:AGN60,ACP34,AGO3:AGO60)+SUMIF(AGQ3:AGQ60,ACP34,AGP3:AGP60)</f>
        <v>0</v>
      </c>
      <c r="ACU34" s="319">
        <f t="shared" ref="ACU34" ca="1" si="11337">SUMIF(AGQ3:AGQ60,ACP34,AGO3:AGO60)+SUMIF(AGN3:AGN60,ACP34,AGP3:AGP60)</f>
        <v>0</v>
      </c>
      <c r="ACV34" s="319">
        <f t="shared" ca="1" si="9825"/>
        <v>1000</v>
      </c>
      <c r="ACW34" s="319">
        <f t="shared" ca="1" si="9826"/>
        <v>0</v>
      </c>
      <c r="ACX34" s="319">
        <f t="shared" si="810"/>
        <v>0</v>
      </c>
      <c r="ACY34" s="319">
        <f t="shared" ref="ACY34" ca="1" si="11338">IF(COUNTIF(ACW31:ACW35,4)&lt;&gt;4,RANK(ACW34,ACW31:ACW35),ACW74)</f>
        <v>1</v>
      </c>
      <c r="ACZ34" s="319"/>
      <c r="ADA34" s="319">
        <f t="shared" ref="ADA34" ca="1" si="11339">SUMPRODUCT((ACY31:ACY34=ACY34)*(ACX31:ACX34&lt;ACX34))+ACY34</f>
        <v>1</v>
      </c>
      <c r="ADB34" s="319" t="str">
        <f t="shared" ref="ADB34" ca="1" si="11340">INDEX(ACP31:ACP35,MATCH(4,ADA31:ADA35,0),0)</f>
        <v>Belgium</v>
      </c>
      <c r="ADC34" s="319">
        <f t="shared" ref="ADC34" ca="1" si="11341">INDEX(ACY31:ACY35,MATCH(ADB34,ACP31:ACP35,0),0)</f>
        <v>1</v>
      </c>
      <c r="ADD34" s="319" t="str">
        <f t="shared" ca="1" si="10718"/>
        <v>Belgium</v>
      </c>
      <c r="ADE34" s="319" t="str">
        <f t="shared" ca="1" si="10719"/>
        <v/>
      </c>
      <c r="ADF34" s="319"/>
      <c r="ADG34" s="319"/>
      <c r="ADH34" s="319"/>
      <c r="ADI34" s="319" t="str">
        <f t="shared" ca="1" si="9835"/>
        <v>Belgium</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f t="shared" ca="1" si="9842"/>
        <v>0</v>
      </c>
      <c r="ADQ34" s="319">
        <f t="shared" ref="ADQ34" ca="1" si="11347">IF(ADI34&lt;&gt;"",VLOOKUP(ADI34,ACP4:ACV40,7,FALSE),"")</f>
        <v>1000</v>
      </c>
      <c r="ADR34" s="319">
        <f t="shared" ref="ADR34" ca="1" si="11348">IF(ADI34&lt;&gt;"",VLOOKUP(ADI34,ACP4:ACV40,5,FALSE),"")</f>
        <v>0</v>
      </c>
      <c r="ADS34" s="319">
        <f t="shared" ref="ADS34" ca="1" si="11349">IF(ADI34&lt;&gt;"",VLOOKUP(ADI34,ACP4:ACX40,9,FALSE),"")</f>
        <v>50</v>
      </c>
      <c r="ADT34" s="319">
        <f t="shared" ca="1" si="9846"/>
        <v>0</v>
      </c>
      <c r="ADU34" s="319">
        <f t="shared" ref="ADU34" ca="1" si="11350">IF(ADI34&lt;&gt;"",RANK(ADT34,ADT31:ADT35),"")</f>
        <v>1</v>
      </c>
      <c r="ADV34" s="319">
        <f t="shared" ref="ADV34" ca="1" si="11351">IF(ADI34&lt;&gt;"",SUMPRODUCT((ADT31:ADT35=ADT34)*(ADO31:ADO35&gt;ADO34)),"")</f>
        <v>0</v>
      </c>
      <c r="ADW34" s="319">
        <f t="shared" ref="ADW34" ca="1" si="11352">IF(ADI34&lt;&gt;"",SUMPRODUCT((ADT31:ADT35=ADT34)*(ADO31:ADO35=ADO34)*(ADM31:ADM35&gt;ADM34)),"")</f>
        <v>0</v>
      </c>
      <c r="ADX34" s="319">
        <f t="shared" ref="ADX34" ca="1" si="11353">IF(ADI34&lt;&gt;"",SUMPRODUCT((ADT31:ADT35=ADT34)*(ADO31:ADO35=ADO34)*(ADM31:ADM35=ADM34)*(ADQ31:ADQ35&gt;ADQ34)),"")</f>
        <v>0</v>
      </c>
      <c r="ADY34" s="319">
        <f t="shared" ref="ADY34" ca="1" si="11354">IF(ADI34&lt;&gt;"",SUMPRODUCT((ADT31:ADT35=ADT34)*(ADO31:ADO35=ADO34)*(ADM31:ADM35=ADM34)*(ADQ31:ADQ35=ADQ34)*(ADR31:ADR35&gt;ADR34)),"")</f>
        <v>0</v>
      </c>
      <c r="ADZ34" s="319">
        <f t="shared" ref="ADZ34" ca="1" si="11355">IF(ADI34&lt;&gt;"",SUMPRODUCT((ADT31:ADT35=ADT34)*(ADO31:ADO35=ADO34)*(ADM31:ADM35=ADM34)*(ADQ31:ADQ35=ADQ34)*(ADR31:ADR35=ADR34)*(ADS31:ADS35&gt;ADS34)),"")</f>
        <v>0</v>
      </c>
      <c r="AEA34" s="319">
        <f ca="1">IF(ADI34&lt;&gt;"",IF(AEA74&lt;&gt;"",IF(ADH70=3,AEA74,AEA74+ADH70),SUM(ADU34:ADZ34)),"")</f>
        <v>1</v>
      </c>
      <c r="AEB34" s="319" t="str">
        <f t="shared" ref="AEB34" ca="1" si="11356">IF(ADI34&lt;&gt;"",INDEX(ADI31:ADI35,MATCH(4,AEA31:AEA35,0),0),"")</f>
        <v>Ukraine</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Ukraine</v>
      </c>
      <c r="AGL34" s="319">
        <v>4</v>
      </c>
      <c r="AGM34" s="319">
        <v>32</v>
      </c>
      <c r="AGN34" s="319" t="str">
        <f t="shared" si="66"/>
        <v>France</v>
      </c>
      <c r="AGO34" s="322">
        <f ca="1">IF(OFFSET('Player Game Board'!P41,0,AGO1)&lt;&gt;"",OFFSET('Player Game Board'!P41,0,AGO1),0)</f>
        <v>0</v>
      </c>
      <c r="AGP34" s="322">
        <f ca="1">IF(OFFSET('Player Game Board'!Q41,0,AGO1)&lt;&gt;"",OFFSET('Player Game Board'!Q41,0,AGO1),0)</f>
        <v>0</v>
      </c>
      <c r="AGQ34" s="319" t="str">
        <f t="shared" si="67"/>
        <v>Poland</v>
      </c>
      <c r="AGR34" s="319" t="str">
        <f ca="1">IF(AND(OFFSET('Player Game Board'!P41,0,AGO1)&lt;&gt;"",OFFSET('Player Game Board'!Q41,0,AGO1)&lt;&gt;""),IF(AGO34&gt;AGP34,"W",IF(AGO34=AGP34,"D","L")),"")</f>
        <v/>
      </c>
      <c r="AGS34" s="319" t="str">
        <f t="shared" ca="1" si="5665"/>
        <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13</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0</v>
      </c>
      <c r="AHQ34" s="319">
        <f t="shared" ref="AHQ34" ca="1" si="11411">SUMPRODUCT((ALL3:ALL42=AHN34)*(ALP3:ALP42="L"))+SUMPRODUCT((ALO3:ALO42=AHN34)*(ALQ3:ALQ42="L"))</f>
        <v>0</v>
      </c>
      <c r="AHR34" s="319">
        <f t="shared" ref="AHR34" ca="1" si="11412">SUMIF(ALL3:ALL60,AHN34,ALM3:ALM60)+SUMIF(ALO3:ALO60,AHN34,ALN3:ALN60)</f>
        <v>0</v>
      </c>
      <c r="AHS34" s="319">
        <f t="shared" ref="AHS34" ca="1" si="11413">SUMIF(ALO3:ALO60,AHN34,ALM3:ALM60)+SUMIF(ALL3:ALL60,AHN34,ALN3:ALN60)</f>
        <v>0</v>
      </c>
      <c r="AHT34" s="319">
        <f t="shared" ca="1" si="9863"/>
        <v>1000</v>
      </c>
      <c r="AHU34" s="319">
        <f t="shared" ca="1" si="9864"/>
        <v>0</v>
      </c>
      <c r="AHV34" s="319">
        <f t="shared" si="870"/>
        <v>0</v>
      </c>
      <c r="AHW34" s="319">
        <f t="shared" ref="AHW34" ca="1" si="11414">IF(COUNTIF(AHU31:AHU35,4)&lt;&gt;4,RANK(AHU34,AHU31:AHU35),AHU74)</f>
        <v>1</v>
      </c>
      <c r="AHX34" s="319"/>
      <c r="AHY34" s="319">
        <f t="shared" ref="AHY34" ca="1" si="11415">SUMPRODUCT((AHW31:AHW34=AHW34)*(AHV31:AHV34&lt;AHV34))+AHW34</f>
        <v>1</v>
      </c>
      <c r="AHZ34" s="319" t="str">
        <f t="shared" ref="AHZ34" ca="1" si="11416">INDEX(AHN31:AHN35,MATCH(4,AHY31:AHY35,0),0)</f>
        <v>Belgium</v>
      </c>
      <c r="AIA34" s="319">
        <f t="shared" ref="AIA34" ca="1" si="11417">INDEX(AHW31:AHW35,MATCH(AHZ34,AHN31:AHN35,0),0)</f>
        <v>1</v>
      </c>
      <c r="AIB34" s="319" t="str">
        <f t="shared" ca="1" si="10783"/>
        <v>Belgium</v>
      </c>
      <c r="AIC34" s="319" t="str">
        <f t="shared" ca="1" si="10784"/>
        <v/>
      </c>
      <c r="AID34" s="319"/>
      <c r="AIE34" s="319"/>
      <c r="AIF34" s="319"/>
      <c r="AIG34" s="319" t="str">
        <f t="shared" ca="1" si="9873"/>
        <v>Belgium</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f t="shared" ca="1" si="9880"/>
        <v>0</v>
      </c>
      <c r="AIO34" s="319">
        <f t="shared" ref="AIO34" ca="1" si="11423">IF(AIG34&lt;&gt;"",VLOOKUP(AIG34,AHN4:AHT40,7,FALSE),"")</f>
        <v>1000</v>
      </c>
      <c r="AIP34" s="319">
        <f t="shared" ref="AIP34" ca="1" si="11424">IF(AIG34&lt;&gt;"",VLOOKUP(AIG34,AHN4:AHT40,5,FALSE),"")</f>
        <v>0</v>
      </c>
      <c r="AIQ34" s="319">
        <f t="shared" ref="AIQ34" ca="1" si="11425">IF(AIG34&lt;&gt;"",VLOOKUP(AIG34,AHN4:AHV40,9,FALSE),"")</f>
        <v>50</v>
      </c>
      <c r="AIR34" s="319">
        <f t="shared" ca="1" si="9884"/>
        <v>0</v>
      </c>
      <c r="AIS34" s="319">
        <f t="shared" ref="AIS34" ca="1" si="11426">IF(AIG34&lt;&gt;"",RANK(AIR34,AIR31:AIR35),"")</f>
        <v>1</v>
      </c>
      <c r="AIT34" s="319">
        <f t="shared" ref="AIT34" ca="1" si="11427">IF(AIG34&lt;&gt;"",SUMPRODUCT((AIR31:AIR35=AIR34)*(AIM31:AIM35&gt;AIM34)),"")</f>
        <v>0</v>
      </c>
      <c r="AIU34" s="319">
        <f t="shared" ref="AIU34" ca="1" si="11428">IF(AIG34&lt;&gt;"",SUMPRODUCT((AIR31:AIR35=AIR34)*(AIM31:AIM35=AIM34)*(AIK31:AIK35&gt;AIK34)),"")</f>
        <v>0</v>
      </c>
      <c r="AIV34" s="319">
        <f t="shared" ref="AIV34" ca="1" si="11429">IF(AIG34&lt;&gt;"",SUMPRODUCT((AIR31:AIR35=AIR34)*(AIM31:AIM35=AIM34)*(AIK31:AIK35=AIK34)*(AIO31:AIO35&gt;AIO34)),"")</f>
        <v>0</v>
      </c>
      <c r="AIW34" s="319">
        <f t="shared" ref="AIW34" ca="1" si="11430">IF(AIG34&lt;&gt;"",SUMPRODUCT((AIR31:AIR35=AIR34)*(AIM31:AIM35=AIM34)*(AIK31:AIK35=AIK34)*(AIO31:AIO35=AIO34)*(AIP31:AIP35&gt;AIP34)),"")</f>
        <v>0</v>
      </c>
      <c r="AIX34" s="319">
        <f t="shared" ref="AIX34" ca="1" si="11431">IF(AIG34&lt;&gt;"",SUMPRODUCT((AIR31:AIR35=AIR34)*(AIM31:AIM35=AIM34)*(AIK31:AIK35=AIK34)*(AIO31:AIO35=AIO34)*(AIP31:AIP35=AIP34)*(AIQ31:AIQ35&gt;AIQ34)),"")</f>
        <v>0</v>
      </c>
      <c r="AIY34" s="319">
        <f ca="1">IF(AIG34&lt;&gt;"",IF(AIY74&lt;&gt;"",IF(AIF70=3,AIY74,AIY74+AIF70),SUM(AIS34:AIX34)),"")</f>
        <v>1</v>
      </c>
      <c r="AIZ34" s="319" t="str">
        <f t="shared" ref="AIZ34" ca="1" si="11432">IF(AIG34&lt;&gt;"",INDEX(AIG31:AIG35,MATCH(4,AIY31:AIY35,0),0),"")</f>
        <v>Ukraine</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0</v>
      </c>
      <c r="ALN34" s="322">
        <f ca="1">IF(OFFSET('Player Game Board'!Q41,0,ALM1)&lt;&gt;"",OFFSET('Player Game Board'!Q41,0,ALM1),0)</f>
        <v>0</v>
      </c>
      <c r="ALO34" s="319" t="str">
        <f t="shared" si="83"/>
        <v>Poland</v>
      </c>
      <c r="ALP34" s="319" t="str">
        <f ca="1">IF(AND(OFFSET('Player Game Board'!P41,0,ALM1)&lt;&gt;"",OFFSET('Player Game Board'!Q41,0,ALM1)&lt;&gt;""),IF(ALM34&gt;ALN34,"W",IF(ALM34=ALN34,"D","L")),"")</f>
        <v/>
      </c>
      <c r="ALQ34" s="319" t="str">
        <f t="shared" ca="1" si="5720"/>
        <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13</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13</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13</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13</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13</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0</v>
      </c>
      <c r="RW35" s="319" t="str">
        <f t="shared" si="19"/>
        <v>Romania</v>
      </c>
      <c r="RX35" s="319" t="str">
        <f ca="1">IF(AND(OFFSET('Player Game Board'!P42,0,RU1)&lt;&gt;"",OFFSET('Player Game Board'!Q42,0,RU1)&lt;&gt;""),IF(RU35&gt;RV35,"W",IF(RU35=RV35,"D","L")),"")</f>
        <v/>
      </c>
      <c r="RY35" s="319" t="str">
        <f t="shared" ca="1" si="5500"/>
        <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0</v>
      </c>
      <c r="WU35" s="319" t="str">
        <f t="shared" si="35"/>
        <v>Romania</v>
      </c>
      <c r="WV35" s="319" t="str">
        <f ca="1">IF(AND(OFFSET('Player Game Board'!P42,0,WS1)&lt;&gt;"",OFFSET('Player Game Board'!Q42,0,WS1)&lt;&gt;""),IF(WS35&gt;WT35,"W",IF(WS35=WT35,"D","L")),"")</f>
        <v/>
      </c>
      <c r="WW35" s="319" t="str">
        <f t="shared" ca="1" si="5555"/>
        <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0</v>
      </c>
      <c r="AGP35" s="322">
        <f ca="1">IF(OFFSET('Player Game Board'!Q42,0,AGO1)&lt;&gt;"",OFFSET('Player Game Board'!Q42,0,AGO1),0)</f>
        <v>0</v>
      </c>
      <c r="AGQ35" s="319" t="str">
        <f t="shared" si="67"/>
        <v>Romania</v>
      </c>
      <c r="AGR35" s="319" t="str">
        <f ca="1">IF(AND(OFFSET('Player Game Board'!P42,0,AGO1)&lt;&gt;"",OFFSET('Player Game Board'!Q42,0,AGO1)&lt;&gt;""),IF(AGO35&gt;AGP35,"W",IF(AGO35=AGP35,"D","L")),"")</f>
        <v/>
      </c>
      <c r="AGS35" s="319" t="str">
        <f t="shared" ca="1" si="5665"/>
        <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
      </c>
      <c r="ALQ35" s="319" t="str">
        <f t="shared" ca="1" si="5720"/>
        <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
      </c>
      <c r="RY36" s="319" t="str">
        <f t="shared" ca="1" si="5500"/>
        <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0</v>
      </c>
      <c r="WU36" s="319" t="str">
        <f t="shared" si="35"/>
        <v>Belgium</v>
      </c>
      <c r="WV36" s="319" t="str">
        <f ca="1">IF(AND(OFFSET('Player Game Board'!P43,0,WS1)&lt;&gt;"",OFFSET('Player Game Board'!Q43,0,WS1)&lt;&gt;""),IF(WS36&gt;WT36,"W",IF(WS36=WT36,"D","L")),"")</f>
        <v/>
      </c>
      <c r="WW36" s="319" t="str">
        <f t="shared" ca="1" si="5555"/>
        <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0</v>
      </c>
      <c r="AGQ36" s="319" t="str">
        <f t="shared" si="67"/>
        <v>Belgium</v>
      </c>
      <c r="AGR36" s="319" t="str">
        <f ca="1">IF(AND(OFFSET('Player Game Board'!P43,0,AGO1)&lt;&gt;"",OFFSET('Player Game Board'!Q43,0,AGO1)&lt;&gt;""),IF(AGO36&gt;AGP36,"W",IF(AGO36=AGP36,"D","L")),"")</f>
        <v/>
      </c>
      <c r="AGS36" s="319" t="str">
        <f t="shared" ca="1" si="5665"/>
        <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0</v>
      </c>
      <c r="ALO36" s="319" t="str">
        <f t="shared" si="83"/>
        <v>Belgium</v>
      </c>
      <c r="ALP36" s="319" t="str">
        <f ca="1">IF(AND(OFFSET('Player Game Board'!P43,0,ALM1)&lt;&gt;"",OFFSET('Player Game Board'!Q43,0,ALM1)&lt;&gt;""),IF(ALM36&gt;ALN36,"W",IF(ALM36=ALN36,"D","L")),"")</f>
        <v/>
      </c>
      <c r="ALQ36" s="319" t="str">
        <f t="shared" ca="1" si="5720"/>
        <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1</v>
      </c>
      <c r="B37" s="319" t="str">
        <f>'Language Table'!C18</f>
        <v>Portugal</v>
      </c>
      <c r="C37" s="319">
        <f>SUMPRODUCT((CZ3:CZ42=B37)*(DD3:DD42="W"))+SUMPRODUCT((DC3:DC42=B37)*(DE3:DE42="W"))</f>
        <v>2</v>
      </c>
      <c r="D37" s="319">
        <f>SUMPRODUCT((CZ3:CZ42=B37)*(DD3:DD42="D"))+SUMPRODUCT((DC3:DC42=B37)*(DE3:DE42="D"))</f>
        <v>0</v>
      </c>
      <c r="E37" s="319">
        <f>SUMPRODUCT((CZ3:CZ42=B37)*(DD3:DD42="L"))+SUMPRODUCT((DC3:DC42=B37)*(DE3:DE42="L"))</f>
        <v>0</v>
      </c>
      <c r="F37" s="319">
        <f>SUMIF(CZ3:CZ60,B37,DA3:DA60)+SUMIF(DC3:DC60,B37,DB3:DB60)</f>
        <v>5</v>
      </c>
      <c r="G37" s="319">
        <f>SUMIF(DC3:DC60,B37,DA3:DA60)+SUMIF(CZ3:CZ60,B37,DB3:DB60)</f>
        <v>1</v>
      </c>
      <c r="H37" s="319">
        <f t="shared" ref="H37:H40" si="11788">F37-G37+1000</f>
        <v>1004</v>
      </c>
      <c r="I37" s="319">
        <f t="shared" ref="I37:I40" si="11789">C37*3+D37*1</f>
        <v>6</v>
      </c>
      <c r="J37" s="319">
        <v>53</v>
      </c>
      <c r="K37" s="319">
        <f>IF(COUNTIF(I37:I41,4)&lt;&gt;4,RANK(I37,I37:I41),I77)</f>
        <v>1</v>
      </c>
      <c r="L37" s="319"/>
      <c r="M37" s="319">
        <f>SUMPRODUCT((K37:K40=K37)*(J37:J40&lt;J37))+K37</f>
        <v>1</v>
      </c>
      <c r="N37" s="319" t="str">
        <f>INDEX(B37:B41,MATCH(1,M37:M41,0),0)</f>
        <v>Portugal</v>
      </c>
      <c r="O37" s="319">
        <f>INDEX(K37:K41,MATCH(N37,B37:B41,0),0)</f>
        <v>1</v>
      </c>
      <c r="P37" s="319" t="str">
        <f>IF(O38=1,N37,"")</f>
        <v/>
      </c>
      <c r="Q37" s="319" t="str">
        <f>IF(O39=2,N38,"")</f>
        <v/>
      </c>
      <c r="R37" s="319" t="str">
        <f>IF(O40=3,N39,"")</f>
        <v>Georgia</v>
      </c>
      <c r="S37" s="319" t="str">
        <f>IF(O41=4,N40,"")</f>
        <v/>
      </c>
      <c r="T37" s="319"/>
      <c r="U37" s="319" t="str">
        <f>IF(P37&lt;&gt;"",P37,"")</f>
        <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t="str">
        <f t="shared" ref="AB37:AB40" si="11790">IF(U37&lt;&gt;"",V37*3+W37*1,"")</f>
        <v/>
      </c>
      <c r="AC37" s="319" t="str">
        <f>IF(U37&lt;&gt;"",VLOOKUP(U37,B4:H40,7,FALSE),"")</f>
        <v/>
      </c>
      <c r="AD37" s="319" t="str">
        <f>IF(U37&lt;&gt;"",VLOOKUP(U37,B4:H40,5,FALSE),"")</f>
        <v/>
      </c>
      <c r="AE37" s="319" t="str">
        <f>IF(U37&lt;&gt;"",VLOOKUP(U37,B4:J40,9,FALSE),"")</f>
        <v/>
      </c>
      <c r="AF37" s="319" t="str">
        <f t="shared" ref="AF37:AF40" si="11791">AB37</f>
        <v/>
      </c>
      <c r="AG37" s="319" t="str">
        <f>IF(U37&lt;&gt;"",RANK(AF37,AF37:AF41),"")</f>
        <v/>
      </c>
      <c r="AH37" s="319" t="str">
        <f>IF(U37&lt;&gt;"",SUMPRODUCT((AF37:AF41=AF37)*(AA37:AA41&gt;AA37)),"")</f>
        <v/>
      </c>
      <c r="AI37" s="319" t="str">
        <f>IF(U37&lt;&gt;"",SUMPRODUCT((AF37:AF41=AF37)*(AA37:AA41=AA37)*(Y37:Y41&gt;Y37)),"")</f>
        <v/>
      </c>
      <c r="AJ37" s="319" t="str">
        <f>IF(U37&lt;&gt;"",SUMPRODUCT((AF37:AF41=AF37)*(AA37:AA41=AA37)*(Y37:Y41=Y37)*(AC37:AC41&gt;AC37)),"")</f>
        <v/>
      </c>
      <c r="AK37" s="319" t="str">
        <f>IF(U37&lt;&gt;"",SUMPRODUCT((AF37:AF41=AF37)*(AA37:AA41=AA37)*(Y37:Y41=Y37)*(AC37:AC41=AC37)*(AD37:AD41&gt;AD37)),"")</f>
        <v/>
      </c>
      <c r="AL37" s="319" t="str">
        <f>IF(U37&lt;&gt;"",SUMPRODUCT((AF37:AF41=AF37)*(AA37:AA41=AA37)*(Y37:Y41=Y37)*(AC37:AC41=AC37)*(AD37:AD41=AD37)*(AE37:AE41&gt;AE37)),"")</f>
        <v/>
      </c>
      <c r="AM37" s="319" t="str">
        <f>IF(U37&lt;&gt;"",IF(AM77&lt;&gt;"",IF(T76=3,AM77,AM77+T76),SUM(AG37:AL37)),"")</f>
        <v/>
      </c>
      <c r="AN37" s="319" t="str">
        <f>IF(U37&lt;&gt;"",INDEX(U37:U41,MATCH(1,AM37:AM41,0),0),"")</f>
        <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0</v>
      </c>
      <c r="EF37" s="319">
        <f t="shared" ref="EF37:EF40" ca="1" si="11792">ED37-EE37+1000</f>
        <v>1007</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2</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2</v>
      </c>
      <c r="IZ37" s="319">
        <f ca="1">SUMPRODUCT((MV3:MV42=IX37)*(MZ3:MZ42="D"))+SUMPRODUCT((MY3:MY42=IX37)*(NA3:NA42="D"))</f>
        <v>1</v>
      </c>
      <c r="JA37" s="319">
        <f ca="1">SUMPRODUCT((MV3:MV42=IX37)*(MZ3:MZ42="L"))+SUMPRODUCT((MY3:MY42=IX37)*(NA3:NA42="L"))</f>
        <v>0</v>
      </c>
      <c r="JB37" s="319">
        <f ca="1">SUMIF(MV3:MV60,IX37,MW3:MW60)+SUMIF(MY3:MY60,IX37,MX3:MX60)</f>
        <v>8</v>
      </c>
      <c r="JC37" s="319">
        <f ca="1">SUMIF(MY3:MY60,IX37,MW3:MW60)+SUMIF(MV3:MV60,IX37,MX3:MX60)</f>
        <v>4</v>
      </c>
      <c r="JD37" s="319">
        <f t="shared" ref="JD37:JD40" ca="1" si="11796">JB37-JC37+1000</f>
        <v>1004</v>
      </c>
      <c r="JE37" s="319">
        <f t="shared" ref="JE37:JE40" ca="1" si="11797">IY37*3+IZ37*1</f>
        <v>7</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3</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0</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0</v>
      </c>
      <c r="OA37" s="319">
        <f t="shared" ref="OA37" ca="1" si="11806">SUMIF(RW3:RW60,NV37,RU3:RU60)+SUMIF(RT3:RT60,NV37,RV3:RV60)</f>
        <v>0</v>
      </c>
      <c r="OB37" s="319">
        <f t="shared" ref="OB37:OB40" ca="1" si="11807">NZ37-OA37+1000</f>
        <v>1000</v>
      </c>
      <c r="OC37" s="319">
        <f t="shared" ref="OC37:OC40" ca="1" si="11808">NW37*3+NX37*1</f>
        <v>0</v>
      </c>
      <c r="OD37" s="319">
        <f t="shared" si="630"/>
        <v>53</v>
      </c>
      <c r="OE37" s="319">
        <f t="shared" ref="OE37" ca="1" si="11809">IF(COUNTIF(OC37:OC41,4)&lt;&gt;4,RANK(OC37,OC37:OC41),OC77)</f>
        <v>1</v>
      </c>
      <c r="OF37" s="319"/>
      <c r="OG37" s="319">
        <f t="shared" ref="OG37" ca="1" si="11810">SUMPRODUCT((OE37:OE40=OE37)*(OD37:OD40&lt;OD37))+OE37</f>
        <v>4</v>
      </c>
      <c r="OH37" s="319" t="str">
        <f t="shared" ref="OH37" ca="1" si="11811">INDEX(NV37:NV41,MATCH(1,OG37:OG41,0),0)</f>
        <v>Georgia</v>
      </c>
      <c r="OI37" s="319">
        <f t="shared" ref="OI37" ca="1" si="11812">INDEX(OE37:OE41,MATCH(OH37,NV37:NV41,0),0)</f>
        <v>1</v>
      </c>
      <c r="OJ37" s="319" t="str">
        <f t="shared" ref="OJ37" ca="1" si="11813">IF(OI38=1,OH37,"")</f>
        <v>Georgia</v>
      </c>
      <c r="OK37" s="319" t="str">
        <f t="shared" ref="OK37" ca="1" si="11814">IF(OI39=2,OH38,"")</f>
        <v/>
      </c>
      <c r="OL37" s="319" t="str">
        <f t="shared" ref="OL37" ca="1" si="11815">IF(OI40=3,OH39,"")</f>
        <v/>
      </c>
      <c r="OM37" s="319" t="str">
        <f t="shared" ref="OM37" si="11816">IF(OI41=4,OH40,"")</f>
        <v/>
      </c>
      <c r="ON37" s="319"/>
      <c r="OO37" s="319" t="str">
        <f t="shared" ref="OO37:OO40" ca="1" si="11817">IF(OJ37&lt;&gt;"",OJ37,"")</f>
        <v>Georgia</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f t="shared" ref="OV37:OV40" ca="1" si="11824">IF(OO37&lt;&gt;"",OP37*3+OQ37*1,"")</f>
        <v>0</v>
      </c>
      <c r="OW37" s="319">
        <f t="shared" ref="OW37" ca="1" si="11825">IF(OO37&lt;&gt;"",VLOOKUP(OO37,NV4:OB40,7,FALSE),"")</f>
        <v>1000</v>
      </c>
      <c r="OX37" s="319">
        <f t="shared" ref="OX37" ca="1" si="11826">IF(OO37&lt;&gt;"",VLOOKUP(OO37,NV4:OB40,5,FALSE),"")</f>
        <v>0</v>
      </c>
      <c r="OY37" s="319">
        <f t="shared" ref="OY37" ca="1" si="11827">IF(OO37&lt;&gt;"",VLOOKUP(OO37,NV4:OD40,9,FALSE),"")</f>
        <v>0</v>
      </c>
      <c r="OZ37" s="319">
        <f t="shared" ref="OZ37:OZ40" ca="1" si="11828">OV37</f>
        <v>0</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3</v>
      </c>
      <c r="PG37" s="319">
        <f ca="1">IF(OO37&lt;&gt;"",IF(PG77&lt;&gt;"",IF(ON76=3,PG77,PG77+ON76),SUM(PA37:PF37)),"")</f>
        <v>4</v>
      </c>
      <c r="PH37" s="319" t="str">
        <f t="shared" ref="PH37" ca="1" si="11835">IF(OO37&lt;&gt;"",INDEX(OO37:OO41,MATCH(1,PG37:PG41,0),0),"")</f>
        <v>Portugal</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0</v>
      </c>
      <c r="RW37" s="319" t="str">
        <f t="shared" si="19"/>
        <v>Portugal</v>
      </c>
      <c r="RX37" s="319" t="str">
        <f ca="1">IF(AND(OFFSET('Player Game Board'!P44,0,RU1)&lt;&gt;"",OFFSET('Player Game Board'!Q44,0,RU1)&lt;&gt;""),IF(RU37&gt;RV37,"W",IF(RU37=RV37,"D","L")),"")</f>
        <v/>
      </c>
      <c r="RY37" s="319" t="str">
        <f t="shared" ca="1" si="5500"/>
        <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0</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0</v>
      </c>
      <c r="SY37" s="319">
        <f t="shared" ref="SY37" ca="1" si="11843">SUMIF(WU3:WU60,ST37,WS3:WS60)+SUMIF(WR3:WR60,ST37,WT3:WT60)</f>
        <v>0</v>
      </c>
      <c r="SZ37" s="319">
        <f t="shared" ref="SZ37:SZ40" ca="1" si="11844">SX37-SY37+1000</f>
        <v>1000</v>
      </c>
      <c r="TA37" s="319">
        <f t="shared" ref="TA37:TA40" ca="1" si="11845">SU37*3+SV37*1</f>
        <v>0</v>
      </c>
      <c r="TB37" s="319">
        <f t="shared" si="690"/>
        <v>53</v>
      </c>
      <c r="TC37" s="319">
        <f t="shared" ref="TC37" ca="1" si="11846">IF(COUNTIF(TA37:TA41,4)&lt;&gt;4,RANK(TA37,TA37:TA41),TA77)</f>
        <v>1</v>
      </c>
      <c r="TD37" s="319"/>
      <c r="TE37" s="319">
        <f t="shared" ref="TE37" ca="1" si="11847">SUMPRODUCT((TC37:TC40=TC37)*(TB37:TB40&lt;TB37))+TC37</f>
        <v>4</v>
      </c>
      <c r="TF37" s="319" t="str">
        <f t="shared" ref="TF37" ca="1" si="11848">INDEX(ST37:ST41,MATCH(1,TE37:TE41,0),0)</f>
        <v>Georgia</v>
      </c>
      <c r="TG37" s="319">
        <f t="shared" ref="TG37" ca="1" si="11849">INDEX(TC37:TC41,MATCH(TF37,ST37:ST41,0),0)</f>
        <v>1</v>
      </c>
      <c r="TH37" s="319" t="str">
        <f t="shared" ref="TH37" ca="1" si="11850">IF(TG38=1,TF37,"")</f>
        <v>Georgia</v>
      </c>
      <c r="TI37" s="319" t="str">
        <f t="shared" ref="TI37" ca="1" si="11851">IF(TG39=2,TF38,"")</f>
        <v/>
      </c>
      <c r="TJ37" s="319" t="str">
        <f t="shared" ref="TJ37" ca="1" si="11852">IF(TG40=3,TF39,"")</f>
        <v/>
      </c>
      <c r="TK37" s="319" t="str">
        <f t="shared" ref="TK37" si="11853">IF(TG41=4,TF40,"")</f>
        <v/>
      </c>
      <c r="TL37" s="319"/>
      <c r="TM37" s="319" t="str">
        <f t="shared" ref="TM37:TM40" ca="1" si="11854">IF(TH37&lt;&gt;"",TH37,"")</f>
        <v>Georgia</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f t="shared" ref="TT37:TT40" ca="1" si="11861">IF(TM37&lt;&gt;"",TN37*3+TO37*1,"")</f>
        <v>0</v>
      </c>
      <c r="TU37" s="319">
        <f t="shared" ref="TU37" ca="1" si="11862">IF(TM37&lt;&gt;"",VLOOKUP(TM37,ST4:SZ40,7,FALSE),"")</f>
        <v>1000</v>
      </c>
      <c r="TV37" s="319">
        <f t="shared" ref="TV37" ca="1" si="11863">IF(TM37&lt;&gt;"",VLOOKUP(TM37,ST4:SZ40,5,FALSE),"")</f>
        <v>0</v>
      </c>
      <c r="TW37" s="319">
        <f t="shared" ref="TW37" ca="1" si="11864">IF(TM37&lt;&gt;"",VLOOKUP(TM37,ST4:TB40,9,FALSE),"")</f>
        <v>0</v>
      </c>
      <c r="TX37" s="319">
        <f t="shared" ref="TX37:TX40" ca="1" si="11865">TT37</f>
        <v>0</v>
      </c>
      <c r="TY37" s="319">
        <f t="shared" ref="TY37" ca="1" si="11866">IF(TM37&lt;&gt;"",RANK(TX37,TX37:TX41),"")</f>
        <v>1</v>
      </c>
      <c r="TZ37" s="319">
        <f t="shared" ref="TZ37" ca="1" si="11867">IF(TM37&lt;&gt;"",SUMPRODUCT((TX37:TX41=TX37)*(TS37:TS41&gt;TS37)),"")</f>
        <v>0</v>
      </c>
      <c r="UA37" s="319">
        <f t="shared" ref="UA37" ca="1" si="11868">IF(TM37&lt;&gt;"",SUMPRODUCT((TX37:TX41=TX37)*(TS37:TS41=TS37)*(TQ37:TQ41&gt;TQ37)),"")</f>
        <v>0</v>
      </c>
      <c r="UB37" s="319">
        <f t="shared" ref="UB37" ca="1" si="11869">IF(TM37&lt;&gt;"",SUMPRODUCT((TX37:TX41=TX37)*(TS37:TS41=TS37)*(TQ37:TQ41=TQ37)*(TU37:TU41&gt;TU37)),"")</f>
        <v>0</v>
      </c>
      <c r="UC37" s="319">
        <f t="shared" ref="UC37" ca="1" si="11870">IF(TM37&lt;&gt;"",SUMPRODUCT((TX37:TX41=TX37)*(TS37:TS41=TS37)*(TQ37:TQ41=TQ37)*(TU37:TU41=TU37)*(TV37:TV41&gt;TV37)),"")</f>
        <v>0</v>
      </c>
      <c r="UD37" s="319">
        <f t="shared" ref="UD37" ca="1" si="11871">IF(TM37&lt;&gt;"",SUMPRODUCT((TX37:TX41=TX37)*(TS37:TS41=TS37)*(TQ37:TQ41=TQ37)*(TU37:TU41=TU37)*(TV37:TV41=TV37)*(TW37:TW41&gt;TW37)),"")</f>
        <v>3</v>
      </c>
      <c r="UE37" s="319">
        <f ca="1">IF(TM37&lt;&gt;"",IF(UE77&lt;&gt;"",IF(TL76=3,UE77,UE77+TL76),SUM(TY37:UD37)),"")</f>
        <v>4</v>
      </c>
      <c r="UF37" s="319" t="str">
        <f t="shared" ref="UF37" ca="1" si="11872">IF(TM37&lt;&gt;"",INDEX(TM37:TM41,MATCH(1,UE37:UE41,0),0),"")</f>
        <v>Portugal</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0</v>
      </c>
      <c r="WU37" s="319" t="str">
        <f t="shared" si="35"/>
        <v>Portugal</v>
      </c>
      <c r="WV37" s="319" t="str">
        <f ca="1">IF(AND(OFFSET('Player Game Board'!P44,0,WS1)&lt;&gt;"",OFFSET('Player Game Board'!Q44,0,WS1)&lt;&gt;""),IF(WS37&gt;WT37,"W",IF(WS37=WT37,"D","L")),"")</f>
        <v/>
      </c>
      <c r="WW37" s="319" t="str">
        <f t="shared" ca="1" si="5555"/>
        <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0</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0</v>
      </c>
      <c r="ACU37" s="319">
        <f t="shared" ref="ACU37" ca="1" si="11917">SUMIF(AGQ3:AGQ60,ACP37,AGO3:AGO60)+SUMIF(AGN3:AGN60,ACP37,AGP3:AGP60)</f>
        <v>0</v>
      </c>
      <c r="ACV37" s="319">
        <f t="shared" ref="ACV37:ACV40" ca="1" si="11918">ACT37-ACU37+1000</f>
        <v>1000</v>
      </c>
      <c r="ACW37" s="319">
        <f t="shared" ref="ACW37:ACW40" ca="1" si="11919">ACQ37*3+ACR37*1</f>
        <v>0</v>
      </c>
      <c r="ACX37" s="319">
        <f t="shared" si="810"/>
        <v>53</v>
      </c>
      <c r="ACY37" s="319">
        <f t="shared" ref="ACY37" ca="1" si="11920">IF(COUNTIF(ACW37:ACW41,4)&lt;&gt;4,RANK(ACW37,ACW37:ACW41),ACW77)</f>
        <v>1</v>
      </c>
      <c r="ACZ37" s="319"/>
      <c r="ADA37" s="319">
        <f t="shared" ref="ADA37" ca="1" si="11921">SUMPRODUCT((ACY37:ACY40=ACY37)*(ACX37:ACX40&lt;ACX37))+ACY37</f>
        <v>4</v>
      </c>
      <c r="ADB37" s="319" t="str">
        <f t="shared" ref="ADB37" ca="1" si="11922">INDEX(ACP37:ACP41,MATCH(1,ADA37:ADA41,0),0)</f>
        <v>Georgia</v>
      </c>
      <c r="ADC37" s="319">
        <f t="shared" ref="ADC37" ca="1" si="11923">INDEX(ACY37:ACY41,MATCH(ADB37,ACP37:ACP41,0),0)</f>
        <v>1</v>
      </c>
      <c r="ADD37" s="319" t="str">
        <f t="shared" ref="ADD37" ca="1" si="11924">IF(ADC38=1,ADB37,"")</f>
        <v>Georgia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Georgia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f t="shared" ref="ADP37:ADP40" ca="1" si="11935">IF(ADI37&lt;&gt;"",ADJ37*3+ADK37*1,"")</f>
        <v>0</v>
      </c>
      <c r="ADQ37" s="319">
        <f t="shared" ref="ADQ37" ca="1" si="11936">IF(ADI37&lt;&gt;"",VLOOKUP(ADI37,ACP4:ACV40,7,FALSE),"")</f>
        <v>1000</v>
      </c>
      <c r="ADR37" s="319">
        <f t="shared" ref="ADR37" ca="1" si="11937">IF(ADI37&lt;&gt;"",VLOOKUP(ADI37,ACP4:ACV40,5,FALSE),"")</f>
        <v>0</v>
      </c>
      <c r="ADS37" s="319">
        <f t="shared" ref="ADS37" ca="1" si="11938">IF(ADI37&lt;&gt;"",VLOOKUP(ADI37,ACP4:ACX40,9,FALSE),"")</f>
        <v>0</v>
      </c>
      <c r="ADT37" s="319">
        <f t="shared" ref="ADT37:ADT40" ca="1" si="11939">ADP37</f>
        <v>0</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0</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3</v>
      </c>
      <c r="AEA37" s="319">
        <f ca="1">IF(ADI37&lt;&gt;"",IF(AEA77&lt;&gt;"",IF(ADH76=3,AEA77,AEA77+ADH76),SUM(ADU37:ADZ37)),"")</f>
        <v>4</v>
      </c>
      <c r="AEB37" s="319" t="str">
        <f t="shared" ref="AEB37" ca="1" si="11946">IF(ADI37&lt;&gt;"",INDEX(ADI37:ADI41,MATCH(1,AEA37:AEA41,0),0),"")</f>
        <v>Portugal</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0</v>
      </c>
      <c r="AGQ37" s="319" t="str">
        <f t="shared" si="67"/>
        <v>Portugal</v>
      </c>
      <c r="AGR37" s="319" t="str">
        <f ca="1">IF(AND(OFFSET('Player Game Board'!P44,0,AGO1)&lt;&gt;"",OFFSET('Player Game Board'!Q44,0,AGO1)&lt;&gt;""),IF(AGO37&gt;AGP37,"W",IF(AGO37=AGP37,"D","L")),"")</f>
        <v/>
      </c>
      <c r="AGS37" s="319" t="str">
        <f t="shared" ca="1" si="5665"/>
        <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0</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0</v>
      </c>
      <c r="AHS37" s="319">
        <f t="shared" ref="AHS37" ca="1" si="11954">SUMIF(ALO3:ALO60,AHN37,ALM3:ALM60)+SUMIF(ALL3:ALL60,AHN37,ALN3:ALN60)</f>
        <v>0</v>
      </c>
      <c r="AHT37" s="319">
        <f t="shared" ref="AHT37:AHT40" ca="1" si="11955">AHR37-AHS37+1000</f>
        <v>1000</v>
      </c>
      <c r="AHU37" s="319">
        <f t="shared" ref="AHU37:AHU40" ca="1" si="11956">AHO37*3+AHP37*1</f>
        <v>0</v>
      </c>
      <c r="AHV37" s="319">
        <f t="shared" si="870"/>
        <v>53</v>
      </c>
      <c r="AHW37" s="319">
        <f t="shared" ref="AHW37" ca="1" si="11957">IF(COUNTIF(AHU37:AHU41,4)&lt;&gt;4,RANK(AHU37,AHU37:AHU41),AHU77)</f>
        <v>1</v>
      </c>
      <c r="AHX37" s="319"/>
      <c r="AHY37" s="319">
        <f t="shared" ref="AHY37" ca="1" si="11958">SUMPRODUCT((AHW37:AHW40=AHW37)*(AHV37:AHV40&lt;AHV37))+AHW37</f>
        <v>4</v>
      </c>
      <c r="AHZ37" s="319" t="str">
        <f t="shared" ref="AHZ37" ca="1" si="11959">INDEX(AHN37:AHN41,MATCH(1,AHY37:AHY41,0),0)</f>
        <v>Georgia</v>
      </c>
      <c r="AIA37" s="319">
        <f t="shared" ref="AIA37" ca="1" si="11960">INDEX(AHW37:AHW41,MATCH(AHZ37,AHN37:AHN41,0),0)</f>
        <v>1</v>
      </c>
      <c r="AIB37" s="319" t="str">
        <f t="shared" ref="AIB37" ca="1" si="11961">IF(AIA38=1,AHZ37,"")</f>
        <v>Georgia</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Georgia</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f t="shared" ref="AIN37:AIN40" ca="1" si="11972">IF(AIG37&lt;&gt;"",AIH37*3+AII37*1,"")</f>
        <v>0</v>
      </c>
      <c r="AIO37" s="319">
        <f t="shared" ref="AIO37" ca="1" si="11973">IF(AIG37&lt;&gt;"",VLOOKUP(AIG37,AHN4:AHT40,7,FALSE),"")</f>
        <v>1000</v>
      </c>
      <c r="AIP37" s="319">
        <f t="shared" ref="AIP37" ca="1" si="11974">IF(AIG37&lt;&gt;"",VLOOKUP(AIG37,AHN4:AHT40,5,FALSE),"")</f>
        <v>0</v>
      </c>
      <c r="AIQ37" s="319">
        <f t="shared" ref="AIQ37" ca="1" si="11975">IF(AIG37&lt;&gt;"",VLOOKUP(AIG37,AHN4:AHV40,9,FALSE),"")</f>
        <v>0</v>
      </c>
      <c r="AIR37" s="319">
        <f t="shared" ref="AIR37:AIR40" ca="1" si="11976">AIN37</f>
        <v>0</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3</v>
      </c>
      <c r="AIY37" s="319">
        <f ca="1">IF(AIG37&lt;&gt;"",IF(AIY77&lt;&gt;"",IF(AIF76=3,AIY77,AIY77+AIF76),SUM(AIS37:AIX37)),"")</f>
        <v>4</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0</v>
      </c>
      <c r="ALO37" s="319" t="str">
        <f t="shared" si="83"/>
        <v>Portugal</v>
      </c>
      <c r="ALP37" s="319" t="str">
        <f ca="1">IF(AND(OFFSET('Player Game Board'!P44,0,ALM1)&lt;&gt;"",OFFSET('Player Game Board'!Q44,0,ALM1)&lt;&gt;""),IF(ALM37&gt;ALN37,"W",IF(ALM37=ALN37,"D","L")),"")</f>
        <v/>
      </c>
      <c r="ALQ37" s="319" t="str">
        <f t="shared" ca="1" si="5720"/>
        <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1</v>
      </c>
      <c r="E38" s="319">
        <f>SUMPRODUCT((CZ3:CZ42=B38)*(DD3:DD42="L"))+SUMPRODUCT((DC3:DC42=B38)*(DE3:DE42="L"))</f>
        <v>1</v>
      </c>
      <c r="F38" s="319">
        <f>SUMIF(CZ3:CZ60,B38,DA3:DA60)+SUMIF(DC3:DC60,B38,DB3:DB60)</f>
        <v>2</v>
      </c>
      <c r="G38" s="319">
        <f>SUMIF(DC3:DC60,B38,DA3:DA60)+SUMIF(CZ3:CZ60,B38,DB3:DB60)</f>
        <v>3</v>
      </c>
      <c r="H38" s="319">
        <f t="shared" si="11788"/>
        <v>999</v>
      </c>
      <c r="I38" s="319">
        <f t="shared" si="11789"/>
        <v>1</v>
      </c>
      <c r="J38" s="319">
        <v>37</v>
      </c>
      <c r="K38" s="319">
        <f>IF(COUNTIF(I37:I41,4)&lt;&gt;4,RANK(I38,I37:I41),I78)</f>
        <v>3</v>
      </c>
      <c r="L38" s="319"/>
      <c r="M38" s="319">
        <f>SUMPRODUCT((K37:K40=K38)*(J37:J40&lt;J38))+K38</f>
        <v>4</v>
      </c>
      <c r="N38" s="319" t="str">
        <f>INDEX(B37:B41,MATCH(2,M37:M41,0),0)</f>
        <v>Türkiye</v>
      </c>
      <c r="O38" s="319">
        <f>INDEX(K37:K41,MATCH(N38,B37:B41,0),0)</f>
        <v>2</v>
      </c>
      <c r="P38" s="319" t="str">
        <f>IF(P37&lt;&gt;"",N38,"")</f>
        <v/>
      </c>
      <c r="Q38" s="319" t="str">
        <f>IF(Q37&lt;&gt;"",N39,"")</f>
        <v/>
      </c>
      <c r="R38" s="319" t="str">
        <f>IF(R37&lt;&gt;"",N40,"")</f>
        <v>Czechia</v>
      </c>
      <c r="S38" s="319" t="str">
        <f>IF(S37&lt;&gt;"",N41,"")</f>
        <v/>
      </c>
      <c r="T38" s="319"/>
      <c r="U38" s="319" t="str">
        <f t="shared" ref="U38:U40" si="12133">IF(P38&lt;&gt;"",P38,"")</f>
        <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t="str">
        <f t="shared" si="11790"/>
        <v/>
      </c>
      <c r="AC38" s="319" t="str">
        <f>IF(U38&lt;&gt;"",VLOOKUP(U38,B4:H40,7,FALSE),"")</f>
        <v/>
      </c>
      <c r="AD38" s="319" t="str">
        <f>IF(U38&lt;&gt;"",VLOOKUP(U38,B4:H40,5,FALSE),"")</f>
        <v/>
      </c>
      <c r="AE38" s="319" t="str">
        <f>IF(U38&lt;&gt;"",VLOOKUP(U38,B4:J40,9,FALSE),"")</f>
        <v/>
      </c>
      <c r="AF38" s="319" t="str">
        <f t="shared" si="11791"/>
        <v/>
      </c>
      <c r="AG38" s="319" t="str">
        <f>IF(U38&lt;&gt;"",RANK(AF38,AF37:AF41),"")</f>
        <v/>
      </c>
      <c r="AH38" s="319" t="str">
        <f>IF(U38&lt;&gt;"",SUMPRODUCT((AF37:AF41=AF38)*(AA37:AA41&gt;AA38)),"")</f>
        <v/>
      </c>
      <c r="AI38" s="319" t="str">
        <f>IF(U38&lt;&gt;"",SUMPRODUCT((AF37:AF41=AF38)*(AA37:AA41=AA38)*(Y37:Y41&gt;Y38)),"")</f>
        <v/>
      </c>
      <c r="AJ38" s="319" t="str">
        <f>IF(U38&lt;&gt;"",SUMPRODUCT((AF37:AF41=AF38)*(AA37:AA41=AA38)*(Y37:Y41=Y38)*(AC37:AC41&gt;AC38)),"")</f>
        <v/>
      </c>
      <c r="AK38" s="319" t="str">
        <f>IF(U38&lt;&gt;"",SUMPRODUCT((AF37:AF41=AF38)*(AA37:AA41=AA38)*(Y37:Y41=Y38)*(AC37:AC41=AC38)*(AD37:AD41&gt;AD38)),"")</f>
        <v/>
      </c>
      <c r="AL38" s="319" t="str">
        <f>IF(U38&lt;&gt;"",SUMPRODUCT((AF37:AF41=AF38)*(AA37:AA41=AA38)*(Y37:Y41=Y38)*(AC37:AC41=AC38)*(AD37:AD41=AD38)*(AE37:AE41&gt;AE38)),"")</f>
        <v/>
      </c>
      <c r="AM38" s="319" t="str">
        <f>IF(U38&lt;&gt;"",IF(AM78&lt;&gt;"",IF(T76=3,AM78,AM78+T76),SUM(AG38:AL38)),"")</f>
        <v/>
      </c>
      <c r="AN38" s="319" t="str">
        <f>IF(U38&lt;&gt;"",INDEX(U37:U41,MATCH(2,AM37:AM41,0),0),"")</f>
        <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0</v>
      </c>
      <c r="EB38" s="319">
        <f ca="1">SUMPRODUCT((HX3:HX42=DZ38)*(IB3:IB42="D"))+SUMPRODUCT((IA3:IA42=DZ38)*(IC3:IC42="D"))</f>
        <v>2</v>
      </c>
      <c r="EC38" s="319">
        <f ca="1">SUMPRODUCT((HX3:HX42=DZ38)*(IB3:IB42="L"))+SUMPRODUCT((IA3:IA42=DZ38)*(IC3:IC42="L"))</f>
        <v>1</v>
      </c>
      <c r="ED38" s="319">
        <f ca="1">SUMIF(HX3:HX60,DZ38,HY3:HY60)+SUMIF(IA3:IA60,DZ38,HZ3:HZ60)</f>
        <v>3</v>
      </c>
      <c r="EE38" s="319">
        <f ca="1">SUMIF(IA3:IA60,DZ38,HY3:HY60)+SUMIF(HX3:HX60,DZ38,HZ3:HZ60)</f>
        <v>6</v>
      </c>
      <c r="EF38" s="319">
        <f t="shared" ca="1" si="11792"/>
        <v>997</v>
      </c>
      <c r="EG38" s="319">
        <f t="shared" ca="1" si="11793"/>
        <v>2</v>
      </c>
      <c r="EH38" s="319">
        <f t="shared" si="609"/>
        <v>37</v>
      </c>
      <c r="EI38" s="319">
        <f ca="1">IF(COUNTIF(EG37:EG41,4)&lt;&gt;4,RANK(EG38,EG37:EG41),EG78)</f>
        <v>3</v>
      </c>
      <c r="EJ38" s="319"/>
      <c r="EK38" s="319">
        <f ca="1">SUMPRODUCT((EI37:EI40=EI38)*(EH37:EH40&lt;EH38))+EI38</f>
        <v>3</v>
      </c>
      <c r="EL38" s="319" t="str">
        <f ca="1">INDEX(DZ37:DZ41,MATCH(2,EK37:EK41,0),0)</f>
        <v>Türkiye</v>
      </c>
      <c r="EM38" s="319">
        <f ca="1">INDEX(EI37:EI41,MATCH(EL38,DZ37:DZ41,0),0)</f>
        <v>2</v>
      </c>
      <c r="EN38" s="319" t="str">
        <f ca="1">IF(EN37&lt;&gt;"",EL38,"")</f>
        <v/>
      </c>
      <c r="EO38" s="319" t="str">
        <f ca="1">IF(EO37&lt;&gt;"",EL39,"")</f>
        <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0</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0</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0</v>
      </c>
      <c r="FS38" s="319">
        <f ca="1">FQ38-FR38+1000</f>
        <v>1000</v>
      </c>
      <c r="FT38" s="319" t="str">
        <f t="shared" ref="FT38:FT40" ca="1" si="12138">IF(FM38&lt;&gt;"",FN38*3+FO38*1,"")</f>
        <v/>
      </c>
      <c r="FU38" s="319" t="str">
        <f ca="1">IF(FM38&lt;&gt;"",VLOOKUP(FM38,DZ4:EF40,7,FALSE),"")</f>
        <v/>
      </c>
      <c r="FV38" s="319" t="str">
        <f ca="1">IF(FM38&lt;&gt;"",VLOOKUP(FM38,DZ4:EF40,5,FALSE),"")</f>
        <v/>
      </c>
      <c r="FW38" s="319" t="str">
        <f ca="1">IF(FM38&lt;&gt;"",VLOOKUP(FM38,DZ4:EH40,9,FALSE),"")</f>
        <v/>
      </c>
      <c r="FX38" s="319" t="str">
        <f t="shared" ref="FX38:FX40" ca="1" si="12139">FT38</f>
        <v/>
      </c>
      <c r="FY38" s="319" t="str">
        <f ca="1">IF(FM38&lt;&gt;"",RANK(FX38,FX37:FX40),"")</f>
        <v/>
      </c>
      <c r="FZ38" s="319" t="str">
        <f ca="1">IF(FM38&lt;&gt;"",SUMPRODUCT((FX37:FX41=FX38)*(FS37:FS41&gt;FS38)),"")</f>
        <v/>
      </c>
      <c r="GA38" s="319" t="str">
        <f ca="1">IF(FM38&lt;&gt;"",SUMPRODUCT((FX37:FX41=FX38)*(FS37:FS41=FS38)*(FQ37:FQ41&gt;FQ38)),"")</f>
        <v/>
      </c>
      <c r="GB38" s="319" t="str">
        <f ca="1">IF(FM38&lt;&gt;"",SUMPRODUCT((FX37:FX41=FX38)*(FS37:FS41=FS38)*(FQ37:FQ41=FQ38)*(FU37:FU41&gt;FU38)),"")</f>
        <v/>
      </c>
      <c r="GC38" s="319" t="str">
        <f ca="1">IF(FM38&lt;&gt;"",SUMPRODUCT((FX37:FX41=FX38)*(FS37:FS41=FS38)*(FQ37:FQ41=FQ38)*(FU37:FU41=FU38)*(FV37:FV41&gt;FV38)),"")</f>
        <v/>
      </c>
      <c r="GD38" s="319" t="str">
        <f ca="1">IF(FM38&lt;&gt;"",SUMPRODUCT((FX37:FX41=FX38)*(FS37:FS41=FS38)*(FQ37:FQ41=FQ38)*(FU37:FU41=FU38)*(FV37:FV41=FV38)*(FW37:FW41&gt;FW38)),"")</f>
        <v/>
      </c>
      <c r="GE38" s="319" t="str">
        <f ca="1">IF(FM38&lt;&gt;"",IF(GE78&lt;&gt;"",IF(FL76=3,GE78,GE78+FL76),SUM(FY38:GD38)+1),"")</f>
        <v/>
      </c>
      <c r="GF38" s="319" t="str">
        <f ca="1">IF(FM38&lt;&gt;"",INDEX(FM38:FM41,MATCH(2,GE38:GE41,0),0),"")</f>
        <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3</v>
      </c>
      <c r="HZ38" s="322">
        <f ca="1">IF(OFFSET('Player Game Board'!Q45,0,HY1)&lt;&gt;"",OFFSET('Player Game Board'!Q45,0,HY1),0)</f>
        <v>3</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1</v>
      </c>
      <c r="IZ38" s="319">
        <f ca="1">SUMPRODUCT((MV3:MV42=IX38)*(MZ3:MZ42="D"))+SUMPRODUCT((MY3:MY42=IX38)*(NA3:NA42="D"))</f>
        <v>1</v>
      </c>
      <c r="JA38" s="319">
        <f ca="1">SUMPRODUCT((MV3:MV42=IX38)*(MZ3:MZ42="L"))+SUMPRODUCT((MY3:MY42=IX38)*(NA3:NA42="L"))</f>
        <v>1</v>
      </c>
      <c r="JB38" s="319">
        <f ca="1">SUMIF(MV3:MV60,IX38,MW3:MW60)+SUMIF(MY3:MY60,IX38,MX3:MX60)</f>
        <v>4</v>
      </c>
      <c r="JC38" s="319">
        <f ca="1">SUMIF(MY3:MY60,IX38,MW3:MW60)+SUMIF(MV3:MV60,IX38,MX3:MX60)</f>
        <v>4</v>
      </c>
      <c r="JD38" s="319">
        <f t="shared" ca="1" si="11796"/>
        <v>1000</v>
      </c>
      <c r="JE38" s="319">
        <f t="shared" ca="1" si="11797"/>
        <v>4</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1</v>
      </c>
      <c r="MX38" s="322">
        <f ca="1">IF(OFFSET('Player Game Board'!Q45,0,MW1)&lt;&gt;"",OFFSET('Player Game Board'!Q45,0,MW1),0)</f>
        <v>2</v>
      </c>
      <c r="MY38" s="319" t="str">
        <f t="shared" si="171"/>
        <v>Türkiye</v>
      </c>
      <c r="MZ38" s="319" t="str">
        <f ca="1">IF(AND(OFFSET('Player Game Board'!P45,0,MW1)&lt;&gt;"",OFFSET('Player Game Board'!Q45,0,MW1)&lt;&gt;""),IF(MW38&gt;MX38,"W",IF(MW38=MX38,"D","L")),"")</f>
        <v>L</v>
      </c>
      <c r="NA38" s="319" t="str">
        <f t="shared" ca="1" si="172"/>
        <v>W</v>
      </c>
      <c r="NB38" s="319"/>
      <c r="NC38" s="319"/>
      <c r="ND38" s="319"/>
      <c r="NE38" s="320"/>
      <c r="NF38" s="320"/>
      <c r="NG38" s="320"/>
      <c r="NH38" s="320"/>
      <c r="NI38" s="320"/>
      <c r="NJ38" s="320"/>
      <c r="NK38" s="320"/>
      <c r="NL38" s="319"/>
      <c r="NM38" s="319"/>
      <c r="NN38" s="319"/>
      <c r="NO38" s="319"/>
      <c r="NP38" s="319"/>
      <c r="NQ38" s="319"/>
      <c r="NR38" s="319"/>
      <c r="NS38" s="319" t="s">
        <v>97</v>
      </c>
      <c r="NT38" s="319"/>
      <c r="NU38" s="319">
        <f t="shared" ref="NU38" ca="1" si="12144">VLOOKUP(NV38,RQ37:RR41,2,FALSE)</f>
        <v>3</v>
      </c>
      <c r="NV38" s="319" t="str">
        <f t="shared" si="11801"/>
        <v>Czechia</v>
      </c>
      <c r="NW38" s="319">
        <f t="shared" ref="NW38" ca="1" si="12145">SUMPRODUCT((RT3:RT42=NV38)*(RX3:RX42="W"))+SUMPRODUCT((RW3:RW42=NV38)*(RY3:RY42="W"))</f>
        <v>0</v>
      </c>
      <c r="NX38" s="319">
        <f t="shared" ref="NX38" ca="1" si="12146">SUMPRODUCT((RT3:RT42=NV38)*(RX3:RX42="D"))+SUMPRODUCT((RW3:RW42=NV38)*(RY3:RY42="D"))</f>
        <v>0</v>
      </c>
      <c r="NY38" s="319">
        <f t="shared" ref="NY38" ca="1" si="12147">SUMPRODUCT((RT3:RT42=NV38)*(RX3:RX42="L"))+SUMPRODUCT((RW3:RW42=NV38)*(RY3:RY42="L"))</f>
        <v>0</v>
      </c>
      <c r="NZ38" s="319">
        <f t="shared" ref="NZ38" ca="1" si="12148">SUMIF(RT3:RT60,NV38,RU3:RU60)+SUMIF(RW3:RW60,NV38,RV3:RV60)</f>
        <v>0</v>
      </c>
      <c r="OA38" s="319">
        <f t="shared" ref="OA38" ca="1" si="12149">SUMIF(RW3:RW60,NV38,RU3:RU60)+SUMIF(RT3:RT60,NV38,RV3:RV60)</f>
        <v>0</v>
      </c>
      <c r="OB38" s="319">
        <f t="shared" ca="1" si="11807"/>
        <v>1000</v>
      </c>
      <c r="OC38" s="319">
        <f t="shared" ca="1" si="11808"/>
        <v>0</v>
      </c>
      <c r="OD38" s="319">
        <f t="shared" si="630"/>
        <v>37</v>
      </c>
      <c r="OE38" s="319">
        <f t="shared" ref="OE38" ca="1" si="12150">IF(COUNTIF(OC37:OC41,4)&lt;&gt;4,RANK(OC38,OC37:OC41),OC78)</f>
        <v>1</v>
      </c>
      <c r="OF38" s="319"/>
      <c r="OG38" s="319">
        <f t="shared" ref="OG38" ca="1" si="12151">SUMPRODUCT((OE37:OE40=OE38)*(OD37:OD40&lt;OD38))+OE38</f>
        <v>2</v>
      </c>
      <c r="OH38" s="319" t="str">
        <f t="shared" ref="OH38" ca="1" si="12152">INDEX(NV37:NV41,MATCH(2,OG37:OG41,0),0)</f>
        <v>Czechia</v>
      </c>
      <c r="OI38" s="319">
        <f t="shared" ref="OI38" ca="1" si="12153">INDEX(OE37:OE41,MATCH(OH38,NV37:NV41,0),0)</f>
        <v>1</v>
      </c>
      <c r="OJ38" s="319" t="str">
        <f t="shared" ref="OJ38" ca="1" si="12154">IF(OJ37&lt;&gt;"",OH38,"")</f>
        <v>Czechia</v>
      </c>
      <c r="OK38" s="319" t="str">
        <f t="shared" ref="OK38" ca="1" si="12155">IF(OK37&lt;&gt;"",OH39,"")</f>
        <v/>
      </c>
      <c r="OL38" s="319" t="str">
        <f t="shared" ref="OL38" ca="1" si="12156">IF(OL37&lt;&gt;"",OH40,"")</f>
        <v/>
      </c>
      <c r="OM38" s="319" t="str">
        <f t="shared" ref="OM38" si="12157">IF(OM37&lt;&gt;"",OH41,"")</f>
        <v/>
      </c>
      <c r="ON38" s="319"/>
      <c r="OO38" s="319" t="str">
        <f t="shared" ca="1" si="11817"/>
        <v>Czechia</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f t="shared" ca="1" si="11824"/>
        <v>0</v>
      </c>
      <c r="OW38" s="319">
        <f t="shared" ref="OW38" ca="1" si="12163">IF(OO38&lt;&gt;"",VLOOKUP(OO38,NV4:OB40,7,FALSE),"")</f>
        <v>1000</v>
      </c>
      <c r="OX38" s="319">
        <f t="shared" ref="OX38" ca="1" si="12164">IF(OO38&lt;&gt;"",VLOOKUP(OO38,NV4:OB40,5,FALSE),"")</f>
        <v>0</v>
      </c>
      <c r="OY38" s="319">
        <f t="shared" ref="OY38" ca="1" si="12165">IF(OO38&lt;&gt;"",VLOOKUP(OO38,NV4:OD40,9,FALSE),"")</f>
        <v>37</v>
      </c>
      <c r="OZ38" s="319">
        <f t="shared" ca="1" si="11828"/>
        <v>0</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0</v>
      </c>
      <c r="PF38" s="319">
        <f t="shared" ref="PF38" ca="1" si="12171">IF(OO38&lt;&gt;"",SUMPRODUCT((OZ37:OZ41=OZ38)*(OU37:OU41=OU38)*(OS37:OS41=OS38)*(OW37:OW41=OW38)*(OX37:OX41=OX38)*(OY37:OY41&gt;OY38)),"")</f>
        <v>2</v>
      </c>
      <c r="PG38" s="319">
        <f ca="1">IF(OO38&lt;&gt;"",IF(PG78&lt;&gt;"",IF(ON76=3,PG78,PG78+ON76),SUM(PA38:PF38)),"")</f>
        <v>3</v>
      </c>
      <c r="PH38" s="319" t="str">
        <f t="shared" ref="PH38" ca="1" si="12172">IF(OO38&lt;&gt;"",INDEX(OO37:OO41,MATCH(2,PG37:PG41,0),0),"")</f>
        <v>Türkiye</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Türkiye</v>
      </c>
      <c r="RR38" s="319">
        <v>2</v>
      </c>
      <c r="RS38" s="319">
        <v>36</v>
      </c>
      <c r="RT38" s="319" t="str">
        <f t="shared" si="18"/>
        <v>Czechia</v>
      </c>
      <c r="RU38" s="322">
        <f ca="1">IF(OFFSET('Player Game Board'!P45,0,RU1)&lt;&gt;"",OFFSET('Player Game Board'!P45,0,RU1),0)</f>
        <v>0</v>
      </c>
      <c r="RV38" s="322">
        <f ca="1">IF(OFFSET('Player Game Board'!Q45,0,RU1)&lt;&gt;"",OFFSET('Player Game Board'!Q45,0,RU1),0)</f>
        <v>0</v>
      </c>
      <c r="RW38" s="319" t="str">
        <f t="shared" si="19"/>
        <v>Türkiye</v>
      </c>
      <c r="RX38" s="319" t="str">
        <f ca="1">IF(AND(OFFSET('Player Game Board'!P45,0,RU1)&lt;&gt;"",OFFSET('Player Game Board'!Q45,0,RU1)&lt;&gt;""),IF(RU38&gt;RV38,"W",IF(RU38=RV38,"D","L")),"")</f>
        <v/>
      </c>
      <c r="RY38" s="319" t="str">
        <f t="shared" ca="1" si="5500"/>
        <v/>
      </c>
      <c r="RZ38" s="319"/>
      <c r="SA38" s="319"/>
      <c r="SB38" s="319"/>
      <c r="SC38" s="320"/>
      <c r="SD38" s="320"/>
      <c r="SE38" s="320"/>
      <c r="SF38" s="320"/>
      <c r="SG38" s="320"/>
      <c r="SH38" s="320"/>
      <c r="SI38" s="320"/>
      <c r="SJ38" s="319"/>
      <c r="SK38" s="319"/>
      <c r="SL38" s="319"/>
      <c r="SM38" s="319"/>
      <c r="SN38" s="319"/>
      <c r="SO38" s="319"/>
      <c r="SP38" s="319"/>
      <c r="SQ38" s="319" t="s">
        <v>97</v>
      </c>
      <c r="SR38" s="319"/>
      <c r="SS38" s="319">
        <f t="shared" ref="SS38" ca="1" si="12193">VLOOKUP(ST38,WO37:WP41,2,FALSE)</f>
        <v>3</v>
      </c>
      <c r="ST38" s="319" t="str">
        <f t="shared" si="11838"/>
        <v>Czechia</v>
      </c>
      <c r="SU38" s="319">
        <f t="shared" ref="SU38" ca="1" si="12194">SUMPRODUCT((WR3:WR42=ST38)*(WV3:WV42="W"))+SUMPRODUCT((WU3:WU42=ST38)*(WW3:WW42="W"))</f>
        <v>0</v>
      </c>
      <c r="SV38" s="319">
        <f t="shared" ref="SV38" ca="1" si="12195">SUMPRODUCT((WR3:WR42=ST38)*(WV3:WV42="D"))+SUMPRODUCT((WU3:WU42=ST38)*(WW3:WW42="D"))</f>
        <v>0</v>
      </c>
      <c r="SW38" s="319">
        <f t="shared" ref="SW38" ca="1" si="12196">SUMPRODUCT((WR3:WR42=ST38)*(WV3:WV42="L"))+SUMPRODUCT((WU3:WU42=ST38)*(WW3:WW42="L"))</f>
        <v>0</v>
      </c>
      <c r="SX38" s="319">
        <f t="shared" ref="SX38" ca="1" si="12197">SUMIF(WR3:WR60,ST38,WS3:WS60)+SUMIF(WU3:WU60,ST38,WT3:WT60)</f>
        <v>0</v>
      </c>
      <c r="SY38" s="319">
        <f t="shared" ref="SY38" ca="1" si="12198">SUMIF(WU3:WU60,ST38,WS3:WS60)+SUMIF(WR3:WR60,ST38,WT3:WT60)</f>
        <v>0</v>
      </c>
      <c r="SZ38" s="319">
        <f t="shared" ca="1" si="11844"/>
        <v>1000</v>
      </c>
      <c r="TA38" s="319">
        <f t="shared" ca="1" si="11845"/>
        <v>0</v>
      </c>
      <c r="TB38" s="319">
        <f t="shared" si="690"/>
        <v>37</v>
      </c>
      <c r="TC38" s="319">
        <f t="shared" ref="TC38" ca="1" si="12199">IF(COUNTIF(TA37:TA41,4)&lt;&gt;4,RANK(TA38,TA37:TA41),TA78)</f>
        <v>1</v>
      </c>
      <c r="TD38" s="319"/>
      <c r="TE38" s="319">
        <f t="shared" ref="TE38" ca="1" si="12200">SUMPRODUCT((TC37:TC40=TC38)*(TB37:TB40&lt;TB38))+TC38</f>
        <v>2</v>
      </c>
      <c r="TF38" s="319" t="str">
        <f t="shared" ref="TF38" ca="1" si="12201">INDEX(ST37:ST41,MATCH(2,TE37:TE41,0),0)</f>
        <v>Czechia</v>
      </c>
      <c r="TG38" s="319">
        <f t="shared" ref="TG38" ca="1" si="12202">INDEX(TC37:TC41,MATCH(TF38,ST37:ST41,0),0)</f>
        <v>1</v>
      </c>
      <c r="TH38" s="319" t="str">
        <f t="shared" ref="TH38" ca="1" si="12203">IF(TH37&lt;&gt;"",TF38,"")</f>
        <v>Czechia</v>
      </c>
      <c r="TI38" s="319" t="str">
        <f t="shared" ref="TI38" ca="1" si="12204">IF(TI37&lt;&gt;"",TF39,"")</f>
        <v/>
      </c>
      <c r="TJ38" s="319" t="str">
        <f t="shared" ref="TJ38" ca="1" si="12205">IF(TJ37&lt;&gt;"",TF40,"")</f>
        <v/>
      </c>
      <c r="TK38" s="319" t="str">
        <f t="shared" ref="TK38" si="12206">IF(TK37&lt;&gt;"",TF41,"")</f>
        <v/>
      </c>
      <c r="TL38" s="319"/>
      <c r="TM38" s="319" t="str">
        <f t="shared" ca="1" si="11854"/>
        <v>Czechia</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f t="shared" ca="1" si="11861"/>
        <v>0</v>
      </c>
      <c r="TU38" s="319">
        <f t="shared" ref="TU38" ca="1" si="12212">IF(TM38&lt;&gt;"",VLOOKUP(TM38,ST4:SZ40,7,FALSE),"")</f>
        <v>1000</v>
      </c>
      <c r="TV38" s="319">
        <f t="shared" ref="TV38" ca="1" si="12213">IF(TM38&lt;&gt;"",VLOOKUP(TM38,ST4:SZ40,5,FALSE),"")</f>
        <v>0</v>
      </c>
      <c r="TW38" s="319">
        <f t="shared" ref="TW38" ca="1" si="12214">IF(TM38&lt;&gt;"",VLOOKUP(TM38,ST4:TB40,9,FALSE),"")</f>
        <v>37</v>
      </c>
      <c r="TX38" s="319">
        <f t="shared" ca="1" si="11865"/>
        <v>0</v>
      </c>
      <c r="TY38" s="319">
        <f t="shared" ref="TY38" ca="1" si="12215">IF(TM38&lt;&gt;"",RANK(TX38,TX37:TX41),"")</f>
        <v>1</v>
      </c>
      <c r="TZ38" s="319">
        <f t="shared" ref="TZ38" ca="1" si="12216">IF(TM38&lt;&gt;"",SUMPRODUCT((TX37:TX41=TX38)*(TS37:TS41&gt;TS38)),"")</f>
        <v>0</v>
      </c>
      <c r="UA38" s="319">
        <f t="shared" ref="UA38" ca="1" si="12217">IF(TM38&lt;&gt;"",SUMPRODUCT((TX37:TX41=TX38)*(TS37:TS41=TS38)*(TQ37:TQ41&gt;TQ38)),"")</f>
        <v>0</v>
      </c>
      <c r="UB38" s="319">
        <f t="shared" ref="UB38" ca="1" si="12218">IF(TM38&lt;&gt;"",SUMPRODUCT((TX37:TX41=TX38)*(TS37:TS41=TS38)*(TQ37:TQ41=TQ38)*(TU37:TU41&gt;TU38)),"")</f>
        <v>0</v>
      </c>
      <c r="UC38" s="319">
        <f t="shared" ref="UC38" ca="1" si="12219">IF(TM38&lt;&gt;"",SUMPRODUCT((TX37:TX41=TX38)*(TS37:TS41=TS38)*(TQ37:TQ41=TQ38)*(TU37:TU41=TU38)*(TV37:TV41&gt;TV38)),"")</f>
        <v>0</v>
      </c>
      <c r="UD38" s="319">
        <f t="shared" ref="UD38" ca="1" si="12220">IF(TM38&lt;&gt;"",SUMPRODUCT((TX37:TX41=TX38)*(TS37:TS41=TS38)*(TQ37:TQ41=TQ38)*(TU37:TU41=TU38)*(TV37:TV41=TV38)*(TW37:TW41&gt;TW38)),"")</f>
        <v>2</v>
      </c>
      <c r="UE38" s="319">
        <f ca="1">IF(TM38&lt;&gt;"",IF(UE78&lt;&gt;"",IF(TL76=3,UE78,UE78+TL76),SUM(TY38:UD38)),"")</f>
        <v>3</v>
      </c>
      <c r="UF38" s="319" t="str">
        <f t="shared" ref="UF38" ca="1" si="12221">IF(TM38&lt;&gt;"",INDEX(TM37:TM41,MATCH(2,UE37:UE41,0),0),"")</f>
        <v>Türkiye</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0</v>
      </c>
      <c r="WT38" s="322">
        <f ca="1">IF(OFFSET('Player Game Board'!Q45,0,WS1)&lt;&gt;"",OFFSET('Player Game Board'!Q45,0,WS1),0)</f>
        <v>0</v>
      </c>
      <c r="WU38" s="319" t="str">
        <f t="shared" si="35"/>
        <v>Türkiye</v>
      </c>
      <c r="WV38" s="319" t="str">
        <f ca="1">IF(AND(OFFSET('Player Game Board'!P45,0,WS1)&lt;&gt;"",OFFSET('Player Game Board'!Q45,0,WS1)&lt;&gt;""),IF(WS38&gt;WT38,"W",IF(WS38=WT38,"D","L")),"")</f>
        <v/>
      </c>
      <c r="WW38" s="319" t="str">
        <f t="shared" ca="1" si="5555"/>
        <v/>
      </c>
      <c r="WX38" s="319"/>
      <c r="WY38" s="319"/>
      <c r="WZ38" s="319"/>
      <c r="XA38" s="320"/>
      <c r="XB38" s="320"/>
      <c r="XC38" s="320"/>
      <c r="XD38" s="320"/>
      <c r="XE38" s="320"/>
      <c r="XF38" s="320"/>
      <c r="XG38" s="320"/>
      <c r="XH38" s="319"/>
      <c r="XI38" s="319"/>
      <c r="XJ38" s="319"/>
      <c r="XK38" s="319"/>
      <c r="XL38" s="319"/>
      <c r="XM38" s="319"/>
      <c r="XN38" s="319"/>
      <c r="XO38" s="319" t="s">
        <v>97</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97</v>
      </c>
      <c r="ACN38" s="319"/>
      <c r="ACO38" s="319">
        <f t="shared" ref="ACO38" ca="1" si="12291">VLOOKUP(ACP38,AGK37:AGL41,2,FALSE)</f>
        <v>3</v>
      </c>
      <c r="ACP38" s="319" t="str">
        <f t="shared" si="11912"/>
        <v>Czechia</v>
      </c>
      <c r="ACQ38" s="319">
        <f t="shared" ref="ACQ38" ca="1" si="12292">SUMPRODUCT((AGN3:AGN42=ACP38)*(AGR3:AGR42="W"))+SUMPRODUCT((AGQ3:AGQ42=ACP38)*(AGS3:AGS42="W"))</f>
        <v>0</v>
      </c>
      <c r="ACR38" s="319">
        <f t="shared" ref="ACR38" ca="1" si="12293">SUMPRODUCT((AGN3:AGN42=ACP38)*(AGR3:AGR42="D"))+SUMPRODUCT((AGQ3:AGQ42=ACP38)*(AGS3:AGS42="D"))</f>
        <v>0</v>
      </c>
      <c r="ACS38" s="319">
        <f t="shared" ref="ACS38" ca="1" si="12294">SUMPRODUCT((AGN3:AGN42=ACP38)*(AGR3:AGR42="L"))+SUMPRODUCT((AGQ3:AGQ42=ACP38)*(AGS3:AGS42="L"))</f>
        <v>0</v>
      </c>
      <c r="ACT38" s="319">
        <f t="shared" ref="ACT38" ca="1" si="12295">SUMIF(AGN3:AGN60,ACP38,AGO3:AGO60)+SUMIF(AGQ3:AGQ60,ACP38,AGP3:AGP60)</f>
        <v>0</v>
      </c>
      <c r="ACU38" s="319">
        <f t="shared" ref="ACU38" ca="1" si="12296">SUMIF(AGQ3:AGQ60,ACP38,AGO3:AGO60)+SUMIF(AGN3:AGN60,ACP38,AGP3:AGP60)</f>
        <v>0</v>
      </c>
      <c r="ACV38" s="319">
        <f t="shared" ca="1" si="11918"/>
        <v>1000</v>
      </c>
      <c r="ACW38" s="319">
        <f t="shared" ca="1" si="11919"/>
        <v>0</v>
      </c>
      <c r="ACX38" s="319">
        <f t="shared" si="810"/>
        <v>37</v>
      </c>
      <c r="ACY38" s="319">
        <f t="shared" ref="ACY38" ca="1" si="12297">IF(COUNTIF(ACW37:ACW41,4)&lt;&gt;4,RANK(ACW38,ACW37:ACW41),ACW78)</f>
        <v>1</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1</v>
      </c>
      <c r="ADD38" s="319" t="str">
        <f t="shared" ref="ADD38" ca="1" si="12301">IF(ADD37&lt;&gt;"",ADB38,"")</f>
        <v>Czechia</v>
      </c>
      <c r="ADE38" s="319" t="str">
        <f t="shared" ref="ADE38" ca="1" si="12302">IF(ADE37&lt;&gt;"",ADB39,"")</f>
        <v/>
      </c>
      <c r="ADF38" s="319" t="str">
        <f t="shared" ref="ADF38" ca="1" si="12303">IF(ADF37&lt;&gt;"",ADB40,"")</f>
        <v/>
      </c>
      <c r="ADG38" s="319" t="str">
        <f t="shared" ref="ADG38" si="12304">IF(ADG37&lt;&gt;"",ADB41,"")</f>
        <v/>
      </c>
      <c r="ADH38" s="319"/>
      <c r="ADI38" s="319" t="str">
        <f t="shared" ca="1" si="11928"/>
        <v>Czechia</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f t="shared" ca="1" si="11935"/>
        <v>0</v>
      </c>
      <c r="ADQ38" s="319">
        <f t="shared" ref="ADQ38" ca="1" si="12310">IF(ADI38&lt;&gt;"",VLOOKUP(ADI38,ACP4:ACV40,7,FALSE),"")</f>
        <v>1000</v>
      </c>
      <c r="ADR38" s="319">
        <f t="shared" ref="ADR38" ca="1" si="12311">IF(ADI38&lt;&gt;"",VLOOKUP(ADI38,ACP4:ACV40,5,FALSE),"")</f>
        <v>0</v>
      </c>
      <c r="ADS38" s="319">
        <f t="shared" ref="ADS38" ca="1" si="12312">IF(ADI38&lt;&gt;"",VLOOKUP(ADI38,ACP4:ACX40,9,FALSE),"")</f>
        <v>37</v>
      </c>
      <c r="ADT38" s="319">
        <f t="shared" ca="1" si="11939"/>
        <v>0</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2</v>
      </c>
      <c r="AEA38" s="319">
        <f ca="1">IF(ADI38&lt;&gt;"",IF(AEA78&lt;&gt;"",IF(ADH76=3,AEA78,AEA78+ADH76),SUM(ADU38:ADZ38)),"")</f>
        <v>3</v>
      </c>
      <c r="AEB38" s="319" t="str">
        <f t="shared" ref="AEB38" ca="1" si="12319">IF(ADI38&lt;&gt;"",INDEX(ADI37:ADI41,MATCH(2,AEA37:AEA41,0),0),"")</f>
        <v>Türkiye</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Türkiye</v>
      </c>
      <c r="AGL38" s="319">
        <v>2</v>
      </c>
      <c r="AGM38" s="319">
        <v>36</v>
      </c>
      <c r="AGN38" s="319" t="str">
        <f t="shared" si="66"/>
        <v>Czechia</v>
      </c>
      <c r="AGO38" s="322">
        <f ca="1">IF(OFFSET('Player Game Board'!P45,0,AGO1)&lt;&gt;"",OFFSET('Player Game Board'!P45,0,AGO1),0)</f>
        <v>0</v>
      </c>
      <c r="AGP38" s="322">
        <f ca="1">IF(OFFSET('Player Game Board'!Q45,0,AGO1)&lt;&gt;"",OFFSET('Player Game Board'!Q45,0,AGO1),0)</f>
        <v>0</v>
      </c>
      <c r="AGQ38" s="319" t="str">
        <f t="shared" si="67"/>
        <v>Türkiye</v>
      </c>
      <c r="AGR38" s="319" t="str">
        <f ca="1">IF(AND(OFFSET('Player Game Board'!P45,0,AGO1)&lt;&gt;"",OFFSET('Player Game Board'!Q45,0,AGO1)&lt;&gt;""),IF(AGO38&gt;AGP38,"W",IF(AGO38=AGP38,"D","L")),"")</f>
        <v/>
      </c>
      <c r="AGS38" s="319" t="str">
        <f t="shared" ca="1" si="5665"/>
        <v/>
      </c>
      <c r="AGT38" s="319"/>
      <c r="AGU38" s="319"/>
      <c r="AGV38" s="319"/>
      <c r="AGW38" s="320"/>
      <c r="AGX38" s="320"/>
      <c r="AGY38" s="320"/>
      <c r="AGZ38" s="320"/>
      <c r="AHA38" s="320"/>
      <c r="AHB38" s="320"/>
      <c r="AHC38" s="320"/>
      <c r="AHD38" s="319"/>
      <c r="AHE38" s="319"/>
      <c r="AHF38" s="319"/>
      <c r="AHG38" s="319"/>
      <c r="AHH38" s="319"/>
      <c r="AHI38" s="319"/>
      <c r="AHJ38" s="319"/>
      <c r="AHK38" s="319" t="s">
        <v>97</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0</v>
      </c>
      <c r="AHQ38" s="319">
        <f t="shared" ref="AHQ38" ca="1" si="12343">SUMPRODUCT((ALL3:ALL42=AHN38)*(ALP3:ALP42="L"))+SUMPRODUCT((ALO3:ALO42=AHN38)*(ALQ3:ALQ42="L"))</f>
        <v>0</v>
      </c>
      <c r="AHR38" s="319">
        <f t="shared" ref="AHR38" ca="1" si="12344">SUMIF(ALL3:ALL60,AHN38,ALM3:ALM60)+SUMIF(ALO3:ALO60,AHN38,ALN3:ALN60)</f>
        <v>0</v>
      </c>
      <c r="AHS38" s="319">
        <f t="shared" ref="AHS38" ca="1" si="12345">SUMIF(ALO3:ALO60,AHN38,ALM3:ALM60)+SUMIF(ALL3:ALL60,AHN38,ALN3:ALN60)</f>
        <v>0</v>
      </c>
      <c r="AHT38" s="319">
        <f t="shared" ca="1" si="11955"/>
        <v>1000</v>
      </c>
      <c r="AHU38" s="319">
        <f t="shared" ca="1" si="11956"/>
        <v>0</v>
      </c>
      <c r="AHV38" s="319">
        <f t="shared" si="870"/>
        <v>37</v>
      </c>
      <c r="AHW38" s="319">
        <f t="shared" ref="AHW38" ca="1" si="12346">IF(COUNTIF(AHU37:AHU41,4)&lt;&gt;4,RANK(AHU38,AHU37:AHU41),AHU78)</f>
        <v>1</v>
      </c>
      <c r="AHX38" s="319"/>
      <c r="AHY38" s="319">
        <f t="shared" ref="AHY38" ca="1" si="12347">SUMPRODUCT((AHW37:AHW40=AHW38)*(AHV37:AHV40&lt;AHV38))+AHW38</f>
        <v>2</v>
      </c>
      <c r="AHZ38" s="319" t="str">
        <f t="shared" ref="AHZ38" ca="1" si="12348">INDEX(AHN37:AHN41,MATCH(2,AHY37:AHY41,0),0)</f>
        <v>Czechia</v>
      </c>
      <c r="AIA38" s="319">
        <f t="shared" ref="AIA38" ca="1" si="12349">INDEX(AHW37:AHW41,MATCH(AHZ38,AHN37:AHN41,0),0)</f>
        <v>1</v>
      </c>
      <c r="AIB38" s="319" t="str">
        <f t="shared" ref="AIB38" ca="1" si="12350">IF(AIB37&lt;&gt;"",AHZ38,"")</f>
        <v>Czechia</v>
      </c>
      <c r="AIC38" s="319" t="str">
        <f t="shared" ref="AIC38" ca="1" si="12351">IF(AIC37&lt;&gt;"",AHZ39,"")</f>
        <v/>
      </c>
      <c r="AID38" s="319" t="str">
        <f t="shared" ref="AID38" ca="1" si="12352">IF(AID37&lt;&gt;"",AHZ40,"")</f>
        <v/>
      </c>
      <c r="AIE38" s="319" t="str">
        <f t="shared" ref="AIE38" si="12353">IF(AIE37&lt;&gt;"",AHZ41,"")</f>
        <v/>
      </c>
      <c r="AIF38" s="319"/>
      <c r="AIG38" s="319" t="str">
        <f t="shared" ca="1" si="11965"/>
        <v>Czechia</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f t="shared" ca="1" si="11972"/>
        <v>0</v>
      </c>
      <c r="AIO38" s="319">
        <f t="shared" ref="AIO38" ca="1" si="12359">IF(AIG38&lt;&gt;"",VLOOKUP(AIG38,AHN4:AHT40,7,FALSE),"")</f>
        <v>1000</v>
      </c>
      <c r="AIP38" s="319">
        <f t="shared" ref="AIP38" ca="1" si="12360">IF(AIG38&lt;&gt;"",VLOOKUP(AIG38,AHN4:AHT40,5,FALSE),"")</f>
        <v>0</v>
      </c>
      <c r="AIQ38" s="319">
        <f t="shared" ref="AIQ38" ca="1" si="12361">IF(AIG38&lt;&gt;"",VLOOKUP(AIG38,AHN4:AHV40,9,FALSE),"")</f>
        <v>37</v>
      </c>
      <c r="AIR38" s="319">
        <f t="shared" ca="1" si="11976"/>
        <v>0</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2</v>
      </c>
      <c r="AIY38" s="319">
        <f ca="1">IF(AIG38&lt;&gt;"",IF(AIY78&lt;&gt;"",IF(AIF76=3,AIY78,AIY78+AIF76),SUM(AIS38:AIX38)),"")</f>
        <v>3</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0</v>
      </c>
      <c r="ALO38" s="319" t="str">
        <f t="shared" si="83"/>
        <v>Türkiye</v>
      </c>
      <c r="ALP38" s="319" t="str">
        <f ca="1">IF(AND(OFFSET('Player Game Board'!P45,0,ALM1)&lt;&gt;"",OFFSET('Player Game Board'!Q45,0,ALM1)&lt;&gt;""),IF(ALM38&gt;ALN38,"W",IF(ALM38=ALN38,"D","L")),"")</f>
        <v/>
      </c>
      <c r="ALQ38" s="319" t="str">
        <f t="shared" ca="1" si="5720"/>
        <v/>
      </c>
      <c r="ALR38" s="319"/>
      <c r="ALS38" s="319"/>
      <c r="ALT38" s="319"/>
      <c r="ALU38" s="320"/>
      <c r="ALV38" s="320"/>
      <c r="ALW38" s="320"/>
      <c r="ALX38" s="320"/>
      <c r="ALY38" s="320"/>
      <c r="ALZ38" s="320"/>
      <c r="AMA38" s="320"/>
      <c r="AMB38" s="319"/>
      <c r="AMC38" s="319"/>
      <c r="AMD38" s="319"/>
      <c r="AME38" s="319"/>
      <c r="AMF38" s="319"/>
      <c r="AMG38" s="319"/>
      <c r="AMH38" s="319"/>
      <c r="AMI38" s="319" t="s">
        <v>97</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97</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97</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97</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97</v>
      </c>
      <c r="BGB38" s="319"/>
    </row>
    <row r="39" spans="1:1536" ht="13.8" x14ac:dyDescent="0.3">
      <c r="A39" s="319">
        <f>VLOOKUP(B39,CW37:CX41,2,FALSE)</f>
        <v>2</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1</v>
      </c>
      <c r="F39" s="319">
        <f>SUMIF(CZ3:CZ60,B39,DA3:DA60)+SUMIF(DC3:DC60,B39,DB3:DB60)</f>
        <v>3</v>
      </c>
      <c r="G39" s="319">
        <f>SUMIF(DC3:DC60,B39,DA3:DA60)+SUMIF(CZ3:CZ60,B39,DB3:DB60)</f>
        <v>4</v>
      </c>
      <c r="H39" s="319">
        <f t="shared" si="11788"/>
        <v>999</v>
      </c>
      <c r="I39" s="319">
        <f t="shared" si="11789"/>
        <v>3</v>
      </c>
      <c r="J39" s="319">
        <v>47</v>
      </c>
      <c r="K39" s="319">
        <f>IF(COUNTIF(I37:I41,4)&lt;&gt;4,RANK(I39,I37:I41),I79)</f>
        <v>2</v>
      </c>
      <c r="L39" s="319"/>
      <c r="M39" s="319">
        <f>SUMPRODUCT((K37:K40=K39)*(J37:J40&lt;J39))+K39</f>
        <v>2</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1</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1</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1</v>
      </c>
      <c r="BO39" s="319">
        <f>BM39-BN39+1000</f>
        <v>1000</v>
      </c>
      <c r="BP39" s="319">
        <f t="shared" ref="BP39:BP40" si="12585">IF(BI39&lt;&gt;"",BJ39*3+BK39*1,"")</f>
        <v>1</v>
      </c>
      <c r="BQ39" s="319">
        <f>IF(BI39&lt;&gt;"",VLOOKUP(BI39,B4:H40,7,FALSE),"")</f>
        <v>998</v>
      </c>
      <c r="BR39" s="319">
        <f>IF(BI39&lt;&gt;"",VLOOKUP(BI39,B4:H40,5,FALSE),"")</f>
        <v>2</v>
      </c>
      <c r="BS39" s="319">
        <f>IF(BI39&lt;&gt;"",VLOOKUP(BI39,B4:J40,9,FALSE),"")</f>
        <v>0</v>
      </c>
      <c r="BT39" s="319">
        <f t="shared" ref="BT39:BT40" si="12586">BP39</f>
        <v>1</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5</v>
      </c>
      <c r="EF39" s="319">
        <f t="shared" ca="1" si="11792"/>
        <v>999</v>
      </c>
      <c r="EG39" s="319">
        <f t="shared" ca="1" si="11793"/>
        <v>4</v>
      </c>
      <c r="EH39" s="319">
        <f t="shared" si="609"/>
        <v>47</v>
      </c>
      <c r="EI39" s="319">
        <f ca="1">IF(COUNTIF(EG37:EG41,4)&lt;&gt;4,RANK(EG39,EG37:EG41),EG79)</f>
        <v>2</v>
      </c>
      <c r="EJ39" s="319"/>
      <c r="EK39" s="319">
        <f ca="1">SUMPRODUCT((EI37:EI40=EI39)*(EH37:EH40&lt;EH39))+EI39</f>
        <v>2</v>
      </c>
      <c r="EL39" s="319" t="str">
        <f ca="1">INDEX(DZ37:DZ41,MATCH(3,EK37:EK41,0),0)</f>
        <v>Czechia</v>
      </c>
      <c r="EM39" s="319">
        <f ca="1">INDEX(EI37:EI41,MATCH(EL39,DZ37:DZ41,0),0)</f>
        <v>3</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0</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0</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0</v>
      </c>
      <c r="FS39" s="319">
        <f ca="1">FQ39-FR39+1000</f>
        <v>1000</v>
      </c>
      <c r="FT39" s="319" t="str">
        <f t="shared" ca="1" si="12138"/>
        <v/>
      </c>
      <c r="FU39" s="319" t="str">
        <f ca="1">IF(FM39&lt;&gt;"",VLOOKUP(FM39,DZ4:EF40,7,FALSE),"")</f>
        <v/>
      </c>
      <c r="FV39" s="319" t="str">
        <f ca="1">IF(FM39&lt;&gt;"",VLOOKUP(FM39,DZ4:EF40,5,FALSE),"")</f>
        <v/>
      </c>
      <c r="FW39" s="319" t="str">
        <f ca="1">IF(FM39&lt;&gt;"",VLOOKUP(FM39,DZ4:EH40,9,FALSE),"")</f>
        <v/>
      </c>
      <c r="FX39" s="319" t="str">
        <f t="shared" ca="1" si="12139"/>
        <v/>
      </c>
      <c r="FY39" s="319" t="str">
        <f ca="1">IF(FM39&lt;&gt;"",RANK(FX39,FX37:FX40),"")</f>
        <v/>
      </c>
      <c r="FZ39" s="319" t="str">
        <f ca="1">IF(FM39&lt;&gt;"",SUMPRODUCT((FX37:FX41=FX39)*(FS37:FS41&gt;FS39)),"")</f>
        <v/>
      </c>
      <c r="GA39" s="319" t="str">
        <f ca="1">IF(FM39&lt;&gt;"",SUMPRODUCT((FX37:FX41=FX39)*(FS37:FS41=FS39)*(FQ37:FQ41&gt;FQ39)),"")</f>
        <v/>
      </c>
      <c r="GB39" s="319" t="str">
        <f ca="1">IF(FM39&lt;&gt;"",SUMPRODUCT((FX37:FX41=FX39)*(FS37:FS41=FS39)*(FQ37:FQ41=FQ39)*(FU37:FU41&gt;FU39)),"")</f>
        <v/>
      </c>
      <c r="GC39" s="319" t="str">
        <f ca="1">IF(FM39&lt;&gt;"",SUMPRODUCT((FX37:FX41=FX39)*(FS37:FS41=FS39)*(FQ37:FQ41=FQ39)*(FU37:FU41=FU39)*(FV37:FV41&gt;FV39)),"")</f>
        <v/>
      </c>
      <c r="GD39" s="319" t="str">
        <f ca="1">IF(FM39&lt;&gt;"",SUMPRODUCT((FX37:FX41=FX39)*(FS37:FS41=FS39)*(FQ37:FQ41=FQ39)*(FU37:FU41=FU39)*(FV37:FV41=FV39)*(FW37:FW41&gt;FW39)),"")</f>
        <v/>
      </c>
      <c r="GE39" s="319" t="str">
        <f ca="1">IF(FM39&lt;&gt;"",IF(GE79&lt;&gt;"",IF(FL76=3,GE79,GE79+FL76),SUM(FY39:GD39)+1),"")</f>
        <v/>
      </c>
      <c r="GF39" s="319" t="str">
        <f ca="1">IF(FM39&lt;&gt;"",INDEX(FM38:FM41,MATCH(3,GE38:GE41,0),0),"")</f>
        <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2</v>
      </c>
      <c r="IZ39" s="319">
        <f ca="1">SUMPRODUCT((MV3:MV42=IX39)*(MZ3:MZ42="D"))+SUMPRODUCT((MY3:MY42=IX39)*(NA3:NA42="D"))</f>
        <v>0</v>
      </c>
      <c r="JA39" s="319">
        <f ca="1">SUMPRODUCT((MV3:MV42=IX39)*(MZ3:MZ42="L"))+SUMPRODUCT((MY3:MY42=IX39)*(NA3:NA42="L"))</f>
        <v>1</v>
      </c>
      <c r="JB39" s="319">
        <f ca="1">SUMIF(MV3:MV60,IX39,MW3:MW60)+SUMIF(MY3:MY60,IX39,MX3:MX60)</f>
        <v>6</v>
      </c>
      <c r="JC39" s="319">
        <f ca="1">SUMIF(MY3:MY60,IX39,MW3:MW60)+SUMIF(MV3:MV60,IX39,MX3:MX60)</f>
        <v>5</v>
      </c>
      <c r="JD39" s="319">
        <f t="shared" ca="1" si="11796"/>
        <v>1001</v>
      </c>
      <c r="JE39" s="319">
        <f t="shared" ca="1" si="11797"/>
        <v>6</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2</v>
      </c>
      <c r="NV39" s="319" t="str">
        <f t="shared" si="11801"/>
        <v>Türkiye</v>
      </c>
      <c r="NW39" s="319">
        <f t="shared" ref="NW39" ca="1" si="12592">SUMPRODUCT((RT3:RT42=NV39)*(RX3:RX42="W"))+SUMPRODUCT((RW3:RW42=NV39)*(RY3:RY42="W"))</f>
        <v>0</v>
      </c>
      <c r="NX39" s="319">
        <f t="shared" ref="NX39" ca="1" si="12593">SUMPRODUCT((RT3:RT42=NV39)*(RX3:RX42="D"))+SUMPRODUCT((RW3:RW42=NV39)*(RY3:RY42="D"))</f>
        <v>0</v>
      </c>
      <c r="NY39" s="319">
        <f t="shared" ref="NY39" ca="1" si="12594">SUMPRODUCT((RT3:RT42=NV39)*(RX3:RX42="L"))+SUMPRODUCT((RW3:RW42=NV39)*(RY3:RY42="L"))</f>
        <v>0</v>
      </c>
      <c r="NZ39" s="319">
        <f t="shared" ref="NZ39" ca="1" si="12595">SUMIF(RT3:RT60,NV39,RU3:RU60)+SUMIF(RW3:RW60,NV39,RV3:RV60)</f>
        <v>0</v>
      </c>
      <c r="OA39" s="319">
        <f t="shared" ref="OA39" ca="1" si="12596">SUMIF(RW3:RW60,NV39,RU3:RU60)+SUMIF(RT3:RT60,NV39,RV3:RV60)</f>
        <v>0</v>
      </c>
      <c r="OB39" s="319">
        <f t="shared" ca="1" si="11807"/>
        <v>1000</v>
      </c>
      <c r="OC39" s="319">
        <f t="shared" ca="1" si="11808"/>
        <v>0</v>
      </c>
      <c r="OD39" s="319">
        <f t="shared" si="630"/>
        <v>47</v>
      </c>
      <c r="OE39" s="319">
        <f t="shared" ref="OE39" ca="1" si="12597">IF(COUNTIF(OC37:OC41,4)&lt;&gt;4,RANK(OC39,OC37:OC41),OC79)</f>
        <v>1</v>
      </c>
      <c r="OF39" s="319"/>
      <c r="OG39" s="319">
        <f t="shared" ref="OG39" ca="1" si="12598">SUMPRODUCT((OE37:OE40=OE39)*(OD37:OD40&lt;OD39))+OE39</f>
        <v>3</v>
      </c>
      <c r="OH39" s="319" t="str">
        <f t="shared" ref="OH39" ca="1" si="12599">INDEX(NV37:NV41,MATCH(3,OG37:OG41,0),0)</f>
        <v>Türkiye</v>
      </c>
      <c r="OI39" s="319">
        <f t="shared" ref="OI39" ca="1" si="12600">INDEX(OE37:OE41,MATCH(OH39,NV37:NV41,0),0)</f>
        <v>1</v>
      </c>
      <c r="OJ39" s="319" t="str">
        <f t="shared" ref="OJ39:OJ40" ca="1" si="12601">IF(AND(OJ38&lt;&gt;"",OI39=1),OH39,"")</f>
        <v>Türkiye</v>
      </c>
      <c r="OK39" s="319" t="str">
        <f t="shared" ref="OK39:OK40" ca="1" si="12602">IF(AND(OK38&lt;&gt;"",OI40=2),OH40,"")</f>
        <v/>
      </c>
      <c r="OL39" s="319" t="str">
        <f t="shared" ref="OL39" ca="1" si="12603">IF(AND(OL38&lt;&gt;"",OI41=3),OH41,"")</f>
        <v/>
      </c>
      <c r="OM39" s="319"/>
      <c r="ON39" s="319"/>
      <c r="OO39" s="319" t="str">
        <f t="shared" ca="1" si="11817"/>
        <v>Türkiye</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f t="shared" ca="1" si="11824"/>
        <v>0</v>
      </c>
      <c r="OW39" s="319">
        <f t="shared" ref="OW39" ca="1" si="12609">IF(OO39&lt;&gt;"",VLOOKUP(OO39,NV4:OB40,7,FALSE),"")</f>
        <v>1000</v>
      </c>
      <c r="OX39" s="319">
        <f t="shared" ref="OX39" ca="1" si="12610">IF(OO39&lt;&gt;"",VLOOKUP(OO39,NV4:OB40,5,FALSE),"")</f>
        <v>0</v>
      </c>
      <c r="OY39" s="319">
        <f t="shared" ref="OY39" ca="1" si="12611">IF(OO39&lt;&gt;"",VLOOKUP(OO39,NV4:OD40,9,FALSE),"")</f>
        <v>47</v>
      </c>
      <c r="OZ39" s="319">
        <f t="shared" ca="1" si="11828"/>
        <v>0</v>
      </c>
      <c r="PA39" s="319">
        <f t="shared" ref="PA39" ca="1" si="12612">IF(OO39&lt;&gt;"",RANK(OZ39,OZ37:OZ41),"")</f>
        <v>1</v>
      </c>
      <c r="PB39" s="319">
        <f t="shared" ref="PB39" ca="1" si="12613">IF(OO39&lt;&gt;"",SUMPRODUCT((OZ37:OZ41=OZ39)*(OU37:OU41&gt;OU39)),"")</f>
        <v>0</v>
      </c>
      <c r="PC39" s="319">
        <f t="shared" ref="PC39" ca="1" si="12614">IF(OO39&lt;&gt;"",SUMPRODUCT((OZ37:OZ41=OZ39)*(OU37:OU41=OU39)*(OS37:OS41&gt;OS39)),"")</f>
        <v>0</v>
      </c>
      <c r="PD39" s="319">
        <f t="shared" ref="PD39" ca="1" si="12615">IF(OO39&lt;&gt;"",SUMPRODUCT((OZ37:OZ41=OZ39)*(OU37:OU41=OU39)*(OS37:OS41=OS39)*(OW37:OW41&gt;OW39)),"")</f>
        <v>0</v>
      </c>
      <c r="PE39" s="319">
        <f t="shared" ref="PE39" ca="1" si="12616">IF(OO39&lt;&gt;"",SUMPRODUCT((OZ37:OZ41=OZ39)*(OU37:OU41=OU39)*(OS37:OS41=OS39)*(OW37:OW41=OW39)*(OX37:OX41&gt;OX39)),"")</f>
        <v>0</v>
      </c>
      <c r="PF39" s="319">
        <f t="shared" ref="PF39" ca="1" si="12617">IF(OO39&lt;&gt;"",SUMPRODUCT((OZ37:OZ41=OZ39)*(OU37:OU41=OU39)*(OS37:OS41=OS39)*(OW37:OW41=OW39)*(OX37:OX41=OX39)*(OY37:OY41&gt;OY39)),"")</f>
        <v>1</v>
      </c>
      <c r="PG39" s="319">
        <f ca="1">IF(OO39&lt;&gt;"",IF(PG79&lt;&gt;"",IF(ON76=3,PG79,PG79+ON76),SUM(PA39:PF39)),"")</f>
        <v>2</v>
      </c>
      <c r="PH39" s="319" t="str">
        <f t="shared" ref="PH39" ca="1" si="12618">IF(OO39&lt;&gt;"",INDEX(OO37:OO41,MATCH(3,PG37:PG41,0),0),"")</f>
        <v>Czechia</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0</v>
      </c>
      <c r="SV39" s="319">
        <f t="shared" ref="SV39" ca="1" si="12657">SUMPRODUCT((WR3:WR42=ST39)*(WV3:WV42="D"))+SUMPRODUCT((WU3:WU42=ST39)*(WW3:WW42="D"))</f>
        <v>0</v>
      </c>
      <c r="SW39" s="319">
        <f t="shared" ref="SW39" ca="1" si="12658">SUMPRODUCT((WR3:WR42=ST39)*(WV3:WV42="L"))+SUMPRODUCT((WU3:WU42=ST39)*(WW3:WW42="L"))</f>
        <v>0</v>
      </c>
      <c r="SX39" s="319">
        <f t="shared" ref="SX39" ca="1" si="12659">SUMIF(WR3:WR60,ST39,WS3:WS60)+SUMIF(WU3:WU60,ST39,WT3:WT60)</f>
        <v>0</v>
      </c>
      <c r="SY39" s="319">
        <f t="shared" ref="SY39" ca="1" si="12660">SUMIF(WU3:WU60,ST39,WS3:WS60)+SUMIF(WR3:WR60,ST39,WT3:WT60)</f>
        <v>0</v>
      </c>
      <c r="SZ39" s="319">
        <f t="shared" ca="1" si="11844"/>
        <v>1000</v>
      </c>
      <c r="TA39" s="319">
        <f t="shared" ca="1" si="11845"/>
        <v>0</v>
      </c>
      <c r="TB39" s="319">
        <f t="shared" si="690"/>
        <v>47</v>
      </c>
      <c r="TC39" s="319">
        <f t="shared" ref="TC39" ca="1" si="12661">IF(COUNTIF(TA37:TA41,4)&lt;&gt;4,RANK(TA39,TA37:TA41),TA79)</f>
        <v>1</v>
      </c>
      <c r="TD39" s="319"/>
      <c r="TE39" s="319">
        <f t="shared" ref="TE39" ca="1" si="12662">SUMPRODUCT((TC37:TC40=TC39)*(TB37:TB40&lt;TB39))+TC39</f>
        <v>3</v>
      </c>
      <c r="TF39" s="319" t="str">
        <f t="shared" ref="TF39" ca="1" si="12663">INDEX(ST37:ST41,MATCH(3,TE37:TE41,0),0)</f>
        <v>Türkiye</v>
      </c>
      <c r="TG39" s="319">
        <f t="shared" ref="TG39" ca="1" si="12664">INDEX(TC37:TC41,MATCH(TF39,ST37:ST41,0),0)</f>
        <v>1</v>
      </c>
      <c r="TH39" s="319" t="str">
        <f t="shared" ref="TH39:TH40" ca="1" si="12665">IF(AND(TH38&lt;&gt;"",TG39=1),TF39,"")</f>
        <v>Türkiye</v>
      </c>
      <c r="TI39" s="319" t="str">
        <f t="shared" ref="TI39:TI40" ca="1" si="12666">IF(AND(TI38&lt;&gt;"",TG40=2),TF40,"")</f>
        <v/>
      </c>
      <c r="TJ39" s="319" t="str">
        <f t="shared" ref="TJ39" ca="1" si="12667">IF(AND(TJ38&lt;&gt;"",TG41=3),TF41,"")</f>
        <v/>
      </c>
      <c r="TK39" s="319"/>
      <c r="TL39" s="319"/>
      <c r="TM39" s="319" t="str">
        <f t="shared" ca="1" si="11854"/>
        <v>Türkiye</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f t="shared" ca="1" si="11861"/>
        <v>0</v>
      </c>
      <c r="TU39" s="319">
        <f t="shared" ref="TU39" ca="1" si="12673">IF(TM39&lt;&gt;"",VLOOKUP(TM39,ST4:SZ40,7,FALSE),"")</f>
        <v>1000</v>
      </c>
      <c r="TV39" s="319">
        <f t="shared" ref="TV39" ca="1" si="12674">IF(TM39&lt;&gt;"",VLOOKUP(TM39,ST4:SZ40,5,FALSE),"")</f>
        <v>0</v>
      </c>
      <c r="TW39" s="319">
        <f t="shared" ref="TW39" ca="1" si="12675">IF(TM39&lt;&gt;"",VLOOKUP(TM39,ST4:TB40,9,FALSE),"")</f>
        <v>47</v>
      </c>
      <c r="TX39" s="319">
        <f t="shared" ca="1" si="11865"/>
        <v>0</v>
      </c>
      <c r="TY39" s="319">
        <f t="shared" ref="TY39" ca="1" si="12676">IF(TM39&lt;&gt;"",RANK(TX39,TX37:TX41),"")</f>
        <v>1</v>
      </c>
      <c r="TZ39" s="319">
        <f t="shared" ref="TZ39" ca="1" si="12677">IF(TM39&lt;&gt;"",SUMPRODUCT((TX37:TX41=TX39)*(TS37:TS41&gt;TS39)),"")</f>
        <v>0</v>
      </c>
      <c r="UA39" s="319">
        <f t="shared" ref="UA39" ca="1" si="12678">IF(TM39&lt;&gt;"",SUMPRODUCT((TX37:TX41=TX39)*(TS37:TS41=TS39)*(TQ37:TQ41&gt;TQ39)),"")</f>
        <v>0</v>
      </c>
      <c r="UB39" s="319">
        <f t="shared" ref="UB39" ca="1" si="12679">IF(TM39&lt;&gt;"",SUMPRODUCT((TX37:TX41=TX39)*(TS37:TS41=TS39)*(TQ37:TQ41=TQ39)*(TU37:TU41&gt;TU39)),"")</f>
        <v>0</v>
      </c>
      <c r="UC39" s="319">
        <f t="shared" ref="UC39" ca="1" si="12680">IF(TM39&lt;&gt;"",SUMPRODUCT((TX37:TX41=TX39)*(TS37:TS41=TS39)*(TQ37:TQ41=TQ39)*(TU37:TU41=TU39)*(TV37:TV41&gt;TV39)),"")</f>
        <v>0</v>
      </c>
      <c r="UD39" s="319">
        <f t="shared" ref="UD39" ca="1" si="12681">IF(TM39&lt;&gt;"",SUMPRODUCT((TX37:TX41=TX39)*(TS37:TS41=TS39)*(TQ37:TQ41=TQ39)*(TU37:TU41=TU39)*(TV37:TV41=TV39)*(TW37:TW41&gt;TW39)),"")</f>
        <v>1</v>
      </c>
      <c r="UE39" s="319">
        <f ca="1">IF(TM39&lt;&gt;"",IF(UE79&lt;&gt;"",IF(TL76=3,UE79,UE79+TL76),SUM(TY39:UD39)),"")</f>
        <v>2</v>
      </c>
      <c r="UF39" s="319" t="str">
        <f t="shared" ref="UF39" ca="1" si="12682">IF(TM39&lt;&gt;"",INDEX(TM37:TM41,MATCH(3,UE37:UE41,0),0),"")</f>
        <v>Czechia</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2</v>
      </c>
      <c r="ACP39" s="319" t="str">
        <f t="shared" si="11912"/>
        <v>Türkiye</v>
      </c>
      <c r="ACQ39" s="319">
        <f t="shared" ref="ACQ39" ca="1" si="12784">SUMPRODUCT((AGN3:AGN42=ACP39)*(AGR3:AGR42="W"))+SUMPRODUCT((AGQ3:AGQ42=ACP39)*(AGS3:AGS42="W"))</f>
        <v>0</v>
      </c>
      <c r="ACR39" s="319">
        <f t="shared" ref="ACR39" ca="1" si="12785">SUMPRODUCT((AGN3:AGN42=ACP39)*(AGR3:AGR42="D"))+SUMPRODUCT((AGQ3:AGQ42=ACP39)*(AGS3:AGS42="D"))</f>
        <v>0</v>
      </c>
      <c r="ACS39" s="319">
        <f t="shared" ref="ACS39" ca="1" si="12786">SUMPRODUCT((AGN3:AGN42=ACP39)*(AGR3:AGR42="L"))+SUMPRODUCT((AGQ3:AGQ42=ACP39)*(AGS3:AGS42="L"))</f>
        <v>0</v>
      </c>
      <c r="ACT39" s="319">
        <f t="shared" ref="ACT39" ca="1" si="12787">SUMIF(AGN3:AGN60,ACP39,AGO3:AGO60)+SUMIF(AGQ3:AGQ60,ACP39,AGP3:AGP60)</f>
        <v>0</v>
      </c>
      <c r="ACU39" s="319">
        <f t="shared" ref="ACU39" ca="1" si="12788">SUMIF(AGQ3:AGQ60,ACP39,AGO3:AGO60)+SUMIF(AGN3:AGN60,ACP39,AGP3:AGP60)</f>
        <v>0</v>
      </c>
      <c r="ACV39" s="319">
        <f t="shared" ca="1" si="11918"/>
        <v>1000</v>
      </c>
      <c r="ACW39" s="319">
        <f t="shared" ca="1" si="11919"/>
        <v>0</v>
      </c>
      <c r="ACX39" s="319">
        <f t="shared" si="810"/>
        <v>47</v>
      </c>
      <c r="ACY39" s="319">
        <f t="shared" ref="ACY39" ca="1" si="12789">IF(COUNTIF(ACW37:ACW41,4)&lt;&gt;4,RANK(ACW39,ACW37:ACW41),ACW79)</f>
        <v>1</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1</v>
      </c>
      <c r="ADD39" s="319" t="str">
        <f t="shared" ref="ADD39:ADD40" ca="1" si="12793">IF(AND(ADD38&lt;&gt;"",ADC39=1),ADB39,"")</f>
        <v>Türkiye</v>
      </c>
      <c r="ADE39" s="319" t="str">
        <f t="shared" ref="ADE39:ADE40" ca="1" si="12794">IF(AND(ADE38&lt;&gt;"",ADC40=2),ADB40,"")</f>
        <v/>
      </c>
      <c r="ADF39" s="319" t="str">
        <f t="shared" ref="ADF39" ca="1" si="12795">IF(AND(ADF38&lt;&gt;"",ADC41=3),ADB41,"")</f>
        <v/>
      </c>
      <c r="ADG39" s="319"/>
      <c r="ADH39" s="319"/>
      <c r="ADI39" s="319" t="str">
        <f t="shared" ca="1" si="11928"/>
        <v>Türkiye</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f t="shared" ca="1" si="11935"/>
        <v>0</v>
      </c>
      <c r="ADQ39" s="319">
        <f t="shared" ref="ADQ39" ca="1" si="12801">IF(ADI39&lt;&gt;"",VLOOKUP(ADI39,ACP4:ACV40,7,FALSE),"")</f>
        <v>1000</v>
      </c>
      <c r="ADR39" s="319">
        <f t="shared" ref="ADR39" ca="1" si="12802">IF(ADI39&lt;&gt;"",VLOOKUP(ADI39,ACP4:ACV40,5,FALSE),"")</f>
        <v>0</v>
      </c>
      <c r="ADS39" s="319">
        <f t="shared" ref="ADS39" ca="1" si="12803">IF(ADI39&lt;&gt;"",VLOOKUP(ADI39,ACP4:ACX40,9,FALSE),"")</f>
        <v>47</v>
      </c>
      <c r="ADT39" s="319">
        <f t="shared" ca="1" si="11939"/>
        <v>0</v>
      </c>
      <c r="ADU39" s="319">
        <f t="shared" ref="ADU39" ca="1" si="12804">IF(ADI39&lt;&gt;"",RANK(ADT39,ADT37:ADT41),"")</f>
        <v>1</v>
      </c>
      <c r="ADV39" s="319">
        <f t="shared" ref="ADV39" ca="1" si="12805">IF(ADI39&lt;&gt;"",SUMPRODUCT((ADT37:ADT41=ADT39)*(ADO37:ADO41&gt;ADO39)),"")</f>
        <v>0</v>
      </c>
      <c r="ADW39" s="319">
        <f t="shared" ref="ADW39" ca="1" si="12806">IF(ADI39&lt;&gt;"",SUMPRODUCT((ADT37:ADT41=ADT39)*(ADO37:ADO41=ADO39)*(ADM37:ADM41&gt;ADM39)),"")</f>
        <v>0</v>
      </c>
      <c r="ADX39" s="319">
        <f t="shared" ref="ADX39" ca="1" si="12807">IF(ADI39&lt;&gt;"",SUMPRODUCT((ADT37:ADT41=ADT39)*(ADO37:ADO41=ADO39)*(ADM37:ADM41=ADM39)*(ADQ37:ADQ41&gt;ADQ39)),"")</f>
        <v>0</v>
      </c>
      <c r="ADY39" s="319">
        <f t="shared" ref="ADY39" ca="1" si="12808">IF(ADI39&lt;&gt;"",SUMPRODUCT((ADT37:ADT41=ADT39)*(ADO37:ADO41=ADO39)*(ADM37:ADM41=ADM39)*(ADQ37:ADQ41=ADQ39)*(ADR37:ADR41&gt;ADR39)),"")</f>
        <v>0</v>
      </c>
      <c r="ADZ39" s="319">
        <f t="shared" ref="ADZ39" ca="1" si="12809">IF(ADI39&lt;&gt;"",SUMPRODUCT((ADT37:ADT41=ADT39)*(ADO37:ADO41=ADO39)*(ADM37:ADM41=ADM39)*(ADQ37:ADQ41=ADQ39)*(ADR37:ADR41=ADR39)*(ADS37:ADS41&gt;ADS39)),"")</f>
        <v>1</v>
      </c>
      <c r="AEA39" s="319">
        <f ca="1">IF(ADI39&lt;&gt;"",IF(AEA79&lt;&gt;"",IF(ADH76=3,AEA79,AEA79+ADH76),SUM(ADU39:ADZ39)),"")</f>
        <v>2</v>
      </c>
      <c r="AEB39" s="319" t="str">
        <f t="shared" ref="AEB39" ca="1" si="12810">IF(ADI39&lt;&gt;"",INDEX(ADI37:ADI41,MATCH(3,AEA37:AEA41,0),0),"")</f>
        <v>Czechia</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Czechia</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0</v>
      </c>
      <c r="AHP39" s="319">
        <f t="shared" ref="AHP39" ca="1" si="12849">SUMPRODUCT((ALL3:ALL42=AHN39)*(ALP3:ALP42="D"))+SUMPRODUCT((ALO3:ALO42=AHN39)*(ALQ3:ALQ42="D"))</f>
        <v>0</v>
      </c>
      <c r="AHQ39" s="319">
        <f t="shared" ref="AHQ39" ca="1" si="12850">SUMPRODUCT((ALL3:ALL42=AHN39)*(ALP3:ALP42="L"))+SUMPRODUCT((ALO3:ALO42=AHN39)*(ALQ3:ALQ42="L"))</f>
        <v>0</v>
      </c>
      <c r="AHR39" s="319">
        <f t="shared" ref="AHR39" ca="1" si="12851">SUMIF(ALL3:ALL60,AHN39,ALM3:ALM60)+SUMIF(ALO3:ALO60,AHN39,ALN3:ALN60)</f>
        <v>0</v>
      </c>
      <c r="AHS39" s="319">
        <f t="shared" ref="AHS39" ca="1" si="12852">SUMIF(ALO3:ALO60,AHN39,ALM3:ALM60)+SUMIF(ALL3:ALL60,AHN39,ALN3:ALN60)</f>
        <v>0</v>
      </c>
      <c r="AHT39" s="319">
        <f t="shared" ca="1" si="11955"/>
        <v>1000</v>
      </c>
      <c r="AHU39" s="319">
        <f t="shared" ca="1" si="11956"/>
        <v>0</v>
      </c>
      <c r="AHV39" s="319">
        <f t="shared" si="870"/>
        <v>47</v>
      </c>
      <c r="AHW39" s="319">
        <f t="shared" ref="AHW39" ca="1" si="12853">IF(COUNTIF(AHU37:AHU41,4)&lt;&gt;4,RANK(AHU39,AHU37:AHU41),AHU79)</f>
        <v>1</v>
      </c>
      <c r="AHX39" s="319"/>
      <c r="AHY39" s="319">
        <f t="shared" ref="AHY39" ca="1" si="12854">SUMPRODUCT((AHW37:AHW40=AHW39)*(AHV37:AHV40&lt;AHV39))+AHW39</f>
        <v>3</v>
      </c>
      <c r="AHZ39" s="319" t="str">
        <f t="shared" ref="AHZ39" ca="1" si="12855">INDEX(AHN37:AHN41,MATCH(3,AHY37:AHY41,0),0)</f>
        <v>Türkiye</v>
      </c>
      <c r="AIA39" s="319">
        <f t="shared" ref="AIA39" ca="1" si="12856">INDEX(AHW37:AHW41,MATCH(AHZ39,AHN37:AHN41,0),0)</f>
        <v>1</v>
      </c>
      <c r="AIB39" s="319" t="str">
        <f t="shared" ref="AIB39:AIB40" ca="1" si="12857">IF(AND(AIB38&lt;&gt;"",AIA39=1),AHZ39,"")</f>
        <v>Türkiye</v>
      </c>
      <c r="AIC39" s="319" t="str">
        <f t="shared" ref="AIC39:AIC40" ca="1" si="12858">IF(AND(AIC38&lt;&gt;"",AIA40=2),AHZ40,"")</f>
        <v/>
      </c>
      <c r="AID39" s="319" t="str">
        <f t="shared" ref="AID39" ca="1" si="12859">IF(AND(AID38&lt;&gt;"",AIA41=3),AHZ41,"")</f>
        <v/>
      </c>
      <c r="AIE39" s="319"/>
      <c r="AIF39" s="319"/>
      <c r="AIG39" s="319" t="str">
        <f t="shared" ca="1" si="11965"/>
        <v>Türkiye</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f t="shared" ca="1" si="11972"/>
        <v>0</v>
      </c>
      <c r="AIO39" s="319">
        <f t="shared" ref="AIO39" ca="1" si="12865">IF(AIG39&lt;&gt;"",VLOOKUP(AIG39,AHN4:AHT40,7,FALSE),"")</f>
        <v>1000</v>
      </c>
      <c r="AIP39" s="319">
        <f t="shared" ref="AIP39" ca="1" si="12866">IF(AIG39&lt;&gt;"",VLOOKUP(AIG39,AHN4:AHT40,5,FALSE),"")</f>
        <v>0</v>
      </c>
      <c r="AIQ39" s="319">
        <f t="shared" ref="AIQ39" ca="1" si="12867">IF(AIG39&lt;&gt;"",VLOOKUP(AIG39,AHN4:AHV40,9,FALSE),"")</f>
        <v>47</v>
      </c>
      <c r="AIR39" s="319">
        <f t="shared" ca="1" si="11976"/>
        <v>0</v>
      </c>
      <c r="AIS39" s="319">
        <f t="shared" ref="AIS39" ca="1" si="12868">IF(AIG39&lt;&gt;"",RANK(AIR39,AIR37:AIR41),"")</f>
        <v>1</v>
      </c>
      <c r="AIT39" s="319">
        <f t="shared" ref="AIT39" ca="1" si="12869">IF(AIG39&lt;&gt;"",SUMPRODUCT((AIR37:AIR41=AIR39)*(AIM37:AIM41&gt;AIM39)),"")</f>
        <v>0</v>
      </c>
      <c r="AIU39" s="319">
        <f t="shared" ref="AIU39" ca="1" si="12870">IF(AIG39&lt;&gt;"",SUMPRODUCT((AIR37:AIR41=AIR39)*(AIM37:AIM41=AIM39)*(AIK37:AIK41&gt;AIK39)),"")</f>
        <v>0</v>
      </c>
      <c r="AIV39" s="319">
        <f t="shared" ref="AIV39" ca="1" si="12871">IF(AIG39&lt;&gt;"",SUMPRODUCT((AIR37:AIR41=AIR39)*(AIM37:AIM41=AIM39)*(AIK37:AIK41=AIK39)*(AIO37:AIO41&gt;AIO39)),"")</f>
        <v>0</v>
      </c>
      <c r="AIW39" s="319">
        <f t="shared" ref="AIW39" ca="1" si="12872">IF(AIG39&lt;&gt;"",SUMPRODUCT((AIR37:AIR41=AIR39)*(AIM37:AIM41=AIM39)*(AIK37:AIK41=AIK39)*(AIO37:AIO41=AIO39)*(AIP37:AIP41&gt;AIP39)),"")</f>
        <v>0</v>
      </c>
      <c r="AIX39" s="319">
        <f t="shared" ref="AIX39" ca="1" si="12873">IF(AIG39&lt;&gt;"",SUMPRODUCT((AIR37:AIR41=AIR39)*(AIM37:AIM41=AIM39)*(AIK37:AIK41=AIK39)*(AIO37:AIO41=AIO39)*(AIP37:AIP41=AIP39)*(AIQ37:AIQ41&gt;AIQ39)),"")</f>
        <v>1</v>
      </c>
      <c r="AIY39" s="319">
        <f ca="1">IF(AIG39&lt;&gt;"",IF(AIY79&lt;&gt;"",IF(AIF76=3,AIY79,AIY79+AIF76),SUM(AIS39:AIX39)),"")</f>
        <v>2</v>
      </c>
      <c r="AIZ39" s="319" t="str">
        <f t="shared" ref="AIZ39" ca="1" si="12874">IF(AIG39&lt;&gt;"",INDEX(AIG37:AIG41,MATCH(3,AIY37:AIY41,0),0),"")</f>
        <v>Czechia</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1</v>
      </c>
      <c r="E40" s="319">
        <f>SUMPRODUCT((CZ3:CZ42=B40)*(DD3:DD42="L"))+SUMPRODUCT((DC3:DC42=B40)*(DE3:DE42="L"))</f>
        <v>1</v>
      </c>
      <c r="F40" s="319">
        <f>SUMIF(CZ3:CZ60,B40,DA3:DA60)+SUMIF(DC3:DC60,B40,DB3:DB60)</f>
        <v>2</v>
      </c>
      <c r="G40" s="319">
        <f>SUMIF(DC3:DC60,B40,DA3:DA60)+SUMIF(CZ3:CZ60,B40,DB3:DB60)</f>
        <v>4</v>
      </c>
      <c r="H40" s="319">
        <f t="shared" si="11788"/>
        <v>998</v>
      </c>
      <c r="I40" s="319">
        <f t="shared" si="11789"/>
        <v>1</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1</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1</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1</v>
      </c>
      <c r="BO40" s="319">
        <f>BM40-BN40+1000</f>
        <v>1000</v>
      </c>
      <c r="BP40" s="319">
        <f t="shared" si="12585"/>
        <v>1</v>
      </c>
      <c r="BQ40" s="319">
        <f>IF(BI40&lt;&gt;"",VLOOKUP(BI40,B4:H40,7,FALSE),"")</f>
        <v>999</v>
      </c>
      <c r="BR40" s="319">
        <f>IF(BI40&lt;&gt;"",VLOOKUP(BI40,B4:H40,5,FALSE),"")</f>
        <v>2</v>
      </c>
      <c r="BS40" s="319">
        <f>IF(BI40&lt;&gt;"",VLOOKUP(BI40,B4:J40,9,FALSE),"")</f>
        <v>37</v>
      </c>
      <c r="BT40" s="319">
        <f t="shared" si="12586"/>
        <v>1</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1</v>
      </c>
      <c r="EC40" s="319">
        <f ca="1">SUMPRODUCT((HX3:HX42=DZ40)*(IB3:IB42="L"))+SUMPRODUCT((IA3:IA42=DZ40)*(IC3:IC42="L"))</f>
        <v>2</v>
      </c>
      <c r="ED40" s="319">
        <f ca="1">SUMIF(HX3:HX60,DZ40,HY3:HY60)+SUMIF(IA3:IA60,DZ40,HZ3:HZ60)</f>
        <v>0</v>
      </c>
      <c r="EE40" s="319">
        <f ca="1">SUMIF(IA3:IA60,DZ40,HY3:HY60)+SUMIF(HX3:HX60,DZ40,HZ3:HZ60)</f>
        <v>3</v>
      </c>
      <c r="EF40" s="319">
        <f t="shared" ca="1" si="11792"/>
        <v>997</v>
      </c>
      <c r="EG40" s="319">
        <f t="shared" ca="1" si="11793"/>
        <v>1</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0</v>
      </c>
      <c r="JA40" s="319">
        <f ca="1">SUMPRODUCT((MV3:MV42=IX40)*(MZ3:MZ42="L"))+SUMPRODUCT((MY3:MY42=IX40)*(NA3:NA42="L"))</f>
        <v>3</v>
      </c>
      <c r="JB40" s="319">
        <f ca="1">SUMIF(MV3:MV60,IX40,MW3:MW60)+SUMIF(MY3:MY60,IX40,MX3:MX60)</f>
        <v>1</v>
      </c>
      <c r="JC40" s="319">
        <f ca="1">SUMIF(MY3:MY60,IX40,MW3:MW60)+SUMIF(MV3:MV60,IX40,MX3:MX60)</f>
        <v>6</v>
      </c>
      <c r="JD40" s="319">
        <f t="shared" ca="1" si="11796"/>
        <v>995</v>
      </c>
      <c r="JE40" s="319">
        <f t="shared" ca="1" si="11797"/>
        <v>0</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0</v>
      </c>
      <c r="NZ40" s="319">
        <f t="shared" ref="NZ40" ca="1" si="13177">SUMIF(RT3:RT60,NV40,RU3:RU60)+SUMIF(RW3:RW60,NV40,RV3:RV60)</f>
        <v>0</v>
      </c>
      <c r="OA40" s="319">
        <f t="shared" ref="OA40" ca="1" si="13178">SUMIF(RW3:RW60,NV40,RU3:RU60)+SUMIF(RT3:RT60,NV40,RV3:RV60)</f>
        <v>0</v>
      </c>
      <c r="OB40" s="319">
        <f t="shared" ca="1" si="11807"/>
        <v>1000</v>
      </c>
      <c r="OC40" s="319">
        <f t="shared" ca="1" si="11808"/>
        <v>0</v>
      </c>
      <c r="OD40" s="319">
        <f t="shared" si="630"/>
        <v>0</v>
      </c>
      <c r="OE40" s="319">
        <f t="shared" ref="OE40" ca="1" si="13179">IF(COUNTIF(OC37:OC41,4)&lt;&gt;4,RANK(OC40,OC37:OC41),OC80)</f>
        <v>1</v>
      </c>
      <c r="OF40" s="319"/>
      <c r="OG40" s="319">
        <f t="shared" ref="OG40" ca="1" si="13180">SUMPRODUCT((OE37:OE40=OE40)*(OD37:OD40&lt;OD40))+OE40</f>
        <v>1</v>
      </c>
      <c r="OH40" s="319" t="str">
        <f t="shared" ref="OH40" ca="1" si="13181">INDEX(NV37:NV41,MATCH(4,OG37:OG41,0),0)</f>
        <v>Portugal</v>
      </c>
      <c r="OI40" s="319">
        <f t="shared" ref="OI40" ca="1" si="13182">INDEX(OE37:OE41,MATCH(OH40,NV37:NV41,0),0)</f>
        <v>1</v>
      </c>
      <c r="OJ40" s="319" t="str">
        <f t="shared" ca="1" si="12601"/>
        <v>Portugal</v>
      </c>
      <c r="OK40" s="319" t="str">
        <f t="shared" ca="1" si="12602"/>
        <v/>
      </c>
      <c r="OL40" s="319"/>
      <c r="OM40" s="319"/>
      <c r="ON40" s="319"/>
      <c r="OO40" s="319" t="str">
        <f t="shared" ca="1" si="11817"/>
        <v>Portugal</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f t="shared" ca="1" si="11824"/>
        <v>0</v>
      </c>
      <c r="OW40" s="319">
        <f t="shared" ref="OW40" ca="1" si="13188">IF(OO40&lt;&gt;"",VLOOKUP(OO40,NV4:OB40,7,FALSE),"")</f>
        <v>1000</v>
      </c>
      <c r="OX40" s="319">
        <f t="shared" ref="OX40" ca="1" si="13189">IF(OO40&lt;&gt;"",VLOOKUP(OO40,NV4:OB40,5,FALSE),"")</f>
        <v>0</v>
      </c>
      <c r="OY40" s="319">
        <f t="shared" ref="OY40" ca="1" si="13190">IF(OO40&lt;&gt;"",VLOOKUP(OO40,NV4:OD40,9,FALSE),"")</f>
        <v>53</v>
      </c>
      <c r="OZ40" s="319">
        <f t="shared" ca="1" si="11828"/>
        <v>0</v>
      </c>
      <c r="PA40" s="319">
        <f t="shared" ref="PA40" ca="1" si="13191">IF(OO40&lt;&gt;"",RANK(OZ40,OZ37:OZ41),"")</f>
        <v>1</v>
      </c>
      <c r="PB40" s="319">
        <f t="shared" ref="PB40" ca="1" si="13192">IF(OO40&lt;&gt;"",SUMPRODUCT((OZ37:OZ41=OZ40)*(OU37:OU41&gt;OU40)),"")</f>
        <v>0</v>
      </c>
      <c r="PC40" s="319">
        <f t="shared" ref="PC40" ca="1" si="13193">IF(OO40&lt;&gt;"",SUMPRODUCT((OZ37:OZ41=OZ40)*(OU37:OU41=OU40)*(OS37:OS41&gt;OS40)),"")</f>
        <v>0</v>
      </c>
      <c r="PD40" s="319">
        <f t="shared" ref="PD40" ca="1" si="13194">IF(OO40&lt;&gt;"",SUMPRODUCT((OZ37:OZ41=OZ40)*(OU37:OU41=OU40)*(OS37:OS41=OS40)*(OW37:OW41&gt;OW40)),"")</f>
        <v>0</v>
      </c>
      <c r="PE40" s="319">
        <f t="shared" ref="PE40" ca="1" si="13195">IF(OO40&lt;&gt;"",SUMPRODUCT((OZ37:OZ41=OZ40)*(OU37:OU41=OU40)*(OS37:OS41=OS40)*(OW37:OW41=OW40)*(OX37:OX41&gt;OX40)),"")</f>
        <v>0</v>
      </c>
      <c r="PF40" s="319">
        <f t="shared" ref="PF40" ca="1" si="13196">IF(OO40&lt;&gt;"",SUMPRODUCT((OZ37:OZ41=OZ40)*(OU37:OU41=OU40)*(OS37:OS41=OS40)*(OW37:OW41=OW40)*(OX37:OX41=OX40)*(OY37:OY41&gt;OY40)),"")</f>
        <v>0</v>
      </c>
      <c r="PG40" s="319">
        <f ca="1">IF(OO40&lt;&gt;"",IF(PG80&lt;&gt;"",IF(ON76=3,PG80,PG80+ON76),SUM(PA40:PF40)),"")</f>
        <v>1</v>
      </c>
      <c r="PH40" s="319" t="str">
        <f t="shared" ref="PH40" ca="1" si="13197">IF(OO40&lt;&gt;"",INDEX(OO37:OO41,MATCH(4,PG37:PG41,0),0),"")</f>
        <v>Georgia</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0</v>
      </c>
      <c r="SX40" s="319">
        <f t="shared" ref="SX40" ca="1" si="13253">SUMIF(WR3:WR60,ST40,WS3:WS60)+SUMIF(WU3:WU60,ST40,WT3:WT60)</f>
        <v>0</v>
      </c>
      <c r="SY40" s="319">
        <f t="shared" ref="SY40" ca="1" si="13254">SUMIF(WU3:WU60,ST40,WS3:WS60)+SUMIF(WR3:WR60,ST40,WT3:WT60)</f>
        <v>0</v>
      </c>
      <c r="SZ40" s="319">
        <f t="shared" ca="1" si="11844"/>
        <v>1000</v>
      </c>
      <c r="TA40" s="319">
        <f t="shared" ca="1" si="11845"/>
        <v>0</v>
      </c>
      <c r="TB40" s="319">
        <f t="shared" si="690"/>
        <v>0</v>
      </c>
      <c r="TC40" s="319">
        <f t="shared" ref="TC40" ca="1" si="13255">IF(COUNTIF(TA37:TA41,4)&lt;&gt;4,RANK(TA40,TA37:TA41),TA80)</f>
        <v>1</v>
      </c>
      <c r="TD40" s="319"/>
      <c r="TE40" s="319">
        <f t="shared" ref="TE40" ca="1" si="13256">SUMPRODUCT((TC37:TC40=TC40)*(TB37:TB40&lt;TB40))+TC40</f>
        <v>1</v>
      </c>
      <c r="TF40" s="319" t="str">
        <f t="shared" ref="TF40" ca="1" si="13257">INDEX(ST37:ST41,MATCH(4,TE37:TE41,0),0)</f>
        <v>Portugal</v>
      </c>
      <c r="TG40" s="319">
        <f t="shared" ref="TG40" ca="1" si="13258">INDEX(TC37:TC41,MATCH(TF40,ST37:ST41,0),0)</f>
        <v>1</v>
      </c>
      <c r="TH40" s="319" t="str">
        <f t="shared" ca="1" si="12665"/>
        <v>Portugal</v>
      </c>
      <c r="TI40" s="319" t="str">
        <f t="shared" ca="1" si="12666"/>
        <v/>
      </c>
      <c r="TJ40" s="319"/>
      <c r="TK40" s="319"/>
      <c r="TL40" s="319"/>
      <c r="TM40" s="319" t="str">
        <f t="shared" ca="1" si="11854"/>
        <v>Portugal</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f t="shared" ca="1" si="11861"/>
        <v>0</v>
      </c>
      <c r="TU40" s="319">
        <f t="shared" ref="TU40" ca="1" si="13264">IF(TM40&lt;&gt;"",VLOOKUP(TM40,ST4:SZ40,7,FALSE),"")</f>
        <v>1000</v>
      </c>
      <c r="TV40" s="319">
        <f t="shared" ref="TV40" ca="1" si="13265">IF(TM40&lt;&gt;"",VLOOKUP(TM40,ST4:SZ40,5,FALSE),"")</f>
        <v>0</v>
      </c>
      <c r="TW40" s="319">
        <f t="shared" ref="TW40" ca="1" si="13266">IF(TM40&lt;&gt;"",VLOOKUP(TM40,ST4:TB40,9,FALSE),"")</f>
        <v>53</v>
      </c>
      <c r="TX40" s="319">
        <f t="shared" ca="1" si="11865"/>
        <v>0</v>
      </c>
      <c r="TY40" s="319">
        <f t="shared" ref="TY40" ca="1" si="13267">IF(TM40&lt;&gt;"",RANK(TX40,TX37:TX41),"")</f>
        <v>1</v>
      </c>
      <c r="TZ40" s="319">
        <f t="shared" ref="TZ40" ca="1" si="13268">IF(TM40&lt;&gt;"",SUMPRODUCT((TX37:TX41=TX40)*(TS37:TS41&gt;TS40)),"")</f>
        <v>0</v>
      </c>
      <c r="UA40" s="319">
        <f t="shared" ref="UA40" ca="1" si="13269">IF(TM40&lt;&gt;"",SUMPRODUCT((TX37:TX41=TX40)*(TS37:TS41=TS40)*(TQ37:TQ41&gt;TQ40)),"")</f>
        <v>0</v>
      </c>
      <c r="UB40" s="319">
        <f t="shared" ref="UB40" ca="1" si="13270">IF(TM40&lt;&gt;"",SUMPRODUCT((TX37:TX41=TX40)*(TS37:TS41=TS40)*(TQ37:TQ41=TQ40)*(TU37:TU41&gt;TU40)),"")</f>
        <v>0</v>
      </c>
      <c r="UC40" s="319">
        <f t="shared" ref="UC40" ca="1" si="13271">IF(TM40&lt;&gt;"",SUMPRODUCT((TX37:TX41=TX40)*(TS37:TS41=TS40)*(TQ37:TQ41=TQ40)*(TU37:TU41=TU40)*(TV37:TV41&gt;TV40)),"")</f>
        <v>0</v>
      </c>
      <c r="UD40" s="319">
        <f t="shared" ref="UD40" ca="1" si="13272">IF(TM40&lt;&gt;"",SUMPRODUCT((TX37:TX41=TX40)*(TS37:TS41=TS40)*(TQ37:TQ41=TQ40)*(TU37:TU41=TU40)*(TV37:TV41=TV40)*(TW37:TW41&gt;TW40)),"")</f>
        <v>0</v>
      </c>
      <c r="UE40" s="319">
        <f ca="1">IF(TM40&lt;&gt;"",IF(UE80&lt;&gt;"",IF(TL76=3,UE80,UE80+TL76),SUM(TY40:UD40)),"")</f>
        <v>1</v>
      </c>
      <c r="UF40" s="319" t="str">
        <f t="shared" ref="UF40" ca="1" si="13273">IF(TM40&lt;&gt;"",INDEX(TM37:TM41,MATCH(4,UE37:UE41,0),0),"")</f>
        <v>Georgia</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0</v>
      </c>
      <c r="ACT40" s="319">
        <f t="shared" ref="ACT40" ca="1" si="13405">SUMIF(AGN3:AGN60,ACP40,AGO3:AGO60)+SUMIF(AGQ3:AGQ60,ACP40,AGP3:AGP60)</f>
        <v>0</v>
      </c>
      <c r="ACU40" s="319">
        <f t="shared" ref="ACU40" ca="1" si="13406">SUMIF(AGQ3:AGQ60,ACP40,AGO3:AGO60)+SUMIF(AGN3:AGN60,ACP40,AGP3:AGP60)</f>
        <v>0</v>
      </c>
      <c r="ACV40" s="319">
        <f t="shared" ca="1" si="11918"/>
        <v>1000</v>
      </c>
      <c r="ACW40" s="319">
        <f t="shared" ca="1" si="11919"/>
        <v>0</v>
      </c>
      <c r="ACX40" s="319">
        <f t="shared" si="810"/>
        <v>0</v>
      </c>
      <c r="ACY40" s="319">
        <f t="shared" ref="ACY40" ca="1" si="13407">IF(COUNTIF(ACW37:ACW41,4)&lt;&gt;4,RANK(ACW40,ACW37:ACW41),ACW80)</f>
        <v>1</v>
      </c>
      <c r="ACZ40" s="319"/>
      <c r="ADA40" s="319">
        <f t="shared" ref="ADA40" ca="1" si="13408">SUMPRODUCT((ACY37:ACY40=ACY40)*(ACX37:ACX40&lt;ACX40))+ACY40</f>
        <v>1</v>
      </c>
      <c r="ADB40" s="319" t="str">
        <f t="shared" ref="ADB40" ca="1" si="13409">INDEX(ACP37:ACP41,MATCH(4,ADA37:ADA41,0),0)</f>
        <v>Portugal</v>
      </c>
      <c r="ADC40" s="319">
        <f t="shared" ref="ADC40" ca="1" si="13410">INDEX(ACY37:ACY41,MATCH(ADB40,ACP37:ACP41,0),0)</f>
        <v>1</v>
      </c>
      <c r="ADD40" s="319" t="str">
        <f t="shared" ca="1" si="12793"/>
        <v>Portugal</v>
      </c>
      <c r="ADE40" s="319" t="str">
        <f t="shared" ca="1" si="12794"/>
        <v/>
      </c>
      <c r="ADF40" s="319"/>
      <c r="ADG40" s="319"/>
      <c r="ADH40" s="319"/>
      <c r="ADI40" s="319" t="str">
        <f t="shared" ca="1" si="11928"/>
        <v>Portugal</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f t="shared" ca="1" si="11935"/>
        <v>0</v>
      </c>
      <c r="ADQ40" s="319">
        <f t="shared" ref="ADQ40" ca="1" si="13416">IF(ADI40&lt;&gt;"",VLOOKUP(ADI40,ACP4:ACV40,7,FALSE),"")</f>
        <v>1000</v>
      </c>
      <c r="ADR40" s="319">
        <f t="shared" ref="ADR40" ca="1" si="13417">IF(ADI40&lt;&gt;"",VLOOKUP(ADI40,ACP4:ACV40,5,FALSE),"")</f>
        <v>0</v>
      </c>
      <c r="ADS40" s="319">
        <f t="shared" ref="ADS40" ca="1" si="13418">IF(ADI40&lt;&gt;"",VLOOKUP(ADI40,ACP4:ACX40,9,FALSE),"")</f>
        <v>53</v>
      </c>
      <c r="ADT40" s="319">
        <f t="shared" ca="1" si="11939"/>
        <v>0</v>
      </c>
      <c r="ADU40" s="319">
        <f t="shared" ref="ADU40" ca="1" si="13419">IF(ADI40&lt;&gt;"",RANK(ADT40,ADT37:ADT41),"")</f>
        <v>1</v>
      </c>
      <c r="ADV40" s="319">
        <f t="shared" ref="ADV40" ca="1" si="13420">IF(ADI40&lt;&gt;"",SUMPRODUCT((ADT37:ADT41=ADT40)*(ADO37:ADO41&gt;ADO40)),"")</f>
        <v>0</v>
      </c>
      <c r="ADW40" s="319">
        <f t="shared" ref="ADW40" ca="1" si="13421">IF(ADI40&lt;&gt;"",SUMPRODUCT((ADT37:ADT41=ADT40)*(ADO37:ADO41=ADO40)*(ADM37:ADM41&gt;ADM40)),"")</f>
        <v>0</v>
      </c>
      <c r="ADX40" s="319">
        <f t="shared" ref="ADX40" ca="1" si="13422">IF(ADI40&lt;&gt;"",SUMPRODUCT((ADT37:ADT41=ADT40)*(ADO37:ADO41=ADO40)*(ADM37:ADM41=ADM40)*(ADQ37:ADQ41&gt;ADQ40)),"")</f>
        <v>0</v>
      </c>
      <c r="ADY40" s="319">
        <f t="shared" ref="ADY40" ca="1" si="13423">IF(ADI40&lt;&gt;"",SUMPRODUCT((ADT37:ADT41=ADT40)*(ADO37:ADO41=ADO40)*(ADM37:ADM41=ADM40)*(ADQ37:ADQ41=ADQ40)*(ADR37:ADR41&gt;ADR40)),"")</f>
        <v>0</v>
      </c>
      <c r="ADZ40" s="319">
        <f t="shared" ref="ADZ40" ca="1" si="13424">IF(ADI40&lt;&gt;"",SUMPRODUCT((ADT37:ADT41=ADT40)*(ADO37:ADO41=ADO40)*(ADM37:ADM41=ADM40)*(ADQ37:ADQ41=ADQ40)*(ADR37:ADR41=ADR40)*(ADS37:ADS41&gt;ADS40)),"")</f>
        <v>0</v>
      </c>
      <c r="AEA40" s="319">
        <f ca="1">IF(ADI40&lt;&gt;"",IF(AEA80&lt;&gt;"",IF(ADH76=3,AEA80,AEA80+ADH76),SUM(ADU40:ADZ40)),"")</f>
        <v>1</v>
      </c>
      <c r="AEB40" s="319" t="str">
        <f t="shared" ref="AEB40" ca="1" si="13425">IF(ADI40&lt;&gt;"",INDEX(ADI37:ADI41,MATCH(4,AEA37:AEA41,0),0),"")</f>
        <v>Georgia</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0</v>
      </c>
      <c r="AHR40" s="319">
        <f t="shared" ref="AHR40" ca="1" si="13481">SUMIF(ALL3:ALL60,AHN40,ALM3:ALM60)+SUMIF(ALO3:ALO60,AHN40,ALN3:ALN60)</f>
        <v>0</v>
      </c>
      <c r="AHS40" s="319">
        <f t="shared" ref="AHS40" ca="1" si="13482">SUMIF(ALO3:ALO60,AHN40,ALM3:ALM60)+SUMIF(ALL3:ALL60,AHN40,ALN3:ALN60)</f>
        <v>0</v>
      </c>
      <c r="AHT40" s="319">
        <f t="shared" ca="1" si="11955"/>
        <v>1000</v>
      </c>
      <c r="AHU40" s="319">
        <f t="shared" ca="1" si="11956"/>
        <v>0</v>
      </c>
      <c r="AHV40" s="319">
        <f t="shared" si="870"/>
        <v>0</v>
      </c>
      <c r="AHW40" s="319">
        <f t="shared" ref="AHW40" ca="1" si="13483">IF(COUNTIF(AHU37:AHU41,4)&lt;&gt;4,RANK(AHU40,AHU37:AHU41),AHU80)</f>
        <v>1</v>
      </c>
      <c r="AHX40" s="319"/>
      <c r="AHY40" s="319">
        <f t="shared" ref="AHY40" ca="1" si="13484">SUMPRODUCT((AHW37:AHW40=AHW40)*(AHV37:AHV40&lt;AHV40))+AHW40</f>
        <v>1</v>
      </c>
      <c r="AHZ40" s="319" t="str">
        <f t="shared" ref="AHZ40" ca="1" si="13485">INDEX(AHN37:AHN41,MATCH(4,AHY37:AHY41,0),0)</f>
        <v>Portugal</v>
      </c>
      <c r="AIA40" s="319">
        <f t="shared" ref="AIA40" ca="1" si="13486">INDEX(AHW37:AHW41,MATCH(AHZ40,AHN37:AHN41,0),0)</f>
        <v>1</v>
      </c>
      <c r="AIB40" s="319" t="str">
        <f t="shared" ca="1" si="12857"/>
        <v>Portugal</v>
      </c>
      <c r="AIC40" s="319" t="str">
        <f t="shared" ca="1" si="12858"/>
        <v/>
      </c>
      <c r="AID40" s="319"/>
      <c r="AIE40" s="319"/>
      <c r="AIF40" s="319"/>
      <c r="AIG40" s="319" t="str">
        <f t="shared" ca="1" si="11965"/>
        <v>Portugal</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f t="shared" ca="1" si="11972"/>
        <v>0</v>
      </c>
      <c r="AIO40" s="319">
        <f t="shared" ref="AIO40" ca="1" si="13492">IF(AIG40&lt;&gt;"",VLOOKUP(AIG40,AHN4:AHT40,7,FALSE),"")</f>
        <v>1000</v>
      </c>
      <c r="AIP40" s="319">
        <f t="shared" ref="AIP40" ca="1" si="13493">IF(AIG40&lt;&gt;"",VLOOKUP(AIG40,AHN4:AHT40,5,FALSE),"")</f>
        <v>0</v>
      </c>
      <c r="AIQ40" s="319">
        <f t="shared" ref="AIQ40" ca="1" si="13494">IF(AIG40&lt;&gt;"",VLOOKUP(AIG40,AHN4:AHV40,9,FALSE),"")</f>
        <v>53</v>
      </c>
      <c r="AIR40" s="319">
        <f t="shared" ca="1" si="11976"/>
        <v>0</v>
      </c>
      <c r="AIS40" s="319">
        <f t="shared" ref="AIS40" ca="1" si="13495">IF(AIG40&lt;&gt;"",RANK(AIR40,AIR37:AIR41),"")</f>
        <v>1</v>
      </c>
      <c r="AIT40" s="319">
        <f t="shared" ref="AIT40" ca="1" si="13496">IF(AIG40&lt;&gt;"",SUMPRODUCT((AIR37:AIR41=AIR40)*(AIM37:AIM41&gt;AIM40)),"")</f>
        <v>0</v>
      </c>
      <c r="AIU40" s="319">
        <f t="shared" ref="AIU40" ca="1" si="13497">IF(AIG40&lt;&gt;"",SUMPRODUCT((AIR37:AIR41=AIR40)*(AIM37:AIM41=AIM40)*(AIK37:AIK41&gt;AIK40)),"")</f>
        <v>0</v>
      </c>
      <c r="AIV40" s="319">
        <f t="shared" ref="AIV40" ca="1" si="13498">IF(AIG40&lt;&gt;"",SUMPRODUCT((AIR37:AIR41=AIR40)*(AIM37:AIM41=AIM40)*(AIK37:AIK41=AIK40)*(AIO37:AIO41&gt;AIO40)),"")</f>
        <v>0</v>
      </c>
      <c r="AIW40" s="319">
        <f t="shared" ref="AIW40" ca="1" si="13499">IF(AIG40&lt;&gt;"",SUMPRODUCT((AIR37:AIR41=AIR40)*(AIM37:AIM41=AIM40)*(AIK37:AIK41=AIK40)*(AIO37:AIO41=AIO40)*(AIP37:AIP41&gt;AIP40)),"")</f>
        <v>0</v>
      </c>
      <c r="AIX40" s="319">
        <f t="shared" ref="AIX40" ca="1" si="13500">IF(AIG40&lt;&gt;"",SUMPRODUCT((AIR37:AIR41=AIR40)*(AIM37:AIM41=AIM40)*(AIK37:AIK41=AIK40)*(AIO37:AIO41=AIO40)*(AIP37:AIP41=AIP40)*(AIQ37:AIQ41&gt;AIQ40)),"")</f>
        <v>0</v>
      </c>
      <c r="AIY40" s="319">
        <f ca="1">IF(AIG40&lt;&gt;"",IF(AIY80&lt;&gt;"",IF(AIF76=3,AIY80,AIY80+AIF76),SUM(AIS40:AIX40)),"")</f>
        <v>1</v>
      </c>
      <c r="AIZ40" s="319" t="str">
        <f t="shared" ref="AIZ40" ca="1" si="13501">IF(AIG40&lt;&gt;"",INDEX(AIG37:AIG41,MATCH(4,AIY37:AIY41,0),0),"")</f>
        <v>Georgia</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356</v>
      </c>
      <c r="V43" s="321" t="s">
        <v>148</v>
      </c>
      <c r="W43" s="321" t="s">
        <v>100</v>
      </c>
      <c r="X43" s="321" t="s">
        <v>149</v>
      </c>
      <c r="Y43" s="321" t="s">
        <v>326</v>
      </c>
      <c r="Z43" s="321" t="s">
        <v>327</v>
      </c>
      <c r="AA43" s="321" t="s">
        <v>334</v>
      </c>
      <c r="AB43" s="321" t="s">
        <v>147</v>
      </c>
      <c r="AC43" s="321" t="s">
        <v>343</v>
      </c>
      <c r="AD43" s="321" t="s">
        <v>344</v>
      </c>
      <c r="AE43" s="321" t="s">
        <v>329</v>
      </c>
      <c r="AF43" s="321" t="s">
        <v>151</v>
      </c>
      <c r="AG43" s="321" t="s">
        <v>345</v>
      </c>
      <c r="AH43" s="321" t="s">
        <v>328</v>
      </c>
      <c r="AI43" s="321" t="s">
        <v>326</v>
      </c>
      <c r="AJ43" s="321" t="s">
        <v>346</v>
      </c>
      <c r="AK43" s="321" t="s">
        <v>344</v>
      </c>
      <c r="AL43" s="321" t="s">
        <v>329</v>
      </c>
      <c r="AM43" s="321" t="s">
        <v>347</v>
      </c>
      <c r="AN43" s="321">
        <f>IF(AO45="",SUM(BA5:BF5),IF(AO46="",SUM(BA6:BF6),IF(AO47="",SUM(BA7:BF7),0)))</f>
        <v>0</v>
      </c>
      <c r="AO43" s="321" t="s">
        <v>357</v>
      </c>
      <c r="AP43" s="321" t="s">
        <v>148</v>
      </c>
      <c r="AQ43" s="321" t="s">
        <v>100</v>
      </c>
      <c r="AR43" s="321" t="s">
        <v>149</v>
      </c>
      <c r="AS43" s="321" t="s">
        <v>326</v>
      </c>
      <c r="AT43" s="321" t="s">
        <v>327</v>
      </c>
      <c r="AU43" s="321" t="s">
        <v>334</v>
      </c>
      <c r="AV43" s="321" t="s">
        <v>147</v>
      </c>
      <c r="AW43" s="321" t="s">
        <v>343</v>
      </c>
      <c r="AX43" s="321" t="s">
        <v>344</v>
      </c>
      <c r="AY43" s="321" t="s">
        <v>329</v>
      </c>
      <c r="AZ43" s="321" t="s">
        <v>151</v>
      </c>
      <c r="BA43" s="321" t="s">
        <v>345</v>
      </c>
      <c r="BB43" s="321" t="s">
        <v>328</v>
      </c>
      <c r="BC43" s="321" t="s">
        <v>326</v>
      </c>
      <c r="BD43" s="321" t="s">
        <v>346</v>
      </c>
      <c r="BE43" s="321" t="s">
        <v>344</v>
      </c>
      <c r="BF43" s="321" t="s">
        <v>329</v>
      </c>
      <c r="BG43" s="321" t="s">
        <v>347</v>
      </c>
      <c r="ER43" s="321">
        <f ca="1">IF(ES44="",SUM(FE4:FJ4),IF(ES45="",SUM(FE5:FJ5),IF(ES46="",SUM(FE6:FJ6),IF(ES47="",SUM(FE7:FJ7),0))))</f>
        <v>0</v>
      </c>
      <c r="ES43" s="321" t="s">
        <v>356</v>
      </c>
      <c r="ET43" s="321" t="s">
        <v>148</v>
      </c>
      <c r="EU43" s="321" t="s">
        <v>100</v>
      </c>
      <c r="EV43" s="321" t="s">
        <v>149</v>
      </c>
      <c r="EW43" s="321" t="s">
        <v>326</v>
      </c>
      <c r="EX43" s="321" t="s">
        <v>327</v>
      </c>
      <c r="EY43" s="321" t="s">
        <v>334</v>
      </c>
      <c r="EZ43" s="321" t="s">
        <v>147</v>
      </c>
      <c r="FA43" s="321" t="s">
        <v>343</v>
      </c>
      <c r="FB43" s="321" t="s">
        <v>344</v>
      </c>
      <c r="FC43" s="321" t="s">
        <v>329</v>
      </c>
      <c r="FD43" s="321" t="s">
        <v>151</v>
      </c>
      <c r="FE43" s="321" t="s">
        <v>345</v>
      </c>
      <c r="FF43" s="321" t="s">
        <v>328</v>
      </c>
      <c r="FG43" s="321" t="s">
        <v>326</v>
      </c>
      <c r="FH43" s="321" t="s">
        <v>346</v>
      </c>
      <c r="FI43" s="321" t="s">
        <v>344</v>
      </c>
      <c r="FJ43" s="321" t="s">
        <v>329</v>
      </c>
      <c r="FK43" s="321" t="s">
        <v>347</v>
      </c>
      <c r="FL43" s="321">
        <f ca="1">IF(FM45="",SUM(FY5:GD5),IF(FM46="",SUM(FY6:GD6),IF(FM47="",SUM(FY7:GD7),0)))</f>
        <v>0</v>
      </c>
      <c r="FM43" s="321" t="s">
        <v>357</v>
      </c>
      <c r="FN43" s="321" t="s">
        <v>148</v>
      </c>
      <c r="FO43" s="321" t="s">
        <v>100</v>
      </c>
      <c r="FP43" s="321" t="s">
        <v>149</v>
      </c>
      <c r="FQ43" s="321" t="s">
        <v>326</v>
      </c>
      <c r="FR43" s="321" t="s">
        <v>327</v>
      </c>
      <c r="FS43" s="321" t="s">
        <v>334</v>
      </c>
      <c r="FT43" s="321" t="s">
        <v>147</v>
      </c>
      <c r="FU43" s="321" t="s">
        <v>343</v>
      </c>
      <c r="FV43" s="321" t="s">
        <v>344</v>
      </c>
      <c r="FW43" s="321" t="s">
        <v>329</v>
      </c>
      <c r="FX43" s="321" t="s">
        <v>151</v>
      </c>
      <c r="FY43" s="321" t="s">
        <v>345</v>
      </c>
      <c r="FZ43" s="321" t="s">
        <v>328</v>
      </c>
      <c r="GA43" s="321" t="s">
        <v>326</v>
      </c>
      <c r="GB43" s="321" t="s">
        <v>346</v>
      </c>
      <c r="GC43" s="321" t="s">
        <v>344</v>
      </c>
      <c r="GD43" s="321" t="s">
        <v>329</v>
      </c>
      <c r="GE43" s="321" t="s">
        <v>347</v>
      </c>
      <c r="JP43" s="321">
        <f ca="1">IF(JQ44="",SUM(KC4:KH4),IF(JQ45="",SUM(KC5:KH5),IF(JQ46="",SUM(KC6:KH6),IF(JQ47="",SUM(KC7:KH7),0))))</f>
        <v>0</v>
      </c>
      <c r="JQ43" s="321" t="s">
        <v>356</v>
      </c>
      <c r="JR43" s="321" t="s">
        <v>148</v>
      </c>
      <c r="JS43" s="321" t="s">
        <v>100</v>
      </c>
      <c r="JT43" s="321" t="s">
        <v>149</v>
      </c>
      <c r="JU43" s="321" t="s">
        <v>326</v>
      </c>
      <c r="JV43" s="321" t="s">
        <v>327</v>
      </c>
      <c r="JW43" s="321" t="s">
        <v>334</v>
      </c>
      <c r="JX43" s="321" t="s">
        <v>147</v>
      </c>
      <c r="JY43" s="321" t="s">
        <v>343</v>
      </c>
      <c r="JZ43" s="321" t="s">
        <v>344</v>
      </c>
      <c r="KA43" s="321" t="s">
        <v>329</v>
      </c>
      <c r="KB43" s="321" t="s">
        <v>151</v>
      </c>
      <c r="KC43" s="321" t="s">
        <v>345</v>
      </c>
      <c r="KD43" s="321" t="s">
        <v>328</v>
      </c>
      <c r="KE43" s="321" t="s">
        <v>326</v>
      </c>
      <c r="KF43" s="321" t="s">
        <v>346</v>
      </c>
      <c r="KG43" s="321" t="s">
        <v>344</v>
      </c>
      <c r="KH43" s="321" t="s">
        <v>329</v>
      </c>
      <c r="KI43" s="321" t="s">
        <v>347</v>
      </c>
      <c r="KJ43" s="321">
        <f ca="1">IF(KK45="",SUM(KW5:LB5),IF(KK46="",SUM(KW6:LB6),IF(KK47="",SUM(KW7:LB7),0)))</f>
        <v>0</v>
      </c>
      <c r="KK43" s="321" t="s">
        <v>357</v>
      </c>
      <c r="KL43" s="321" t="s">
        <v>148</v>
      </c>
      <c r="KM43" s="321" t="s">
        <v>100</v>
      </c>
      <c r="KN43" s="321" t="s">
        <v>149</v>
      </c>
      <c r="KO43" s="321" t="s">
        <v>326</v>
      </c>
      <c r="KP43" s="321" t="s">
        <v>327</v>
      </c>
      <c r="KQ43" s="321" t="s">
        <v>334</v>
      </c>
      <c r="KR43" s="321" t="s">
        <v>147</v>
      </c>
      <c r="KS43" s="321" t="s">
        <v>343</v>
      </c>
      <c r="KT43" s="321" t="s">
        <v>344</v>
      </c>
      <c r="KU43" s="321" t="s">
        <v>329</v>
      </c>
      <c r="KV43" s="321" t="s">
        <v>151</v>
      </c>
      <c r="KW43" s="321" t="s">
        <v>345</v>
      </c>
      <c r="KX43" s="321" t="s">
        <v>328</v>
      </c>
      <c r="KY43" s="321" t="s">
        <v>326</v>
      </c>
      <c r="KZ43" s="321" t="s">
        <v>346</v>
      </c>
      <c r="LA43" s="321" t="s">
        <v>344</v>
      </c>
      <c r="LB43" s="321" t="s">
        <v>329</v>
      </c>
      <c r="LC43" s="321" t="s">
        <v>347</v>
      </c>
      <c r="ON43" s="321">
        <f t="shared" ref="ON43" ca="1" si="13857">IF(OO44="",SUM(PA4:PF4),IF(OO45="",SUM(PA5:PF5),IF(OO46="",SUM(PA6:PF6),IF(OO47="",SUM(PA7:PF7),0))))</f>
        <v>0</v>
      </c>
      <c r="OO43" s="321" t="s">
        <v>356</v>
      </c>
      <c r="OP43" s="321" t="s">
        <v>148</v>
      </c>
      <c r="OQ43" s="321" t="s">
        <v>100</v>
      </c>
      <c r="OR43" s="321" t="s">
        <v>149</v>
      </c>
      <c r="OS43" s="321" t="s">
        <v>326</v>
      </c>
      <c r="OT43" s="321" t="s">
        <v>327</v>
      </c>
      <c r="OU43" s="321" t="s">
        <v>334</v>
      </c>
      <c r="OV43" s="321" t="s">
        <v>147</v>
      </c>
      <c r="OW43" s="321" t="s">
        <v>343</v>
      </c>
      <c r="OX43" s="321" t="s">
        <v>344</v>
      </c>
      <c r="OY43" s="321" t="s">
        <v>329</v>
      </c>
      <c r="OZ43" s="321" t="s">
        <v>151</v>
      </c>
      <c r="PA43" s="321" t="s">
        <v>345</v>
      </c>
      <c r="PB43" s="321" t="s">
        <v>328</v>
      </c>
      <c r="PC43" s="321" t="s">
        <v>326</v>
      </c>
      <c r="PD43" s="321" t="s">
        <v>346</v>
      </c>
      <c r="PE43" s="321" t="s">
        <v>344</v>
      </c>
      <c r="PF43" s="321" t="s">
        <v>329</v>
      </c>
      <c r="PG43" s="321" t="s">
        <v>347</v>
      </c>
      <c r="PH43" s="321">
        <f t="shared" ref="PH43" ca="1" si="13858">IF(PI45="",SUM(PU5:PZ5),IF(PI46="",SUM(PU6:PZ6),IF(PI47="",SUM(PU7:PZ7),0)))</f>
        <v>0</v>
      </c>
      <c r="PI43" s="321" t="s">
        <v>357</v>
      </c>
      <c r="PJ43" s="321" t="s">
        <v>148</v>
      </c>
      <c r="PK43" s="321" t="s">
        <v>100</v>
      </c>
      <c r="PL43" s="321" t="s">
        <v>149</v>
      </c>
      <c r="PM43" s="321" t="s">
        <v>326</v>
      </c>
      <c r="PN43" s="321" t="s">
        <v>327</v>
      </c>
      <c r="PO43" s="321" t="s">
        <v>334</v>
      </c>
      <c r="PP43" s="321" t="s">
        <v>147</v>
      </c>
      <c r="PQ43" s="321" t="s">
        <v>343</v>
      </c>
      <c r="PR43" s="321" t="s">
        <v>344</v>
      </c>
      <c r="PS43" s="321" t="s">
        <v>329</v>
      </c>
      <c r="PT43" s="321" t="s">
        <v>151</v>
      </c>
      <c r="PU43" s="321" t="s">
        <v>345</v>
      </c>
      <c r="PV43" s="321" t="s">
        <v>328</v>
      </c>
      <c r="PW43" s="321" t="s">
        <v>326</v>
      </c>
      <c r="PX43" s="321" t="s">
        <v>346</v>
      </c>
      <c r="PY43" s="321" t="s">
        <v>344</v>
      </c>
      <c r="PZ43" s="321" t="s">
        <v>329</v>
      </c>
      <c r="QA43" s="321" t="s">
        <v>347</v>
      </c>
      <c r="TL43" s="321">
        <f t="shared" ref="TL43" ca="1" si="13859">IF(TM44="",SUM(TY4:UD4),IF(TM45="",SUM(TY5:UD5),IF(TM46="",SUM(TY6:UD6),IF(TM47="",SUM(TY7:UD7),0))))</f>
        <v>0</v>
      </c>
      <c r="TM43" s="321" t="s">
        <v>356</v>
      </c>
      <c r="TN43" s="321" t="s">
        <v>148</v>
      </c>
      <c r="TO43" s="321" t="s">
        <v>100</v>
      </c>
      <c r="TP43" s="321" t="s">
        <v>149</v>
      </c>
      <c r="TQ43" s="321" t="s">
        <v>326</v>
      </c>
      <c r="TR43" s="321" t="s">
        <v>327</v>
      </c>
      <c r="TS43" s="321" t="s">
        <v>334</v>
      </c>
      <c r="TT43" s="321" t="s">
        <v>147</v>
      </c>
      <c r="TU43" s="321" t="s">
        <v>343</v>
      </c>
      <c r="TV43" s="321" t="s">
        <v>344</v>
      </c>
      <c r="TW43" s="321" t="s">
        <v>329</v>
      </c>
      <c r="TX43" s="321" t="s">
        <v>151</v>
      </c>
      <c r="TY43" s="321" t="s">
        <v>345</v>
      </c>
      <c r="TZ43" s="321" t="s">
        <v>328</v>
      </c>
      <c r="UA43" s="321" t="s">
        <v>326</v>
      </c>
      <c r="UB43" s="321" t="s">
        <v>346</v>
      </c>
      <c r="UC43" s="321" t="s">
        <v>344</v>
      </c>
      <c r="UD43" s="321" t="s">
        <v>329</v>
      </c>
      <c r="UE43" s="321" t="s">
        <v>347</v>
      </c>
      <c r="UF43" s="321">
        <f t="shared" ref="UF43" ca="1" si="13860">IF(UG45="",SUM(US5:UX5),IF(UG46="",SUM(US6:UX6),IF(UG47="",SUM(US7:UX7),0)))</f>
        <v>0</v>
      </c>
      <c r="UG43" s="321" t="s">
        <v>357</v>
      </c>
      <c r="UH43" s="321" t="s">
        <v>148</v>
      </c>
      <c r="UI43" s="321" t="s">
        <v>100</v>
      </c>
      <c r="UJ43" s="321" t="s">
        <v>149</v>
      </c>
      <c r="UK43" s="321" t="s">
        <v>326</v>
      </c>
      <c r="UL43" s="321" t="s">
        <v>327</v>
      </c>
      <c r="UM43" s="321" t="s">
        <v>334</v>
      </c>
      <c r="UN43" s="321" t="s">
        <v>147</v>
      </c>
      <c r="UO43" s="321" t="s">
        <v>343</v>
      </c>
      <c r="UP43" s="321" t="s">
        <v>344</v>
      </c>
      <c r="UQ43" s="321" t="s">
        <v>329</v>
      </c>
      <c r="UR43" s="321" t="s">
        <v>151</v>
      </c>
      <c r="US43" s="321" t="s">
        <v>345</v>
      </c>
      <c r="UT43" s="321" t="s">
        <v>328</v>
      </c>
      <c r="UU43" s="321" t="s">
        <v>326</v>
      </c>
      <c r="UV43" s="321" t="s">
        <v>346</v>
      </c>
      <c r="UW43" s="321" t="s">
        <v>344</v>
      </c>
      <c r="UX43" s="321" t="s">
        <v>329</v>
      </c>
      <c r="UY43" s="321" t="s">
        <v>347</v>
      </c>
      <c r="YJ43" s="321">
        <f t="shared" ref="YJ43" ca="1" si="13861">IF(YK44="",SUM(YW4:ZB4),IF(YK45="",SUM(YW5:ZB5),IF(YK46="",SUM(YW6:ZB6),IF(YK47="",SUM(YW7:ZB7),0))))</f>
        <v>0</v>
      </c>
      <c r="YK43" s="321" t="s">
        <v>356</v>
      </c>
      <c r="YL43" s="321" t="s">
        <v>148</v>
      </c>
      <c r="YM43" s="321" t="s">
        <v>100</v>
      </c>
      <c r="YN43" s="321" t="s">
        <v>149</v>
      </c>
      <c r="YO43" s="321" t="s">
        <v>326</v>
      </c>
      <c r="YP43" s="321" t="s">
        <v>327</v>
      </c>
      <c r="YQ43" s="321" t="s">
        <v>334</v>
      </c>
      <c r="YR43" s="321" t="s">
        <v>147</v>
      </c>
      <c r="YS43" s="321" t="s">
        <v>343</v>
      </c>
      <c r="YT43" s="321" t="s">
        <v>344</v>
      </c>
      <c r="YU43" s="321" t="s">
        <v>329</v>
      </c>
      <c r="YV43" s="321" t="s">
        <v>151</v>
      </c>
      <c r="YW43" s="321" t="s">
        <v>345</v>
      </c>
      <c r="YX43" s="321" t="s">
        <v>328</v>
      </c>
      <c r="YY43" s="321" t="s">
        <v>326</v>
      </c>
      <c r="YZ43" s="321" t="s">
        <v>346</v>
      </c>
      <c r="ZA43" s="321" t="s">
        <v>344</v>
      </c>
      <c r="ZB43" s="321" t="s">
        <v>329</v>
      </c>
      <c r="ZC43" s="321" t="s">
        <v>347</v>
      </c>
      <c r="ZD43" s="321">
        <f t="shared" ref="ZD43" ca="1" si="13862">IF(ZE45="",SUM(ZQ5:ZV5),IF(ZE46="",SUM(ZQ6:ZV6),IF(ZE47="",SUM(ZQ7:ZV7),0)))</f>
        <v>0</v>
      </c>
      <c r="ZE43" s="321" t="s">
        <v>357</v>
      </c>
      <c r="ZF43" s="321" t="s">
        <v>148</v>
      </c>
      <c r="ZG43" s="321" t="s">
        <v>100</v>
      </c>
      <c r="ZH43" s="321" t="s">
        <v>149</v>
      </c>
      <c r="ZI43" s="321" t="s">
        <v>326</v>
      </c>
      <c r="ZJ43" s="321" t="s">
        <v>327</v>
      </c>
      <c r="ZK43" s="321" t="s">
        <v>334</v>
      </c>
      <c r="ZL43" s="321" t="s">
        <v>147</v>
      </c>
      <c r="ZM43" s="321" t="s">
        <v>343</v>
      </c>
      <c r="ZN43" s="321" t="s">
        <v>344</v>
      </c>
      <c r="ZO43" s="321" t="s">
        <v>329</v>
      </c>
      <c r="ZP43" s="321" t="s">
        <v>151</v>
      </c>
      <c r="ZQ43" s="321" t="s">
        <v>345</v>
      </c>
      <c r="ZR43" s="321" t="s">
        <v>328</v>
      </c>
      <c r="ZS43" s="321" t="s">
        <v>326</v>
      </c>
      <c r="ZT43" s="321" t="s">
        <v>346</v>
      </c>
      <c r="ZU43" s="321" t="s">
        <v>344</v>
      </c>
      <c r="ZV43" s="321" t="s">
        <v>329</v>
      </c>
      <c r="ZW43" s="321" t="s">
        <v>347</v>
      </c>
      <c r="ADH43" s="321">
        <f t="shared" ref="ADH43" ca="1" si="13863">IF(ADI44="",SUM(ADU4:ADZ4),IF(ADI45="",SUM(ADU5:ADZ5),IF(ADI46="",SUM(ADU6:ADZ6),IF(ADI47="",SUM(ADU7:ADZ7),0))))</f>
        <v>0</v>
      </c>
      <c r="ADI43" s="321" t="s">
        <v>356</v>
      </c>
      <c r="ADJ43" s="321" t="s">
        <v>148</v>
      </c>
      <c r="ADK43" s="321" t="s">
        <v>100</v>
      </c>
      <c r="ADL43" s="321" t="s">
        <v>149</v>
      </c>
      <c r="ADM43" s="321" t="s">
        <v>326</v>
      </c>
      <c r="ADN43" s="321" t="s">
        <v>327</v>
      </c>
      <c r="ADO43" s="321" t="s">
        <v>334</v>
      </c>
      <c r="ADP43" s="321" t="s">
        <v>147</v>
      </c>
      <c r="ADQ43" s="321" t="s">
        <v>343</v>
      </c>
      <c r="ADR43" s="321" t="s">
        <v>344</v>
      </c>
      <c r="ADS43" s="321" t="s">
        <v>329</v>
      </c>
      <c r="ADT43" s="321" t="s">
        <v>151</v>
      </c>
      <c r="ADU43" s="321" t="s">
        <v>345</v>
      </c>
      <c r="ADV43" s="321" t="s">
        <v>328</v>
      </c>
      <c r="ADW43" s="321" t="s">
        <v>326</v>
      </c>
      <c r="ADX43" s="321" t="s">
        <v>346</v>
      </c>
      <c r="ADY43" s="321" t="s">
        <v>344</v>
      </c>
      <c r="ADZ43" s="321" t="s">
        <v>329</v>
      </c>
      <c r="AEA43" s="321" t="s">
        <v>347</v>
      </c>
      <c r="AEB43" s="321">
        <f t="shared" ref="AEB43" ca="1" si="13864">IF(AEC45="",SUM(AEO5:AET5),IF(AEC46="",SUM(AEO6:AET6),IF(AEC47="",SUM(AEO7:AET7),0)))</f>
        <v>0</v>
      </c>
      <c r="AEC43" s="321" t="s">
        <v>357</v>
      </c>
      <c r="AED43" s="321" t="s">
        <v>148</v>
      </c>
      <c r="AEE43" s="321" t="s">
        <v>100</v>
      </c>
      <c r="AEF43" s="321" t="s">
        <v>149</v>
      </c>
      <c r="AEG43" s="321" t="s">
        <v>326</v>
      </c>
      <c r="AEH43" s="321" t="s">
        <v>327</v>
      </c>
      <c r="AEI43" s="321" t="s">
        <v>334</v>
      </c>
      <c r="AEJ43" s="321" t="s">
        <v>147</v>
      </c>
      <c r="AEK43" s="321" t="s">
        <v>343</v>
      </c>
      <c r="AEL43" s="321" t="s">
        <v>344</v>
      </c>
      <c r="AEM43" s="321" t="s">
        <v>329</v>
      </c>
      <c r="AEN43" s="321" t="s">
        <v>151</v>
      </c>
      <c r="AEO43" s="321" t="s">
        <v>345</v>
      </c>
      <c r="AEP43" s="321" t="s">
        <v>328</v>
      </c>
      <c r="AEQ43" s="321" t="s">
        <v>326</v>
      </c>
      <c r="AER43" s="321" t="s">
        <v>346</v>
      </c>
      <c r="AES43" s="321" t="s">
        <v>344</v>
      </c>
      <c r="AET43" s="321" t="s">
        <v>329</v>
      </c>
      <c r="AEU43" s="321" t="s">
        <v>347</v>
      </c>
      <c r="AIF43" s="321">
        <f t="shared" ref="AIF43" ca="1" si="13865">IF(AIG44="",SUM(AIS4:AIX4),IF(AIG45="",SUM(AIS5:AIX5),IF(AIG46="",SUM(AIS6:AIX6),IF(AIG47="",SUM(AIS7:AIX7),0))))</f>
        <v>0</v>
      </c>
      <c r="AIG43" s="321" t="s">
        <v>356</v>
      </c>
      <c r="AIH43" s="321" t="s">
        <v>148</v>
      </c>
      <c r="AII43" s="321" t="s">
        <v>100</v>
      </c>
      <c r="AIJ43" s="321" t="s">
        <v>149</v>
      </c>
      <c r="AIK43" s="321" t="s">
        <v>326</v>
      </c>
      <c r="AIL43" s="321" t="s">
        <v>327</v>
      </c>
      <c r="AIM43" s="321" t="s">
        <v>334</v>
      </c>
      <c r="AIN43" s="321" t="s">
        <v>147</v>
      </c>
      <c r="AIO43" s="321" t="s">
        <v>343</v>
      </c>
      <c r="AIP43" s="321" t="s">
        <v>344</v>
      </c>
      <c r="AIQ43" s="321" t="s">
        <v>329</v>
      </c>
      <c r="AIR43" s="321" t="s">
        <v>151</v>
      </c>
      <c r="AIS43" s="321" t="s">
        <v>345</v>
      </c>
      <c r="AIT43" s="321" t="s">
        <v>328</v>
      </c>
      <c r="AIU43" s="321" t="s">
        <v>326</v>
      </c>
      <c r="AIV43" s="321" t="s">
        <v>346</v>
      </c>
      <c r="AIW43" s="321" t="s">
        <v>344</v>
      </c>
      <c r="AIX43" s="321" t="s">
        <v>329</v>
      </c>
      <c r="AIY43" s="321" t="s">
        <v>347</v>
      </c>
      <c r="AIZ43" s="321">
        <f t="shared" ref="AIZ43" ca="1" si="13866">IF(AJA45="",SUM(AJM5:AJR5),IF(AJA46="",SUM(AJM6:AJR6),IF(AJA47="",SUM(AJM7:AJR7),0)))</f>
        <v>0</v>
      </c>
      <c r="AJA43" s="321" t="s">
        <v>357</v>
      </c>
      <c r="AJB43" s="321" t="s">
        <v>148</v>
      </c>
      <c r="AJC43" s="321" t="s">
        <v>100</v>
      </c>
      <c r="AJD43" s="321" t="s">
        <v>149</v>
      </c>
      <c r="AJE43" s="321" t="s">
        <v>326</v>
      </c>
      <c r="AJF43" s="321" t="s">
        <v>327</v>
      </c>
      <c r="AJG43" s="321" t="s">
        <v>334</v>
      </c>
      <c r="AJH43" s="321" t="s">
        <v>147</v>
      </c>
      <c r="AJI43" s="321" t="s">
        <v>343</v>
      </c>
      <c r="AJJ43" s="321" t="s">
        <v>344</v>
      </c>
      <c r="AJK43" s="321" t="s">
        <v>329</v>
      </c>
      <c r="AJL43" s="321" t="s">
        <v>151</v>
      </c>
      <c r="AJM43" s="321" t="s">
        <v>345</v>
      </c>
      <c r="AJN43" s="321" t="s">
        <v>328</v>
      </c>
      <c r="AJO43" s="321" t="s">
        <v>326</v>
      </c>
      <c r="AJP43" s="321" t="s">
        <v>346</v>
      </c>
      <c r="AJQ43" s="321" t="s">
        <v>344</v>
      </c>
      <c r="AJR43" s="321" t="s">
        <v>329</v>
      </c>
      <c r="AJS43" s="321" t="s">
        <v>347</v>
      </c>
      <c r="AND43" s="321">
        <f t="shared" ref="AND43" ca="1" si="13867">IF(ANE44="",SUM(ANQ4:ANV4),IF(ANE45="",SUM(ANQ5:ANV5),IF(ANE46="",SUM(ANQ6:ANV6),IF(ANE47="",SUM(ANQ7:ANV7),0))))</f>
        <v>0</v>
      </c>
      <c r="ANE43" s="321" t="s">
        <v>356</v>
      </c>
      <c r="ANF43" s="321" t="s">
        <v>148</v>
      </c>
      <c r="ANG43" s="321" t="s">
        <v>100</v>
      </c>
      <c r="ANH43" s="321" t="s">
        <v>149</v>
      </c>
      <c r="ANI43" s="321" t="s">
        <v>326</v>
      </c>
      <c r="ANJ43" s="321" t="s">
        <v>327</v>
      </c>
      <c r="ANK43" s="321" t="s">
        <v>334</v>
      </c>
      <c r="ANL43" s="321" t="s">
        <v>147</v>
      </c>
      <c r="ANM43" s="321" t="s">
        <v>343</v>
      </c>
      <c r="ANN43" s="321" t="s">
        <v>344</v>
      </c>
      <c r="ANO43" s="321" t="s">
        <v>329</v>
      </c>
      <c r="ANP43" s="321" t="s">
        <v>151</v>
      </c>
      <c r="ANQ43" s="321" t="s">
        <v>345</v>
      </c>
      <c r="ANR43" s="321" t="s">
        <v>328</v>
      </c>
      <c r="ANS43" s="321" t="s">
        <v>326</v>
      </c>
      <c r="ANT43" s="321" t="s">
        <v>346</v>
      </c>
      <c r="ANU43" s="321" t="s">
        <v>344</v>
      </c>
      <c r="ANV43" s="321" t="s">
        <v>329</v>
      </c>
      <c r="ANW43" s="321" t="s">
        <v>347</v>
      </c>
      <c r="ANX43" s="321">
        <f t="shared" ref="ANX43" ca="1" si="13868">IF(ANY45="",SUM(AOK5:AOP5),IF(ANY46="",SUM(AOK6:AOP6),IF(ANY47="",SUM(AOK7:AOP7),0)))</f>
        <v>0</v>
      </c>
      <c r="ANY43" s="321" t="s">
        <v>357</v>
      </c>
      <c r="ANZ43" s="321" t="s">
        <v>148</v>
      </c>
      <c r="AOA43" s="321" t="s">
        <v>100</v>
      </c>
      <c r="AOB43" s="321" t="s">
        <v>149</v>
      </c>
      <c r="AOC43" s="321" t="s">
        <v>326</v>
      </c>
      <c r="AOD43" s="321" t="s">
        <v>327</v>
      </c>
      <c r="AOE43" s="321" t="s">
        <v>334</v>
      </c>
      <c r="AOF43" s="321" t="s">
        <v>147</v>
      </c>
      <c r="AOG43" s="321" t="s">
        <v>343</v>
      </c>
      <c r="AOH43" s="321" t="s">
        <v>344</v>
      </c>
      <c r="AOI43" s="321" t="s">
        <v>329</v>
      </c>
      <c r="AOJ43" s="321" t="s">
        <v>151</v>
      </c>
      <c r="AOK43" s="321" t="s">
        <v>345</v>
      </c>
      <c r="AOL43" s="321" t="s">
        <v>328</v>
      </c>
      <c r="AOM43" s="321" t="s">
        <v>326</v>
      </c>
      <c r="AON43" s="321" t="s">
        <v>346</v>
      </c>
      <c r="AOO43" s="321" t="s">
        <v>344</v>
      </c>
      <c r="AOP43" s="321" t="s">
        <v>329</v>
      </c>
      <c r="AOQ43" s="321" t="s">
        <v>347</v>
      </c>
      <c r="ASB43" s="321">
        <f t="shared" ref="ASB43" ca="1" si="13869">IF(ASC44="",SUM(ASO4:AST4),IF(ASC45="",SUM(ASO5:AST5),IF(ASC46="",SUM(ASO6:AST6),IF(ASC47="",SUM(ASO7:AST7),0))))</f>
        <v>0</v>
      </c>
      <c r="ASC43" s="321" t="s">
        <v>356</v>
      </c>
      <c r="ASD43" s="321" t="s">
        <v>148</v>
      </c>
      <c r="ASE43" s="321" t="s">
        <v>100</v>
      </c>
      <c r="ASF43" s="321" t="s">
        <v>149</v>
      </c>
      <c r="ASG43" s="321" t="s">
        <v>326</v>
      </c>
      <c r="ASH43" s="321" t="s">
        <v>327</v>
      </c>
      <c r="ASI43" s="321" t="s">
        <v>334</v>
      </c>
      <c r="ASJ43" s="321" t="s">
        <v>147</v>
      </c>
      <c r="ASK43" s="321" t="s">
        <v>343</v>
      </c>
      <c r="ASL43" s="321" t="s">
        <v>344</v>
      </c>
      <c r="ASM43" s="321" t="s">
        <v>329</v>
      </c>
      <c r="ASN43" s="321" t="s">
        <v>151</v>
      </c>
      <c r="ASO43" s="321" t="s">
        <v>345</v>
      </c>
      <c r="ASP43" s="321" t="s">
        <v>328</v>
      </c>
      <c r="ASQ43" s="321" t="s">
        <v>326</v>
      </c>
      <c r="ASR43" s="321" t="s">
        <v>346</v>
      </c>
      <c r="ASS43" s="321" t="s">
        <v>344</v>
      </c>
      <c r="AST43" s="321" t="s">
        <v>329</v>
      </c>
      <c r="ASU43" s="321" t="s">
        <v>347</v>
      </c>
      <c r="ASV43" s="321">
        <f t="shared" ref="ASV43" ca="1" si="13870">IF(ASW45="",SUM(ATI5:ATN5),IF(ASW46="",SUM(ATI6:ATN6),IF(ASW47="",SUM(ATI7:ATN7),0)))</f>
        <v>0</v>
      </c>
      <c r="ASW43" s="321" t="s">
        <v>357</v>
      </c>
      <c r="ASX43" s="321" t="s">
        <v>148</v>
      </c>
      <c r="ASY43" s="321" t="s">
        <v>100</v>
      </c>
      <c r="ASZ43" s="321" t="s">
        <v>149</v>
      </c>
      <c r="ATA43" s="321" t="s">
        <v>326</v>
      </c>
      <c r="ATB43" s="321" t="s">
        <v>327</v>
      </c>
      <c r="ATC43" s="321" t="s">
        <v>334</v>
      </c>
      <c r="ATD43" s="321" t="s">
        <v>147</v>
      </c>
      <c r="ATE43" s="321" t="s">
        <v>343</v>
      </c>
      <c r="ATF43" s="321" t="s">
        <v>344</v>
      </c>
      <c r="ATG43" s="321" t="s">
        <v>329</v>
      </c>
      <c r="ATH43" s="321" t="s">
        <v>151</v>
      </c>
      <c r="ATI43" s="321" t="s">
        <v>345</v>
      </c>
      <c r="ATJ43" s="321" t="s">
        <v>328</v>
      </c>
      <c r="ATK43" s="321" t="s">
        <v>326</v>
      </c>
      <c r="ATL43" s="321" t="s">
        <v>346</v>
      </c>
      <c r="ATM43" s="321" t="s">
        <v>344</v>
      </c>
      <c r="ATN43" s="321" t="s">
        <v>329</v>
      </c>
      <c r="ATO43" s="321" t="s">
        <v>347</v>
      </c>
      <c r="AWZ43" s="321">
        <f t="shared" ref="AWZ43" ca="1" si="13871">IF(AXA44="",SUM(AXM4:AXR4),IF(AXA45="",SUM(AXM5:AXR5),IF(AXA46="",SUM(AXM6:AXR6),IF(AXA47="",SUM(AXM7:AXR7),0))))</f>
        <v>0</v>
      </c>
      <c r="AXA43" s="321" t="s">
        <v>356</v>
      </c>
      <c r="AXB43" s="321" t="s">
        <v>148</v>
      </c>
      <c r="AXC43" s="321" t="s">
        <v>100</v>
      </c>
      <c r="AXD43" s="321" t="s">
        <v>149</v>
      </c>
      <c r="AXE43" s="321" t="s">
        <v>326</v>
      </c>
      <c r="AXF43" s="321" t="s">
        <v>327</v>
      </c>
      <c r="AXG43" s="321" t="s">
        <v>334</v>
      </c>
      <c r="AXH43" s="321" t="s">
        <v>147</v>
      </c>
      <c r="AXI43" s="321" t="s">
        <v>343</v>
      </c>
      <c r="AXJ43" s="321" t="s">
        <v>344</v>
      </c>
      <c r="AXK43" s="321" t="s">
        <v>329</v>
      </c>
      <c r="AXL43" s="321" t="s">
        <v>151</v>
      </c>
      <c r="AXM43" s="321" t="s">
        <v>345</v>
      </c>
      <c r="AXN43" s="321" t="s">
        <v>328</v>
      </c>
      <c r="AXO43" s="321" t="s">
        <v>326</v>
      </c>
      <c r="AXP43" s="321" t="s">
        <v>346</v>
      </c>
      <c r="AXQ43" s="321" t="s">
        <v>344</v>
      </c>
      <c r="AXR43" s="321" t="s">
        <v>329</v>
      </c>
      <c r="AXS43" s="321" t="s">
        <v>347</v>
      </c>
      <c r="AXT43" s="321">
        <f t="shared" ref="AXT43" ca="1" si="13872">IF(AXU45="",SUM(AYG5:AYL5),IF(AXU46="",SUM(AYG6:AYL6),IF(AXU47="",SUM(AYG7:AYL7),0)))</f>
        <v>0</v>
      </c>
      <c r="AXU43" s="321" t="s">
        <v>357</v>
      </c>
      <c r="AXV43" s="321" t="s">
        <v>148</v>
      </c>
      <c r="AXW43" s="321" t="s">
        <v>100</v>
      </c>
      <c r="AXX43" s="321" t="s">
        <v>149</v>
      </c>
      <c r="AXY43" s="321" t="s">
        <v>326</v>
      </c>
      <c r="AXZ43" s="321" t="s">
        <v>327</v>
      </c>
      <c r="AYA43" s="321" t="s">
        <v>334</v>
      </c>
      <c r="AYB43" s="321" t="s">
        <v>147</v>
      </c>
      <c r="AYC43" s="321" t="s">
        <v>343</v>
      </c>
      <c r="AYD43" s="321" t="s">
        <v>344</v>
      </c>
      <c r="AYE43" s="321" t="s">
        <v>329</v>
      </c>
      <c r="AYF43" s="321" t="s">
        <v>151</v>
      </c>
      <c r="AYG43" s="321" t="s">
        <v>345</v>
      </c>
      <c r="AYH43" s="321" t="s">
        <v>328</v>
      </c>
      <c r="AYI43" s="321" t="s">
        <v>326</v>
      </c>
      <c r="AYJ43" s="321" t="s">
        <v>346</v>
      </c>
      <c r="AYK43" s="321" t="s">
        <v>344</v>
      </c>
      <c r="AYL43" s="321" t="s">
        <v>329</v>
      </c>
      <c r="AYM43" s="321" t="s">
        <v>347</v>
      </c>
      <c r="BBX43" s="321">
        <f t="shared" ref="BBX43" ca="1" si="13873">IF(BBY44="",SUM(BCK4:BCP4),IF(BBY45="",SUM(BCK5:BCP5),IF(BBY46="",SUM(BCK6:BCP6),IF(BBY47="",SUM(BCK7:BCP7),0))))</f>
        <v>0</v>
      </c>
      <c r="BBY43" s="321" t="s">
        <v>356</v>
      </c>
      <c r="BBZ43" s="321" t="s">
        <v>148</v>
      </c>
      <c r="BCA43" s="321" t="s">
        <v>100</v>
      </c>
      <c r="BCB43" s="321" t="s">
        <v>149</v>
      </c>
      <c r="BCC43" s="321" t="s">
        <v>326</v>
      </c>
      <c r="BCD43" s="321" t="s">
        <v>327</v>
      </c>
      <c r="BCE43" s="321" t="s">
        <v>334</v>
      </c>
      <c r="BCF43" s="321" t="s">
        <v>147</v>
      </c>
      <c r="BCG43" s="321" t="s">
        <v>343</v>
      </c>
      <c r="BCH43" s="321" t="s">
        <v>344</v>
      </c>
      <c r="BCI43" s="321" t="s">
        <v>329</v>
      </c>
      <c r="BCJ43" s="321" t="s">
        <v>151</v>
      </c>
      <c r="BCK43" s="321" t="s">
        <v>345</v>
      </c>
      <c r="BCL43" s="321" t="s">
        <v>328</v>
      </c>
      <c r="BCM43" s="321" t="s">
        <v>326</v>
      </c>
      <c r="BCN43" s="321" t="s">
        <v>346</v>
      </c>
      <c r="BCO43" s="321" t="s">
        <v>344</v>
      </c>
      <c r="BCP43" s="321" t="s">
        <v>329</v>
      </c>
      <c r="BCQ43" s="321" t="s">
        <v>347</v>
      </c>
      <c r="BCR43" s="321">
        <f t="shared" ref="BCR43" ca="1" si="13874">IF(BCS45="",SUM(BDE5:BDJ5),IF(BCS46="",SUM(BDE6:BDJ6),IF(BCS47="",SUM(BDE7:BDJ7),0)))</f>
        <v>0</v>
      </c>
      <c r="BCS43" s="321" t="s">
        <v>357</v>
      </c>
      <c r="BCT43" s="321" t="s">
        <v>148</v>
      </c>
      <c r="BCU43" s="321" t="s">
        <v>100</v>
      </c>
      <c r="BCV43" s="321" t="s">
        <v>149</v>
      </c>
      <c r="BCW43" s="321" t="s">
        <v>326</v>
      </c>
      <c r="BCX43" s="321" t="s">
        <v>327</v>
      </c>
      <c r="BCY43" s="321" t="s">
        <v>334</v>
      </c>
      <c r="BCZ43" s="321" t="s">
        <v>147</v>
      </c>
      <c r="BDA43" s="321" t="s">
        <v>343</v>
      </c>
      <c r="BDB43" s="321" t="s">
        <v>344</v>
      </c>
      <c r="BDC43" s="321" t="s">
        <v>329</v>
      </c>
      <c r="BDD43" s="321" t="s">
        <v>151</v>
      </c>
      <c r="BDE43" s="321" t="s">
        <v>345</v>
      </c>
      <c r="BDF43" s="321" t="s">
        <v>328</v>
      </c>
      <c r="BDG43" s="321" t="s">
        <v>326</v>
      </c>
      <c r="BDH43" s="321" t="s">
        <v>346</v>
      </c>
      <c r="BDI43" s="321" t="s">
        <v>344</v>
      </c>
      <c r="BDJ43" s="321" t="s">
        <v>329</v>
      </c>
      <c r="BDK43" s="321" t="s">
        <v>347</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f t="shared" ref="ON44" ca="1" si="13875">IF(OO4&lt;&gt;"",SUMPRODUCT((OV4:OV7=OV4)*(OU4:OU7=OU4)*(OS4:OS7=OS4)*(OT4:OT7=OT4)),"")</f>
        <v>4</v>
      </c>
      <c r="OO44" s="321" t="str">
        <f t="shared" ref="OO44:OO47" ca="1" si="13876">IF(AND(ON44&lt;&gt;"",ON44&gt;1),OO4,"")</f>
        <v>Switzerland</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f t="shared" ref="OV44:OV47" ca="1" si="13883">IF(OO44&lt;&gt;"",OP44*3+OQ44*1,"")</f>
        <v>0</v>
      </c>
      <c r="OW44" s="321">
        <f t="shared" ref="OW44" ca="1" si="13884">IF(OO44&lt;&gt;"",VLOOKUP(OO44,NV4:OB40,7,FALSE),"")</f>
        <v>1000</v>
      </c>
      <c r="OX44" s="321">
        <f t="shared" ref="OX44" ca="1" si="13885">IF(OO44&lt;&gt;"",VLOOKUP(OO44,NV4:OB40,5,FALSE),"")</f>
        <v>0</v>
      </c>
      <c r="OY44" s="321">
        <f t="shared" ref="OY44" ca="1" si="13886">IF(OO44&lt;&gt;"",VLOOKUP(OO44,NV4:OD40,9,FALSE),"")</f>
        <v>34</v>
      </c>
      <c r="OZ44" s="321">
        <f t="shared" ref="OZ44:OZ47" ca="1" si="13887">OV44</f>
        <v>0</v>
      </c>
      <c r="PA44" s="321">
        <f t="shared" ref="PA44" ca="1" si="13888">IF(OO44&lt;&gt;"",RANK(OZ44,OZ44:OZ48),"")</f>
        <v>1</v>
      </c>
      <c r="PB44" s="321">
        <f t="shared" ref="PB44" ca="1" si="13889">IF(OO44&lt;&gt;"",SUMPRODUCT((OZ44:OZ48=OZ44)*(OU44:OU48&gt;OU44)),"")</f>
        <v>0</v>
      </c>
      <c r="PC44" s="321">
        <f t="shared" ref="PC44" ca="1" si="13890">IF(OO44&lt;&gt;"",SUMPRODUCT((OZ44:OZ48=OZ44)*(OU44:OU48=OU44)*(OS44:OS48&gt;OS44)),"")</f>
        <v>0</v>
      </c>
      <c r="PD44" s="321">
        <f t="shared" ref="PD44" ca="1" si="13891">IF(OO44&lt;&gt;"",SUMPRODUCT((OZ44:OZ48=OZ44)*(OU44:OU48=OU44)*(OS44:OS48=OS44)*(OW44:OW48&gt;OW44)),"")</f>
        <v>0</v>
      </c>
      <c r="PE44" s="321">
        <f t="shared" ref="PE44" ca="1" si="13892">IF(OO44&lt;&gt;"",SUMPRODUCT((OZ44:OZ48=OZ44)*(OU44:OU48=OU44)*(OS44:OS48=OS44)*(OW44:OW48=OW44)*(OX44:OX48&gt;OX44)),"")</f>
        <v>0</v>
      </c>
      <c r="PF44" s="321">
        <f t="shared" ref="PF44" ca="1" si="13893">IF(OO44&lt;&gt;"",SUMPRODUCT((OZ44:OZ48=OZ44)*(OU44:OU48=OU44)*(OS44:OS48=OS44)*(OW44:OW48=OW44)*(OX44:OX48=OX44)*(OY44:OY48&gt;OY44)),"")</f>
        <v>3</v>
      </c>
      <c r="PG44" s="321">
        <f t="shared" ref="PG44:PG47" ca="1" si="13894">IF(OO44&lt;&gt;"",SUM(PA44:PF44),"")</f>
        <v>4</v>
      </c>
      <c r="TA44" s="321">
        <f ca="1">SUMPRODUCT((TA4:TA7=TA4)*(SZ4:SZ7=SZ4)*(SX4:SX7&gt;SX4))+1</f>
        <v>1</v>
      </c>
      <c r="TL44" s="321">
        <f t="shared" ref="TL44" ca="1" si="13895">IF(TM4&lt;&gt;"",SUMPRODUCT((TT4:TT7=TT4)*(TS4:TS7=TS4)*(TQ4:TQ7=TQ4)*(TR4:TR7=TR4)),"")</f>
        <v>4</v>
      </c>
      <c r="TM44" s="321" t="str">
        <f t="shared" ref="TM44:TM47" ca="1" si="13896">IF(AND(TL44&lt;&gt;"",TL44&gt;1),TM4,"")</f>
        <v>Switzerland</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f t="shared" ref="TT44:TT47" ca="1" si="13903">IF(TM44&lt;&gt;"",TN44*3+TO44*1,"")</f>
        <v>0</v>
      </c>
      <c r="TU44" s="321">
        <f t="shared" ref="TU44" ca="1" si="13904">IF(TM44&lt;&gt;"",VLOOKUP(TM44,ST4:SZ40,7,FALSE),"")</f>
        <v>1000</v>
      </c>
      <c r="TV44" s="321">
        <f t="shared" ref="TV44" ca="1" si="13905">IF(TM44&lt;&gt;"",VLOOKUP(TM44,ST4:SZ40,5,FALSE),"")</f>
        <v>0</v>
      </c>
      <c r="TW44" s="321">
        <f t="shared" ref="TW44" ca="1" si="13906">IF(TM44&lt;&gt;"",VLOOKUP(TM44,ST4:TB40,9,FALSE),"")</f>
        <v>34</v>
      </c>
      <c r="TX44" s="321">
        <f t="shared" ref="TX44:TX47" ca="1" si="13907">TT44</f>
        <v>0</v>
      </c>
      <c r="TY44" s="321">
        <f t="shared" ref="TY44" ca="1" si="13908">IF(TM44&lt;&gt;"",RANK(TX44,TX44:TX48),"")</f>
        <v>1</v>
      </c>
      <c r="TZ44" s="321">
        <f t="shared" ref="TZ44" ca="1" si="13909">IF(TM44&lt;&gt;"",SUMPRODUCT((TX44:TX48=TX44)*(TS44:TS48&gt;TS44)),"")</f>
        <v>0</v>
      </c>
      <c r="UA44" s="321">
        <f t="shared" ref="UA44" ca="1" si="13910">IF(TM44&lt;&gt;"",SUMPRODUCT((TX44:TX48=TX44)*(TS44:TS48=TS44)*(TQ44:TQ48&gt;TQ44)),"")</f>
        <v>0</v>
      </c>
      <c r="UB44" s="321">
        <f t="shared" ref="UB44" ca="1" si="13911">IF(TM44&lt;&gt;"",SUMPRODUCT((TX44:TX48=TX44)*(TS44:TS48=TS44)*(TQ44:TQ48=TQ44)*(TU44:TU48&gt;TU44)),"")</f>
        <v>0</v>
      </c>
      <c r="UC44" s="321">
        <f t="shared" ref="UC44" ca="1" si="13912">IF(TM44&lt;&gt;"",SUMPRODUCT((TX44:TX48=TX44)*(TS44:TS48=TS44)*(TQ44:TQ48=TQ44)*(TU44:TU48=TU44)*(TV44:TV48&gt;TV44)),"")</f>
        <v>0</v>
      </c>
      <c r="UD44" s="321">
        <f t="shared" ref="UD44" ca="1" si="13913">IF(TM44&lt;&gt;"",SUMPRODUCT((TX44:TX48=TX44)*(TS44:TS48=TS44)*(TQ44:TQ48=TQ44)*(TU44:TU48=TU44)*(TV44:TV48=TV44)*(TW44:TW48&gt;TW44)),"")</f>
        <v>3</v>
      </c>
      <c r="UE44" s="321">
        <f t="shared" ref="UE44:UE47" ca="1" si="13914">IF(TM44&lt;&gt;"",SUM(TY44:UD44),"")</f>
        <v>4</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f t="shared" ref="ADH44" ca="1" si="13935">IF(ADI4&lt;&gt;"",SUMPRODUCT((ADP4:ADP7=ADP4)*(ADO4:ADO7=ADO4)*(ADM4:ADM7=ADM4)*(ADN4:ADN7=ADN4)),"")</f>
        <v>4</v>
      </c>
      <c r="ADI44" s="321" t="str">
        <f t="shared" ref="ADI44:ADI47" ca="1" si="13936">IF(AND(ADH44&lt;&gt;"",ADH44&gt;1),ADI4,"")</f>
        <v>Switzerland</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f t="shared" ref="ADP44:ADP47" ca="1" si="13943">IF(ADI44&lt;&gt;"",ADJ44*3+ADK44*1,"")</f>
        <v>0</v>
      </c>
      <c r="ADQ44" s="321">
        <f t="shared" ref="ADQ44" ca="1" si="13944">IF(ADI44&lt;&gt;"",VLOOKUP(ADI44,ACP4:ACV40,7,FALSE),"")</f>
        <v>1000</v>
      </c>
      <c r="ADR44" s="321">
        <f t="shared" ref="ADR44" ca="1" si="13945">IF(ADI44&lt;&gt;"",VLOOKUP(ADI44,ACP4:ACV40,5,FALSE),"")</f>
        <v>0</v>
      </c>
      <c r="ADS44" s="321">
        <f t="shared" ref="ADS44" ca="1" si="13946">IF(ADI44&lt;&gt;"",VLOOKUP(ADI44,ACP4:ACX40,9,FALSE),"")</f>
        <v>34</v>
      </c>
      <c r="ADT44" s="321">
        <f t="shared" ref="ADT44:ADT47" ca="1" si="13947">ADP44</f>
        <v>0</v>
      </c>
      <c r="ADU44" s="321">
        <f t="shared" ref="ADU44" ca="1" si="13948">IF(ADI44&lt;&gt;"",RANK(ADT44,ADT44:ADT48),"")</f>
        <v>1</v>
      </c>
      <c r="ADV44" s="321">
        <f t="shared" ref="ADV44" ca="1" si="13949">IF(ADI44&lt;&gt;"",SUMPRODUCT((ADT44:ADT48=ADT44)*(ADO44:ADO48&gt;ADO44)),"")</f>
        <v>0</v>
      </c>
      <c r="ADW44" s="321">
        <f t="shared" ref="ADW44" ca="1" si="13950">IF(ADI44&lt;&gt;"",SUMPRODUCT((ADT44:ADT48=ADT44)*(ADO44:ADO48=ADO44)*(ADM44:ADM48&gt;ADM44)),"")</f>
        <v>0</v>
      </c>
      <c r="ADX44" s="321">
        <f t="shared" ref="ADX44" ca="1" si="13951">IF(ADI44&lt;&gt;"",SUMPRODUCT((ADT44:ADT48=ADT44)*(ADO44:ADO48=ADO44)*(ADM44:ADM48=ADM44)*(ADQ44:ADQ48&gt;ADQ44)),"")</f>
        <v>0</v>
      </c>
      <c r="ADY44" s="321">
        <f t="shared" ref="ADY44" ca="1" si="13952">IF(ADI44&lt;&gt;"",SUMPRODUCT((ADT44:ADT48=ADT44)*(ADO44:ADO48=ADO44)*(ADM44:ADM48=ADM44)*(ADQ44:ADQ48=ADQ44)*(ADR44:ADR48&gt;ADR44)),"")</f>
        <v>0</v>
      </c>
      <c r="ADZ44" s="321">
        <f t="shared" ref="ADZ44" ca="1" si="13953">IF(ADI44&lt;&gt;"",SUMPRODUCT((ADT44:ADT48=ADT44)*(ADO44:ADO48=ADO44)*(ADM44:ADM48=ADM44)*(ADQ44:ADQ48=ADQ44)*(ADR44:ADR48=ADR44)*(ADS44:ADS48&gt;ADS44)),"")</f>
        <v>3</v>
      </c>
      <c r="AEA44" s="321">
        <f t="shared" ref="AEA44:AEA47" ca="1" si="13954">IF(ADI44&lt;&gt;"",SUM(ADU44:ADZ44),"")</f>
        <v>4</v>
      </c>
      <c r="AHU44" s="321">
        <f ca="1">SUMPRODUCT((AHU4:AHU7=AHU4)*(AHT4:AHT7=AHT4)*(AHR4:AHR7&gt;AHR4))+1</f>
        <v>1</v>
      </c>
      <c r="AIF44" s="321">
        <f t="shared" ref="AIF44" ca="1" si="13955">IF(AIG4&lt;&gt;"",SUMPRODUCT((AIN4:AIN7=AIN4)*(AIM4:AIM7=AIM4)*(AIK4:AIK7=AIK4)*(AIL4:AIL7=AIL4)),"")</f>
        <v>4</v>
      </c>
      <c r="AIG44" s="321" t="str">
        <f t="shared" ref="AIG44:AIG47" ca="1" si="13956">IF(AND(AIF44&lt;&gt;"",AIF44&gt;1),AIG4,"")</f>
        <v>Switzerland</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f t="shared" ref="AIN44:AIN47" ca="1" si="13963">IF(AIG44&lt;&gt;"",AIH44*3+AII44*1,"")</f>
        <v>0</v>
      </c>
      <c r="AIO44" s="321">
        <f t="shared" ref="AIO44" ca="1" si="13964">IF(AIG44&lt;&gt;"",VLOOKUP(AIG44,AHN4:AHT40,7,FALSE),"")</f>
        <v>1000</v>
      </c>
      <c r="AIP44" s="321">
        <f t="shared" ref="AIP44" ca="1" si="13965">IF(AIG44&lt;&gt;"",VLOOKUP(AIG44,AHN4:AHT40,5,FALSE),"")</f>
        <v>0</v>
      </c>
      <c r="AIQ44" s="321">
        <f t="shared" ref="AIQ44" ca="1" si="13966">IF(AIG44&lt;&gt;"",VLOOKUP(AIG44,AHN4:AHV40,9,FALSE),"")</f>
        <v>34</v>
      </c>
      <c r="AIR44" s="321">
        <f t="shared" ref="AIR44:AIR47" ca="1" si="13967">AIN44</f>
        <v>0</v>
      </c>
      <c r="AIS44" s="321">
        <f t="shared" ref="AIS44" ca="1" si="13968">IF(AIG44&lt;&gt;"",RANK(AIR44,AIR44:AIR48),"")</f>
        <v>1</v>
      </c>
      <c r="AIT44" s="321">
        <f t="shared" ref="AIT44" ca="1" si="13969">IF(AIG44&lt;&gt;"",SUMPRODUCT((AIR44:AIR48=AIR44)*(AIM44:AIM48&gt;AIM44)),"")</f>
        <v>0</v>
      </c>
      <c r="AIU44" s="321">
        <f t="shared" ref="AIU44" ca="1" si="13970">IF(AIG44&lt;&gt;"",SUMPRODUCT((AIR44:AIR48=AIR44)*(AIM44:AIM48=AIM44)*(AIK44:AIK48&gt;AIK44)),"")</f>
        <v>0</v>
      </c>
      <c r="AIV44" s="321">
        <f t="shared" ref="AIV44" ca="1" si="13971">IF(AIG44&lt;&gt;"",SUMPRODUCT((AIR44:AIR48=AIR44)*(AIM44:AIM48=AIM44)*(AIK44:AIK48=AIK44)*(AIO44:AIO48&gt;AIO44)),"")</f>
        <v>0</v>
      </c>
      <c r="AIW44" s="321">
        <f t="shared" ref="AIW44" ca="1" si="13972">IF(AIG44&lt;&gt;"",SUMPRODUCT((AIR44:AIR48=AIR44)*(AIM44:AIM48=AIM44)*(AIK44:AIK48=AIK44)*(AIO44:AIO48=AIO44)*(AIP44:AIP48&gt;AIP44)),"")</f>
        <v>0</v>
      </c>
      <c r="AIX44" s="321">
        <f t="shared" ref="AIX44" ca="1" si="13973">IF(AIG44&lt;&gt;"",SUMPRODUCT((AIR44:AIR48=AIR44)*(AIM44:AIM48=AIM44)*(AIK44:AIK48=AIK44)*(AIO44:AIO48=AIO44)*(AIP44:AIP48=AIP44)*(AIQ44:AIQ48&gt;AIQ44)),"")</f>
        <v>3</v>
      </c>
      <c r="AIY44" s="321">
        <f t="shared" ref="AIY44:AIY47" ca="1" si="13974">IF(AIG44&lt;&gt;"",SUM(AIS44:AIX44),"")</f>
        <v>4</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f ca="1">IF(KK5&lt;&gt;"",SUMPRODUCT((KR4:KR7=KR5)*(KQ4:KQ7=KQ5)*(KO4:KO7=KO5)*(KP4:KP7=KP5)),"")</f>
        <v>2</v>
      </c>
      <c r="KK45" s="321" t="str">
        <f t="shared" ref="KK45:KK47" ca="1" si="14070">IF(AND(KJ45&lt;&gt;"",KJ45&gt;1),KK5,"")</f>
        <v>Switzerland</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1</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1</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1</v>
      </c>
      <c r="KQ45" s="321">
        <f ca="1">KO45-KP45+1000</f>
        <v>1000</v>
      </c>
      <c r="KR45" s="321">
        <f t="shared" ref="KR45:KR47" ca="1" si="14071">IF(KK45&lt;&gt;"",KL45*3+KM45*1,"")</f>
        <v>1</v>
      </c>
      <c r="KS45" s="321">
        <f ca="1">IF(KK45&lt;&gt;"",VLOOKUP(KK45,IX4:JD40,7,FALSE),"")</f>
        <v>1000</v>
      </c>
      <c r="KT45" s="321">
        <f ca="1">IF(KK45&lt;&gt;"",VLOOKUP(KK45,IX4:JD40,5,FALSE),"")</f>
        <v>4</v>
      </c>
      <c r="KU45" s="321">
        <f ca="1">IF(KK45&lt;&gt;"",VLOOKUP(KK45,IX4:JF40,9,FALSE),"")</f>
        <v>34</v>
      </c>
      <c r="KV45" s="321">
        <f t="shared" ref="KV45:KV47" ca="1" si="14072">KR45</f>
        <v>1</v>
      </c>
      <c r="KW45" s="321">
        <f ca="1">IF(KK45&lt;&gt;"",RANK(KV45,KV44:KV47),"")</f>
        <v>1</v>
      </c>
      <c r="KX45" s="321">
        <f ca="1">IF(KK45&lt;&gt;"",SUMPRODUCT((KV44:KV47=KV45)*(KQ44:KQ47&gt;KQ45)),"")</f>
        <v>0</v>
      </c>
      <c r="KY45" s="321">
        <f ca="1">IF(KK45&lt;&gt;"",SUMPRODUCT((KV44:KV47=KV45)*(KQ44:KQ47=KQ45)*(KO44:KO47&gt;KO45)),"")</f>
        <v>0</v>
      </c>
      <c r="KZ45" s="321">
        <f ca="1">IF(KK45&lt;&gt;"",SUMPRODUCT((KV44:KV47=KV45)*(KQ44:KQ47=KQ45)*(KO44:KO47=KO45)*(KS44:KS47&gt;KS45)),"")</f>
        <v>0</v>
      </c>
      <c r="LA45" s="321">
        <f ca="1">IF(KK45&lt;&gt;"",SUMPRODUCT((KV44:KV47=KV45)*(KQ44:KQ47=KQ45)*(KO44:KO47=KO45)*(KS44:KS47=KS45)*(KT44:KT47&gt;KT45)),"")</f>
        <v>0</v>
      </c>
      <c r="LB45" s="321">
        <f ca="1">IF(KK45&lt;&gt;"",SUMPRODUCT((KV44:KV47=KV45)*(KQ44:KQ47=KQ45)*(KO44:KO47=KO45)*(KS44:KS47=KS45)*(KT44:KT47=KT45)*(KU44:KU47&gt;KU45)),"")</f>
        <v>0</v>
      </c>
      <c r="LC45" s="321">
        <f ca="1">IF(KK45&lt;&gt;"",SUM(KW45:LB45)+1,"")</f>
        <v>2</v>
      </c>
      <c r="OC45" s="321">
        <f ca="1">SUMPRODUCT((OC4:OC7=OC5)*(OB4:OB7=OB5)*(NZ4:NZ7&gt;NZ5))+1</f>
        <v>1</v>
      </c>
      <c r="ON45" s="321">
        <f t="shared" ref="ON45" ca="1" si="14073">IF(OO5&lt;&gt;"",SUMPRODUCT((OV4:OV7=OV5)*(OU4:OU7=OU5)*(OS4:OS7=OS5)*(OT4:OT7=OT5)),"")</f>
        <v>4</v>
      </c>
      <c r="OO45" s="321" t="str">
        <f t="shared" ca="1" si="13876"/>
        <v>Scotland</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f t="shared" ca="1" si="13883"/>
        <v>0</v>
      </c>
      <c r="OW45" s="321">
        <f t="shared" ref="OW45" ca="1" si="14079">IF(OO45&lt;&gt;"",VLOOKUP(OO45,NV4:OB40,7,FALSE),"")</f>
        <v>1000</v>
      </c>
      <c r="OX45" s="321">
        <f t="shared" ref="OX45" ca="1" si="14080">IF(OO45&lt;&gt;"",VLOOKUP(OO45,NV4:OB40,5,FALSE),"")</f>
        <v>0</v>
      </c>
      <c r="OY45" s="321">
        <f t="shared" ref="OY45" ca="1" si="14081">IF(OO45&lt;&gt;"",VLOOKUP(OO45,NV4:OD40,9,FALSE),"")</f>
        <v>43</v>
      </c>
      <c r="OZ45" s="321">
        <f t="shared" ca="1" si="13887"/>
        <v>0</v>
      </c>
      <c r="PA45" s="321">
        <f t="shared" ref="PA45" ca="1" si="14082">IF(OO45&lt;&gt;"",RANK(OZ45,OZ44:OZ48),"")</f>
        <v>1</v>
      </c>
      <c r="PB45" s="321">
        <f t="shared" ref="PB45" ca="1" si="14083">IF(OO45&lt;&gt;"",SUMPRODUCT((OZ44:OZ48=OZ45)*(OU44:OU48&gt;OU45)),"")</f>
        <v>0</v>
      </c>
      <c r="PC45" s="321">
        <f t="shared" ref="PC45" ca="1" si="14084">IF(OO45&lt;&gt;"",SUMPRODUCT((OZ44:OZ48=OZ45)*(OU44:OU48=OU45)*(OS44:OS48&gt;OS45)),"")</f>
        <v>0</v>
      </c>
      <c r="PD45" s="321">
        <f t="shared" ref="PD45" ca="1" si="14085">IF(OO45&lt;&gt;"",SUMPRODUCT((OZ44:OZ48=OZ45)*(OU44:OU48=OU45)*(OS44:OS48=OS45)*(OW44:OW48&gt;OW45)),"")</f>
        <v>0</v>
      </c>
      <c r="PE45" s="321">
        <f t="shared" ref="PE45" ca="1" si="14086">IF(OO45&lt;&gt;"",SUMPRODUCT((OZ44:OZ48=OZ45)*(OU44:OU48=OU45)*(OS44:OS48=OS45)*(OW44:OW48=OW45)*(OX44:OX48&gt;OX45)),"")</f>
        <v>0</v>
      </c>
      <c r="PF45" s="321">
        <f t="shared" ref="PF45" ca="1" si="14087">IF(OO45&lt;&gt;"",SUMPRODUCT((OZ44:OZ48=OZ45)*(OU44:OU48=OU45)*(OS44:OS48=OS45)*(OW44:OW48=OW45)*(OX44:OX48=OX45)*(OY44:OY48&gt;OY45)),"")</f>
        <v>2</v>
      </c>
      <c r="PG45" s="321">
        <f t="shared" ca="1" si="13894"/>
        <v>3</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f t="shared" ref="TL45" ca="1" si="14108">IF(TM5&lt;&gt;"",SUMPRODUCT((TT4:TT7=TT5)*(TS4:TS7=TS5)*(TQ4:TQ7=TQ5)*(TR4:TR7=TR5)),"")</f>
        <v>4</v>
      </c>
      <c r="TM45" s="321" t="str">
        <f t="shared" ca="1" si="13896"/>
        <v>Scotland</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f t="shared" ca="1" si="13903"/>
        <v>0</v>
      </c>
      <c r="TU45" s="321">
        <f t="shared" ref="TU45" ca="1" si="14114">IF(TM45&lt;&gt;"",VLOOKUP(TM45,ST4:SZ40,7,FALSE),"")</f>
        <v>1000</v>
      </c>
      <c r="TV45" s="321">
        <f t="shared" ref="TV45" ca="1" si="14115">IF(TM45&lt;&gt;"",VLOOKUP(TM45,ST4:SZ40,5,FALSE),"")</f>
        <v>0</v>
      </c>
      <c r="TW45" s="321">
        <f t="shared" ref="TW45" ca="1" si="14116">IF(TM45&lt;&gt;"",VLOOKUP(TM45,ST4:TB40,9,FALSE),"")</f>
        <v>43</v>
      </c>
      <c r="TX45" s="321">
        <f t="shared" ca="1" si="13907"/>
        <v>0</v>
      </c>
      <c r="TY45" s="321">
        <f t="shared" ref="TY45" ca="1" si="14117">IF(TM45&lt;&gt;"",RANK(TX45,TX44:TX48),"")</f>
        <v>1</v>
      </c>
      <c r="TZ45" s="321">
        <f t="shared" ref="TZ45" ca="1" si="14118">IF(TM45&lt;&gt;"",SUMPRODUCT((TX44:TX48=TX45)*(TS44:TS48&gt;TS45)),"")</f>
        <v>0</v>
      </c>
      <c r="UA45" s="321">
        <f t="shared" ref="UA45" ca="1" si="14119">IF(TM45&lt;&gt;"",SUMPRODUCT((TX44:TX48=TX45)*(TS44:TS48=TS45)*(TQ44:TQ48&gt;TQ45)),"")</f>
        <v>0</v>
      </c>
      <c r="UB45" s="321">
        <f t="shared" ref="UB45" ca="1" si="14120">IF(TM45&lt;&gt;"",SUMPRODUCT((TX44:TX48=TX45)*(TS44:TS48=TS45)*(TQ44:TQ48=TQ45)*(TU44:TU48&gt;TU45)),"")</f>
        <v>0</v>
      </c>
      <c r="UC45" s="321">
        <f t="shared" ref="UC45" ca="1" si="14121">IF(TM45&lt;&gt;"",SUMPRODUCT((TX44:TX48=TX45)*(TS44:TS48=TS45)*(TQ44:TQ48=TQ45)*(TU44:TU48=TU45)*(TV44:TV48&gt;TV45)),"")</f>
        <v>0</v>
      </c>
      <c r="UD45" s="321">
        <f t="shared" ref="UD45" ca="1" si="14122">IF(TM45&lt;&gt;"",SUMPRODUCT((TX44:TX48=TX45)*(TS44:TS48=TS45)*(TQ44:TQ48=TQ45)*(TU44:TU48=TU45)*(TV44:TV48=TV45)*(TW44:TW48&gt;TW45)),"")</f>
        <v>2</v>
      </c>
      <c r="UE45" s="321">
        <f t="shared" ca="1" si="13914"/>
        <v>3</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f t="shared" ref="ADH45" ca="1" si="14178">IF(ADI5&lt;&gt;"",SUMPRODUCT((ADP4:ADP7=ADP5)*(ADO4:ADO7=ADO5)*(ADM4:ADM7=ADM5)*(ADN4:ADN7=ADN5)),"")</f>
        <v>4</v>
      </c>
      <c r="ADI45" s="321" t="str">
        <f t="shared" ca="1" si="13936"/>
        <v>Scotland</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f t="shared" ca="1" si="13943"/>
        <v>0</v>
      </c>
      <c r="ADQ45" s="321">
        <f t="shared" ref="ADQ45" ca="1" si="14184">IF(ADI45&lt;&gt;"",VLOOKUP(ADI45,ACP4:ACV40,7,FALSE),"")</f>
        <v>1000</v>
      </c>
      <c r="ADR45" s="321">
        <f t="shared" ref="ADR45" ca="1" si="14185">IF(ADI45&lt;&gt;"",VLOOKUP(ADI45,ACP4:ACV40,5,FALSE),"")</f>
        <v>0</v>
      </c>
      <c r="ADS45" s="321">
        <f t="shared" ref="ADS45" ca="1" si="14186">IF(ADI45&lt;&gt;"",VLOOKUP(ADI45,ACP4:ACX40,9,FALSE),"")</f>
        <v>43</v>
      </c>
      <c r="ADT45" s="321">
        <f t="shared" ca="1" si="13947"/>
        <v>0</v>
      </c>
      <c r="ADU45" s="321">
        <f t="shared" ref="ADU45" ca="1" si="14187">IF(ADI45&lt;&gt;"",RANK(ADT45,ADT44:ADT48),"")</f>
        <v>1</v>
      </c>
      <c r="ADV45" s="321">
        <f t="shared" ref="ADV45" ca="1" si="14188">IF(ADI45&lt;&gt;"",SUMPRODUCT((ADT44:ADT48=ADT45)*(ADO44:ADO48&gt;ADO45)),"")</f>
        <v>0</v>
      </c>
      <c r="ADW45" s="321">
        <f t="shared" ref="ADW45" ca="1" si="14189">IF(ADI45&lt;&gt;"",SUMPRODUCT((ADT44:ADT48=ADT45)*(ADO44:ADO48=ADO45)*(ADM44:ADM48&gt;ADM45)),"")</f>
        <v>0</v>
      </c>
      <c r="ADX45" s="321">
        <f t="shared" ref="ADX45" ca="1" si="14190">IF(ADI45&lt;&gt;"",SUMPRODUCT((ADT44:ADT48=ADT45)*(ADO44:ADO48=ADO45)*(ADM44:ADM48=ADM45)*(ADQ44:ADQ48&gt;ADQ45)),"")</f>
        <v>0</v>
      </c>
      <c r="ADY45" s="321">
        <f t="shared" ref="ADY45" ca="1" si="14191">IF(ADI45&lt;&gt;"",SUMPRODUCT((ADT44:ADT48=ADT45)*(ADO44:ADO48=ADO45)*(ADM44:ADM48=ADM45)*(ADQ44:ADQ48=ADQ45)*(ADR44:ADR48&gt;ADR45)),"")</f>
        <v>0</v>
      </c>
      <c r="ADZ45" s="321">
        <f t="shared" ref="ADZ45" ca="1" si="14192">IF(ADI45&lt;&gt;"",SUMPRODUCT((ADT44:ADT48=ADT45)*(ADO44:ADO48=ADO45)*(ADM44:ADM48=ADM45)*(ADQ44:ADQ48=ADQ45)*(ADR44:ADR48=ADR45)*(ADS44:ADS48&gt;ADS45)),"")</f>
        <v>2</v>
      </c>
      <c r="AEA45" s="321">
        <f t="shared" ca="1" si="13954"/>
        <v>3</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f t="shared" ref="AIF45" ca="1" si="14213">IF(AIG5&lt;&gt;"",SUMPRODUCT((AIN4:AIN7=AIN5)*(AIM4:AIM7=AIM5)*(AIK4:AIK7=AIK5)*(AIL4:AIL7=AIL5)),"")</f>
        <v>4</v>
      </c>
      <c r="AIG45" s="321" t="str">
        <f t="shared" ca="1" si="13956"/>
        <v>Scotland</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f t="shared" ca="1" si="13963"/>
        <v>0</v>
      </c>
      <c r="AIO45" s="321">
        <f t="shared" ref="AIO45" ca="1" si="14219">IF(AIG45&lt;&gt;"",VLOOKUP(AIG45,AHN4:AHT40,7,FALSE),"")</f>
        <v>1000</v>
      </c>
      <c r="AIP45" s="321">
        <f t="shared" ref="AIP45" ca="1" si="14220">IF(AIG45&lt;&gt;"",VLOOKUP(AIG45,AHN4:AHT40,5,FALSE),"")</f>
        <v>0</v>
      </c>
      <c r="AIQ45" s="321">
        <f t="shared" ref="AIQ45" ca="1" si="14221">IF(AIG45&lt;&gt;"",VLOOKUP(AIG45,AHN4:AHV40,9,FALSE),"")</f>
        <v>43</v>
      </c>
      <c r="AIR45" s="321">
        <f t="shared" ca="1" si="13967"/>
        <v>0</v>
      </c>
      <c r="AIS45" s="321">
        <f t="shared" ref="AIS45" ca="1" si="14222">IF(AIG45&lt;&gt;"",RANK(AIR45,AIR44:AIR48),"")</f>
        <v>1</v>
      </c>
      <c r="AIT45" s="321">
        <f t="shared" ref="AIT45" ca="1" si="14223">IF(AIG45&lt;&gt;"",SUMPRODUCT((AIR44:AIR48=AIR45)*(AIM44:AIM48&gt;AIM45)),"")</f>
        <v>0</v>
      </c>
      <c r="AIU45" s="321">
        <f t="shared" ref="AIU45" ca="1" si="14224">IF(AIG45&lt;&gt;"",SUMPRODUCT((AIR44:AIR48=AIR45)*(AIM44:AIM48=AIM45)*(AIK44:AIK48&gt;AIK45)),"")</f>
        <v>0</v>
      </c>
      <c r="AIV45" s="321">
        <f t="shared" ref="AIV45" ca="1" si="14225">IF(AIG45&lt;&gt;"",SUMPRODUCT((AIR44:AIR48=AIR45)*(AIM44:AIM48=AIM45)*(AIK44:AIK48=AIK45)*(AIO44:AIO48&gt;AIO45)),"")</f>
        <v>0</v>
      </c>
      <c r="AIW45" s="321">
        <f t="shared" ref="AIW45" ca="1" si="14226">IF(AIG45&lt;&gt;"",SUMPRODUCT((AIR44:AIR48=AIR45)*(AIM44:AIM48=AIM45)*(AIK44:AIK48=AIK45)*(AIO44:AIO48=AIO45)*(AIP44:AIP48&gt;AIP45)),"")</f>
        <v>0</v>
      </c>
      <c r="AIX45" s="321">
        <f t="shared" ref="AIX45" ca="1" si="14227">IF(AIG45&lt;&gt;"",SUMPRODUCT((AIR44:AIR48=AIR45)*(AIM44:AIM48=AIM45)*(AIK44:AIK48=AIK45)*(AIO44:AIO48=AIO45)*(AIP44:AIP48=AIP45)*(AIQ44:AIQ48&gt;AIQ45)),"")</f>
        <v>2</v>
      </c>
      <c r="AIY45" s="321">
        <f t="shared" ca="1" si="13974"/>
        <v>3</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2</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f ca="1">IF(KK6&lt;&gt;"",SUMPRODUCT((KR4:KR7=KR6)*(KQ4:KQ7=KQ6)*(KO4:KO7=KO6)*(KP4:KP7=KP6)),"")</f>
        <v>2</v>
      </c>
      <c r="KK46" s="321" t="str">
        <f t="shared" ca="1" si="14070"/>
        <v>Hungary</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1</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1</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1</v>
      </c>
      <c r="KQ46" s="321">
        <f ca="1">KO46-KP46+1000</f>
        <v>1000</v>
      </c>
      <c r="KR46" s="321">
        <f t="shared" ca="1" si="14071"/>
        <v>1</v>
      </c>
      <c r="KS46" s="321">
        <f ca="1">IF(KK46&lt;&gt;"",VLOOKUP(KK46,IX4:JD40,7,FALSE),"")</f>
        <v>1000</v>
      </c>
      <c r="KT46" s="321">
        <f ca="1">IF(KK46&lt;&gt;"",VLOOKUP(KK46,IX4:JD40,5,FALSE),"")</f>
        <v>2</v>
      </c>
      <c r="KU46" s="321">
        <f ca="1">IF(KK46&lt;&gt;"",VLOOKUP(KK46,IX4:JF40,9,FALSE),"")</f>
        <v>48</v>
      </c>
      <c r="KV46" s="321">
        <f t="shared" ca="1" si="14072"/>
        <v>1</v>
      </c>
      <c r="KW46" s="321">
        <f ca="1">IF(KK46&lt;&gt;"",RANK(KV46,KV44:KV47),"")</f>
        <v>1</v>
      </c>
      <c r="KX46" s="321">
        <f ca="1">IF(KK46&lt;&gt;"",SUMPRODUCT((KV44:KV47=KV46)*(KQ44:KQ47&gt;KQ46)),"")</f>
        <v>0</v>
      </c>
      <c r="KY46" s="321">
        <f ca="1">IF(KK46&lt;&gt;"",SUMPRODUCT((KV44:KV47=KV46)*(KQ44:KQ47=KQ46)*(KO44:KO47&gt;KO46)),"")</f>
        <v>0</v>
      </c>
      <c r="KZ46" s="321">
        <f ca="1">IF(KK46&lt;&gt;"",SUMPRODUCT((KV44:KV47=KV46)*(KQ44:KQ47=KQ46)*(KO44:KO47=KO46)*(KS44:KS47&gt;KS46)),"")</f>
        <v>0</v>
      </c>
      <c r="LA46" s="321">
        <f ca="1">IF(KK46&lt;&gt;"",SUMPRODUCT((KV44:KV47=KV46)*(KQ44:KQ47=KQ46)*(KO44:KO47=KO46)*(KS44:KS47=KS46)*(KT44:KT47&gt;KT46)),"")</f>
        <v>1</v>
      </c>
      <c r="LB46" s="321">
        <f ca="1">IF(KK46&lt;&gt;"",SUMPRODUCT((KV44:KV47=KV46)*(KQ44:KQ47=KQ46)*(KO44:KO47=KO46)*(KS44:KS47=KS46)*(KT44:KT47=KT46)*(KU44:KU47&gt;KU46)),"")</f>
        <v>0</v>
      </c>
      <c r="LC46" s="321">
        <f t="shared" ref="LC46:LC47" ca="1" si="14390">IF(KK46&lt;&gt;"",SUM(KW46:LB46)+1,"")</f>
        <v>3</v>
      </c>
      <c r="OC46" s="321">
        <f ca="1">SUMPRODUCT((OC4:OC7=OC6)*(OB4:OB7=OB6)*(NZ4:NZ7&gt;NZ6))+1</f>
        <v>1</v>
      </c>
      <c r="ON46" s="321">
        <f t="shared" ref="ON46" ca="1" si="14391">IF(OO6&lt;&gt;"",SUMPRODUCT((OV4:OV7=OV6)*(OU4:OU7=OU6)*(OS4:OS7=OS6)*(OT4:OT7=OT6)),"")</f>
        <v>4</v>
      </c>
      <c r="OO46" s="321" t="str">
        <f t="shared" ca="1" si="13876"/>
        <v>Hungary</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f t="shared" ca="1" si="13883"/>
        <v>0</v>
      </c>
      <c r="OW46" s="321">
        <f t="shared" ref="OW46" ca="1" si="14397">IF(OO46&lt;&gt;"",VLOOKUP(OO46,NV4:OB40,7,FALSE),"")</f>
        <v>1000</v>
      </c>
      <c r="OX46" s="321">
        <f t="shared" ref="OX46" ca="1" si="14398">IF(OO46&lt;&gt;"",VLOOKUP(OO46,NV4:OB40,5,FALSE),"")</f>
        <v>0</v>
      </c>
      <c r="OY46" s="321">
        <f t="shared" ref="OY46" ca="1" si="14399">IF(OO46&lt;&gt;"",VLOOKUP(OO46,NV4:OD40,9,FALSE),"")</f>
        <v>48</v>
      </c>
      <c r="OZ46" s="321">
        <f t="shared" ca="1" si="13887"/>
        <v>0</v>
      </c>
      <c r="PA46" s="321">
        <f t="shared" ref="PA46" ca="1" si="14400">IF(OO46&lt;&gt;"",RANK(OZ46,OZ44:OZ48),"")</f>
        <v>1</v>
      </c>
      <c r="PB46" s="321">
        <f t="shared" ref="PB46" ca="1" si="14401">IF(OO46&lt;&gt;"",SUMPRODUCT((OZ44:OZ48=OZ46)*(OU44:OU48&gt;OU46)),"")</f>
        <v>0</v>
      </c>
      <c r="PC46" s="321">
        <f t="shared" ref="PC46" ca="1" si="14402">IF(OO46&lt;&gt;"",SUMPRODUCT((OZ44:OZ48=OZ46)*(OU44:OU48=OU46)*(OS44:OS48&gt;OS46)),"")</f>
        <v>0</v>
      </c>
      <c r="PD46" s="321">
        <f t="shared" ref="PD46" ca="1" si="14403">IF(OO46&lt;&gt;"",SUMPRODUCT((OZ44:OZ48=OZ46)*(OU44:OU48=OU46)*(OS44:OS48=OS46)*(OW44:OW48&gt;OW46)),"")</f>
        <v>0</v>
      </c>
      <c r="PE46" s="321">
        <f t="shared" ref="PE46" ca="1" si="14404">IF(OO46&lt;&gt;"",SUMPRODUCT((OZ44:OZ48=OZ46)*(OU44:OU48=OU46)*(OS44:OS48=OS46)*(OW44:OW48=OW46)*(OX44:OX48&gt;OX46)),"")</f>
        <v>0</v>
      </c>
      <c r="PF46" s="321">
        <f t="shared" ref="PF46" ca="1" si="14405">IF(OO46&lt;&gt;"",SUMPRODUCT((OZ44:OZ48=OZ46)*(OU44:OU48=OU46)*(OS44:OS48=OS46)*(OW44:OW48=OW46)*(OX44:OX48=OX46)*(OY44:OY48&gt;OY46)),"")</f>
        <v>1</v>
      </c>
      <c r="PG46" s="321">
        <f t="shared" ca="1" si="13894"/>
        <v>2</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f t="shared" ref="TL46" ca="1" si="14422">IF(TM6&lt;&gt;"",SUMPRODUCT((TT4:TT7=TT6)*(TS4:TS7=TS6)*(TQ4:TQ7=TQ6)*(TR4:TR7=TR6)),"")</f>
        <v>4</v>
      </c>
      <c r="TM46" s="321" t="str">
        <f t="shared" ca="1" si="13896"/>
        <v>Hungary</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f t="shared" ca="1" si="13903"/>
        <v>0</v>
      </c>
      <c r="TU46" s="321">
        <f t="shared" ref="TU46" ca="1" si="14428">IF(TM46&lt;&gt;"",VLOOKUP(TM46,ST4:SZ40,7,FALSE),"")</f>
        <v>1000</v>
      </c>
      <c r="TV46" s="321">
        <f t="shared" ref="TV46" ca="1" si="14429">IF(TM46&lt;&gt;"",VLOOKUP(TM46,ST4:SZ40,5,FALSE),"")</f>
        <v>0</v>
      </c>
      <c r="TW46" s="321">
        <f t="shared" ref="TW46" ca="1" si="14430">IF(TM46&lt;&gt;"",VLOOKUP(TM46,ST4:TB40,9,FALSE),"")</f>
        <v>48</v>
      </c>
      <c r="TX46" s="321">
        <f t="shared" ca="1" si="13907"/>
        <v>0</v>
      </c>
      <c r="TY46" s="321">
        <f t="shared" ref="TY46" ca="1" si="14431">IF(TM46&lt;&gt;"",RANK(TX46,TX44:TX48),"")</f>
        <v>1</v>
      </c>
      <c r="TZ46" s="321">
        <f t="shared" ref="TZ46" ca="1" si="14432">IF(TM46&lt;&gt;"",SUMPRODUCT((TX44:TX48=TX46)*(TS44:TS48&gt;TS46)),"")</f>
        <v>0</v>
      </c>
      <c r="UA46" s="321">
        <f t="shared" ref="UA46" ca="1" si="14433">IF(TM46&lt;&gt;"",SUMPRODUCT((TX44:TX48=TX46)*(TS44:TS48=TS46)*(TQ44:TQ48&gt;TQ46)),"")</f>
        <v>0</v>
      </c>
      <c r="UB46" s="321">
        <f t="shared" ref="UB46" ca="1" si="14434">IF(TM46&lt;&gt;"",SUMPRODUCT((TX44:TX48=TX46)*(TS44:TS48=TS46)*(TQ44:TQ48=TQ46)*(TU44:TU48&gt;TU46)),"")</f>
        <v>0</v>
      </c>
      <c r="UC46" s="321">
        <f t="shared" ref="UC46" ca="1" si="14435">IF(TM46&lt;&gt;"",SUMPRODUCT((TX44:TX48=TX46)*(TS44:TS48=TS46)*(TQ44:TQ48=TQ46)*(TU44:TU48=TU46)*(TV44:TV48&gt;TV46)),"")</f>
        <v>0</v>
      </c>
      <c r="UD46" s="321">
        <f t="shared" ref="UD46" ca="1" si="14436">IF(TM46&lt;&gt;"",SUMPRODUCT((TX44:TX48=TX46)*(TS44:TS48=TS46)*(TQ44:TQ48=TQ46)*(TU44:TU48=TU46)*(TV44:TV48=TV46)*(TW44:TW48&gt;TW46)),"")</f>
        <v>1</v>
      </c>
      <c r="UE46" s="321">
        <f t="shared" ca="1" si="13914"/>
        <v>2</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f t="shared" ref="ADH46" ca="1" si="14484">IF(ADI6&lt;&gt;"",SUMPRODUCT((ADP4:ADP7=ADP6)*(ADO4:ADO7=ADO6)*(ADM4:ADM7=ADM6)*(ADN4:ADN7=ADN6)),"")</f>
        <v>4</v>
      </c>
      <c r="ADI46" s="321" t="str">
        <f t="shared" ca="1" si="13936"/>
        <v>Hungary</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f t="shared" ca="1" si="13943"/>
        <v>0</v>
      </c>
      <c r="ADQ46" s="321">
        <f t="shared" ref="ADQ46" ca="1" si="14490">IF(ADI46&lt;&gt;"",VLOOKUP(ADI46,ACP4:ACV40,7,FALSE),"")</f>
        <v>1000</v>
      </c>
      <c r="ADR46" s="321">
        <f t="shared" ref="ADR46" ca="1" si="14491">IF(ADI46&lt;&gt;"",VLOOKUP(ADI46,ACP4:ACV40,5,FALSE),"")</f>
        <v>0</v>
      </c>
      <c r="ADS46" s="321">
        <f t="shared" ref="ADS46" ca="1" si="14492">IF(ADI46&lt;&gt;"",VLOOKUP(ADI46,ACP4:ACX40,9,FALSE),"")</f>
        <v>48</v>
      </c>
      <c r="ADT46" s="321">
        <f t="shared" ca="1" si="13947"/>
        <v>0</v>
      </c>
      <c r="ADU46" s="321">
        <f t="shared" ref="ADU46" ca="1" si="14493">IF(ADI46&lt;&gt;"",RANK(ADT46,ADT44:ADT48),"")</f>
        <v>1</v>
      </c>
      <c r="ADV46" s="321">
        <f t="shared" ref="ADV46" ca="1" si="14494">IF(ADI46&lt;&gt;"",SUMPRODUCT((ADT44:ADT48=ADT46)*(ADO44:ADO48&gt;ADO46)),"")</f>
        <v>0</v>
      </c>
      <c r="ADW46" s="321">
        <f t="shared" ref="ADW46" ca="1" si="14495">IF(ADI46&lt;&gt;"",SUMPRODUCT((ADT44:ADT48=ADT46)*(ADO44:ADO48=ADO46)*(ADM44:ADM48&gt;ADM46)),"")</f>
        <v>0</v>
      </c>
      <c r="ADX46" s="321">
        <f t="shared" ref="ADX46" ca="1" si="14496">IF(ADI46&lt;&gt;"",SUMPRODUCT((ADT44:ADT48=ADT46)*(ADO44:ADO48=ADO46)*(ADM44:ADM48=ADM46)*(ADQ44:ADQ48&gt;ADQ46)),"")</f>
        <v>0</v>
      </c>
      <c r="ADY46" s="321">
        <f t="shared" ref="ADY46" ca="1" si="14497">IF(ADI46&lt;&gt;"",SUMPRODUCT((ADT44:ADT48=ADT46)*(ADO44:ADO48=ADO46)*(ADM44:ADM48=ADM46)*(ADQ44:ADQ48=ADQ46)*(ADR44:ADR48&gt;ADR46)),"")</f>
        <v>0</v>
      </c>
      <c r="ADZ46" s="321">
        <f t="shared" ref="ADZ46" ca="1" si="14498">IF(ADI46&lt;&gt;"",SUMPRODUCT((ADT44:ADT48=ADT46)*(ADO44:ADO48=ADO46)*(ADM44:ADM48=ADM46)*(ADQ44:ADQ48=ADQ46)*(ADR44:ADR48=ADR46)*(ADS44:ADS48&gt;ADS46)),"")</f>
        <v>1</v>
      </c>
      <c r="AEA46" s="321">
        <f t="shared" ca="1" si="13954"/>
        <v>2</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f t="shared" ref="AIF46" ca="1" si="14515">IF(AIG6&lt;&gt;"",SUMPRODUCT((AIN4:AIN7=AIN6)*(AIM4:AIM7=AIM6)*(AIK4:AIK7=AIK6)*(AIL4:AIL7=AIL6)),"")</f>
        <v>4</v>
      </c>
      <c r="AIG46" s="321" t="str">
        <f t="shared" ca="1" si="13956"/>
        <v>Hungary</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f t="shared" ca="1" si="13963"/>
        <v>0</v>
      </c>
      <c r="AIO46" s="321">
        <f t="shared" ref="AIO46" ca="1" si="14521">IF(AIG46&lt;&gt;"",VLOOKUP(AIG46,AHN4:AHT40,7,FALSE),"")</f>
        <v>1000</v>
      </c>
      <c r="AIP46" s="321">
        <f t="shared" ref="AIP46" ca="1" si="14522">IF(AIG46&lt;&gt;"",VLOOKUP(AIG46,AHN4:AHT40,5,FALSE),"")</f>
        <v>0</v>
      </c>
      <c r="AIQ46" s="321">
        <f t="shared" ref="AIQ46" ca="1" si="14523">IF(AIG46&lt;&gt;"",VLOOKUP(AIG46,AHN4:AHV40,9,FALSE),"")</f>
        <v>48</v>
      </c>
      <c r="AIR46" s="321">
        <f t="shared" ca="1" si="13967"/>
        <v>0</v>
      </c>
      <c r="AIS46" s="321">
        <f t="shared" ref="AIS46" ca="1" si="14524">IF(AIG46&lt;&gt;"",RANK(AIR46,AIR44:AIR48),"")</f>
        <v>1</v>
      </c>
      <c r="AIT46" s="321">
        <f t="shared" ref="AIT46" ca="1" si="14525">IF(AIG46&lt;&gt;"",SUMPRODUCT((AIR44:AIR48=AIR46)*(AIM44:AIM48&gt;AIM46)),"")</f>
        <v>0</v>
      </c>
      <c r="AIU46" s="321">
        <f t="shared" ref="AIU46" ca="1" si="14526">IF(AIG46&lt;&gt;"",SUMPRODUCT((AIR44:AIR48=AIR46)*(AIM44:AIM48=AIM46)*(AIK44:AIK48&gt;AIK46)),"")</f>
        <v>0</v>
      </c>
      <c r="AIV46" s="321">
        <f t="shared" ref="AIV46" ca="1" si="14527">IF(AIG46&lt;&gt;"",SUMPRODUCT((AIR44:AIR48=AIR46)*(AIM44:AIM48=AIM46)*(AIK44:AIK48=AIK46)*(AIO44:AIO48&gt;AIO46)),"")</f>
        <v>0</v>
      </c>
      <c r="AIW46" s="321">
        <f t="shared" ref="AIW46" ca="1" si="14528">IF(AIG46&lt;&gt;"",SUMPRODUCT((AIR44:AIR48=AIR46)*(AIM44:AIM48=AIM46)*(AIK44:AIK48=AIK46)*(AIO44:AIO48=AIO46)*(AIP44:AIP48&gt;AIP46)),"")</f>
        <v>0</v>
      </c>
      <c r="AIX46" s="321">
        <f t="shared" ref="AIX46" ca="1" si="14529">IF(AIG46&lt;&gt;"",SUMPRODUCT((AIR44:AIR48=AIR46)*(AIM44:AIM48=AIM46)*(AIK44:AIK48=AIK46)*(AIO44:AIO48=AIO46)*(AIP44:AIP48=AIP46)*(AIQ44:AIQ48&gt;AIQ46)),"")</f>
        <v>1</v>
      </c>
      <c r="AIY46" s="321">
        <f t="shared" ca="1" si="13974"/>
        <v>2</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f t="shared" ref="ON47" ca="1" si="14670">IF(OO7&lt;&gt;"",SUMPRODUCT((OV4:OV7=OV7)*(OU4:OU7=OU7)*(OS4:OS7=OS7)*(OT4:OT7=OT7)),"")</f>
        <v>4</v>
      </c>
      <c r="OO47" s="321" t="str">
        <f t="shared" ca="1" si="13876"/>
        <v>Germany</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f t="shared" ca="1" si="13883"/>
        <v>0</v>
      </c>
      <c r="OW47" s="321">
        <f t="shared" ref="OW47" ca="1" si="14676">IF(OO47&lt;&gt;"",VLOOKUP(OO47,NV4:OB40,7,FALSE),"")</f>
        <v>1000</v>
      </c>
      <c r="OX47" s="321">
        <f t="shared" ref="OX47" ca="1" si="14677">IF(OO47&lt;&gt;"",VLOOKUP(OO47,NV4:OB40,5,FALSE),"")</f>
        <v>0</v>
      </c>
      <c r="OY47" s="321">
        <f t="shared" ref="OY47" ca="1" si="14678">IF(OO47&lt;&gt;"",VLOOKUP(OO47,NV4:OD40,9,FALSE),"")</f>
        <v>54</v>
      </c>
      <c r="OZ47" s="321">
        <f t="shared" ca="1" si="13887"/>
        <v>0</v>
      </c>
      <c r="PA47" s="321">
        <f t="shared" ref="PA47" ca="1" si="14679">IF(OO47&lt;&gt;"",RANK(OZ47,OZ44:OZ48),"")</f>
        <v>1</v>
      </c>
      <c r="PB47" s="321">
        <f t="shared" ref="PB47" ca="1" si="14680">IF(OO47&lt;&gt;"",SUMPRODUCT((OZ44:OZ48=OZ47)*(OU44:OU48&gt;OU47)),"")</f>
        <v>0</v>
      </c>
      <c r="PC47" s="321">
        <f t="shared" ref="PC47" ca="1" si="14681">IF(OO47&lt;&gt;"",SUMPRODUCT((OZ44:OZ48=OZ47)*(OU44:OU48=OU47)*(OS44:OS48&gt;OS47)),"")</f>
        <v>0</v>
      </c>
      <c r="PD47" s="321">
        <f t="shared" ref="PD47" ca="1" si="14682">IF(OO47&lt;&gt;"",SUMPRODUCT((OZ44:OZ48=OZ47)*(OU44:OU48=OU47)*(OS44:OS48=OS47)*(OW44:OW48&gt;OW47)),"")</f>
        <v>0</v>
      </c>
      <c r="PE47" s="321">
        <f t="shared" ref="PE47" ca="1" si="14683">IF(OO47&lt;&gt;"",SUMPRODUCT((OZ44:OZ48=OZ47)*(OU44:OU48=OU47)*(OS44:OS48=OS47)*(OW44:OW48=OW47)*(OX44:OX48&gt;OX47)),"")</f>
        <v>0</v>
      </c>
      <c r="PF47" s="321">
        <f t="shared" ref="PF47" ca="1" si="14684">IF(OO47&lt;&gt;"",SUMPRODUCT((OZ44:OZ48=OZ47)*(OU44:OU48=OU47)*(OS44:OS48=OS47)*(OW44:OW48=OW47)*(OX44:OX48=OX47)*(OY44:OY48&gt;OY47)),"")</f>
        <v>0</v>
      </c>
      <c r="PG47" s="321">
        <f t="shared" ca="1" si="13894"/>
        <v>1</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f t="shared" ref="TL47" ca="1" si="14700">IF(TM7&lt;&gt;"",SUMPRODUCT((TT4:TT7=TT7)*(TS4:TS7=TS7)*(TQ4:TQ7=TQ7)*(TR4:TR7=TR7)),"")</f>
        <v>4</v>
      </c>
      <c r="TM47" s="321" t="str">
        <f t="shared" ca="1" si="13896"/>
        <v>Germany</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f t="shared" ca="1" si="13903"/>
        <v>0</v>
      </c>
      <c r="TU47" s="321">
        <f t="shared" ref="TU47" ca="1" si="14706">IF(TM47&lt;&gt;"",VLOOKUP(TM47,ST4:SZ40,7,FALSE),"")</f>
        <v>1000</v>
      </c>
      <c r="TV47" s="321">
        <f t="shared" ref="TV47" ca="1" si="14707">IF(TM47&lt;&gt;"",VLOOKUP(TM47,ST4:SZ40,5,FALSE),"")</f>
        <v>0</v>
      </c>
      <c r="TW47" s="321">
        <f t="shared" ref="TW47" ca="1" si="14708">IF(TM47&lt;&gt;"",VLOOKUP(TM47,ST4:TB40,9,FALSE),"")</f>
        <v>54</v>
      </c>
      <c r="TX47" s="321">
        <f t="shared" ca="1" si="13907"/>
        <v>0</v>
      </c>
      <c r="TY47" s="321">
        <f t="shared" ref="TY47" ca="1" si="14709">IF(TM47&lt;&gt;"",RANK(TX47,TX44:TX48),"")</f>
        <v>1</v>
      </c>
      <c r="TZ47" s="321">
        <f t="shared" ref="TZ47" ca="1" si="14710">IF(TM47&lt;&gt;"",SUMPRODUCT((TX44:TX48=TX47)*(TS44:TS48&gt;TS47)),"")</f>
        <v>0</v>
      </c>
      <c r="UA47" s="321">
        <f t="shared" ref="UA47" ca="1" si="14711">IF(TM47&lt;&gt;"",SUMPRODUCT((TX44:TX48=TX47)*(TS44:TS48=TS47)*(TQ44:TQ48&gt;TQ47)),"")</f>
        <v>0</v>
      </c>
      <c r="UB47" s="321">
        <f t="shared" ref="UB47" ca="1" si="14712">IF(TM47&lt;&gt;"",SUMPRODUCT((TX44:TX48=TX47)*(TS44:TS48=TS47)*(TQ44:TQ48=TQ47)*(TU44:TU48&gt;TU47)),"")</f>
        <v>0</v>
      </c>
      <c r="UC47" s="321">
        <f t="shared" ref="UC47" ca="1" si="14713">IF(TM47&lt;&gt;"",SUMPRODUCT((TX44:TX48=TX47)*(TS44:TS48=TS47)*(TQ44:TQ48=TQ47)*(TU44:TU48=TU47)*(TV44:TV48&gt;TV47)),"")</f>
        <v>0</v>
      </c>
      <c r="UD47" s="321">
        <f t="shared" ref="UD47" ca="1" si="14714">IF(TM47&lt;&gt;"",SUMPRODUCT((TX44:TX48=TX47)*(TS44:TS48=TS47)*(TQ44:TQ48=TQ47)*(TU44:TU48=TU47)*(TV44:TV48=TV47)*(TW44:TW48&gt;TW47)),"")</f>
        <v>0</v>
      </c>
      <c r="UE47" s="321">
        <f t="shared" ca="1" si="13914"/>
        <v>1</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f t="shared" ref="ADH47" ca="1" si="14760">IF(ADI7&lt;&gt;"",SUMPRODUCT((ADP4:ADP7=ADP7)*(ADO4:ADO7=ADO7)*(ADM4:ADM7=ADM7)*(ADN4:ADN7=ADN7)),"")</f>
        <v>4</v>
      </c>
      <c r="ADI47" s="321" t="str">
        <f t="shared" ca="1" si="13936"/>
        <v>Germany</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f t="shared" ca="1" si="13943"/>
        <v>0</v>
      </c>
      <c r="ADQ47" s="321">
        <f t="shared" ref="ADQ47" ca="1" si="14766">IF(ADI47&lt;&gt;"",VLOOKUP(ADI47,ACP4:ACV40,7,FALSE),"")</f>
        <v>1000</v>
      </c>
      <c r="ADR47" s="321">
        <f t="shared" ref="ADR47" ca="1" si="14767">IF(ADI47&lt;&gt;"",VLOOKUP(ADI47,ACP4:ACV40,5,FALSE),"")</f>
        <v>0</v>
      </c>
      <c r="ADS47" s="321">
        <f t="shared" ref="ADS47" ca="1" si="14768">IF(ADI47&lt;&gt;"",VLOOKUP(ADI47,ACP4:ACX40,9,FALSE),"")</f>
        <v>54</v>
      </c>
      <c r="ADT47" s="321">
        <f t="shared" ca="1" si="13947"/>
        <v>0</v>
      </c>
      <c r="ADU47" s="321">
        <f t="shared" ref="ADU47" ca="1" si="14769">IF(ADI47&lt;&gt;"",RANK(ADT47,ADT44:ADT48),"")</f>
        <v>1</v>
      </c>
      <c r="ADV47" s="321">
        <f t="shared" ref="ADV47" ca="1" si="14770">IF(ADI47&lt;&gt;"",SUMPRODUCT((ADT44:ADT48=ADT47)*(ADO44:ADO48&gt;ADO47)),"")</f>
        <v>0</v>
      </c>
      <c r="ADW47" s="321">
        <f t="shared" ref="ADW47" ca="1" si="14771">IF(ADI47&lt;&gt;"",SUMPRODUCT((ADT44:ADT48=ADT47)*(ADO44:ADO48=ADO47)*(ADM44:ADM48&gt;ADM47)),"")</f>
        <v>0</v>
      </c>
      <c r="ADX47" s="321">
        <f t="shared" ref="ADX47" ca="1" si="14772">IF(ADI47&lt;&gt;"",SUMPRODUCT((ADT44:ADT48=ADT47)*(ADO44:ADO48=ADO47)*(ADM44:ADM48=ADM47)*(ADQ44:ADQ48&gt;ADQ47)),"")</f>
        <v>0</v>
      </c>
      <c r="ADY47" s="321">
        <f t="shared" ref="ADY47" ca="1" si="14773">IF(ADI47&lt;&gt;"",SUMPRODUCT((ADT44:ADT48=ADT47)*(ADO44:ADO48=ADO47)*(ADM44:ADM48=ADM47)*(ADQ44:ADQ48=ADQ47)*(ADR44:ADR48&gt;ADR47)),"")</f>
        <v>0</v>
      </c>
      <c r="ADZ47" s="321">
        <f t="shared" ref="ADZ47" ca="1" si="14774">IF(ADI47&lt;&gt;"",SUMPRODUCT((ADT44:ADT48=ADT47)*(ADO44:ADO48=ADO47)*(ADM44:ADM48=ADM47)*(ADQ44:ADQ48=ADQ47)*(ADR44:ADR48=ADR47)*(ADS44:ADS48&gt;ADS47)),"")</f>
        <v>0</v>
      </c>
      <c r="AEA47" s="321">
        <f t="shared" ca="1" si="13954"/>
        <v>1</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f t="shared" ref="AIF47" ca="1" si="14790">IF(AIG7&lt;&gt;"",SUMPRODUCT((AIN4:AIN7=AIN7)*(AIM4:AIM7=AIM7)*(AIK4:AIK7=AIK7)*(AIL4:AIL7=AIL7)),"")</f>
        <v>4</v>
      </c>
      <c r="AIG47" s="321" t="str">
        <f t="shared" ca="1" si="13956"/>
        <v>Germany</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f t="shared" ca="1" si="13963"/>
        <v>0</v>
      </c>
      <c r="AIO47" s="321">
        <f t="shared" ref="AIO47" ca="1" si="14796">IF(AIG47&lt;&gt;"",VLOOKUP(AIG47,AHN4:AHT40,7,FALSE),"")</f>
        <v>1000</v>
      </c>
      <c r="AIP47" s="321">
        <f t="shared" ref="AIP47" ca="1" si="14797">IF(AIG47&lt;&gt;"",VLOOKUP(AIG47,AHN4:AHT40,5,FALSE),"")</f>
        <v>0</v>
      </c>
      <c r="AIQ47" s="321">
        <f t="shared" ref="AIQ47" ca="1" si="14798">IF(AIG47&lt;&gt;"",VLOOKUP(AIG47,AHN4:AHV40,9,FALSE),"")</f>
        <v>54</v>
      </c>
      <c r="AIR47" s="321">
        <f t="shared" ca="1" si="13967"/>
        <v>0</v>
      </c>
      <c r="AIS47" s="321">
        <f t="shared" ref="AIS47" ca="1" si="14799">IF(AIG47&lt;&gt;"",RANK(AIR47,AIR44:AIR48),"")</f>
        <v>1</v>
      </c>
      <c r="AIT47" s="321">
        <f t="shared" ref="AIT47" ca="1" si="14800">IF(AIG47&lt;&gt;"",SUMPRODUCT((AIR44:AIR48=AIR47)*(AIM44:AIM48&gt;AIM47)),"")</f>
        <v>0</v>
      </c>
      <c r="AIU47" s="321">
        <f t="shared" ref="AIU47" ca="1" si="14801">IF(AIG47&lt;&gt;"",SUMPRODUCT((AIR44:AIR48=AIR47)*(AIM44:AIM48=AIM47)*(AIK44:AIK48&gt;AIK47)),"")</f>
        <v>0</v>
      </c>
      <c r="AIV47" s="321">
        <f t="shared" ref="AIV47" ca="1" si="14802">IF(AIG47&lt;&gt;"",SUMPRODUCT((AIR44:AIR48=AIR47)*(AIM44:AIM48=AIM47)*(AIK44:AIK48=AIK47)*(AIO44:AIO48&gt;AIO47)),"")</f>
        <v>0</v>
      </c>
      <c r="AIW47" s="321">
        <f t="shared" ref="AIW47" ca="1" si="14803">IF(AIG47&lt;&gt;"",SUMPRODUCT((AIR44:AIR48=AIR47)*(AIM44:AIM48=AIM47)*(AIK44:AIK48=AIK47)*(AIO44:AIO48=AIO47)*(AIP44:AIP48&gt;AIP47)),"")</f>
        <v>0</v>
      </c>
      <c r="AIX47" s="321">
        <f t="shared" ref="AIX47" ca="1" si="14804">IF(AIG47&lt;&gt;"",SUMPRODUCT((AIR44:AIR48=AIR47)*(AIM44:AIM48=AIM47)*(AIK44:AIK48=AIK47)*(AIO44:AIO48=AIO47)*(AIP44:AIP48=AIP47)*(AIQ44:AIQ48&gt;AIQ47)),"")</f>
        <v>0</v>
      </c>
      <c r="AIY47" s="321">
        <f t="shared" ca="1" si="13974"/>
        <v>1</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358</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359</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4</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f t="shared" ref="OV51:OV54" ca="1" si="14970">IF(OO51&lt;&gt;"",OP51*3+OQ51*1,"")</f>
        <v>0</v>
      </c>
      <c r="OW51" s="321">
        <f t="shared" ref="OW51" ca="1" si="14971">IF(OO51&lt;&gt;"",VLOOKUP(OO51,NV4:OB40,7,FALSE),"")</f>
        <v>1000</v>
      </c>
      <c r="OX51" s="321">
        <f t="shared" ref="OX51" ca="1" si="14972">IF(OO51&lt;&gt;"",VLOOKUP(OO51,NV4:OB40,5,FALSE),"")</f>
        <v>0</v>
      </c>
      <c r="OY51" s="321">
        <f t="shared" ref="OY51" ca="1" si="14973">IF(OO51&lt;&gt;"",VLOOKUP(OO51,NV4:OD40,9,FALSE),"")</f>
        <v>36</v>
      </c>
      <c r="OZ51" s="321">
        <f t="shared" ref="OZ51:OZ54" ca="1" si="14974">OV51</f>
        <v>0</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3</v>
      </c>
      <c r="PG51" s="321">
        <f t="shared" ref="PG51" ca="1" si="14981">IF(OO51&lt;&gt;"",SUM(PA51:PF51),"")</f>
        <v>4</v>
      </c>
      <c r="TA51" s="321">
        <f ca="1">SUMPRODUCT((TA11:TA14=TA11)*(SZ11:SZ14=SZ11)*(SX11:SX14&gt;SX11))+1</f>
        <v>1</v>
      </c>
      <c r="TL51" s="321">
        <f t="shared" ref="TL51" ca="1" si="14982">IF(TM11&lt;&gt;"",SUMPRODUCT((TT11:TT14=TT11)*(TS11:TS14=TS11)*(TQ11:TQ14=TQ11)*(TR11:TR14=TR11)),"")</f>
        <v>4</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f t="shared" ref="TT51:TT54" ca="1" si="14990">IF(TM51&lt;&gt;"",TN51*3+TO51*1,"")</f>
        <v>0</v>
      </c>
      <c r="TU51" s="321">
        <f t="shared" ref="TU51" ca="1" si="14991">IF(TM51&lt;&gt;"",VLOOKUP(TM51,ST4:SZ40,7,FALSE),"")</f>
        <v>1000</v>
      </c>
      <c r="TV51" s="321">
        <f t="shared" ref="TV51" ca="1" si="14992">IF(TM51&lt;&gt;"",VLOOKUP(TM51,ST4:SZ40,5,FALSE),"")</f>
        <v>0</v>
      </c>
      <c r="TW51" s="321">
        <f t="shared" ref="TW51" ca="1" si="14993">IF(TM51&lt;&gt;"",VLOOKUP(TM51,ST4:TB40,9,FALSE),"")</f>
        <v>36</v>
      </c>
      <c r="TX51" s="321">
        <f t="shared" ref="TX51:TX54" ca="1" si="14994">TT51</f>
        <v>0</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0</v>
      </c>
      <c r="UC51" s="321">
        <f t="shared" ref="UC51" ca="1" si="14999">IF(TM51&lt;&gt;"",SUMPRODUCT((TX51:TX54=TX51)*(TS51:TS54=TS51)*(TQ51:TQ54=TQ51)*(TU51:TU54=TU51)*(TV51:TV54&gt;TV51)),"")</f>
        <v>0</v>
      </c>
      <c r="UD51" s="321">
        <f t="shared" ref="UD51" ca="1" si="15000">IF(TM51&lt;&gt;"",SUMPRODUCT((TX51:TX54=TX51)*(TS51:TS54=TS51)*(TQ51:TQ54=TQ51)*(TU51:TU54=TU51)*(TV51:TV54=TV51)*(TW51:TW54&gt;TW51)),"")</f>
        <v>3</v>
      </c>
      <c r="UE51" s="321">
        <f t="shared" ref="UE51" ca="1" si="15001">IF(TM51&lt;&gt;"",SUM(TY51:UD51),"")</f>
        <v>4</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4</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f t="shared" ref="ADP51:ADP54" ca="1" si="15030">IF(ADI51&lt;&gt;"",ADJ51*3+ADK51*1,"")</f>
        <v>0</v>
      </c>
      <c r="ADQ51" s="321">
        <f t="shared" ref="ADQ51" ca="1" si="15031">IF(ADI51&lt;&gt;"",VLOOKUP(ADI51,ACP4:ACV40,7,FALSE),"")</f>
        <v>1000</v>
      </c>
      <c r="ADR51" s="321">
        <f t="shared" ref="ADR51" ca="1" si="15032">IF(ADI51&lt;&gt;"",VLOOKUP(ADI51,ACP4:ACV40,5,FALSE),"")</f>
        <v>0</v>
      </c>
      <c r="ADS51" s="321">
        <f t="shared" ref="ADS51" ca="1" si="15033">IF(ADI51&lt;&gt;"",VLOOKUP(ADI51,ACP4:ACX40,9,FALSE),"")</f>
        <v>36</v>
      </c>
      <c r="ADT51" s="321">
        <f t="shared" ref="ADT51:ADT54" ca="1" si="15034">ADP51</f>
        <v>0</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3</v>
      </c>
      <c r="AEA51" s="321">
        <f t="shared" ref="AEA51" ca="1" si="15041">IF(ADI51&lt;&gt;"",SUM(ADU51:ADZ51),"")</f>
        <v>4</v>
      </c>
      <c r="AHU51" s="321">
        <f ca="1">SUMPRODUCT((AHU11:AHU14=AHU11)*(AHT11:AHT14=AHT11)*(AHR11:AHR14&gt;AHR11))+1</f>
        <v>1</v>
      </c>
      <c r="AIF51" s="321">
        <f t="shared" ref="AIF51" ca="1" si="15042">IF(AIG11&lt;&gt;"",SUMPRODUCT((AIN11:AIN14=AIN11)*(AIM11:AIM14=AIM11)*(AIK11:AIK14=AIK11)*(AIL11:AIL14=AIL11)),"")</f>
        <v>4</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f t="shared" ref="AIN51:AIN54" ca="1" si="15050">IF(AIG51&lt;&gt;"",AIH51*3+AII51*1,"")</f>
        <v>0</v>
      </c>
      <c r="AIO51" s="321">
        <f t="shared" ref="AIO51" ca="1" si="15051">IF(AIG51&lt;&gt;"",VLOOKUP(AIG51,AHN4:AHT40,7,FALSE),"")</f>
        <v>1000</v>
      </c>
      <c r="AIP51" s="321">
        <f t="shared" ref="AIP51" ca="1" si="15052">IF(AIG51&lt;&gt;"",VLOOKUP(AIG51,AHN4:AHT40,5,FALSE),"")</f>
        <v>0</v>
      </c>
      <c r="AIQ51" s="321">
        <f t="shared" ref="AIQ51" ca="1" si="15053">IF(AIG51&lt;&gt;"",VLOOKUP(AIG51,AHN4:AHV40,9,FALSE),"")</f>
        <v>36</v>
      </c>
      <c r="AIR51" s="321">
        <f t="shared" ref="AIR51:AIR54" ca="1" si="15054">AIN51</f>
        <v>0</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3</v>
      </c>
      <c r="AIY51" s="321">
        <f t="shared" ref="AIY51" ca="1" si="15061">IF(AIG51&lt;&gt;"",SUM(AIS51:AIX51),"")</f>
        <v>4</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360</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f ca="1">IF(FM12&lt;&gt;"",SUMPRODUCT((FT11:FT14=FT12)*(FS11:FS14=FS12)*(FQ11:FQ14=FQ12)*(FR11:FR14=FR12)),"")</f>
        <v>2</v>
      </c>
      <c r="FM52" s="321" t="str">
        <f t="shared" ref="FM52:FM54" ca="1" si="15151">IF(AND(FL52&lt;&gt;"",FL52&gt;1),FM12,"")</f>
        <v>Italy</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1</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2</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2</v>
      </c>
      <c r="FS52" s="321">
        <f ca="1">FQ52-FR52+1000</f>
        <v>1000</v>
      </c>
      <c r="FT52" s="321">
        <f t="shared" ref="FT52:FT54" ca="1" si="15152">IF(FM52&lt;&gt;"",FN52*3+FO52*1,"")</f>
        <v>1</v>
      </c>
      <c r="FU52" s="321">
        <f ca="1">IF(FM52&lt;&gt;"",VLOOKUP(FM52,DZ4:EF40,7,FALSE),"")</f>
        <v>1000</v>
      </c>
      <c r="FV52" s="321">
        <f ca="1">IF(FM52&lt;&gt;"",VLOOKUP(FM52,DZ4:EF40,5,FALSE),"")</f>
        <v>5</v>
      </c>
      <c r="FW52" s="321">
        <f ca="1">IF(FM52&lt;&gt;"",VLOOKUP(FM52,DZ4:EH40,9,FALSE),"")</f>
        <v>36</v>
      </c>
      <c r="FX52" s="321">
        <f t="shared" ref="FX52:FX54" ca="1" si="15153">FT52</f>
        <v>1</v>
      </c>
      <c r="FY52" s="321">
        <f ca="1">IF(FM52&lt;&gt;"",RANK(FX52,FX51:FX54),"")</f>
        <v>1</v>
      </c>
      <c r="FZ52" s="321">
        <f ca="1">IF(FM52&lt;&gt;"",SUMPRODUCT((FX51:FX54=FX52)*(FS51:FS54&gt;FS52)),"")</f>
        <v>0</v>
      </c>
      <c r="GA52" s="321">
        <f ca="1">IF(FM52&lt;&gt;"",SUMPRODUCT((FX51:FX54=FX52)*(FS51:FS54=FS52)*(FQ51:FQ54&gt;FQ52)),"")</f>
        <v>0</v>
      </c>
      <c r="GB52" s="321">
        <f ca="1">IF(FM52&lt;&gt;"",SUMPRODUCT((FX51:FX54=FX52)*(FS51:FS54=FS52)*(FQ51:FQ54=FQ52)*(FU51:FU54&gt;FU52)),"")</f>
        <v>1</v>
      </c>
      <c r="GC52" s="321">
        <f ca="1">IF(FM52&lt;&gt;"",SUMPRODUCT((FX51:FX54=FX52)*(FS51:FS54=FS52)*(FQ51:FQ54=FQ52)*(FU51:FU54=FU52)*(FV51:FV54&gt;FV52)),"")</f>
        <v>0</v>
      </c>
      <c r="GD52" s="321">
        <f ca="1">IF(FM52&lt;&gt;"",SUMPRODUCT((FX51:FX54=FX52)*(FS51:FS54=FS52)*(FQ51:FQ54=FQ52)*(FU51:FU54=FU52)*(FV51:FV54=FV52)*(FW51:FW54&gt;FW52)),"")</f>
        <v>0</v>
      </c>
      <c r="GE52" s="321">
        <f ca="1">IF(FM52&lt;&gt;"",SUM(FY52:GD52)+1,"")</f>
        <v>3</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4</v>
      </c>
      <c r="OO52" s="321" t="str">
        <f t="shared" ca="1" si="14963"/>
        <v>Croatia</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f t="shared" ca="1" si="14970"/>
        <v>0</v>
      </c>
      <c r="OW52" s="321">
        <f t="shared" ref="OW52" ca="1" si="15166">IF(OO52&lt;&gt;"",VLOOKUP(OO52,NV4:OB40,7,FALSE),"")</f>
        <v>1000</v>
      </c>
      <c r="OX52" s="321">
        <f t="shared" ref="OX52" ca="1" si="15167">IF(OO52&lt;&gt;"",VLOOKUP(OO52,NV4:OB40,5,FALSE),"")</f>
        <v>0</v>
      </c>
      <c r="OY52" s="321">
        <f t="shared" ref="OY52" ca="1" si="15168">IF(OO52&lt;&gt;"",VLOOKUP(OO52,NV4:OD40,9,FALSE),"")</f>
        <v>40</v>
      </c>
      <c r="OZ52" s="321">
        <f t="shared" ca="1" si="14974"/>
        <v>0</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2</v>
      </c>
      <c r="PG52" s="321">
        <f t="shared" ref="PG52:PG54" ca="1" si="15175">IF(OO52&lt;&gt;"",SUM(PA52:PF52),"")</f>
        <v>3</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4</v>
      </c>
      <c r="TM52" s="321" t="str">
        <f t="shared" ca="1" si="14983"/>
        <v>Croatia</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f t="shared" ca="1" si="14990"/>
        <v>0</v>
      </c>
      <c r="TU52" s="321">
        <f t="shared" ref="TU52" ca="1" si="15202">IF(TM52&lt;&gt;"",VLOOKUP(TM52,ST4:SZ40,7,FALSE),"")</f>
        <v>1000</v>
      </c>
      <c r="TV52" s="321">
        <f t="shared" ref="TV52" ca="1" si="15203">IF(TM52&lt;&gt;"",VLOOKUP(TM52,ST4:SZ40,5,FALSE),"")</f>
        <v>0</v>
      </c>
      <c r="TW52" s="321">
        <f t="shared" ref="TW52" ca="1" si="15204">IF(TM52&lt;&gt;"",VLOOKUP(TM52,ST4:TB40,9,FALSE),"")</f>
        <v>40</v>
      </c>
      <c r="TX52" s="321">
        <f t="shared" ca="1" si="14994"/>
        <v>0</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2</v>
      </c>
      <c r="UE52" s="321">
        <f t="shared" ref="UE52:UE54" ca="1" si="15211">IF(TM52&lt;&gt;"",SUM(TY52:UD52),"")</f>
        <v>3</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f t="shared" ref="ADH52" ca="1" si="15268">IF(ADI12&lt;&gt;"",SUMPRODUCT((ADP11:ADP14=ADP12)*(ADO11:ADO14=ADO12)*(ADM11:ADM14=ADM12)*(ADN11:ADN14=ADN12)),"")</f>
        <v>4</v>
      </c>
      <c r="ADI52" s="321" t="str">
        <f t="shared" ca="1" si="15023"/>
        <v>Croatia</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f t="shared" ca="1" si="15030"/>
        <v>0</v>
      </c>
      <c r="ADQ52" s="321">
        <f t="shared" ref="ADQ52" ca="1" si="15274">IF(ADI52&lt;&gt;"",VLOOKUP(ADI52,ACP4:ACV40,7,FALSE),"")</f>
        <v>1000</v>
      </c>
      <c r="ADR52" s="321">
        <f t="shared" ref="ADR52" ca="1" si="15275">IF(ADI52&lt;&gt;"",VLOOKUP(ADI52,ACP4:ACV40,5,FALSE),"")</f>
        <v>0</v>
      </c>
      <c r="ADS52" s="321">
        <f t="shared" ref="ADS52" ca="1" si="15276">IF(ADI52&lt;&gt;"",VLOOKUP(ADI52,ACP4:ACX40,9,FALSE),"")</f>
        <v>40</v>
      </c>
      <c r="ADT52" s="321">
        <f t="shared" ca="1" si="15034"/>
        <v>0</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2</v>
      </c>
      <c r="AEA52" s="321">
        <f t="shared" ref="AEA52:AEA54" ca="1" si="15283">IF(ADI52&lt;&gt;"",SUM(ADU52:ADZ52),"")</f>
        <v>3</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4</v>
      </c>
      <c r="AIG52" s="321" t="str">
        <f t="shared" ca="1" si="15043"/>
        <v>Croatia</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f t="shared" ca="1" si="15050"/>
        <v>0</v>
      </c>
      <c r="AIO52" s="321">
        <f t="shared" ref="AIO52" ca="1" si="15310">IF(AIG52&lt;&gt;"",VLOOKUP(AIG52,AHN4:AHT40,7,FALSE),"")</f>
        <v>1000</v>
      </c>
      <c r="AIP52" s="321">
        <f t="shared" ref="AIP52" ca="1" si="15311">IF(AIG52&lt;&gt;"",VLOOKUP(AIG52,AHN4:AHT40,5,FALSE),"")</f>
        <v>0</v>
      </c>
      <c r="AIQ52" s="321">
        <f t="shared" ref="AIQ52" ca="1" si="15312">IF(AIG52&lt;&gt;"",VLOOKUP(AIG52,AHN4:AHV40,9,FALSE),"")</f>
        <v>40</v>
      </c>
      <c r="AIR52" s="321">
        <f t="shared" ca="1" si="15054"/>
        <v>0</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0</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2</v>
      </c>
      <c r="AIY52" s="321">
        <f t="shared" ref="AIY52:AIY54" ca="1" si="15319">IF(AIG52&lt;&gt;"",SUM(AIS52:AIX52),"")</f>
        <v>3</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361</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f ca="1">IF(FM13&lt;&gt;"",SUMPRODUCT((FT11:FT14=FT13)*(FS11:FS14=FS13)*(FQ11:FQ14=FQ13)*(FR11:FR14=FR13)),"")</f>
        <v>2</v>
      </c>
      <c r="FM53" s="321" t="str">
        <f t="shared" ca="1" si="15151"/>
        <v>Spain</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1</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2</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2</v>
      </c>
      <c r="FS53" s="321">
        <f ca="1">FQ53-FR53+1000</f>
        <v>1000</v>
      </c>
      <c r="FT53" s="321">
        <f t="shared" ca="1" si="15152"/>
        <v>1</v>
      </c>
      <c r="FU53" s="321">
        <f ca="1">IF(FM53&lt;&gt;"",VLOOKUP(FM53,DZ4:EF40,7,FALSE),"")</f>
        <v>1002</v>
      </c>
      <c r="FV53" s="321">
        <f ca="1">IF(FM53&lt;&gt;"",VLOOKUP(FM53,DZ4:EF40,5,FALSE),"")</f>
        <v>6</v>
      </c>
      <c r="FW53" s="321">
        <f ca="1">IF(FM53&lt;&gt;"",VLOOKUP(FM53,DZ4:EH40,9,FALSE),"")</f>
        <v>51</v>
      </c>
      <c r="FX53" s="321">
        <f t="shared" ca="1" si="15153"/>
        <v>1</v>
      </c>
      <c r="FY53" s="321">
        <f ca="1">IF(FM53&lt;&gt;"",RANK(FX53,FX51:FX54),"")</f>
        <v>1</v>
      </c>
      <c r="FZ53" s="321">
        <f ca="1">IF(FM53&lt;&gt;"",SUMPRODUCT((FX51:FX54=FX53)*(FS51:FS54&gt;FS53)),"")</f>
        <v>0</v>
      </c>
      <c r="GA53" s="321">
        <f ca="1">IF(FM53&lt;&gt;"",SUMPRODUCT((FX51:FX54=FX53)*(FS51:FS54=FS53)*(FQ51:FQ54&gt;FQ53)),"")</f>
        <v>0</v>
      </c>
      <c r="GB53" s="321">
        <f ca="1">IF(FM53&lt;&gt;"",SUMPRODUCT((FX51:FX54=FX53)*(FS51:FS54=FS53)*(FQ51:FQ54=FQ53)*(FU51:FU54&gt;FU53)),"")</f>
        <v>0</v>
      </c>
      <c r="GC53" s="321">
        <f ca="1">IF(FM53&lt;&gt;"",SUMPRODUCT((FX51:FX54=FX53)*(FS51:FS54=FS53)*(FQ51:FQ54=FQ53)*(FU51:FU54=FU53)*(FV51:FV54&gt;FV53)),"")</f>
        <v>0</v>
      </c>
      <c r="GD53" s="321">
        <f ca="1">IF(FM53&lt;&gt;"",SUMPRODUCT((FX51:FX54=FX53)*(FS51:FS54=FS53)*(FQ51:FQ54=FQ53)*(FU51:FU54=FU53)*(FV51:FV54=FV53)*(FW51:FW54&gt;FW53)),"")</f>
        <v>0</v>
      </c>
      <c r="GE53" s="321">
        <f t="shared" ref="GE53:GE54" ca="1" si="15485">IF(FM53&lt;&gt;"",SUM(FY53:GD53)+1,"")</f>
        <v>2</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f t="shared" ref="ON53" ca="1" si="15487">IF(OO13&lt;&gt;"",SUMPRODUCT((OV11:OV14=OV13)*(OU11:OU14=OU13)*(OS11:OS14=OS13)*(OT11:OT14=OT13)),"")</f>
        <v>4</v>
      </c>
      <c r="OO53" s="321" t="str">
        <f t="shared" ca="1" si="14963"/>
        <v>Albania</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f t="shared" ca="1" si="14970"/>
        <v>0</v>
      </c>
      <c r="OW53" s="321">
        <f t="shared" ref="OW53" ca="1" si="15493">IF(OO53&lt;&gt;"",VLOOKUP(OO53,NV4:OB40,7,FALSE),"")</f>
        <v>1000</v>
      </c>
      <c r="OX53" s="321">
        <f t="shared" ref="OX53" ca="1" si="15494">IF(OO53&lt;&gt;"",VLOOKUP(OO53,NV4:OB40,5,FALSE),"")</f>
        <v>0</v>
      </c>
      <c r="OY53" s="321">
        <f t="shared" ref="OY53" ca="1" si="15495">IF(OO53&lt;&gt;"",VLOOKUP(OO53,NV4:OD40,9,FALSE),"")</f>
        <v>44</v>
      </c>
      <c r="OZ53" s="321">
        <f t="shared" ca="1" si="14974"/>
        <v>0</v>
      </c>
      <c r="PA53" s="321">
        <f t="shared" ref="PA53" ca="1" si="15496">IF(OO53&lt;&gt;"",RANK(OZ53,OZ51:OZ54),"")</f>
        <v>1</v>
      </c>
      <c r="PB53" s="321">
        <f t="shared" ref="PB53" ca="1" si="15497">IF(OO53&lt;&gt;"",SUMPRODUCT((OZ51:OZ54=OZ53)*(OU51:OU54&gt;OU53)),"")</f>
        <v>0</v>
      </c>
      <c r="PC53" s="321">
        <f t="shared" ref="PC53" ca="1" si="15498">IF(OO53&lt;&gt;"",SUMPRODUCT((OZ51:OZ54=OZ53)*(OU51:OU54=OU53)*(OS51:OS54&gt;OS53)),"")</f>
        <v>0</v>
      </c>
      <c r="PD53" s="321">
        <f t="shared" ref="PD53" ca="1" si="15499">IF(OO53&lt;&gt;"",SUMPRODUCT((OZ51:OZ54=OZ53)*(OU51:OU54=OU53)*(OS51:OS54=OS53)*(OW51:OW54&gt;OW53)),"")</f>
        <v>0</v>
      </c>
      <c r="PE53" s="321">
        <f t="shared" ref="PE53" ca="1" si="15500">IF(OO53&lt;&gt;"",SUMPRODUCT((OZ51:OZ54=OZ53)*(OU51:OU54=OU53)*(OS51:OS54=OS53)*(OW51:OW54=OW53)*(OX51:OX54&gt;OX53)),"")</f>
        <v>0</v>
      </c>
      <c r="PF53" s="321">
        <f t="shared" ref="PF53" ca="1" si="15501">IF(OO53&lt;&gt;"",SUMPRODUCT((OZ51:OZ54=OZ53)*(OU51:OU54=OU53)*(OS51:OS54=OS53)*(OW51:OW54=OW53)*(OX51:OX54=OX53)*(OY51:OY54&gt;OY53)),"")</f>
        <v>1</v>
      </c>
      <c r="PG53" s="321">
        <f t="shared" ca="1" si="15175"/>
        <v>2</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f t="shared" ref="TL53" ca="1" si="15518">IF(TM13&lt;&gt;"",SUMPRODUCT((TT11:TT14=TT13)*(TS11:TS14=TS13)*(TQ11:TQ14=TQ13)*(TR11:TR14=TR13)),"")</f>
        <v>4</v>
      </c>
      <c r="TM53" s="321" t="str">
        <f t="shared" ca="1" si="14983"/>
        <v>Albania</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f t="shared" ca="1" si="14990"/>
        <v>0</v>
      </c>
      <c r="TU53" s="321">
        <f t="shared" ref="TU53" ca="1" si="15524">IF(TM53&lt;&gt;"",VLOOKUP(TM53,ST4:SZ40,7,FALSE),"")</f>
        <v>1000</v>
      </c>
      <c r="TV53" s="321">
        <f t="shared" ref="TV53" ca="1" si="15525">IF(TM53&lt;&gt;"",VLOOKUP(TM53,ST4:SZ40,5,FALSE),"")</f>
        <v>0</v>
      </c>
      <c r="TW53" s="321">
        <f t="shared" ref="TW53" ca="1" si="15526">IF(TM53&lt;&gt;"",VLOOKUP(TM53,ST4:TB40,9,FALSE),"")</f>
        <v>44</v>
      </c>
      <c r="TX53" s="321">
        <f t="shared" ca="1" si="14994"/>
        <v>0</v>
      </c>
      <c r="TY53" s="321">
        <f t="shared" ref="TY53" ca="1" si="15527">IF(TM53&lt;&gt;"",RANK(TX53,TX51:TX54),"")</f>
        <v>1</v>
      </c>
      <c r="TZ53" s="321">
        <f t="shared" ref="TZ53" ca="1" si="15528">IF(TM53&lt;&gt;"",SUMPRODUCT((TX51:TX54=TX53)*(TS51:TS54&gt;TS53)),"")</f>
        <v>0</v>
      </c>
      <c r="UA53" s="321">
        <f t="shared" ref="UA53" ca="1" si="15529">IF(TM53&lt;&gt;"",SUMPRODUCT((TX51:TX54=TX53)*(TS51:TS54=TS53)*(TQ51:TQ54&gt;TQ53)),"")</f>
        <v>0</v>
      </c>
      <c r="UB53" s="321">
        <f t="shared" ref="UB53" ca="1" si="15530">IF(TM53&lt;&gt;"",SUMPRODUCT((TX51:TX54=TX53)*(TS51:TS54=TS53)*(TQ51:TQ54=TQ53)*(TU51:TU54&gt;TU53)),"")</f>
        <v>0</v>
      </c>
      <c r="UC53" s="321">
        <f t="shared" ref="UC53" ca="1" si="15531">IF(TM53&lt;&gt;"",SUMPRODUCT((TX51:TX54=TX53)*(TS51:TS54=TS53)*(TQ51:TQ54=TQ53)*(TU51:TU54=TU53)*(TV51:TV54&gt;TV53)),"")</f>
        <v>0</v>
      </c>
      <c r="UD53" s="321">
        <f t="shared" ref="UD53" ca="1" si="15532">IF(TM53&lt;&gt;"",SUMPRODUCT((TX51:TX54=TX53)*(TS51:TS54=TS53)*(TQ51:TQ54=TQ53)*(TU51:TU54=TU53)*(TV51:TV54=TV53)*(TW51:TW54&gt;TW53)),"")</f>
        <v>1</v>
      </c>
      <c r="UE53" s="321">
        <f t="shared" ca="1" si="15211"/>
        <v>2</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f t="shared" ref="ADH53" ca="1" si="15580">IF(ADI13&lt;&gt;"",SUMPRODUCT((ADP11:ADP14=ADP13)*(ADO11:ADO14=ADO13)*(ADM11:ADM14=ADM13)*(ADN11:ADN14=ADN13)),"")</f>
        <v>4</v>
      </c>
      <c r="ADI53" s="321" t="str">
        <f t="shared" ca="1" si="15023"/>
        <v>Albania</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f t="shared" ca="1" si="15030"/>
        <v>0</v>
      </c>
      <c r="ADQ53" s="321">
        <f t="shared" ref="ADQ53" ca="1" si="15586">IF(ADI53&lt;&gt;"",VLOOKUP(ADI53,ACP4:ACV40,7,FALSE),"")</f>
        <v>1000</v>
      </c>
      <c r="ADR53" s="321">
        <f t="shared" ref="ADR53" ca="1" si="15587">IF(ADI53&lt;&gt;"",VLOOKUP(ADI53,ACP4:ACV40,5,FALSE),"")</f>
        <v>0</v>
      </c>
      <c r="ADS53" s="321">
        <f t="shared" ref="ADS53" ca="1" si="15588">IF(ADI53&lt;&gt;"",VLOOKUP(ADI53,ACP4:ACX40,9,FALSE),"")</f>
        <v>44</v>
      </c>
      <c r="ADT53" s="321">
        <f t="shared" ca="1" si="15034"/>
        <v>0</v>
      </c>
      <c r="ADU53" s="321">
        <f t="shared" ref="ADU53" ca="1" si="15589">IF(ADI53&lt;&gt;"",RANK(ADT53,ADT51:ADT54),"")</f>
        <v>1</v>
      </c>
      <c r="ADV53" s="321">
        <f t="shared" ref="ADV53" ca="1" si="15590">IF(ADI53&lt;&gt;"",SUMPRODUCT((ADT51:ADT54=ADT53)*(ADO51:ADO54&gt;ADO53)),"")</f>
        <v>0</v>
      </c>
      <c r="ADW53" s="321">
        <f t="shared" ref="ADW53" ca="1" si="15591">IF(ADI53&lt;&gt;"",SUMPRODUCT((ADT51:ADT54=ADT53)*(ADO51:ADO54=ADO53)*(ADM51:ADM54&gt;ADM53)),"")</f>
        <v>0</v>
      </c>
      <c r="ADX53" s="321">
        <f t="shared" ref="ADX53" ca="1" si="15592">IF(ADI53&lt;&gt;"",SUMPRODUCT((ADT51:ADT54=ADT53)*(ADO51:ADO54=ADO53)*(ADM51:ADM54=ADM53)*(ADQ51:ADQ54&gt;ADQ53)),"")</f>
        <v>0</v>
      </c>
      <c r="ADY53" s="321">
        <f t="shared" ref="ADY53" ca="1" si="15593">IF(ADI53&lt;&gt;"",SUMPRODUCT((ADT51:ADT54=ADT53)*(ADO51:ADO54=ADO53)*(ADM51:ADM54=ADM53)*(ADQ51:ADQ54=ADQ53)*(ADR51:ADR54&gt;ADR53)),"")</f>
        <v>0</v>
      </c>
      <c r="ADZ53" s="321">
        <f t="shared" ref="ADZ53" ca="1" si="15594">IF(ADI53&lt;&gt;"",SUMPRODUCT((ADT51:ADT54=ADT53)*(ADO51:ADO54=ADO53)*(ADM51:ADM54=ADM53)*(ADQ51:ADQ54=ADQ53)*(ADR51:ADR54=ADR53)*(ADS51:ADS54&gt;ADS53)),"")</f>
        <v>1</v>
      </c>
      <c r="AEA53" s="321">
        <f t="shared" ca="1" si="15283"/>
        <v>2</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f t="shared" ref="AIF53" ca="1" si="15611">IF(AIG13&lt;&gt;"",SUMPRODUCT((AIN11:AIN14=AIN13)*(AIM11:AIM14=AIM13)*(AIK11:AIK14=AIK13)*(AIL11:AIL14=AIL13)),"")</f>
        <v>4</v>
      </c>
      <c r="AIG53" s="321" t="str">
        <f t="shared" ca="1" si="15043"/>
        <v>Albania</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f t="shared" ca="1" si="15050"/>
        <v>0</v>
      </c>
      <c r="AIO53" s="321">
        <f t="shared" ref="AIO53" ca="1" si="15617">IF(AIG53&lt;&gt;"",VLOOKUP(AIG53,AHN4:AHT40,7,FALSE),"")</f>
        <v>1000</v>
      </c>
      <c r="AIP53" s="321">
        <f t="shared" ref="AIP53" ca="1" si="15618">IF(AIG53&lt;&gt;"",VLOOKUP(AIG53,AHN4:AHT40,5,FALSE),"")</f>
        <v>0</v>
      </c>
      <c r="AIQ53" s="321">
        <f t="shared" ref="AIQ53" ca="1" si="15619">IF(AIG53&lt;&gt;"",VLOOKUP(AIG53,AHN4:AHV40,9,FALSE),"")</f>
        <v>44</v>
      </c>
      <c r="AIR53" s="321">
        <f t="shared" ca="1" si="15054"/>
        <v>0</v>
      </c>
      <c r="AIS53" s="321">
        <f t="shared" ref="AIS53" ca="1" si="15620">IF(AIG53&lt;&gt;"",RANK(AIR53,AIR51:AIR54),"")</f>
        <v>1</v>
      </c>
      <c r="AIT53" s="321">
        <f t="shared" ref="AIT53" ca="1" si="15621">IF(AIG53&lt;&gt;"",SUMPRODUCT((AIR51:AIR54=AIR53)*(AIM51:AIM54&gt;AIM53)),"")</f>
        <v>0</v>
      </c>
      <c r="AIU53" s="321">
        <f t="shared" ref="AIU53" ca="1" si="15622">IF(AIG53&lt;&gt;"",SUMPRODUCT((AIR51:AIR54=AIR53)*(AIM51:AIM54=AIM53)*(AIK51:AIK54&gt;AIK53)),"")</f>
        <v>0</v>
      </c>
      <c r="AIV53" s="321">
        <f t="shared" ref="AIV53" ca="1" si="15623">IF(AIG53&lt;&gt;"",SUMPRODUCT((AIR51:AIR54=AIR53)*(AIM51:AIM54=AIM53)*(AIK51:AIK54=AIK53)*(AIO51:AIO54&gt;AIO53)),"")</f>
        <v>0</v>
      </c>
      <c r="AIW53" s="321">
        <f t="shared" ref="AIW53" ca="1" si="15624">IF(AIG53&lt;&gt;"",SUMPRODUCT((AIR51:AIR54=AIR53)*(AIM51:AIM54=AIM53)*(AIK51:AIK54=AIK53)*(AIO51:AIO54=AIO53)*(AIP51:AIP54&gt;AIP53)),"")</f>
        <v>0</v>
      </c>
      <c r="AIX53" s="321">
        <f t="shared" ref="AIX53" ca="1" si="15625">IF(AIG53&lt;&gt;"",SUMPRODUCT((AIR51:AIR54=AIR53)*(AIM51:AIM54=AIM53)*(AIK51:AIK54=AIK53)*(AIO51:AIO54=AIO53)*(AIP51:AIP54=AIP53)*(AIQ51:AIQ54&gt;AIQ53)),"")</f>
        <v>1</v>
      </c>
      <c r="AIY53" s="321">
        <f t="shared" ca="1" si="15319"/>
        <v>2</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362</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f t="shared" ref="ON54" ca="1" si="15766">IF(OO14&lt;&gt;"",SUMPRODUCT((OV11:OV14=OV14)*(OU11:OU14=OU14)*(OS11:OS14=OS14)*(OT11:OT14=OT14)),"")</f>
        <v>4</v>
      </c>
      <c r="OO54" s="321" t="str">
        <f t="shared" ca="1" si="14963"/>
        <v>Spain</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f t="shared" ca="1" si="14970"/>
        <v>0</v>
      </c>
      <c r="OW54" s="321">
        <f t="shared" ref="OW54" ca="1" si="15772">IF(OO54&lt;&gt;"",VLOOKUP(OO54,NV4:OB40,7,FALSE),"")</f>
        <v>1000</v>
      </c>
      <c r="OX54" s="321">
        <f t="shared" ref="OX54" ca="1" si="15773">IF(OO54&lt;&gt;"",VLOOKUP(OO54,NV4:OB40,5,FALSE),"")</f>
        <v>0</v>
      </c>
      <c r="OY54" s="321">
        <f t="shared" ref="OY54" ca="1" si="15774">IF(OO54&lt;&gt;"",VLOOKUP(OO54,NV4:OD40,9,FALSE),"")</f>
        <v>51</v>
      </c>
      <c r="OZ54" s="321">
        <f t="shared" ca="1" si="14974"/>
        <v>0</v>
      </c>
      <c r="PA54" s="321">
        <f t="shared" ref="PA54" ca="1" si="15775">IF(OO54&lt;&gt;"",RANK(OZ54,OZ51:OZ54),"")</f>
        <v>1</v>
      </c>
      <c r="PB54" s="321">
        <f t="shared" ref="PB54" ca="1" si="15776">IF(OO54&lt;&gt;"",SUMPRODUCT((OZ51:OZ54=OZ54)*(OU51:OU54&gt;OU54)),"")</f>
        <v>0</v>
      </c>
      <c r="PC54" s="321">
        <f t="shared" ref="PC54" ca="1" si="15777">IF(OO54&lt;&gt;"",SUMPRODUCT((OZ51:OZ54=OZ54)*(OU51:OU54=OU54)*(OS51:OS54&gt;OS54)),"")</f>
        <v>0</v>
      </c>
      <c r="PD54" s="321">
        <f t="shared" ref="PD54" ca="1" si="15778">IF(OO54&lt;&gt;"",SUMPRODUCT((OZ51:OZ54=OZ54)*(OU51:OU54=OU54)*(OS51:OS54=OS54)*(OW51:OW54&gt;OW54)),"")</f>
        <v>0</v>
      </c>
      <c r="PE54" s="321">
        <f t="shared" ref="PE54" ca="1" si="15779">IF(OO54&lt;&gt;"",SUMPRODUCT((OZ51:OZ54=OZ54)*(OU51:OU54=OU54)*(OS51:OS54=OS54)*(OW51:OW54=OW54)*(OX51:OX54&gt;OX54)),"")</f>
        <v>0</v>
      </c>
      <c r="PF54" s="321">
        <f t="shared" ref="PF54" ca="1" si="15780">IF(OO54&lt;&gt;"",SUMPRODUCT((OZ51:OZ54=OZ54)*(OU51:OU54=OU54)*(OS51:OS54=OS54)*(OW51:OW54=OW54)*(OX51:OX54=OX54)*(OY51:OY54&gt;OY54)),"")</f>
        <v>0</v>
      </c>
      <c r="PG54" s="321">
        <f t="shared" ca="1" si="15175"/>
        <v>1</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f t="shared" ref="TL54" ca="1" si="15796">IF(TM14&lt;&gt;"",SUMPRODUCT((TT11:TT14=TT14)*(TS11:TS14=TS14)*(TQ11:TQ14=TQ14)*(TR11:TR14=TR14)),"")</f>
        <v>4</v>
      </c>
      <c r="TM54" s="321" t="str">
        <f t="shared" ca="1" si="14983"/>
        <v>Spain</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f t="shared" ca="1" si="14990"/>
        <v>0</v>
      </c>
      <c r="TU54" s="321">
        <f t="shared" ref="TU54" ca="1" si="15802">IF(TM54&lt;&gt;"",VLOOKUP(TM54,ST4:SZ40,7,FALSE),"")</f>
        <v>1000</v>
      </c>
      <c r="TV54" s="321">
        <f t="shared" ref="TV54" ca="1" si="15803">IF(TM54&lt;&gt;"",VLOOKUP(TM54,ST4:SZ40,5,FALSE),"")</f>
        <v>0</v>
      </c>
      <c r="TW54" s="321">
        <f t="shared" ref="TW54" ca="1" si="15804">IF(TM54&lt;&gt;"",VLOOKUP(TM54,ST4:TB40,9,FALSE),"")</f>
        <v>51</v>
      </c>
      <c r="TX54" s="321">
        <f t="shared" ca="1" si="14994"/>
        <v>0</v>
      </c>
      <c r="TY54" s="321">
        <f t="shared" ref="TY54" ca="1" si="15805">IF(TM54&lt;&gt;"",RANK(TX54,TX51:TX54),"")</f>
        <v>1</v>
      </c>
      <c r="TZ54" s="321">
        <f t="shared" ref="TZ54" ca="1" si="15806">IF(TM54&lt;&gt;"",SUMPRODUCT((TX51:TX54=TX54)*(TS51:TS54&gt;TS54)),"")</f>
        <v>0</v>
      </c>
      <c r="UA54" s="321">
        <f t="shared" ref="UA54" ca="1" si="15807">IF(TM54&lt;&gt;"",SUMPRODUCT((TX51:TX54=TX54)*(TS51:TS54=TS54)*(TQ51:TQ54&gt;TQ54)),"")</f>
        <v>0</v>
      </c>
      <c r="UB54" s="321">
        <f t="shared" ref="UB54" ca="1" si="15808">IF(TM54&lt;&gt;"",SUMPRODUCT((TX51:TX54=TX54)*(TS51:TS54=TS54)*(TQ51:TQ54=TQ54)*(TU51:TU54&gt;TU54)),"")</f>
        <v>0</v>
      </c>
      <c r="UC54" s="321">
        <f t="shared" ref="UC54" ca="1" si="15809">IF(TM54&lt;&gt;"",SUMPRODUCT((TX51:TX54=TX54)*(TS51:TS54=TS54)*(TQ51:TQ54=TQ54)*(TU51:TU54=TU54)*(TV51:TV54&gt;TV54)),"")</f>
        <v>0</v>
      </c>
      <c r="UD54" s="321">
        <f t="shared" ref="UD54" ca="1" si="15810">IF(TM54&lt;&gt;"",SUMPRODUCT((TX51:TX54=TX54)*(TS51:TS54=TS54)*(TQ51:TQ54=TQ54)*(TU51:TU54=TU54)*(TV51:TV54=TV54)*(TW51:TW54&gt;TW54)),"")</f>
        <v>0</v>
      </c>
      <c r="UE54" s="321">
        <f t="shared" ca="1" si="15211"/>
        <v>1</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f t="shared" ref="ADH54" ca="1" si="15856">IF(ADI14&lt;&gt;"",SUMPRODUCT((ADP11:ADP14=ADP14)*(ADO11:ADO14=ADO14)*(ADM11:ADM14=ADM14)*(ADN11:ADN14=ADN14)),"")</f>
        <v>4</v>
      </c>
      <c r="ADI54" s="321" t="str">
        <f t="shared" ca="1" si="15023"/>
        <v>Spain</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f t="shared" ca="1" si="15030"/>
        <v>0</v>
      </c>
      <c r="ADQ54" s="321">
        <f t="shared" ref="ADQ54" ca="1" si="15862">IF(ADI54&lt;&gt;"",VLOOKUP(ADI54,ACP4:ACV40,7,FALSE),"")</f>
        <v>1000</v>
      </c>
      <c r="ADR54" s="321">
        <f t="shared" ref="ADR54" ca="1" si="15863">IF(ADI54&lt;&gt;"",VLOOKUP(ADI54,ACP4:ACV40,5,FALSE),"")</f>
        <v>0</v>
      </c>
      <c r="ADS54" s="321">
        <f t="shared" ref="ADS54" ca="1" si="15864">IF(ADI54&lt;&gt;"",VLOOKUP(ADI54,ACP4:ACX40,9,FALSE),"")</f>
        <v>51</v>
      </c>
      <c r="ADT54" s="321">
        <f t="shared" ca="1" si="15034"/>
        <v>0</v>
      </c>
      <c r="ADU54" s="321">
        <f t="shared" ref="ADU54" ca="1" si="15865">IF(ADI54&lt;&gt;"",RANK(ADT54,ADT51:ADT54),"")</f>
        <v>1</v>
      </c>
      <c r="ADV54" s="321">
        <f t="shared" ref="ADV54" ca="1" si="15866">IF(ADI54&lt;&gt;"",SUMPRODUCT((ADT51:ADT54=ADT54)*(ADO51:ADO54&gt;ADO54)),"")</f>
        <v>0</v>
      </c>
      <c r="ADW54" s="321">
        <f t="shared" ref="ADW54" ca="1" si="15867">IF(ADI54&lt;&gt;"",SUMPRODUCT((ADT51:ADT54=ADT54)*(ADO51:ADO54=ADO54)*(ADM51:ADM54&gt;ADM54)),"")</f>
        <v>0</v>
      </c>
      <c r="ADX54" s="321">
        <f t="shared" ref="ADX54" ca="1" si="15868">IF(ADI54&lt;&gt;"",SUMPRODUCT((ADT51:ADT54=ADT54)*(ADO51:ADO54=ADO54)*(ADM51:ADM54=ADM54)*(ADQ51:ADQ54&gt;ADQ54)),"")</f>
        <v>0</v>
      </c>
      <c r="ADY54" s="321">
        <f t="shared" ref="ADY54" ca="1" si="15869">IF(ADI54&lt;&gt;"",SUMPRODUCT((ADT51:ADT54=ADT54)*(ADO51:ADO54=ADO54)*(ADM51:ADM54=ADM54)*(ADQ51:ADQ54=ADQ54)*(ADR51:ADR54&gt;ADR54)),"")</f>
        <v>0</v>
      </c>
      <c r="ADZ54" s="321">
        <f t="shared" ref="ADZ54" ca="1" si="15870">IF(ADI54&lt;&gt;"",SUMPRODUCT((ADT51:ADT54=ADT54)*(ADO51:ADO54=ADO54)*(ADM51:ADM54=ADM54)*(ADQ51:ADQ54=ADQ54)*(ADR51:ADR54=ADR54)*(ADS51:ADS54&gt;ADS54)),"")</f>
        <v>0</v>
      </c>
      <c r="AEA54" s="321">
        <f t="shared" ca="1" si="15283"/>
        <v>1</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f t="shared" ref="AIF54" ca="1" si="15886">IF(AIG14&lt;&gt;"",SUMPRODUCT((AIN11:AIN14=AIN14)*(AIM11:AIM14=AIM14)*(AIK11:AIK14=AIK14)*(AIL11:AIL14=AIL14)),"")</f>
        <v>4</v>
      </c>
      <c r="AIG54" s="321" t="str">
        <f t="shared" ca="1" si="15043"/>
        <v>Spain</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f t="shared" ca="1" si="15050"/>
        <v>0</v>
      </c>
      <c r="AIO54" s="321">
        <f t="shared" ref="AIO54" ca="1" si="15892">IF(AIG54&lt;&gt;"",VLOOKUP(AIG54,AHN4:AHT40,7,FALSE),"")</f>
        <v>1000</v>
      </c>
      <c r="AIP54" s="321">
        <f t="shared" ref="AIP54" ca="1" si="15893">IF(AIG54&lt;&gt;"",VLOOKUP(AIG54,AHN4:AHT40,5,FALSE),"")</f>
        <v>0</v>
      </c>
      <c r="AIQ54" s="321">
        <f t="shared" ref="AIQ54" ca="1" si="15894">IF(AIG54&lt;&gt;"",VLOOKUP(AIG54,AHN4:AHV40,9,FALSE),"")</f>
        <v>51</v>
      </c>
      <c r="AIR54" s="321">
        <f t="shared" ca="1" si="15054"/>
        <v>0</v>
      </c>
      <c r="AIS54" s="321">
        <f t="shared" ref="AIS54" ca="1" si="15895">IF(AIG54&lt;&gt;"",RANK(AIR54,AIR51:AIR54),"")</f>
        <v>1</v>
      </c>
      <c r="AIT54" s="321">
        <f t="shared" ref="AIT54" ca="1" si="15896">IF(AIG54&lt;&gt;"",SUMPRODUCT((AIR51:AIR54=AIR54)*(AIM51:AIM54&gt;AIM54)),"")</f>
        <v>0</v>
      </c>
      <c r="AIU54" s="321">
        <f t="shared" ref="AIU54" ca="1" si="15897">IF(AIG54&lt;&gt;"",SUMPRODUCT((AIR51:AIR54=AIR54)*(AIM51:AIM54=AIM54)*(AIK51:AIK54&gt;AIK54)),"")</f>
        <v>0</v>
      </c>
      <c r="AIV54" s="321">
        <f t="shared" ref="AIV54" ca="1" si="15898">IF(AIG54&lt;&gt;"",SUMPRODUCT((AIR51:AIR54=AIR54)*(AIM51:AIM54=AIM54)*(AIK51:AIK54=AIK54)*(AIO51:AIO54&gt;AIO54)),"")</f>
        <v>0</v>
      </c>
      <c r="AIW54" s="321">
        <f t="shared" ref="AIW54" ca="1" si="15899">IF(AIG54&lt;&gt;"",SUMPRODUCT((AIR51:AIR54=AIR54)*(AIM51:AIM54=AIM54)*(AIK51:AIK54=AIK54)*(AIO51:AIO54=AIO54)*(AIP51:AIP54&gt;AIP54)),"")</f>
        <v>0</v>
      </c>
      <c r="AIX54" s="321">
        <f t="shared" ref="AIX54" ca="1" si="15900">IF(AIG54&lt;&gt;"",SUMPRODUCT((AIR51:AIR54=AIR54)*(AIM51:AIM54=AIM54)*(AIK51:AIK54=AIK54)*(AIO51:AIO54=AIO54)*(AIP51:AIP54=AIP54)*(AIQ51:AIQ54&gt;AIQ54)),"")</f>
        <v>0</v>
      </c>
      <c r="AIY54" s="321">
        <f t="shared" ca="1" si="15319"/>
        <v>1</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363</v>
      </c>
    </row>
    <row r="56" spans="2:955 1033:1467" x14ac:dyDescent="0.2">
      <c r="C56" s="321" t="s">
        <v>364</v>
      </c>
    </row>
    <row r="57" spans="2:955 1033:1467" x14ac:dyDescent="0.2">
      <c r="C57" s="321" t="s">
        <v>365</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366</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f t="shared" ref="ON58" ca="1" si="16054">IF(OO18&lt;&gt;"",SUMPRODUCT((OV18:OV21=OV18)*(OU18:OU21=OU18)*(OS18:OS21=OS18)*(OT18:OT21=OT18)),"")</f>
        <v>4</v>
      </c>
      <c r="OO58" s="321" t="str">
        <f t="shared" ref="OO58:OO61" ca="1" si="16055">IF(AND(ON58&lt;&gt;"",ON58&gt;1),OO18,"")</f>
        <v>Serbia</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f t="shared" ref="OV58:OV61" ca="1" si="16062">IF(OO58&lt;&gt;"",OP58*3+OQ58*1,"")</f>
        <v>0</v>
      </c>
      <c r="OW58" s="321">
        <f t="shared" ref="OW58" ca="1" si="16063">IF(OO58&lt;&gt;"",VLOOKUP(OO58,NV4:OB40,7,FALSE),"")</f>
        <v>1000</v>
      </c>
      <c r="OX58" s="321">
        <f t="shared" ref="OX58" ca="1" si="16064">IF(OO58&lt;&gt;"",VLOOKUP(OO58,NV4:OB40,5,FALSE),"")</f>
        <v>0</v>
      </c>
      <c r="OY58" s="321">
        <f t="shared" ref="OY58" ca="1" si="16065">IF(OO58&lt;&gt;"",VLOOKUP(OO58,NV4:OD40,9,FALSE),"")</f>
        <v>35</v>
      </c>
      <c r="OZ58" s="321">
        <f t="shared" ref="OZ58:OZ61" ca="1" si="16066">OV58</f>
        <v>0</v>
      </c>
      <c r="PA58" s="321">
        <f t="shared" ref="PA58" ca="1" si="16067">IF(OO58&lt;&gt;"",RANK(OZ58,OZ58:OZ61),"")</f>
        <v>1</v>
      </c>
      <c r="PB58" s="321">
        <f t="shared" ref="PB58" ca="1" si="16068">IF(OO58&lt;&gt;"",SUMPRODUCT((OZ58:OZ61=OZ58)*(OU58:OU61&gt;OU58)),"")</f>
        <v>0</v>
      </c>
      <c r="PC58" s="321">
        <f t="shared" ref="PC58" ca="1" si="16069">IF(OO58&lt;&gt;"",SUMPRODUCT((OZ58:OZ61=OZ58)*(OU58:OU61=OU58)*(OS58:OS61&gt;OS58)),"")</f>
        <v>0</v>
      </c>
      <c r="PD58" s="321">
        <f t="shared" ref="PD58" ca="1" si="16070">IF(OO58&lt;&gt;"",SUMPRODUCT((OZ58:OZ61=OZ58)*(OU58:OU61=OU58)*(OS58:OS61=OS58)*(OW58:OW61&gt;OW58)),"")</f>
        <v>0</v>
      </c>
      <c r="PE58" s="321">
        <f t="shared" ref="PE58" ca="1" si="16071">IF(OO58&lt;&gt;"",SUMPRODUCT((OZ58:OZ61=OZ58)*(OU58:OU61=OU58)*(OS58:OS61=OS58)*(OW58:OW61=OW58)*(OX58:OX61&gt;OX58)),"")</f>
        <v>0</v>
      </c>
      <c r="PF58" s="321">
        <f t="shared" ref="PF58" ca="1" si="16072">IF(OO58&lt;&gt;"",SUMPRODUCT((OZ58:OZ61=OZ58)*(OU58:OU61=OU58)*(OS58:OS61=OS58)*(OW58:OW61=OW58)*(OX58:OX61=OX58)*(OY58:OY61&gt;OY58)),"")</f>
        <v>3</v>
      </c>
      <c r="PG58" s="321">
        <f t="shared" ref="PG58:PG61" ca="1" si="16073">IF(OO58&lt;&gt;"",SUM(PA58:PF58),"")</f>
        <v>4</v>
      </c>
      <c r="TA58" s="321">
        <f ca="1">SUMPRODUCT((TA18:TA21=TA18)*(SZ18:SZ21=SZ18)*(SX18:SX21&gt;SX18))+1</f>
        <v>1</v>
      </c>
      <c r="TL58" s="321">
        <f t="shared" ref="TL58" ca="1" si="16074">IF(TM18&lt;&gt;"",SUMPRODUCT((TT18:TT21=TT18)*(TS18:TS21=TS18)*(TQ18:TQ21=TQ18)*(TR18:TR21=TR18)),"")</f>
        <v>4</v>
      </c>
      <c r="TM58" s="321" t="str">
        <f t="shared" ref="TM58:TM61" ca="1" si="16075">IF(AND(TL58&lt;&gt;"",TL58&gt;1),TM18,"")</f>
        <v>Serbia</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f t="shared" ref="TT58:TT61" ca="1" si="16082">IF(TM58&lt;&gt;"",TN58*3+TO58*1,"")</f>
        <v>0</v>
      </c>
      <c r="TU58" s="321">
        <f t="shared" ref="TU58" ca="1" si="16083">IF(TM58&lt;&gt;"",VLOOKUP(TM58,ST4:SZ40,7,FALSE),"")</f>
        <v>1000</v>
      </c>
      <c r="TV58" s="321">
        <f t="shared" ref="TV58" ca="1" si="16084">IF(TM58&lt;&gt;"",VLOOKUP(TM58,ST4:SZ40,5,FALSE),"")</f>
        <v>0</v>
      </c>
      <c r="TW58" s="321">
        <f t="shared" ref="TW58" ca="1" si="16085">IF(TM58&lt;&gt;"",VLOOKUP(TM58,ST4:TB40,9,FALSE),"")</f>
        <v>35</v>
      </c>
      <c r="TX58" s="321">
        <f t="shared" ref="TX58:TX61" ca="1" si="16086">TT58</f>
        <v>0</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0</v>
      </c>
      <c r="UC58" s="321">
        <f t="shared" ref="UC58" ca="1" si="16091">IF(TM58&lt;&gt;"",SUMPRODUCT((TX58:TX61=TX58)*(TS58:TS61=TS58)*(TQ58:TQ61=TQ58)*(TU58:TU61=TU58)*(TV58:TV61&gt;TV58)),"")</f>
        <v>0</v>
      </c>
      <c r="UD58" s="321">
        <f t="shared" ref="UD58" ca="1" si="16092">IF(TM58&lt;&gt;"",SUMPRODUCT((TX58:TX61=TX58)*(TS58:TS61=TS58)*(TQ58:TQ61=TQ58)*(TU58:TU61=TU58)*(TV58:TV61=TV58)*(TW58:TW61&gt;TW58)),"")</f>
        <v>3</v>
      </c>
      <c r="UE58" s="321">
        <f t="shared" ref="UE58:UE61" ca="1" si="16093">IF(TM58&lt;&gt;"",SUM(TY58:UD58),"")</f>
        <v>4</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f t="shared" ref="ADH58" ca="1" si="16114">IF(ADI18&lt;&gt;"",SUMPRODUCT((ADP18:ADP21=ADP18)*(ADO18:ADO21=ADO18)*(ADM18:ADM21=ADM18)*(ADN18:ADN21=ADN18)),"")</f>
        <v>4</v>
      </c>
      <c r="ADI58" s="321" t="str">
        <f t="shared" ref="ADI58:ADI61" ca="1" si="16115">IF(AND(ADH58&lt;&gt;"",ADH58&gt;1),ADI18,"")</f>
        <v>Serbia</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f t="shared" ref="ADP58:ADP61" ca="1" si="16122">IF(ADI58&lt;&gt;"",ADJ58*3+ADK58*1,"")</f>
        <v>0</v>
      </c>
      <c r="ADQ58" s="321">
        <f t="shared" ref="ADQ58" ca="1" si="16123">IF(ADI58&lt;&gt;"",VLOOKUP(ADI58,ACP4:ACV40,7,FALSE),"")</f>
        <v>1000</v>
      </c>
      <c r="ADR58" s="321">
        <f t="shared" ref="ADR58" ca="1" si="16124">IF(ADI58&lt;&gt;"",VLOOKUP(ADI58,ACP4:ACV40,5,FALSE),"")</f>
        <v>0</v>
      </c>
      <c r="ADS58" s="321">
        <f t="shared" ref="ADS58" ca="1" si="16125">IF(ADI58&lt;&gt;"",VLOOKUP(ADI58,ACP4:ACX40,9,FALSE),"")</f>
        <v>35</v>
      </c>
      <c r="ADT58" s="321">
        <f t="shared" ref="ADT58:ADT61" ca="1" si="16126">ADP58</f>
        <v>0</v>
      </c>
      <c r="ADU58" s="321">
        <f t="shared" ref="ADU58" ca="1" si="16127">IF(ADI58&lt;&gt;"",RANK(ADT58,ADT58:ADT61),"")</f>
        <v>1</v>
      </c>
      <c r="ADV58" s="321">
        <f t="shared" ref="ADV58" ca="1" si="16128">IF(ADI58&lt;&gt;"",SUMPRODUCT((ADT58:ADT61=ADT58)*(ADO58:ADO61&gt;ADO58)),"")</f>
        <v>0</v>
      </c>
      <c r="ADW58" s="321">
        <f t="shared" ref="ADW58" ca="1" si="16129">IF(ADI58&lt;&gt;"",SUMPRODUCT((ADT58:ADT61=ADT58)*(ADO58:ADO61=ADO58)*(ADM58:ADM61&gt;ADM58)),"")</f>
        <v>0</v>
      </c>
      <c r="ADX58" s="321">
        <f t="shared" ref="ADX58" ca="1" si="16130">IF(ADI58&lt;&gt;"",SUMPRODUCT((ADT58:ADT61=ADT58)*(ADO58:ADO61=ADO58)*(ADM58:ADM61=ADM58)*(ADQ58:ADQ61&gt;ADQ58)),"")</f>
        <v>0</v>
      </c>
      <c r="ADY58" s="321">
        <f t="shared" ref="ADY58" ca="1" si="16131">IF(ADI58&lt;&gt;"",SUMPRODUCT((ADT58:ADT61=ADT58)*(ADO58:ADO61=ADO58)*(ADM58:ADM61=ADM58)*(ADQ58:ADQ61=ADQ58)*(ADR58:ADR61&gt;ADR58)),"")</f>
        <v>0</v>
      </c>
      <c r="ADZ58" s="321">
        <f t="shared" ref="ADZ58" ca="1" si="16132">IF(ADI58&lt;&gt;"",SUMPRODUCT((ADT58:ADT61=ADT58)*(ADO58:ADO61=ADO58)*(ADM58:ADM61=ADM58)*(ADQ58:ADQ61=ADQ58)*(ADR58:ADR61=ADR58)*(ADS58:ADS61&gt;ADS58)),"")</f>
        <v>3</v>
      </c>
      <c r="AEA58" s="321">
        <f t="shared" ref="AEA58:AEA61" ca="1" si="16133">IF(ADI58&lt;&gt;"",SUM(ADU58:ADZ58),"")</f>
        <v>4</v>
      </c>
      <c r="AHU58" s="321">
        <f ca="1">SUMPRODUCT((AHU18:AHU21=AHU18)*(AHT18:AHT21=AHT18)*(AHR18:AHR21&gt;AHR18))+1</f>
        <v>1</v>
      </c>
      <c r="AIF58" s="321">
        <f t="shared" ref="AIF58" ca="1" si="16134">IF(AIG18&lt;&gt;"",SUMPRODUCT((AIN18:AIN21=AIN18)*(AIM18:AIM21=AIM18)*(AIK18:AIK21=AIK18)*(AIL18:AIL21=AIL18)),"")</f>
        <v>4</v>
      </c>
      <c r="AIG58" s="321" t="str">
        <f t="shared" ref="AIG58:AIG61" ca="1" si="16135">IF(AND(AIF58&lt;&gt;"",AIF58&gt;1),AIG18,"")</f>
        <v>Serbia</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f t="shared" ref="AIN58:AIN61" ca="1" si="16142">IF(AIG58&lt;&gt;"",AIH58*3+AII58*1,"")</f>
        <v>0</v>
      </c>
      <c r="AIO58" s="321">
        <f t="shared" ref="AIO58" ca="1" si="16143">IF(AIG58&lt;&gt;"",VLOOKUP(AIG58,AHN4:AHT40,7,FALSE),"")</f>
        <v>1000</v>
      </c>
      <c r="AIP58" s="321">
        <f t="shared" ref="AIP58" ca="1" si="16144">IF(AIG58&lt;&gt;"",VLOOKUP(AIG58,AHN4:AHT40,5,FALSE),"")</f>
        <v>0</v>
      </c>
      <c r="AIQ58" s="321">
        <f t="shared" ref="AIQ58" ca="1" si="16145">IF(AIG58&lt;&gt;"",VLOOKUP(AIG58,AHN4:AHV40,9,FALSE),"")</f>
        <v>35</v>
      </c>
      <c r="AIR58" s="321">
        <f t="shared" ref="AIR58:AIR61" ca="1" si="16146">AIN58</f>
        <v>0</v>
      </c>
      <c r="AIS58" s="321">
        <f t="shared" ref="AIS58" ca="1" si="16147">IF(AIG58&lt;&gt;"",RANK(AIR58,AIR58:AIR61),"")</f>
        <v>1</v>
      </c>
      <c r="AIT58" s="321">
        <f t="shared" ref="AIT58" ca="1" si="16148">IF(AIG58&lt;&gt;"",SUMPRODUCT((AIR58:AIR61=AIR58)*(AIM58:AIM61&gt;AIM58)),"")</f>
        <v>0</v>
      </c>
      <c r="AIU58" s="321">
        <f t="shared" ref="AIU58" ca="1" si="16149">IF(AIG58&lt;&gt;"",SUMPRODUCT((AIR58:AIR61=AIR58)*(AIM58:AIM61=AIM58)*(AIK58:AIK61&gt;AIK58)),"")</f>
        <v>0</v>
      </c>
      <c r="AIV58" s="321">
        <f t="shared" ref="AIV58" ca="1" si="16150">IF(AIG58&lt;&gt;"",SUMPRODUCT((AIR58:AIR61=AIR58)*(AIM58:AIM61=AIM58)*(AIK58:AIK61=AIK58)*(AIO58:AIO61&gt;AIO58)),"")</f>
        <v>0</v>
      </c>
      <c r="AIW58" s="321">
        <f t="shared" ref="AIW58" ca="1" si="16151">IF(AIG58&lt;&gt;"",SUMPRODUCT((AIR58:AIR61=AIR58)*(AIM58:AIM61=AIM58)*(AIK58:AIK61=AIK58)*(AIO58:AIO61=AIO58)*(AIP58:AIP61&gt;AIP58)),"")</f>
        <v>0</v>
      </c>
      <c r="AIX58" s="321">
        <f t="shared" ref="AIX58" ca="1" si="16152">IF(AIG58&lt;&gt;"",SUMPRODUCT((AIR58:AIR61=AIR58)*(AIM58:AIM61=AIM58)*(AIK58:AIK61=AIK58)*(AIO58:AIO61=AIO58)*(AIP58:AIP61=AIP58)*(AIQ58:AIQ61&gt;AIQ58)),"")</f>
        <v>3</v>
      </c>
      <c r="AIY58" s="321">
        <f t="shared" ref="AIY58:AIY61" ca="1" si="16153">IF(AIG58&lt;&gt;"",SUM(AIS58:AIX58),"")</f>
        <v>4</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367</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f t="shared" ref="ON59" ca="1" si="16252">IF(OO19&lt;&gt;"",SUMPRODUCT((OV18:OV21=OV19)*(OU18:OU21=OU19)*(OS18:OS21=OS19)*(OT18:OT21=OT19)),"")</f>
        <v>4</v>
      </c>
      <c r="OO59" s="321" t="str">
        <f t="shared" ca="1" si="16055"/>
        <v>Slovenia</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f t="shared" ca="1" si="16062"/>
        <v>0</v>
      </c>
      <c r="OW59" s="321">
        <f t="shared" ref="OW59" ca="1" si="16258">IF(OO59&lt;&gt;"",VLOOKUP(OO59,NV4:OB40,7,FALSE),"")</f>
        <v>1000</v>
      </c>
      <c r="OX59" s="321">
        <f t="shared" ref="OX59" ca="1" si="16259">IF(OO59&lt;&gt;"",VLOOKUP(OO59,NV4:OB40,5,FALSE),"")</f>
        <v>0</v>
      </c>
      <c r="OY59" s="321">
        <f t="shared" ref="OY59" ca="1" si="16260">IF(OO59&lt;&gt;"",VLOOKUP(OO59,NV4:OD40,9,FALSE),"")</f>
        <v>39</v>
      </c>
      <c r="OZ59" s="321">
        <f t="shared" ca="1" si="16066"/>
        <v>0</v>
      </c>
      <c r="PA59" s="321">
        <f t="shared" ref="PA59" ca="1" si="16261">IF(OO59&lt;&gt;"",RANK(OZ59,OZ58:OZ61),"")</f>
        <v>1</v>
      </c>
      <c r="PB59" s="321">
        <f t="shared" ref="PB59" ca="1" si="16262">IF(OO59&lt;&gt;"",SUMPRODUCT((OZ58:OZ61=OZ59)*(OU58:OU61&gt;OU59)),"")</f>
        <v>0</v>
      </c>
      <c r="PC59" s="321">
        <f t="shared" ref="PC59" ca="1" si="16263">IF(OO59&lt;&gt;"",SUMPRODUCT((OZ58:OZ61=OZ59)*(OU58:OU61=OU59)*(OS58:OS61&gt;OS59)),"")</f>
        <v>0</v>
      </c>
      <c r="PD59" s="321">
        <f t="shared" ref="PD59" ca="1" si="16264">IF(OO59&lt;&gt;"",SUMPRODUCT((OZ58:OZ61=OZ59)*(OU58:OU61=OU59)*(OS58:OS61=OS59)*(OW58:OW61&gt;OW59)),"")</f>
        <v>0</v>
      </c>
      <c r="PE59" s="321">
        <f t="shared" ref="PE59" ca="1" si="16265">IF(OO59&lt;&gt;"",SUMPRODUCT((OZ58:OZ61=OZ59)*(OU58:OU61=OU59)*(OS58:OS61=OS59)*(OW58:OW61=OW59)*(OX58:OX61&gt;OX59)),"")</f>
        <v>0</v>
      </c>
      <c r="PF59" s="321">
        <f t="shared" ref="PF59" ca="1" si="16266">IF(OO59&lt;&gt;"",SUMPRODUCT((OZ58:OZ61=OZ59)*(OU58:OU61=OU59)*(OS58:OS61=OS59)*(OW58:OW61=OW59)*(OX58:OX61=OX59)*(OY58:OY61&gt;OY59)),"")</f>
        <v>2</v>
      </c>
      <c r="PG59" s="321">
        <f t="shared" ca="1" si="16073"/>
        <v>3</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4</v>
      </c>
      <c r="TM59" s="321" t="str">
        <f t="shared" ca="1" si="16075"/>
        <v>Slovenia</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f t="shared" ca="1" si="16082"/>
        <v>0</v>
      </c>
      <c r="TU59" s="321">
        <f t="shared" ref="TU59" ca="1" si="16293">IF(TM59&lt;&gt;"",VLOOKUP(TM59,ST4:SZ40,7,FALSE),"")</f>
        <v>1000</v>
      </c>
      <c r="TV59" s="321">
        <f t="shared" ref="TV59" ca="1" si="16294">IF(TM59&lt;&gt;"",VLOOKUP(TM59,ST4:SZ40,5,FALSE),"")</f>
        <v>0</v>
      </c>
      <c r="TW59" s="321">
        <f t="shared" ref="TW59" ca="1" si="16295">IF(TM59&lt;&gt;"",VLOOKUP(TM59,ST4:TB40,9,FALSE),"")</f>
        <v>39</v>
      </c>
      <c r="TX59" s="321">
        <f t="shared" ca="1" si="16086"/>
        <v>0</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2</v>
      </c>
      <c r="UE59" s="321">
        <f t="shared" ca="1" si="16093"/>
        <v>3</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f t="shared" ref="ADH59" ca="1" si="16357">IF(ADI19&lt;&gt;"",SUMPRODUCT((ADP18:ADP21=ADP19)*(ADO18:ADO21=ADO19)*(ADM18:ADM21=ADM19)*(ADN18:ADN21=ADN19)),"")</f>
        <v>4</v>
      </c>
      <c r="ADI59" s="321" t="str">
        <f t="shared" ca="1" si="16115"/>
        <v>Slovenia</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f t="shared" ca="1" si="16122"/>
        <v>0</v>
      </c>
      <c r="ADQ59" s="321">
        <f t="shared" ref="ADQ59" ca="1" si="16363">IF(ADI59&lt;&gt;"",VLOOKUP(ADI59,ACP4:ACV40,7,FALSE),"")</f>
        <v>1000</v>
      </c>
      <c r="ADR59" s="321">
        <f t="shared" ref="ADR59" ca="1" si="16364">IF(ADI59&lt;&gt;"",VLOOKUP(ADI59,ACP4:ACV40,5,FALSE),"")</f>
        <v>0</v>
      </c>
      <c r="ADS59" s="321">
        <f t="shared" ref="ADS59" ca="1" si="16365">IF(ADI59&lt;&gt;"",VLOOKUP(ADI59,ACP4:ACX40,9,FALSE),"")</f>
        <v>39</v>
      </c>
      <c r="ADT59" s="321">
        <f t="shared" ca="1" si="16126"/>
        <v>0</v>
      </c>
      <c r="ADU59" s="321">
        <f t="shared" ref="ADU59" ca="1" si="16366">IF(ADI59&lt;&gt;"",RANK(ADT59,ADT58:ADT61),"")</f>
        <v>1</v>
      </c>
      <c r="ADV59" s="321">
        <f t="shared" ref="ADV59" ca="1" si="16367">IF(ADI59&lt;&gt;"",SUMPRODUCT((ADT58:ADT61=ADT59)*(ADO58:ADO61&gt;ADO59)),"")</f>
        <v>0</v>
      </c>
      <c r="ADW59" s="321">
        <f t="shared" ref="ADW59" ca="1" si="16368">IF(ADI59&lt;&gt;"",SUMPRODUCT((ADT58:ADT61=ADT59)*(ADO58:ADO61=ADO59)*(ADM58:ADM61&gt;ADM59)),"")</f>
        <v>0</v>
      </c>
      <c r="ADX59" s="321">
        <f t="shared" ref="ADX59" ca="1" si="16369">IF(ADI59&lt;&gt;"",SUMPRODUCT((ADT58:ADT61=ADT59)*(ADO58:ADO61=ADO59)*(ADM58:ADM61=ADM59)*(ADQ58:ADQ61&gt;ADQ59)),"")</f>
        <v>0</v>
      </c>
      <c r="ADY59" s="321">
        <f t="shared" ref="ADY59" ca="1" si="16370">IF(ADI59&lt;&gt;"",SUMPRODUCT((ADT58:ADT61=ADT59)*(ADO58:ADO61=ADO59)*(ADM58:ADM61=ADM59)*(ADQ58:ADQ61=ADQ59)*(ADR58:ADR61&gt;ADR59)),"")</f>
        <v>0</v>
      </c>
      <c r="ADZ59" s="321">
        <f t="shared" ref="ADZ59" ca="1" si="16371">IF(ADI59&lt;&gt;"",SUMPRODUCT((ADT58:ADT61=ADT59)*(ADO58:ADO61=ADO59)*(ADM58:ADM61=ADM59)*(ADQ58:ADQ61=ADQ59)*(ADR58:ADR61=ADR59)*(ADS58:ADS61&gt;ADS59)),"")</f>
        <v>2</v>
      </c>
      <c r="AEA59" s="321">
        <f t="shared" ca="1" si="16133"/>
        <v>3</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f t="shared" ref="AIF59" ca="1" si="16392">IF(AIG19&lt;&gt;"",SUMPRODUCT((AIN18:AIN21=AIN19)*(AIM18:AIM21=AIM19)*(AIK18:AIK21=AIK19)*(AIL18:AIL21=AIL19)),"")</f>
        <v>4</v>
      </c>
      <c r="AIG59" s="321" t="str">
        <f t="shared" ca="1" si="16135"/>
        <v>Slovenia</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f t="shared" ca="1" si="16142"/>
        <v>0</v>
      </c>
      <c r="AIO59" s="321">
        <f t="shared" ref="AIO59" ca="1" si="16398">IF(AIG59&lt;&gt;"",VLOOKUP(AIG59,AHN4:AHT40,7,FALSE),"")</f>
        <v>1000</v>
      </c>
      <c r="AIP59" s="321">
        <f t="shared" ref="AIP59" ca="1" si="16399">IF(AIG59&lt;&gt;"",VLOOKUP(AIG59,AHN4:AHT40,5,FALSE),"")</f>
        <v>0</v>
      </c>
      <c r="AIQ59" s="321">
        <f t="shared" ref="AIQ59" ca="1" si="16400">IF(AIG59&lt;&gt;"",VLOOKUP(AIG59,AHN4:AHV40,9,FALSE),"")</f>
        <v>39</v>
      </c>
      <c r="AIR59" s="321">
        <f t="shared" ca="1" si="16146"/>
        <v>0</v>
      </c>
      <c r="AIS59" s="321">
        <f t="shared" ref="AIS59" ca="1" si="16401">IF(AIG59&lt;&gt;"",RANK(AIR59,AIR58:AIR61),"")</f>
        <v>1</v>
      </c>
      <c r="AIT59" s="321">
        <f t="shared" ref="AIT59" ca="1" si="16402">IF(AIG59&lt;&gt;"",SUMPRODUCT((AIR58:AIR61=AIR59)*(AIM58:AIM61&gt;AIM59)),"")</f>
        <v>0</v>
      </c>
      <c r="AIU59" s="321">
        <f t="shared" ref="AIU59" ca="1" si="16403">IF(AIG59&lt;&gt;"",SUMPRODUCT((AIR58:AIR61=AIR59)*(AIM58:AIM61=AIM59)*(AIK58:AIK61&gt;AIK59)),"")</f>
        <v>0</v>
      </c>
      <c r="AIV59" s="321">
        <f t="shared" ref="AIV59" ca="1" si="16404">IF(AIG59&lt;&gt;"",SUMPRODUCT((AIR58:AIR61=AIR59)*(AIM58:AIM61=AIM59)*(AIK58:AIK61=AIK59)*(AIO58:AIO61&gt;AIO59)),"")</f>
        <v>0</v>
      </c>
      <c r="AIW59" s="321">
        <f t="shared" ref="AIW59" ca="1" si="16405">IF(AIG59&lt;&gt;"",SUMPRODUCT((AIR58:AIR61=AIR59)*(AIM58:AIM61=AIM59)*(AIK58:AIK61=AIK59)*(AIO58:AIO61=AIO59)*(AIP58:AIP61&gt;AIP59)),"")</f>
        <v>0</v>
      </c>
      <c r="AIX59" s="321">
        <f t="shared" ref="AIX59" ca="1" si="16406">IF(AIG59&lt;&gt;"",SUMPRODUCT((AIR58:AIR61=AIR59)*(AIM58:AIM61=AIM59)*(AIK58:AIK61=AIK59)*(AIO58:AIO61=AIO59)*(AIP58:AIP61=AIP59)*(AIQ58:AIQ61&gt;AIQ59)),"")</f>
        <v>2</v>
      </c>
      <c r="AIY59" s="321">
        <f t="shared" ca="1" si="16153"/>
        <v>3</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f t="shared" ref="ON60" ca="1" si="16570">IF(OO20&lt;&gt;"",SUMPRODUCT((OV18:OV21=OV20)*(OU18:OU21=OU20)*(OS18:OS21=OS20)*(OT18:OT21=OT20)),"")</f>
        <v>4</v>
      </c>
      <c r="OO60" s="321" t="str">
        <f t="shared" ca="1" si="16055"/>
        <v>Denmark</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f t="shared" ca="1" si="16062"/>
        <v>0</v>
      </c>
      <c r="OW60" s="321">
        <f t="shared" ref="OW60" ca="1" si="16576">IF(OO60&lt;&gt;"",VLOOKUP(OO60,NV4:OB40,7,FALSE),"")</f>
        <v>1000</v>
      </c>
      <c r="OX60" s="321">
        <f t="shared" ref="OX60" ca="1" si="16577">IF(OO60&lt;&gt;"",VLOOKUP(OO60,NV4:OB40,5,FALSE),"")</f>
        <v>0</v>
      </c>
      <c r="OY60" s="321">
        <f t="shared" ref="OY60" ca="1" si="16578">IF(OO60&lt;&gt;"",VLOOKUP(OO60,NV4:OD40,9,FALSE),"")</f>
        <v>45</v>
      </c>
      <c r="OZ60" s="321">
        <f t="shared" ca="1" si="16066"/>
        <v>0</v>
      </c>
      <c r="PA60" s="321">
        <f t="shared" ref="PA60" ca="1" si="16579">IF(OO60&lt;&gt;"",RANK(OZ60,OZ58:OZ61),"")</f>
        <v>1</v>
      </c>
      <c r="PB60" s="321">
        <f t="shared" ref="PB60" ca="1" si="16580">IF(OO60&lt;&gt;"",SUMPRODUCT((OZ58:OZ61=OZ60)*(OU58:OU61&gt;OU60)),"")</f>
        <v>0</v>
      </c>
      <c r="PC60" s="321">
        <f t="shared" ref="PC60" ca="1" si="16581">IF(OO60&lt;&gt;"",SUMPRODUCT((OZ58:OZ61=OZ60)*(OU58:OU61=OU60)*(OS58:OS61&gt;OS60)),"")</f>
        <v>0</v>
      </c>
      <c r="PD60" s="321">
        <f t="shared" ref="PD60" ca="1" si="16582">IF(OO60&lt;&gt;"",SUMPRODUCT((OZ58:OZ61=OZ60)*(OU58:OU61=OU60)*(OS58:OS61=OS60)*(OW58:OW61&gt;OW60)),"")</f>
        <v>0</v>
      </c>
      <c r="PE60" s="321">
        <f t="shared" ref="PE60" ca="1" si="16583">IF(OO60&lt;&gt;"",SUMPRODUCT((OZ58:OZ61=OZ60)*(OU58:OU61=OU60)*(OS58:OS61=OS60)*(OW58:OW61=OW60)*(OX58:OX61&gt;OX60)),"")</f>
        <v>0</v>
      </c>
      <c r="PF60" s="321">
        <f t="shared" ref="PF60" ca="1" si="16584">IF(OO60&lt;&gt;"",SUMPRODUCT((OZ58:OZ61=OZ60)*(OU58:OU61=OU60)*(OS58:OS61=OS60)*(OW58:OW61=OW60)*(OX58:OX61=OX60)*(OY58:OY61&gt;OY60)),"")</f>
        <v>1</v>
      </c>
      <c r="PG60" s="321">
        <f t="shared" ca="1" si="16073"/>
        <v>2</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f t="shared" ref="TL60" ca="1" si="16601">IF(TM20&lt;&gt;"",SUMPRODUCT((TT18:TT21=TT20)*(TS18:TS21=TS20)*(TQ18:TQ21=TQ20)*(TR18:TR21=TR20)),"")</f>
        <v>4</v>
      </c>
      <c r="TM60" s="321" t="str">
        <f t="shared" ca="1" si="16075"/>
        <v>Denmark</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f t="shared" ca="1" si="16082"/>
        <v>0</v>
      </c>
      <c r="TU60" s="321">
        <f t="shared" ref="TU60" ca="1" si="16607">IF(TM60&lt;&gt;"",VLOOKUP(TM60,ST4:SZ40,7,FALSE),"")</f>
        <v>1000</v>
      </c>
      <c r="TV60" s="321">
        <f t="shared" ref="TV60" ca="1" si="16608">IF(TM60&lt;&gt;"",VLOOKUP(TM60,ST4:SZ40,5,FALSE),"")</f>
        <v>0</v>
      </c>
      <c r="TW60" s="321">
        <f t="shared" ref="TW60" ca="1" si="16609">IF(TM60&lt;&gt;"",VLOOKUP(TM60,ST4:TB40,9,FALSE),"")</f>
        <v>45</v>
      </c>
      <c r="TX60" s="321">
        <f t="shared" ca="1" si="16086"/>
        <v>0</v>
      </c>
      <c r="TY60" s="321">
        <f t="shared" ref="TY60" ca="1" si="16610">IF(TM60&lt;&gt;"",RANK(TX60,TX58:TX61),"")</f>
        <v>1</v>
      </c>
      <c r="TZ60" s="321">
        <f t="shared" ref="TZ60" ca="1" si="16611">IF(TM60&lt;&gt;"",SUMPRODUCT((TX58:TX61=TX60)*(TS58:TS61&gt;TS60)),"")</f>
        <v>0</v>
      </c>
      <c r="UA60" s="321">
        <f t="shared" ref="UA60" ca="1" si="16612">IF(TM60&lt;&gt;"",SUMPRODUCT((TX58:TX61=TX60)*(TS58:TS61=TS60)*(TQ58:TQ61&gt;TQ60)),"")</f>
        <v>0</v>
      </c>
      <c r="UB60" s="321">
        <f t="shared" ref="UB60" ca="1" si="16613">IF(TM60&lt;&gt;"",SUMPRODUCT((TX58:TX61=TX60)*(TS58:TS61=TS60)*(TQ58:TQ61=TQ60)*(TU58:TU61&gt;TU60)),"")</f>
        <v>0</v>
      </c>
      <c r="UC60" s="321">
        <f t="shared" ref="UC60" ca="1" si="16614">IF(TM60&lt;&gt;"",SUMPRODUCT((TX58:TX61=TX60)*(TS58:TS61=TS60)*(TQ58:TQ61=TQ60)*(TU58:TU61=TU60)*(TV58:TV61&gt;TV60)),"")</f>
        <v>0</v>
      </c>
      <c r="UD60" s="321">
        <f t="shared" ref="UD60" ca="1" si="16615">IF(TM60&lt;&gt;"",SUMPRODUCT((TX58:TX61=TX60)*(TS58:TS61=TS60)*(TQ58:TQ61=TQ60)*(TU58:TU61=TU60)*(TV58:TV61=TV60)*(TW58:TW61&gt;TW60)),"")</f>
        <v>1</v>
      </c>
      <c r="UE60" s="321">
        <f t="shared" ca="1" si="16093"/>
        <v>2</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f t="shared" ref="ADH60" ca="1" si="16663">IF(ADI20&lt;&gt;"",SUMPRODUCT((ADP18:ADP21=ADP20)*(ADO18:ADO21=ADO20)*(ADM18:ADM21=ADM20)*(ADN18:ADN21=ADN20)),"")</f>
        <v>4</v>
      </c>
      <c r="ADI60" s="321" t="str">
        <f t="shared" ca="1" si="16115"/>
        <v>Denmark</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f t="shared" ca="1" si="16122"/>
        <v>0</v>
      </c>
      <c r="ADQ60" s="321">
        <f t="shared" ref="ADQ60" ca="1" si="16669">IF(ADI60&lt;&gt;"",VLOOKUP(ADI60,ACP4:ACV40,7,FALSE),"")</f>
        <v>1000</v>
      </c>
      <c r="ADR60" s="321">
        <f t="shared" ref="ADR60" ca="1" si="16670">IF(ADI60&lt;&gt;"",VLOOKUP(ADI60,ACP4:ACV40,5,FALSE),"")</f>
        <v>0</v>
      </c>
      <c r="ADS60" s="321">
        <f t="shared" ref="ADS60" ca="1" si="16671">IF(ADI60&lt;&gt;"",VLOOKUP(ADI60,ACP4:ACX40,9,FALSE),"")</f>
        <v>45</v>
      </c>
      <c r="ADT60" s="321">
        <f t="shared" ca="1" si="16126"/>
        <v>0</v>
      </c>
      <c r="ADU60" s="321">
        <f t="shared" ref="ADU60" ca="1" si="16672">IF(ADI60&lt;&gt;"",RANK(ADT60,ADT58:ADT61),"")</f>
        <v>1</v>
      </c>
      <c r="ADV60" s="321">
        <f t="shared" ref="ADV60" ca="1" si="16673">IF(ADI60&lt;&gt;"",SUMPRODUCT((ADT58:ADT61=ADT60)*(ADO58:ADO61&gt;ADO60)),"")</f>
        <v>0</v>
      </c>
      <c r="ADW60" s="321">
        <f t="shared" ref="ADW60" ca="1" si="16674">IF(ADI60&lt;&gt;"",SUMPRODUCT((ADT58:ADT61=ADT60)*(ADO58:ADO61=ADO60)*(ADM58:ADM61&gt;ADM60)),"")</f>
        <v>0</v>
      </c>
      <c r="ADX60" s="321">
        <f t="shared" ref="ADX60" ca="1" si="16675">IF(ADI60&lt;&gt;"",SUMPRODUCT((ADT58:ADT61=ADT60)*(ADO58:ADO61=ADO60)*(ADM58:ADM61=ADM60)*(ADQ58:ADQ61&gt;ADQ60)),"")</f>
        <v>0</v>
      </c>
      <c r="ADY60" s="321">
        <f t="shared" ref="ADY60" ca="1" si="16676">IF(ADI60&lt;&gt;"",SUMPRODUCT((ADT58:ADT61=ADT60)*(ADO58:ADO61=ADO60)*(ADM58:ADM61=ADM60)*(ADQ58:ADQ61=ADQ60)*(ADR58:ADR61&gt;ADR60)),"")</f>
        <v>0</v>
      </c>
      <c r="ADZ60" s="321">
        <f t="shared" ref="ADZ60" ca="1" si="16677">IF(ADI60&lt;&gt;"",SUMPRODUCT((ADT58:ADT61=ADT60)*(ADO58:ADO61=ADO60)*(ADM58:ADM61=ADM60)*(ADQ58:ADQ61=ADQ60)*(ADR58:ADR61=ADR60)*(ADS58:ADS61&gt;ADS60)),"")</f>
        <v>1</v>
      </c>
      <c r="AEA60" s="321">
        <f t="shared" ca="1" si="16133"/>
        <v>2</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f t="shared" ref="AIF60" ca="1" si="16694">IF(AIG20&lt;&gt;"",SUMPRODUCT((AIN18:AIN21=AIN20)*(AIM18:AIM21=AIM20)*(AIK18:AIK21=AIK20)*(AIL18:AIL21=AIL20)),"")</f>
        <v>4</v>
      </c>
      <c r="AIG60" s="321" t="str">
        <f t="shared" ca="1" si="16135"/>
        <v>Denmark</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f t="shared" ca="1" si="16142"/>
        <v>0</v>
      </c>
      <c r="AIO60" s="321">
        <f t="shared" ref="AIO60" ca="1" si="16700">IF(AIG60&lt;&gt;"",VLOOKUP(AIG60,AHN4:AHT40,7,FALSE),"")</f>
        <v>1000</v>
      </c>
      <c r="AIP60" s="321">
        <f t="shared" ref="AIP60" ca="1" si="16701">IF(AIG60&lt;&gt;"",VLOOKUP(AIG60,AHN4:AHT40,5,FALSE),"")</f>
        <v>0</v>
      </c>
      <c r="AIQ60" s="321">
        <f t="shared" ref="AIQ60" ca="1" si="16702">IF(AIG60&lt;&gt;"",VLOOKUP(AIG60,AHN4:AHV40,9,FALSE),"")</f>
        <v>45</v>
      </c>
      <c r="AIR60" s="321">
        <f t="shared" ca="1" si="16146"/>
        <v>0</v>
      </c>
      <c r="AIS60" s="321">
        <f t="shared" ref="AIS60" ca="1" si="16703">IF(AIG60&lt;&gt;"",RANK(AIR60,AIR58:AIR61),"")</f>
        <v>1</v>
      </c>
      <c r="AIT60" s="321">
        <f t="shared" ref="AIT60" ca="1" si="16704">IF(AIG60&lt;&gt;"",SUMPRODUCT((AIR58:AIR61=AIR60)*(AIM58:AIM61&gt;AIM60)),"")</f>
        <v>0</v>
      </c>
      <c r="AIU60" s="321">
        <f t="shared" ref="AIU60" ca="1" si="16705">IF(AIG60&lt;&gt;"",SUMPRODUCT((AIR58:AIR61=AIR60)*(AIM58:AIM61=AIM60)*(AIK58:AIK61&gt;AIK60)),"")</f>
        <v>0</v>
      </c>
      <c r="AIV60" s="321">
        <f t="shared" ref="AIV60" ca="1" si="16706">IF(AIG60&lt;&gt;"",SUMPRODUCT((AIR58:AIR61=AIR60)*(AIM58:AIM61=AIM60)*(AIK58:AIK61=AIK60)*(AIO58:AIO61&gt;AIO60)),"")</f>
        <v>0</v>
      </c>
      <c r="AIW60" s="321">
        <f t="shared" ref="AIW60" ca="1" si="16707">IF(AIG60&lt;&gt;"",SUMPRODUCT((AIR58:AIR61=AIR60)*(AIM58:AIM61=AIM60)*(AIK58:AIK61=AIK60)*(AIO58:AIO61=AIO60)*(AIP58:AIP61&gt;AIP60)),"")</f>
        <v>0</v>
      </c>
      <c r="AIX60" s="321">
        <f t="shared" ref="AIX60" ca="1" si="16708">IF(AIG60&lt;&gt;"",SUMPRODUCT((AIR58:AIR61=AIR60)*(AIM58:AIM61=AIM60)*(AIK58:AIK61=AIK60)*(AIO58:AIO61=AIO60)*(AIP58:AIP61=AIP60)*(AIQ58:AIQ61&gt;AIQ60)),"")</f>
        <v>1</v>
      </c>
      <c r="AIY60" s="321">
        <f t="shared" ca="1" si="16153"/>
        <v>2</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f t="shared" ref="ON61" ca="1" si="16849">IF(OO21&lt;&gt;"",SUMPRODUCT((OV18:OV21=OV21)*(OU18:OU21=OU21)*(OS18:OS21=OS21)*(OT18:OT21=OT21)),"")</f>
        <v>4</v>
      </c>
      <c r="OO61" s="321" t="str">
        <f t="shared" ca="1" si="16055"/>
        <v>England</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f t="shared" ca="1" si="16062"/>
        <v>0</v>
      </c>
      <c r="OW61" s="321">
        <f t="shared" ref="OW61" ca="1" si="16855">IF(OO61&lt;&gt;"",VLOOKUP(OO61,NV4:OB40,7,FALSE),"")</f>
        <v>1000</v>
      </c>
      <c r="OX61" s="321">
        <f t="shared" ref="OX61" ca="1" si="16856">IF(OO61&lt;&gt;"",VLOOKUP(OO61,NV4:OB40,5,FALSE),"")</f>
        <v>0</v>
      </c>
      <c r="OY61" s="321">
        <f t="shared" ref="OY61" ca="1" si="16857">IF(OO61&lt;&gt;"",VLOOKUP(OO61,NV4:OD40,9,FALSE),"")</f>
        <v>49</v>
      </c>
      <c r="OZ61" s="321">
        <f t="shared" ca="1" si="16066"/>
        <v>0</v>
      </c>
      <c r="PA61" s="321">
        <f t="shared" ref="PA61" ca="1" si="16858">IF(OO61&lt;&gt;"",RANK(OZ61,OZ58:OZ61),"")</f>
        <v>1</v>
      </c>
      <c r="PB61" s="321">
        <f t="shared" ref="PB61" ca="1" si="16859">IF(OO61&lt;&gt;"",SUMPRODUCT((OZ58:OZ61=OZ61)*(OU58:OU61&gt;OU61)),"")</f>
        <v>0</v>
      </c>
      <c r="PC61" s="321">
        <f t="shared" ref="PC61" ca="1" si="16860">IF(OO61&lt;&gt;"",SUMPRODUCT((OZ58:OZ61=OZ61)*(OU58:OU61=OU61)*(OS58:OS61&gt;OS61)),"")</f>
        <v>0</v>
      </c>
      <c r="PD61" s="321">
        <f t="shared" ref="PD61" ca="1" si="16861">IF(OO61&lt;&gt;"",SUMPRODUCT((OZ58:OZ61=OZ61)*(OU58:OU61=OU61)*(OS58:OS61=OS61)*(OW58:OW61&gt;OW61)),"")</f>
        <v>0</v>
      </c>
      <c r="PE61" s="321">
        <f t="shared" ref="PE61" ca="1" si="16862">IF(OO61&lt;&gt;"",SUMPRODUCT((OZ58:OZ61=OZ61)*(OU58:OU61=OU61)*(OS58:OS61=OS61)*(OW58:OW61=OW61)*(OX58:OX61&gt;OX61)),"")</f>
        <v>0</v>
      </c>
      <c r="PF61" s="321">
        <f t="shared" ref="PF61" ca="1" si="16863">IF(OO61&lt;&gt;"",SUMPRODUCT((OZ58:OZ61=OZ61)*(OU58:OU61=OU61)*(OS58:OS61=OS61)*(OW58:OW61=OW61)*(OX58:OX61=OX61)*(OY58:OY61&gt;OY61)),"")</f>
        <v>0</v>
      </c>
      <c r="PG61" s="321">
        <f t="shared" ca="1" si="16073"/>
        <v>1</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f t="shared" ref="TL61" ca="1" si="16879">IF(TM21&lt;&gt;"",SUMPRODUCT((TT18:TT21=TT21)*(TS18:TS21=TS21)*(TQ18:TQ21=TQ21)*(TR18:TR21=TR21)),"")</f>
        <v>4</v>
      </c>
      <c r="TM61" s="321" t="str">
        <f t="shared" ca="1" si="16075"/>
        <v>England</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f t="shared" ca="1" si="16082"/>
        <v>0</v>
      </c>
      <c r="TU61" s="321">
        <f t="shared" ref="TU61" ca="1" si="16885">IF(TM61&lt;&gt;"",VLOOKUP(TM61,ST4:SZ40,7,FALSE),"")</f>
        <v>1000</v>
      </c>
      <c r="TV61" s="321">
        <f t="shared" ref="TV61" ca="1" si="16886">IF(TM61&lt;&gt;"",VLOOKUP(TM61,ST4:SZ40,5,FALSE),"")</f>
        <v>0</v>
      </c>
      <c r="TW61" s="321">
        <f t="shared" ref="TW61" ca="1" si="16887">IF(TM61&lt;&gt;"",VLOOKUP(TM61,ST4:TB40,9,FALSE),"")</f>
        <v>49</v>
      </c>
      <c r="TX61" s="321">
        <f t="shared" ca="1" si="16086"/>
        <v>0</v>
      </c>
      <c r="TY61" s="321">
        <f t="shared" ref="TY61" ca="1" si="16888">IF(TM61&lt;&gt;"",RANK(TX61,TX58:TX61),"")</f>
        <v>1</v>
      </c>
      <c r="TZ61" s="321">
        <f t="shared" ref="TZ61" ca="1" si="16889">IF(TM61&lt;&gt;"",SUMPRODUCT((TX58:TX61=TX61)*(TS58:TS61&gt;TS61)),"")</f>
        <v>0</v>
      </c>
      <c r="UA61" s="321">
        <f t="shared" ref="UA61" ca="1" si="16890">IF(TM61&lt;&gt;"",SUMPRODUCT((TX58:TX61=TX61)*(TS58:TS61=TS61)*(TQ58:TQ61&gt;TQ61)),"")</f>
        <v>0</v>
      </c>
      <c r="UB61" s="321">
        <f t="shared" ref="UB61" ca="1" si="16891">IF(TM61&lt;&gt;"",SUMPRODUCT((TX58:TX61=TX61)*(TS58:TS61=TS61)*(TQ58:TQ61=TQ61)*(TU58:TU61&gt;TU61)),"")</f>
        <v>0</v>
      </c>
      <c r="UC61" s="321">
        <f t="shared" ref="UC61" ca="1" si="16892">IF(TM61&lt;&gt;"",SUMPRODUCT((TX58:TX61=TX61)*(TS58:TS61=TS61)*(TQ58:TQ61=TQ61)*(TU58:TU61=TU61)*(TV58:TV61&gt;TV61)),"")</f>
        <v>0</v>
      </c>
      <c r="UD61" s="321">
        <f t="shared" ref="UD61" ca="1" si="16893">IF(TM61&lt;&gt;"",SUMPRODUCT((TX58:TX61=TX61)*(TS58:TS61=TS61)*(TQ58:TQ61=TQ61)*(TU58:TU61=TU61)*(TV58:TV61=TV61)*(TW58:TW61&gt;TW61)),"")</f>
        <v>0</v>
      </c>
      <c r="UE61" s="321">
        <f t="shared" ca="1" si="16093"/>
        <v>1</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f t="shared" ref="ADH61" ca="1" si="16939">IF(ADI21&lt;&gt;"",SUMPRODUCT((ADP18:ADP21=ADP21)*(ADO18:ADO21=ADO21)*(ADM18:ADM21=ADM21)*(ADN18:ADN21=ADN21)),"")</f>
        <v>4</v>
      </c>
      <c r="ADI61" s="321" t="str">
        <f t="shared" ca="1" si="16115"/>
        <v>England</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f t="shared" ca="1" si="16122"/>
        <v>0</v>
      </c>
      <c r="ADQ61" s="321">
        <f t="shared" ref="ADQ61" ca="1" si="16945">IF(ADI61&lt;&gt;"",VLOOKUP(ADI61,ACP4:ACV40,7,FALSE),"")</f>
        <v>1000</v>
      </c>
      <c r="ADR61" s="321">
        <f t="shared" ref="ADR61" ca="1" si="16946">IF(ADI61&lt;&gt;"",VLOOKUP(ADI61,ACP4:ACV40,5,FALSE),"")</f>
        <v>0</v>
      </c>
      <c r="ADS61" s="321">
        <f t="shared" ref="ADS61" ca="1" si="16947">IF(ADI61&lt;&gt;"",VLOOKUP(ADI61,ACP4:ACX40,9,FALSE),"")</f>
        <v>49</v>
      </c>
      <c r="ADT61" s="321">
        <f t="shared" ca="1" si="16126"/>
        <v>0</v>
      </c>
      <c r="ADU61" s="321">
        <f t="shared" ref="ADU61" ca="1" si="16948">IF(ADI61&lt;&gt;"",RANK(ADT61,ADT58:ADT61),"")</f>
        <v>1</v>
      </c>
      <c r="ADV61" s="321">
        <f t="shared" ref="ADV61" ca="1" si="16949">IF(ADI61&lt;&gt;"",SUMPRODUCT((ADT58:ADT61=ADT61)*(ADO58:ADO61&gt;ADO61)),"")</f>
        <v>0</v>
      </c>
      <c r="ADW61" s="321">
        <f t="shared" ref="ADW61" ca="1" si="16950">IF(ADI61&lt;&gt;"",SUMPRODUCT((ADT58:ADT61=ADT61)*(ADO58:ADO61=ADO61)*(ADM58:ADM61&gt;ADM61)),"")</f>
        <v>0</v>
      </c>
      <c r="ADX61" s="321">
        <f t="shared" ref="ADX61" ca="1" si="16951">IF(ADI61&lt;&gt;"",SUMPRODUCT((ADT58:ADT61=ADT61)*(ADO58:ADO61=ADO61)*(ADM58:ADM61=ADM61)*(ADQ58:ADQ61&gt;ADQ61)),"")</f>
        <v>0</v>
      </c>
      <c r="ADY61" s="321">
        <f t="shared" ref="ADY61" ca="1" si="16952">IF(ADI61&lt;&gt;"",SUMPRODUCT((ADT58:ADT61=ADT61)*(ADO58:ADO61=ADO61)*(ADM58:ADM61=ADM61)*(ADQ58:ADQ61=ADQ61)*(ADR58:ADR61&gt;ADR61)),"")</f>
        <v>0</v>
      </c>
      <c r="ADZ61" s="321">
        <f t="shared" ref="ADZ61" ca="1" si="16953">IF(ADI61&lt;&gt;"",SUMPRODUCT((ADT58:ADT61=ADT61)*(ADO58:ADO61=ADO61)*(ADM58:ADM61=ADM61)*(ADQ58:ADQ61=ADQ61)*(ADR58:ADR61=ADR61)*(ADS58:ADS61&gt;ADS61)),"")</f>
        <v>0</v>
      </c>
      <c r="AEA61" s="321">
        <f t="shared" ca="1" si="16133"/>
        <v>1</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f t="shared" ref="AIF61" ca="1" si="16969">IF(AIG21&lt;&gt;"",SUMPRODUCT((AIN18:AIN21=AIN21)*(AIM18:AIM21=AIM21)*(AIK18:AIK21=AIK21)*(AIL18:AIL21=AIL21)),"")</f>
        <v>4</v>
      </c>
      <c r="AIG61" s="321" t="str">
        <f t="shared" ca="1" si="16135"/>
        <v>England</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f t="shared" ca="1" si="16142"/>
        <v>0</v>
      </c>
      <c r="AIO61" s="321">
        <f t="shared" ref="AIO61" ca="1" si="16975">IF(AIG61&lt;&gt;"",VLOOKUP(AIG61,AHN4:AHT40,7,FALSE),"")</f>
        <v>1000</v>
      </c>
      <c r="AIP61" s="321">
        <f t="shared" ref="AIP61" ca="1" si="16976">IF(AIG61&lt;&gt;"",VLOOKUP(AIG61,AHN4:AHT40,5,FALSE),"")</f>
        <v>0</v>
      </c>
      <c r="AIQ61" s="321">
        <f t="shared" ref="AIQ61" ca="1" si="16977">IF(AIG61&lt;&gt;"",VLOOKUP(AIG61,AHN4:AHV40,9,FALSE),"")</f>
        <v>49</v>
      </c>
      <c r="AIR61" s="321">
        <f t="shared" ca="1" si="16146"/>
        <v>0</v>
      </c>
      <c r="AIS61" s="321">
        <f t="shared" ref="AIS61" ca="1" si="16978">IF(AIG61&lt;&gt;"",RANK(AIR61,AIR58:AIR61),"")</f>
        <v>1</v>
      </c>
      <c r="AIT61" s="321">
        <f t="shared" ref="AIT61" ca="1" si="16979">IF(AIG61&lt;&gt;"",SUMPRODUCT((AIR58:AIR61=AIR61)*(AIM58:AIM61&gt;AIM61)),"")</f>
        <v>0</v>
      </c>
      <c r="AIU61" s="321">
        <f t="shared" ref="AIU61" ca="1" si="16980">IF(AIG61&lt;&gt;"",SUMPRODUCT((AIR58:AIR61=AIR61)*(AIM58:AIM61=AIM61)*(AIK58:AIK61&gt;AIK61)),"")</f>
        <v>0</v>
      </c>
      <c r="AIV61" s="321">
        <f t="shared" ref="AIV61" ca="1" si="16981">IF(AIG61&lt;&gt;"",SUMPRODUCT((AIR58:AIR61=AIR61)*(AIM58:AIM61=AIM61)*(AIK58:AIK61=AIK61)*(AIO58:AIO61&gt;AIO61)),"")</f>
        <v>0</v>
      </c>
      <c r="AIW61" s="321">
        <f t="shared" ref="AIW61" ca="1" si="16982">IF(AIG61&lt;&gt;"",SUMPRODUCT((AIR58:AIR61=AIR61)*(AIM58:AIM61=AIM61)*(AIK58:AIK61=AIK61)*(AIO58:AIO61=AIO61)*(AIP58:AIP61&gt;AIP61)),"")</f>
        <v>0</v>
      </c>
      <c r="AIX61" s="321">
        <f t="shared" ref="AIX61" ca="1" si="16983">IF(AIG61&lt;&gt;"",SUMPRODUCT((AIR58:AIR61=AIR61)*(AIM58:AIM61=AIM61)*(AIK58:AIK61=AIK61)*(AIO58:AIO61=AIO61)*(AIP58:AIP61=AIP61)*(AIQ58:AIQ61&gt;AIQ61)),"")</f>
        <v>0</v>
      </c>
      <c r="AIY61" s="321">
        <f t="shared" ca="1" si="16153"/>
        <v>1</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1</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1</v>
      </c>
      <c r="AC65" s="321">
        <f>IF(U65&lt;&gt;"",VLOOKUP(U65,B4:H40,7,FALSE),"")</f>
        <v>1001</v>
      </c>
      <c r="AD65" s="321">
        <f>IF(U65&lt;&gt;"",VLOOKUP(U65,B4:H40,5,FALSE),"")</f>
        <v>2</v>
      </c>
      <c r="AE65" s="321">
        <f>IF(U65&lt;&gt;"",VLOOKUP(U65,B4:J40,9,FALSE),"")</f>
        <v>42</v>
      </c>
      <c r="AF65" s="321">
        <f>AB65</f>
        <v>1</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1002</v>
      </c>
      <c r="JZ65" s="321">
        <f ca="1">IF(JQ65&lt;&gt;"",VLOOKUP(JQ65,IX4:JD40,5,FALSE),"")</f>
        <v>6</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1</v>
      </c>
      <c r="KG65" s="321">
        <f ca="1">IF(JQ65&lt;&gt;"",SUMPRODUCT((KB65:KB68=KB65)*(JW65:JW68=JW65)*(JU65:JU68=JU65)*(JY65:JY68=JY65)*(JZ65:JZ68&gt;JZ65)),"")</f>
        <v>0</v>
      </c>
      <c r="KH65" s="321">
        <f ca="1">IF(JQ65&lt;&gt;"",SUMPRODUCT((KB65:KB68=KB65)*(JW65:JW68=JW65)*(JU65:JU68=JU65)*(JY65:JY68=JY65)*(JZ65:JZ68=JZ65)*(KA65:KA68&gt;KA65)),"")</f>
        <v>0</v>
      </c>
      <c r="KI65" s="321">
        <f ca="1">IF(JQ65&lt;&gt;"",SUM(KC65:KH65),"")</f>
        <v>2</v>
      </c>
      <c r="OC65" s="321">
        <f ca="1">SUMPRODUCT((OC25:OC28=OC25)*(OB25:OB28=OB25)*(NZ25:NZ28&gt;NZ25))+1</f>
        <v>1</v>
      </c>
      <c r="ON65" s="321">
        <f t="shared" ref="ON65" ca="1" si="17137">IF(OO25&lt;&gt;"",SUMPRODUCT((OV25:OV28=OV25)*(OU25:OU28=OU25)*(OS25:OS28=OS25)*(OT25:OT28=OT25)),"")</f>
        <v>4</v>
      </c>
      <c r="OO65" s="321" t="str">
        <f t="shared" ref="OO65:OO68" ca="1" si="17138">IF(AND(ON65&lt;&gt;"",ON65&gt;1),OO25,"")</f>
        <v>Poland</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f t="shared" ref="OV65:OV68" ca="1" si="17145">IF(OO65&lt;&gt;"",OP65*3+OQ65*1,"")</f>
        <v>0</v>
      </c>
      <c r="OW65" s="321">
        <f t="shared" ref="OW65" ca="1" si="17146">IF(OO65&lt;&gt;"",VLOOKUP(OO65,NV4:OB40,7,FALSE),"")</f>
        <v>1000</v>
      </c>
      <c r="OX65" s="321">
        <f t="shared" ref="OX65" ca="1" si="17147">IF(OO65&lt;&gt;"",VLOOKUP(OO65,NV4:OB40,5,FALSE),"")</f>
        <v>0</v>
      </c>
      <c r="OY65" s="321">
        <f t="shared" ref="OY65" ca="1" si="17148">IF(OO65&lt;&gt;"",VLOOKUP(OO65,NV4:OD40,9,FALSE),"")</f>
        <v>0</v>
      </c>
      <c r="OZ65" s="321">
        <f t="shared" ref="OZ65:OZ68" ca="1" si="17149">OV65</f>
        <v>0</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3</v>
      </c>
      <c r="PG65" s="321">
        <f t="shared" ref="PG65:PG68" ca="1" si="17156">IF(OO65&lt;&gt;"",SUM(PA65:PF65),"")</f>
        <v>4</v>
      </c>
      <c r="TA65" s="321">
        <f ca="1">SUMPRODUCT((TA25:TA28=TA25)*(SZ25:SZ28=SZ25)*(SX25:SX28&gt;SX25))+1</f>
        <v>1</v>
      </c>
      <c r="TL65" s="321">
        <f t="shared" ref="TL65" ca="1" si="17157">IF(TM25&lt;&gt;"",SUMPRODUCT((TT25:TT28=TT25)*(TS25:TS28=TS25)*(TQ25:TQ28=TQ25)*(TR25:TR28=TR25)),"")</f>
        <v>4</v>
      </c>
      <c r="TM65" s="321" t="str">
        <f t="shared" ref="TM65:TM68" ca="1" si="17158">IF(AND(TL65&lt;&gt;"",TL65&gt;1),TM25,"")</f>
        <v>Poland</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f t="shared" ref="TT65:TT68" ca="1" si="17165">IF(TM65&lt;&gt;"",TN65*3+TO65*1,"")</f>
        <v>0</v>
      </c>
      <c r="TU65" s="321">
        <f t="shared" ref="TU65" ca="1" si="17166">IF(TM65&lt;&gt;"",VLOOKUP(TM65,ST4:SZ40,7,FALSE),"")</f>
        <v>1000</v>
      </c>
      <c r="TV65" s="321">
        <f t="shared" ref="TV65" ca="1" si="17167">IF(TM65&lt;&gt;"",VLOOKUP(TM65,ST4:SZ40,5,FALSE),"")</f>
        <v>0</v>
      </c>
      <c r="TW65" s="321">
        <f t="shared" ref="TW65" ca="1" si="17168">IF(TM65&lt;&gt;"",VLOOKUP(TM65,ST4:TB40,9,FALSE),"")</f>
        <v>0</v>
      </c>
      <c r="TX65" s="321">
        <f t="shared" ref="TX65:TX68" ca="1" si="17169">TT65</f>
        <v>0</v>
      </c>
      <c r="TY65" s="321">
        <f t="shared" ref="TY65" ca="1" si="17170">IF(TM65&lt;&gt;"",RANK(TX65,TX65:TX68),"")</f>
        <v>1</v>
      </c>
      <c r="TZ65" s="321">
        <f t="shared" ref="TZ65" ca="1" si="17171">IF(TM65&lt;&gt;"",SUMPRODUCT((TX65:TX68=TX65)*(TS65:TS68&gt;TS65)),"")</f>
        <v>0</v>
      </c>
      <c r="UA65" s="321">
        <f t="shared" ref="UA65" ca="1" si="17172">IF(TM65&lt;&gt;"",SUMPRODUCT((TX65:TX68=TX65)*(TS65:TS68=TS65)*(TQ65:TQ68&gt;TQ65)),"")</f>
        <v>0</v>
      </c>
      <c r="UB65" s="321">
        <f t="shared" ref="UB65" ca="1" si="17173">IF(TM65&lt;&gt;"",SUMPRODUCT((TX65:TX68=TX65)*(TS65:TS68=TS65)*(TQ65:TQ68=TQ65)*(TU65:TU68&gt;TU65)),"")</f>
        <v>0</v>
      </c>
      <c r="UC65" s="321">
        <f t="shared" ref="UC65" ca="1" si="17174">IF(TM65&lt;&gt;"",SUMPRODUCT((TX65:TX68=TX65)*(TS65:TS68=TS65)*(TQ65:TQ68=TQ65)*(TU65:TU68=TU65)*(TV65:TV68&gt;TV65)),"")</f>
        <v>0</v>
      </c>
      <c r="UD65" s="321">
        <f t="shared" ref="UD65" ca="1" si="17175">IF(TM65&lt;&gt;"",SUMPRODUCT((TX65:TX68=TX65)*(TS65:TS68=TS65)*(TQ65:TQ68=TQ65)*(TU65:TU68=TU65)*(TV65:TV68=TV65)*(TW65:TW68&gt;TW65)),"")</f>
        <v>3</v>
      </c>
      <c r="UE65" s="321">
        <f t="shared" ref="UE65:UE68" ca="1" si="17176">IF(TM65&lt;&gt;"",SUM(TY65:UD65),"")</f>
        <v>4</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4</v>
      </c>
      <c r="ADI65" s="321" t="str">
        <f t="shared" ref="ADI65:ADI68" ca="1" si="17198">IF(AND(ADH65&lt;&gt;"",ADH65&gt;1),ADI25,"")</f>
        <v>Poland</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f t="shared" ref="ADP65:ADP68" ca="1" si="17205">IF(ADI65&lt;&gt;"",ADJ65*3+ADK65*1,"")</f>
        <v>0</v>
      </c>
      <c r="ADQ65" s="321">
        <f t="shared" ref="ADQ65" ca="1" si="17206">IF(ADI65&lt;&gt;"",VLOOKUP(ADI65,ACP4:ACV40,7,FALSE),"")</f>
        <v>1000</v>
      </c>
      <c r="ADR65" s="321">
        <f t="shared" ref="ADR65" ca="1" si="17207">IF(ADI65&lt;&gt;"",VLOOKUP(ADI65,ACP4:ACV40,5,FALSE),"")</f>
        <v>0</v>
      </c>
      <c r="ADS65" s="321">
        <f t="shared" ref="ADS65" ca="1" si="17208">IF(ADI65&lt;&gt;"",VLOOKUP(ADI65,ACP4:ACX40,9,FALSE),"")</f>
        <v>0</v>
      </c>
      <c r="ADT65" s="321">
        <f t="shared" ref="ADT65:ADT68" ca="1" si="17209">ADP65</f>
        <v>0</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3</v>
      </c>
      <c r="AEA65" s="321">
        <f t="shared" ref="AEA65:AEA68" ca="1" si="17216">IF(ADI65&lt;&gt;"",SUM(ADU65:ADZ65),"")</f>
        <v>4</v>
      </c>
      <c r="AHU65" s="321">
        <f ca="1">SUMPRODUCT((AHU25:AHU28=AHU25)*(AHT25:AHT28=AHT25)*(AHR25:AHR28&gt;AHR25))+1</f>
        <v>1</v>
      </c>
      <c r="AIF65" s="321">
        <f t="shared" ref="AIF65" ca="1" si="17217">IF(AIG25&lt;&gt;"",SUMPRODUCT((AIN25:AIN28=AIN25)*(AIM25:AIM28=AIM25)*(AIK25:AIK28=AIK25)*(AIL25:AIL28=AIL25)),"")</f>
        <v>4</v>
      </c>
      <c r="AIG65" s="321" t="str">
        <f t="shared" ref="AIG65:AIG68" ca="1" si="17218">IF(AND(AIF65&lt;&gt;"",AIF65&gt;1),AIG25,"")</f>
        <v>Poland</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0</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0</v>
      </c>
      <c r="AIO65" s="321">
        <f t="shared" ref="AIO65" ca="1" si="17226">IF(AIG65&lt;&gt;"",VLOOKUP(AIG65,AHN4:AHT40,7,FALSE),"")</f>
        <v>1000</v>
      </c>
      <c r="AIP65" s="321">
        <f t="shared" ref="AIP65" ca="1" si="17227">IF(AIG65&lt;&gt;"",VLOOKUP(AIG65,AHN4:AHT40,5,FALSE),"")</f>
        <v>0</v>
      </c>
      <c r="AIQ65" s="321">
        <f t="shared" ref="AIQ65" ca="1" si="17228">IF(AIG65&lt;&gt;"",VLOOKUP(AIG65,AHN4:AHV40,9,FALSE),"")</f>
        <v>0</v>
      </c>
      <c r="AIR65" s="321">
        <f t="shared" ref="AIR65:AIR68" ca="1" si="17229">AIN65</f>
        <v>0</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0</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3</v>
      </c>
      <c r="AIY65" s="321">
        <f t="shared" ref="AIY65:AIY68" ca="1" si="17236">IF(AIG65&lt;&gt;"",SUM(AIS65:AIX65),"")</f>
        <v>4</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1</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1</v>
      </c>
      <c r="AC66" s="321">
        <f>IF(U66&lt;&gt;"",VLOOKUP(U66,B4:H40,7,FALSE),"")</f>
        <v>1001</v>
      </c>
      <c r="AD66" s="321">
        <f>IF(U66&lt;&gt;"",VLOOKUP(U66,B4:H40,5,FALSE),"")</f>
        <v>1</v>
      </c>
      <c r="AE66" s="321">
        <f>IF(U66&lt;&gt;"",VLOOKUP(U66,B4:J40,9,FALSE),"")</f>
        <v>52</v>
      </c>
      <c r="AF66" s="321">
        <f t="shared" ref="AF66:AF68" si="17319">AB66</f>
        <v>1</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8</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0</v>
      </c>
      <c r="KG66" s="321">
        <f ca="1">IF(JQ66&lt;&gt;"",SUMPRODUCT((KB65:KB68=KB66)*(JW65:JW68=JW66)*(JU65:JU68=JU66)*(JY65:JY68=JY66)*(JZ65:JZ68&gt;JZ66)),"")</f>
        <v>0</v>
      </c>
      <c r="KH66" s="321">
        <f ca="1">IF(JQ66&lt;&gt;"",SUMPRODUCT((KB65:KB68=KB66)*(JW65:JW68=JW66)*(JU65:JU68=JU66)*(JY65:JY68=JY66)*(JZ65:JZ68=JZ66)*(KA65:KA68&gt;KA66)),"")</f>
        <v>0</v>
      </c>
      <c r="KI66" s="321">
        <f ca="1">IF(JQ66&lt;&gt;"",SUM(KC66:KH66),"")</f>
        <v>1</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4</v>
      </c>
      <c r="OO66" s="321" t="str">
        <f t="shared" ca="1" si="17138"/>
        <v>Austria</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f t="shared" ca="1" si="17145"/>
        <v>0</v>
      </c>
      <c r="OW66" s="321">
        <f t="shared" ref="OW66" ca="1" si="17342">IF(OO66&lt;&gt;"",VLOOKUP(OO66,NV4:OB40,7,FALSE),"")</f>
        <v>1000</v>
      </c>
      <c r="OX66" s="321">
        <f t="shared" ref="OX66" ca="1" si="17343">IF(OO66&lt;&gt;"",VLOOKUP(OO66,NV4:OB40,5,FALSE),"")</f>
        <v>0</v>
      </c>
      <c r="OY66" s="321">
        <f t="shared" ref="OY66" ca="1" si="17344">IF(OO66&lt;&gt;"",VLOOKUP(OO66,NV4:OD40,9,FALSE),"")</f>
        <v>41</v>
      </c>
      <c r="OZ66" s="321">
        <f t="shared" ca="1" si="17149"/>
        <v>0</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2</v>
      </c>
      <c r="PG66" s="321">
        <f t="shared" ca="1" si="17156"/>
        <v>3</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f t="shared" ref="TL66" ca="1" si="17372">IF(TM26&lt;&gt;"",SUMPRODUCT((TT25:TT28=TT26)*(TS25:TS28=TS26)*(TQ25:TQ28=TQ26)*(TR25:TR28=TR26)),"")</f>
        <v>4</v>
      </c>
      <c r="TM66" s="321" t="str">
        <f t="shared" ca="1" si="17158"/>
        <v>Austria</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f t="shared" ca="1" si="17165"/>
        <v>0</v>
      </c>
      <c r="TU66" s="321">
        <f t="shared" ref="TU66" ca="1" si="17378">IF(TM66&lt;&gt;"",VLOOKUP(TM66,ST4:SZ40,7,FALSE),"")</f>
        <v>1000</v>
      </c>
      <c r="TV66" s="321">
        <f t="shared" ref="TV66" ca="1" si="17379">IF(TM66&lt;&gt;"",VLOOKUP(TM66,ST4:SZ40,5,FALSE),"")</f>
        <v>0</v>
      </c>
      <c r="TW66" s="321">
        <f t="shared" ref="TW66" ca="1" si="17380">IF(TM66&lt;&gt;"",VLOOKUP(TM66,ST4:TB40,9,FALSE),"")</f>
        <v>41</v>
      </c>
      <c r="TX66" s="321">
        <f t="shared" ca="1" si="17169"/>
        <v>0</v>
      </c>
      <c r="TY66" s="321">
        <f t="shared" ref="TY66" ca="1" si="17381">IF(TM66&lt;&gt;"",RANK(TX66,TX65:TX68),"")</f>
        <v>1</v>
      </c>
      <c r="TZ66" s="321">
        <f t="shared" ref="TZ66" ca="1" si="17382">IF(TM66&lt;&gt;"",SUMPRODUCT((TX65:TX68=TX66)*(TS65:TS68&gt;TS66)),"")</f>
        <v>0</v>
      </c>
      <c r="UA66" s="321">
        <f t="shared" ref="UA66" ca="1" si="17383">IF(TM66&lt;&gt;"",SUMPRODUCT((TX65:TX68=TX66)*(TS65:TS68=TS66)*(TQ65:TQ68&gt;TQ66)),"")</f>
        <v>0</v>
      </c>
      <c r="UB66" s="321">
        <f t="shared" ref="UB66" ca="1" si="17384">IF(TM66&lt;&gt;"",SUMPRODUCT((TX65:TX68=TX66)*(TS65:TS68=TS66)*(TQ65:TQ68=TQ66)*(TU65:TU68&gt;TU66)),"")</f>
        <v>0</v>
      </c>
      <c r="UC66" s="321">
        <f t="shared" ref="UC66" ca="1" si="17385">IF(TM66&lt;&gt;"",SUMPRODUCT((TX65:TX68=TX66)*(TS65:TS68=TS66)*(TQ65:TQ68=TQ66)*(TU65:TU68=TU66)*(TV65:TV68&gt;TV66)),"")</f>
        <v>0</v>
      </c>
      <c r="UD66" s="321">
        <f t="shared" ref="UD66" ca="1" si="17386">IF(TM66&lt;&gt;"",SUMPRODUCT((TX65:TX68=TX66)*(TS65:TS68=TS66)*(TQ65:TQ68=TQ66)*(TU65:TU68=TU66)*(TV65:TV68=TV66)*(TW65:TW68&gt;TW66)),"")</f>
        <v>2</v>
      </c>
      <c r="UE66" s="321">
        <f t="shared" ca="1" si="17176"/>
        <v>3</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4</v>
      </c>
      <c r="ADI66" s="321" t="str">
        <f t="shared" ca="1" si="17198"/>
        <v>Austria</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f t="shared" ca="1" si="17205"/>
        <v>0</v>
      </c>
      <c r="ADQ66" s="321">
        <f t="shared" ref="ADQ66" ca="1" si="17450">IF(ADI66&lt;&gt;"",VLOOKUP(ADI66,ACP4:ACV40,7,FALSE),"")</f>
        <v>1000</v>
      </c>
      <c r="ADR66" s="321">
        <f t="shared" ref="ADR66" ca="1" si="17451">IF(ADI66&lt;&gt;"",VLOOKUP(ADI66,ACP4:ACV40,5,FALSE),"")</f>
        <v>0</v>
      </c>
      <c r="ADS66" s="321">
        <f t="shared" ref="ADS66" ca="1" si="17452">IF(ADI66&lt;&gt;"",VLOOKUP(ADI66,ACP4:ACX40,9,FALSE),"")</f>
        <v>41</v>
      </c>
      <c r="ADT66" s="321">
        <f t="shared" ca="1" si="17209"/>
        <v>0</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0</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2</v>
      </c>
      <c r="AEA66" s="321">
        <f t="shared" ca="1" si="17216"/>
        <v>3</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4</v>
      </c>
      <c r="AIG66" s="321" t="str">
        <f t="shared" ca="1" si="17218"/>
        <v>Austria</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0</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0</v>
      </c>
      <c r="AIO66" s="321">
        <f t="shared" ref="AIO66" ca="1" si="17486">IF(AIG66&lt;&gt;"",VLOOKUP(AIG66,AHN4:AHT40,7,FALSE),"")</f>
        <v>1000</v>
      </c>
      <c r="AIP66" s="321">
        <f t="shared" ref="AIP66" ca="1" si="17487">IF(AIG66&lt;&gt;"",VLOOKUP(AIG66,AHN4:AHT40,5,FALSE),"")</f>
        <v>0</v>
      </c>
      <c r="AIQ66" s="321">
        <f t="shared" ref="AIQ66" ca="1" si="17488">IF(AIG66&lt;&gt;"",VLOOKUP(AIG66,AHN4:AHV40,9,FALSE),"")</f>
        <v>41</v>
      </c>
      <c r="AIR66" s="321">
        <f t="shared" ca="1" si="17229"/>
        <v>0</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2</v>
      </c>
      <c r="AIY66" s="321">
        <f t="shared" ca="1" si="17236"/>
        <v>3</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f t="shared" ref="ON67" ca="1" si="17662">IF(OO27&lt;&gt;"",SUMPRODUCT((OV25:OV28=OV27)*(OU25:OU28=OU27)*(OS25:OS28=OS27)*(OT25:OT28=OT27)),"")</f>
        <v>4</v>
      </c>
      <c r="OO67" s="321" t="str">
        <f t="shared" ca="1" si="17138"/>
        <v>Netherlands</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f t="shared" ca="1" si="17145"/>
        <v>0</v>
      </c>
      <c r="OW67" s="321">
        <f t="shared" ref="OW67" ca="1" si="17668">IF(OO67&lt;&gt;"",VLOOKUP(OO67,NV4:OB40,7,FALSE),"")</f>
        <v>1000</v>
      </c>
      <c r="OX67" s="321">
        <f t="shared" ref="OX67" ca="1" si="17669">IF(OO67&lt;&gt;"",VLOOKUP(OO67,NV4:OB40,5,FALSE),"")</f>
        <v>0</v>
      </c>
      <c r="OY67" s="321">
        <f t="shared" ref="OY67" ca="1" si="17670">IF(OO67&lt;&gt;"",VLOOKUP(OO67,NV4:OD40,9,FALSE),"")</f>
        <v>42</v>
      </c>
      <c r="OZ67" s="321">
        <f t="shared" ca="1" si="17149"/>
        <v>0</v>
      </c>
      <c r="PA67" s="321">
        <f t="shared" ref="PA67" ca="1" si="17671">IF(OO67&lt;&gt;"",RANK(OZ67,OZ65:OZ68),"")</f>
        <v>1</v>
      </c>
      <c r="PB67" s="321">
        <f t="shared" ref="PB67" ca="1" si="17672">IF(OO67&lt;&gt;"",SUMPRODUCT((OZ65:OZ68=OZ67)*(OU65:OU68&gt;OU67)),"")</f>
        <v>0</v>
      </c>
      <c r="PC67" s="321">
        <f t="shared" ref="PC67" ca="1" si="17673">IF(OO67&lt;&gt;"",SUMPRODUCT((OZ65:OZ68=OZ67)*(OU65:OU68=OU67)*(OS65:OS68&gt;OS67)),"")</f>
        <v>0</v>
      </c>
      <c r="PD67" s="321">
        <f t="shared" ref="PD67" ca="1" si="17674">IF(OO67&lt;&gt;"",SUMPRODUCT((OZ65:OZ68=OZ67)*(OU65:OU68=OU67)*(OS65:OS68=OS67)*(OW65:OW68&gt;OW67)),"")</f>
        <v>0</v>
      </c>
      <c r="PE67" s="321">
        <f t="shared" ref="PE67" ca="1" si="17675">IF(OO67&lt;&gt;"",SUMPRODUCT((OZ65:OZ68=OZ67)*(OU65:OU68=OU67)*(OS65:OS68=OS67)*(OW65:OW68=OW67)*(OX65:OX68&gt;OX67)),"")</f>
        <v>0</v>
      </c>
      <c r="PF67" s="321">
        <f t="shared" ref="PF67" ca="1" si="17676">IF(OO67&lt;&gt;"",SUMPRODUCT((OZ65:OZ68=OZ67)*(OU65:OU68=OU67)*(OS65:OS68=OS67)*(OW65:OW68=OW67)*(OX65:OX68=OX67)*(OY65:OY68&gt;OY67)),"")</f>
        <v>1</v>
      </c>
      <c r="PG67" s="321">
        <f t="shared" ca="1" si="17156"/>
        <v>2</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f t="shared" ref="TL67" ca="1" si="17693">IF(TM27&lt;&gt;"",SUMPRODUCT((TT25:TT28=TT27)*(TS25:TS28=TS27)*(TQ25:TQ28=TQ27)*(TR25:TR28=TR27)),"")</f>
        <v>4</v>
      </c>
      <c r="TM67" s="321" t="str">
        <f t="shared" ca="1" si="17158"/>
        <v>Netherlands</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f t="shared" ca="1" si="17165"/>
        <v>0</v>
      </c>
      <c r="TU67" s="321">
        <f t="shared" ref="TU67" ca="1" si="17699">IF(TM67&lt;&gt;"",VLOOKUP(TM67,ST4:SZ40,7,FALSE),"")</f>
        <v>1000</v>
      </c>
      <c r="TV67" s="321">
        <f t="shared" ref="TV67" ca="1" si="17700">IF(TM67&lt;&gt;"",VLOOKUP(TM67,ST4:SZ40,5,FALSE),"")</f>
        <v>0</v>
      </c>
      <c r="TW67" s="321">
        <f t="shared" ref="TW67" ca="1" si="17701">IF(TM67&lt;&gt;"",VLOOKUP(TM67,ST4:TB40,9,FALSE),"")</f>
        <v>42</v>
      </c>
      <c r="TX67" s="321">
        <f t="shared" ca="1" si="17169"/>
        <v>0</v>
      </c>
      <c r="TY67" s="321">
        <f t="shared" ref="TY67" ca="1" si="17702">IF(TM67&lt;&gt;"",RANK(TX67,TX65:TX68),"")</f>
        <v>1</v>
      </c>
      <c r="TZ67" s="321">
        <f t="shared" ref="TZ67" ca="1" si="17703">IF(TM67&lt;&gt;"",SUMPRODUCT((TX65:TX68=TX67)*(TS65:TS68&gt;TS67)),"")</f>
        <v>0</v>
      </c>
      <c r="UA67" s="321">
        <f t="shared" ref="UA67" ca="1" si="17704">IF(TM67&lt;&gt;"",SUMPRODUCT((TX65:TX68=TX67)*(TS65:TS68=TS67)*(TQ65:TQ68&gt;TQ67)),"")</f>
        <v>0</v>
      </c>
      <c r="UB67" s="321">
        <f t="shared" ref="UB67" ca="1" si="17705">IF(TM67&lt;&gt;"",SUMPRODUCT((TX65:TX68=TX67)*(TS65:TS68=TS67)*(TQ65:TQ68=TQ67)*(TU65:TU68&gt;TU67)),"")</f>
        <v>0</v>
      </c>
      <c r="UC67" s="321">
        <f t="shared" ref="UC67" ca="1" si="17706">IF(TM67&lt;&gt;"",SUMPRODUCT((TX65:TX68=TX67)*(TS65:TS68=TS67)*(TQ65:TQ68=TQ67)*(TU65:TU68=TU67)*(TV65:TV68&gt;TV67)),"")</f>
        <v>0</v>
      </c>
      <c r="UD67" s="321">
        <f t="shared" ref="UD67" ca="1" si="17707">IF(TM67&lt;&gt;"",SUMPRODUCT((TX65:TX68=TX67)*(TS65:TS68=TS67)*(TQ65:TQ68=TQ67)*(TU65:TU68=TU67)*(TV65:TV68=TV67)*(TW65:TW68&gt;TW67)),"")</f>
        <v>1</v>
      </c>
      <c r="UE67" s="321">
        <f t="shared" ca="1" si="17176"/>
        <v>2</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f t="shared" ref="ADH67" ca="1" si="17755">IF(ADI27&lt;&gt;"",SUMPRODUCT((ADP25:ADP28=ADP27)*(ADO25:ADO28=ADO27)*(ADM25:ADM28=ADM27)*(ADN25:ADN28=ADN27)),"")</f>
        <v>4</v>
      </c>
      <c r="ADI67" s="321" t="str">
        <f t="shared" ca="1" si="17198"/>
        <v>Netherlands</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f t="shared" ca="1" si="17205"/>
        <v>0</v>
      </c>
      <c r="ADQ67" s="321">
        <f t="shared" ref="ADQ67" ca="1" si="17761">IF(ADI67&lt;&gt;"",VLOOKUP(ADI67,ACP4:ACV40,7,FALSE),"")</f>
        <v>1000</v>
      </c>
      <c r="ADR67" s="321">
        <f t="shared" ref="ADR67" ca="1" si="17762">IF(ADI67&lt;&gt;"",VLOOKUP(ADI67,ACP4:ACV40,5,FALSE),"")</f>
        <v>0</v>
      </c>
      <c r="ADS67" s="321">
        <f t="shared" ref="ADS67" ca="1" si="17763">IF(ADI67&lt;&gt;"",VLOOKUP(ADI67,ACP4:ACX40,9,FALSE),"")</f>
        <v>42</v>
      </c>
      <c r="ADT67" s="321">
        <f t="shared" ca="1" si="17209"/>
        <v>0</v>
      </c>
      <c r="ADU67" s="321">
        <f t="shared" ref="ADU67" ca="1" si="17764">IF(ADI67&lt;&gt;"",RANK(ADT67,ADT65:ADT68),"")</f>
        <v>1</v>
      </c>
      <c r="ADV67" s="321">
        <f t="shared" ref="ADV67" ca="1" si="17765">IF(ADI67&lt;&gt;"",SUMPRODUCT((ADT65:ADT68=ADT67)*(ADO65:ADO68&gt;ADO67)),"")</f>
        <v>0</v>
      </c>
      <c r="ADW67" s="321">
        <f t="shared" ref="ADW67" ca="1" si="17766">IF(ADI67&lt;&gt;"",SUMPRODUCT((ADT65:ADT68=ADT67)*(ADO65:ADO68=ADO67)*(ADM65:ADM68&gt;ADM67)),"")</f>
        <v>0</v>
      </c>
      <c r="ADX67" s="321">
        <f t="shared" ref="ADX67" ca="1" si="17767">IF(ADI67&lt;&gt;"",SUMPRODUCT((ADT65:ADT68=ADT67)*(ADO65:ADO68=ADO67)*(ADM65:ADM68=ADM67)*(ADQ65:ADQ68&gt;ADQ67)),"")</f>
        <v>0</v>
      </c>
      <c r="ADY67" s="321">
        <f t="shared" ref="ADY67" ca="1" si="17768">IF(ADI67&lt;&gt;"",SUMPRODUCT((ADT65:ADT68=ADT67)*(ADO65:ADO68=ADO67)*(ADM65:ADM68=ADM67)*(ADQ65:ADQ68=ADQ67)*(ADR65:ADR68&gt;ADR67)),"")</f>
        <v>0</v>
      </c>
      <c r="ADZ67" s="321">
        <f t="shared" ref="ADZ67" ca="1" si="17769">IF(ADI67&lt;&gt;"",SUMPRODUCT((ADT65:ADT68=ADT67)*(ADO65:ADO68=ADO67)*(ADM65:ADM68=ADM67)*(ADQ65:ADQ68=ADQ67)*(ADR65:ADR68=ADR67)*(ADS65:ADS68&gt;ADS67)),"")</f>
        <v>1</v>
      </c>
      <c r="AEA67" s="321">
        <f t="shared" ca="1" si="17216"/>
        <v>2</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f t="shared" ref="AIF67" ca="1" si="17786">IF(AIG27&lt;&gt;"",SUMPRODUCT((AIN25:AIN28=AIN27)*(AIM25:AIM28=AIM27)*(AIK25:AIK28=AIK27)*(AIL25:AIL28=AIL27)),"")</f>
        <v>4</v>
      </c>
      <c r="AIG67" s="321" t="str">
        <f t="shared" ca="1" si="17218"/>
        <v>Netherlands</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f t="shared" ca="1" si="17225"/>
        <v>0</v>
      </c>
      <c r="AIO67" s="321">
        <f t="shared" ref="AIO67" ca="1" si="17792">IF(AIG67&lt;&gt;"",VLOOKUP(AIG67,AHN4:AHT40,7,FALSE),"")</f>
        <v>1000</v>
      </c>
      <c r="AIP67" s="321">
        <f t="shared" ref="AIP67" ca="1" si="17793">IF(AIG67&lt;&gt;"",VLOOKUP(AIG67,AHN4:AHT40,5,FALSE),"")</f>
        <v>0</v>
      </c>
      <c r="AIQ67" s="321">
        <f t="shared" ref="AIQ67" ca="1" si="17794">IF(AIG67&lt;&gt;"",VLOOKUP(AIG67,AHN4:AHV40,9,FALSE),"")</f>
        <v>42</v>
      </c>
      <c r="AIR67" s="321">
        <f t="shared" ca="1" si="17229"/>
        <v>0</v>
      </c>
      <c r="AIS67" s="321">
        <f t="shared" ref="AIS67" ca="1" si="17795">IF(AIG67&lt;&gt;"",RANK(AIR67,AIR65:AIR68),"")</f>
        <v>1</v>
      </c>
      <c r="AIT67" s="321">
        <f t="shared" ref="AIT67" ca="1" si="17796">IF(AIG67&lt;&gt;"",SUMPRODUCT((AIR65:AIR68=AIR67)*(AIM65:AIM68&gt;AIM67)),"")</f>
        <v>0</v>
      </c>
      <c r="AIU67" s="321">
        <f t="shared" ref="AIU67" ca="1" si="17797">IF(AIG67&lt;&gt;"",SUMPRODUCT((AIR65:AIR68=AIR67)*(AIM65:AIM68=AIM67)*(AIK65:AIK68&gt;AIK67)),"")</f>
        <v>0</v>
      </c>
      <c r="AIV67" s="321">
        <f t="shared" ref="AIV67" ca="1" si="17798">IF(AIG67&lt;&gt;"",SUMPRODUCT((AIR65:AIR68=AIR67)*(AIM65:AIM68=AIM67)*(AIK65:AIK68=AIK67)*(AIO65:AIO68&gt;AIO67)),"")</f>
        <v>0</v>
      </c>
      <c r="AIW67" s="321">
        <f t="shared" ref="AIW67" ca="1" si="17799">IF(AIG67&lt;&gt;"",SUMPRODUCT((AIR65:AIR68=AIR67)*(AIM65:AIM68=AIM67)*(AIK65:AIK68=AIK67)*(AIO65:AIO68=AIO67)*(AIP65:AIP68&gt;AIP67)),"")</f>
        <v>0</v>
      </c>
      <c r="AIX67" s="321">
        <f t="shared" ref="AIX67" ca="1" si="17800">IF(AIG67&lt;&gt;"",SUMPRODUCT((AIR65:AIR68=AIR67)*(AIM65:AIM68=AIM67)*(AIK65:AIK68=AIK67)*(AIO65:AIO68=AIO67)*(AIP65:AIP68=AIP67)*(AIQ65:AIQ68&gt;AIQ67)),"")</f>
        <v>1</v>
      </c>
      <c r="AIY67" s="321">
        <f t="shared" ca="1" si="17236"/>
        <v>2</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f t="shared" ref="ON68" ca="1" si="17941">IF(OO28&lt;&gt;"",SUMPRODUCT((OV25:OV28=OV28)*(OU25:OU28=OU28)*(OS25:OS28=OS28)*(OT25:OT28=OT28)),"")</f>
        <v>4</v>
      </c>
      <c r="OO68" s="321" t="str">
        <f t="shared" ca="1" si="17138"/>
        <v>France</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f t="shared" ca="1" si="17145"/>
        <v>0</v>
      </c>
      <c r="OW68" s="321">
        <f t="shared" ref="OW68" ca="1" si="17947">IF(OO68&lt;&gt;"",VLOOKUP(OO68,NV4:OB40,7,FALSE),"")</f>
        <v>1000</v>
      </c>
      <c r="OX68" s="321">
        <f t="shared" ref="OX68" ca="1" si="17948">IF(OO68&lt;&gt;"",VLOOKUP(OO68,NV4:OB40,5,FALSE),"")</f>
        <v>0</v>
      </c>
      <c r="OY68" s="321">
        <f t="shared" ref="OY68" ca="1" si="17949">IF(OO68&lt;&gt;"",VLOOKUP(OO68,NV4:OD40,9,FALSE),"")</f>
        <v>52</v>
      </c>
      <c r="OZ68" s="321">
        <f t="shared" ca="1" si="17149"/>
        <v>0</v>
      </c>
      <c r="PA68" s="321">
        <f t="shared" ref="PA68" ca="1" si="17950">IF(OO68&lt;&gt;"",RANK(OZ68,OZ65:OZ68),"")</f>
        <v>1</v>
      </c>
      <c r="PB68" s="321">
        <f t="shared" ref="PB68" ca="1" si="17951">IF(OO68&lt;&gt;"",SUMPRODUCT((OZ65:OZ68=OZ68)*(OU65:OU68&gt;OU68)),"")</f>
        <v>0</v>
      </c>
      <c r="PC68" s="321">
        <f t="shared" ref="PC68" ca="1" si="17952">IF(OO68&lt;&gt;"",SUMPRODUCT((OZ65:OZ68=OZ68)*(OU65:OU68=OU68)*(OS65:OS68&gt;OS68)),"")</f>
        <v>0</v>
      </c>
      <c r="PD68" s="321">
        <f t="shared" ref="PD68" ca="1" si="17953">IF(OO68&lt;&gt;"",SUMPRODUCT((OZ65:OZ68=OZ68)*(OU65:OU68=OU68)*(OS65:OS68=OS68)*(OW65:OW68&gt;OW68)),"")</f>
        <v>0</v>
      </c>
      <c r="PE68" s="321">
        <f t="shared" ref="PE68" ca="1" si="17954">IF(OO68&lt;&gt;"",SUMPRODUCT((OZ65:OZ68=OZ68)*(OU65:OU68=OU68)*(OS65:OS68=OS68)*(OW65:OW68=OW68)*(OX65:OX68&gt;OX68)),"")</f>
        <v>0</v>
      </c>
      <c r="PF68" s="321">
        <f t="shared" ref="PF68" ca="1" si="17955">IF(OO68&lt;&gt;"",SUMPRODUCT((OZ65:OZ68=OZ68)*(OU65:OU68=OU68)*(OS65:OS68=OS68)*(OW65:OW68=OW68)*(OX65:OX68=OX68)*(OY65:OY68&gt;OY68)),"")</f>
        <v>0</v>
      </c>
      <c r="PG68" s="321">
        <f t="shared" ca="1" si="17156"/>
        <v>1</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f t="shared" ref="TL68" ca="1" si="17971">IF(TM28&lt;&gt;"",SUMPRODUCT((TT25:TT28=TT28)*(TS25:TS28=TS28)*(TQ25:TQ28=TQ28)*(TR25:TR28=TR28)),"")</f>
        <v>4</v>
      </c>
      <c r="TM68" s="321" t="str">
        <f t="shared" ca="1" si="17158"/>
        <v>France</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f t="shared" ca="1" si="17165"/>
        <v>0</v>
      </c>
      <c r="TU68" s="321">
        <f t="shared" ref="TU68" ca="1" si="17977">IF(TM68&lt;&gt;"",VLOOKUP(TM68,ST4:SZ40,7,FALSE),"")</f>
        <v>1000</v>
      </c>
      <c r="TV68" s="321">
        <f t="shared" ref="TV68" ca="1" si="17978">IF(TM68&lt;&gt;"",VLOOKUP(TM68,ST4:SZ40,5,FALSE),"")</f>
        <v>0</v>
      </c>
      <c r="TW68" s="321">
        <f t="shared" ref="TW68" ca="1" si="17979">IF(TM68&lt;&gt;"",VLOOKUP(TM68,ST4:TB40,9,FALSE),"")</f>
        <v>52</v>
      </c>
      <c r="TX68" s="321">
        <f t="shared" ca="1" si="17169"/>
        <v>0</v>
      </c>
      <c r="TY68" s="321">
        <f t="shared" ref="TY68" ca="1" si="17980">IF(TM68&lt;&gt;"",RANK(TX68,TX65:TX68),"")</f>
        <v>1</v>
      </c>
      <c r="TZ68" s="321">
        <f t="shared" ref="TZ68" ca="1" si="17981">IF(TM68&lt;&gt;"",SUMPRODUCT((TX65:TX68=TX68)*(TS65:TS68&gt;TS68)),"")</f>
        <v>0</v>
      </c>
      <c r="UA68" s="321">
        <f t="shared" ref="UA68" ca="1" si="17982">IF(TM68&lt;&gt;"",SUMPRODUCT((TX65:TX68=TX68)*(TS65:TS68=TS68)*(TQ65:TQ68&gt;TQ68)),"")</f>
        <v>0</v>
      </c>
      <c r="UB68" s="321">
        <f t="shared" ref="UB68" ca="1" si="17983">IF(TM68&lt;&gt;"",SUMPRODUCT((TX65:TX68=TX68)*(TS65:TS68=TS68)*(TQ65:TQ68=TQ68)*(TU65:TU68&gt;TU68)),"")</f>
        <v>0</v>
      </c>
      <c r="UC68" s="321">
        <f t="shared" ref="UC68" ca="1" si="17984">IF(TM68&lt;&gt;"",SUMPRODUCT((TX65:TX68=TX68)*(TS65:TS68=TS68)*(TQ65:TQ68=TQ68)*(TU65:TU68=TU68)*(TV65:TV68&gt;TV68)),"")</f>
        <v>0</v>
      </c>
      <c r="UD68" s="321">
        <f t="shared" ref="UD68" ca="1" si="17985">IF(TM68&lt;&gt;"",SUMPRODUCT((TX65:TX68=TX68)*(TS65:TS68=TS68)*(TQ65:TQ68=TQ68)*(TU65:TU68=TU68)*(TV65:TV68=TV68)*(TW65:TW68&gt;TW68)),"")</f>
        <v>0</v>
      </c>
      <c r="UE68" s="321">
        <f t="shared" ca="1" si="17176"/>
        <v>1</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f t="shared" ref="ADH68" ca="1" si="18031">IF(ADI28&lt;&gt;"",SUMPRODUCT((ADP25:ADP28=ADP28)*(ADO25:ADO28=ADO28)*(ADM25:ADM28=ADM28)*(ADN25:ADN28=ADN28)),"")</f>
        <v>4</v>
      </c>
      <c r="ADI68" s="321" t="str">
        <f t="shared" ca="1" si="17198"/>
        <v>France</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f t="shared" ca="1" si="17205"/>
        <v>0</v>
      </c>
      <c r="ADQ68" s="321">
        <f t="shared" ref="ADQ68" ca="1" si="18037">IF(ADI68&lt;&gt;"",VLOOKUP(ADI68,ACP4:ACV40,7,FALSE),"")</f>
        <v>1000</v>
      </c>
      <c r="ADR68" s="321">
        <f t="shared" ref="ADR68" ca="1" si="18038">IF(ADI68&lt;&gt;"",VLOOKUP(ADI68,ACP4:ACV40,5,FALSE),"")</f>
        <v>0</v>
      </c>
      <c r="ADS68" s="321">
        <f t="shared" ref="ADS68" ca="1" si="18039">IF(ADI68&lt;&gt;"",VLOOKUP(ADI68,ACP4:ACX40,9,FALSE),"")</f>
        <v>52</v>
      </c>
      <c r="ADT68" s="321">
        <f t="shared" ca="1" si="17209"/>
        <v>0</v>
      </c>
      <c r="ADU68" s="321">
        <f t="shared" ref="ADU68" ca="1" si="18040">IF(ADI68&lt;&gt;"",RANK(ADT68,ADT65:ADT68),"")</f>
        <v>1</v>
      </c>
      <c r="ADV68" s="321">
        <f t="shared" ref="ADV68" ca="1" si="18041">IF(ADI68&lt;&gt;"",SUMPRODUCT((ADT65:ADT68=ADT68)*(ADO65:ADO68&gt;ADO68)),"")</f>
        <v>0</v>
      </c>
      <c r="ADW68" s="321">
        <f t="shared" ref="ADW68" ca="1" si="18042">IF(ADI68&lt;&gt;"",SUMPRODUCT((ADT65:ADT68=ADT68)*(ADO65:ADO68=ADO68)*(ADM65:ADM68&gt;ADM68)),"")</f>
        <v>0</v>
      </c>
      <c r="ADX68" s="321">
        <f t="shared" ref="ADX68" ca="1" si="18043">IF(ADI68&lt;&gt;"",SUMPRODUCT((ADT65:ADT68=ADT68)*(ADO65:ADO68=ADO68)*(ADM65:ADM68=ADM68)*(ADQ65:ADQ68&gt;ADQ68)),"")</f>
        <v>0</v>
      </c>
      <c r="ADY68" s="321">
        <f t="shared" ref="ADY68" ca="1" si="18044">IF(ADI68&lt;&gt;"",SUMPRODUCT((ADT65:ADT68=ADT68)*(ADO65:ADO68=ADO68)*(ADM65:ADM68=ADM68)*(ADQ65:ADQ68=ADQ68)*(ADR65:ADR68&gt;ADR68)),"")</f>
        <v>0</v>
      </c>
      <c r="ADZ68" s="321">
        <f t="shared" ref="ADZ68" ca="1" si="18045">IF(ADI68&lt;&gt;"",SUMPRODUCT((ADT65:ADT68=ADT68)*(ADO65:ADO68=ADO68)*(ADM65:ADM68=ADM68)*(ADQ65:ADQ68=ADQ68)*(ADR65:ADR68=ADR68)*(ADS65:ADS68&gt;ADS68)),"")</f>
        <v>0</v>
      </c>
      <c r="AEA68" s="321">
        <f t="shared" ca="1" si="17216"/>
        <v>1</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f t="shared" ref="AIF68" ca="1" si="18061">IF(AIG28&lt;&gt;"",SUMPRODUCT((AIN25:AIN28=AIN28)*(AIM25:AIM28=AIM28)*(AIK25:AIK28=AIK28)*(AIL25:AIL28=AIL28)),"")</f>
        <v>4</v>
      </c>
      <c r="AIG68" s="321" t="str">
        <f t="shared" ca="1" si="17218"/>
        <v>France</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f t="shared" ca="1" si="17225"/>
        <v>0</v>
      </c>
      <c r="AIO68" s="321">
        <f t="shared" ref="AIO68" ca="1" si="18067">IF(AIG68&lt;&gt;"",VLOOKUP(AIG68,AHN4:AHT40,7,FALSE),"")</f>
        <v>1000</v>
      </c>
      <c r="AIP68" s="321">
        <f t="shared" ref="AIP68" ca="1" si="18068">IF(AIG68&lt;&gt;"",VLOOKUP(AIG68,AHN4:AHT40,5,FALSE),"")</f>
        <v>0</v>
      </c>
      <c r="AIQ68" s="321">
        <f t="shared" ref="AIQ68" ca="1" si="18069">IF(AIG68&lt;&gt;"",VLOOKUP(AIG68,AHN4:AHV40,9,FALSE),"")</f>
        <v>52</v>
      </c>
      <c r="AIR68" s="321">
        <f t="shared" ca="1" si="17229"/>
        <v>0</v>
      </c>
      <c r="AIS68" s="321">
        <f t="shared" ref="AIS68" ca="1" si="18070">IF(AIG68&lt;&gt;"",RANK(AIR68,AIR65:AIR68),"")</f>
        <v>1</v>
      </c>
      <c r="AIT68" s="321">
        <f t="shared" ref="AIT68" ca="1" si="18071">IF(AIG68&lt;&gt;"",SUMPRODUCT((AIR65:AIR68=AIR68)*(AIM65:AIM68&gt;AIM68)),"")</f>
        <v>0</v>
      </c>
      <c r="AIU68" s="321">
        <f t="shared" ref="AIU68" ca="1" si="18072">IF(AIG68&lt;&gt;"",SUMPRODUCT((AIR65:AIR68=AIR68)*(AIM65:AIM68=AIM68)*(AIK65:AIK68&gt;AIK68)),"")</f>
        <v>0</v>
      </c>
      <c r="AIV68" s="321">
        <f t="shared" ref="AIV68" ca="1" si="18073">IF(AIG68&lt;&gt;"",SUMPRODUCT((AIR65:AIR68=AIR68)*(AIM65:AIM68=AIM68)*(AIK65:AIK68=AIK68)*(AIO65:AIO68&gt;AIO68)),"")</f>
        <v>0</v>
      </c>
      <c r="AIW68" s="321">
        <f t="shared" ref="AIW68" ca="1" si="18074">IF(AIG68&lt;&gt;"",SUMPRODUCT((AIR65:AIR68=AIR68)*(AIM65:AIM68=AIM68)*(AIK65:AIK68=AIK68)*(AIO65:AIO68=AIO68)*(AIP65:AIP68&gt;AIP68)),"")</f>
        <v>0</v>
      </c>
      <c r="AIX68" s="321">
        <f t="shared" ref="AIX68" ca="1" si="18075">IF(AIG68&lt;&gt;"",SUMPRODUCT((AIR65:AIR68=AIR68)*(AIM65:AIM68=AIM68)*(AIK65:AIK68=AIK68)*(AIO65:AIO68=AIO68)*(AIP65:AIP68=AIP68)*(AIQ65:AIQ68&gt;AIQ68)),"")</f>
        <v>0</v>
      </c>
      <c r="AIY68" s="321">
        <f t="shared" ca="1" si="17236"/>
        <v>1</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4</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2</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f ca="1">IF(JQ31&lt;&gt;"",SUMPRODUCT((JX31:JX34=JX31)*(JW31:JW34=JW31)*(JU31:JU34=JU31)*(JV31:JV34=JV31)),"")</f>
        <v>2</v>
      </c>
      <c r="JQ71" s="321" t="str">
        <f ca="1">IF(AND(JP71&lt;&gt;"",JP71&gt;1),JQ31,"")</f>
        <v>Ukraine</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1</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1</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1</v>
      </c>
      <c r="JW71" s="321">
        <f ca="1">JU71-JV71+1000</f>
        <v>1000</v>
      </c>
      <c r="JX71" s="321">
        <f ca="1">IF(JQ71&lt;&gt;"",JR71*3+JS71*1,"")</f>
        <v>1</v>
      </c>
      <c r="JY71" s="321">
        <f ca="1">IF(JQ71&lt;&gt;"",VLOOKUP(JQ71,IX4:JD40,7,FALSE),"")</f>
        <v>1002</v>
      </c>
      <c r="JZ71" s="321">
        <f ca="1">IF(JQ71&lt;&gt;"",VLOOKUP(JQ71,IX4:JD40,5,FALSE),"")</f>
        <v>4</v>
      </c>
      <c r="KA71" s="321">
        <f ca="1">IF(JQ71&lt;&gt;"",VLOOKUP(JQ71,IX4:JF40,9,FALSE),"")</f>
        <v>0</v>
      </c>
      <c r="KB71" s="321">
        <f ca="1">JX71</f>
        <v>1</v>
      </c>
      <c r="KC71" s="321">
        <f ca="1">IF(JQ71&lt;&gt;"",RANK(KB71,KB71:KB74),"")</f>
        <v>1</v>
      </c>
      <c r="KD71" s="321">
        <f ca="1">IF(JQ71&lt;&gt;"",SUMPRODUCT((KB71:KB74=KB71)*(JW71:JW74&gt;JW71)),"")</f>
        <v>0</v>
      </c>
      <c r="KE71" s="321">
        <f ca="1">IF(JQ71&lt;&gt;"",SUMPRODUCT((KB71:KB74=KB71)*(JW71:JW74=JW71)*(JU71:JU74&gt;JU71)),"")</f>
        <v>0</v>
      </c>
      <c r="KF71" s="321">
        <f ca="1">IF(JQ71&lt;&gt;"",SUMPRODUCT((KB71:KB74=KB71)*(JW71:JW74=JW71)*(JU71:JU74=JU71)*(JY71:JY74&gt;JY71)),"")</f>
        <v>1</v>
      </c>
      <c r="KG71" s="321">
        <f ca="1">IF(JQ71&lt;&gt;"",SUMPRODUCT((KB71:KB74=KB71)*(JW71:JW74=JW71)*(JU71:JU74=JU71)*(JY71:JY74=JY71)*(JZ71:JZ74&gt;JZ71)),"")</f>
        <v>0</v>
      </c>
      <c r="KH71" s="321">
        <f ca="1">IF(JQ71&lt;&gt;"",SUMPRODUCT((KB71:KB74=KB71)*(JW71:JW74=JW71)*(JU71:JU74=JU71)*(JY71:JY74=JY71)*(JZ71:JZ74=JZ71)*(KA71:KA74&gt;KA71)),"")</f>
        <v>0</v>
      </c>
      <c r="KI71" s="321">
        <f ca="1">IF(JQ71&lt;&gt;"",SUM(KC71:KH71),"")</f>
        <v>2</v>
      </c>
      <c r="OC71" s="321">
        <f ca="1">SUMPRODUCT((OC31:OC34=OC31)*(OB31:OB34=OB31)*(NZ31:NZ34&gt;NZ31))+1</f>
        <v>1</v>
      </c>
      <c r="ON71" s="321">
        <f t="shared" ref="ON71" ca="1" si="18229">IF(OO31&lt;&gt;"",SUMPRODUCT((OV31:OV34=OV31)*(OU31:OU34=OU31)*(OS31:OS34=OS31)*(OT31:OT34=OT31)),"")</f>
        <v>4</v>
      </c>
      <c r="OO71" s="321" t="str">
        <f t="shared" ref="OO71:OO74" ca="1" si="18230">IF(AND(ON71&lt;&gt;"",ON71&gt;1),OO31,"")</f>
        <v>Ukraine</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f t="shared" ref="OV71:OV74" ca="1" si="18237">IF(OO71&lt;&gt;"",OP71*3+OQ71*1,"")</f>
        <v>0</v>
      </c>
      <c r="OW71" s="321">
        <f t="shared" ref="OW71" ca="1" si="18238">IF(OO71&lt;&gt;"",VLOOKUP(OO71,NV4:OB40,7,FALSE),"")</f>
        <v>1000</v>
      </c>
      <c r="OX71" s="321">
        <f t="shared" ref="OX71" ca="1" si="18239">IF(OO71&lt;&gt;"",VLOOKUP(OO71,NV4:OB40,5,FALSE),"")</f>
        <v>0</v>
      </c>
      <c r="OY71" s="321">
        <f t="shared" ref="OY71" ca="1" si="18240">IF(OO71&lt;&gt;"",VLOOKUP(OO71,NV4:OD40,9,FALSE),"")</f>
        <v>0</v>
      </c>
      <c r="OZ71" s="321">
        <f t="shared" ref="OZ71:OZ74" ca="1" si="18241">OV71</f>
        <v>0</v>
      </c>
      <c r="PA71" s="321">
        <f t="shared" ref="PA71" ca="1" si="18242">IF(OO71&lt;&gt;"",RANK(OZ71,OZ71:OZ74),"")</f>
        <v>1</v>
      </c>
      <c r="PB71" s="321">
        <f t="shared" ref="PB71" ca="1" si="18243">IF(OO71&lt;&gt;"",SUMPRODUCT((OZ71:OZ74=OZ71)*(OU71:OU74&gt;OU71)),"")</f>
        <v>0</v>
      </c>
      <c r="PC71" s="321">
        <f t="shared" ref="PC71" ca="1" si="18244">IF(OO71&lt;&gt;"",SUMPRODUCT((OZ71:OZ74=OZ71)*(OU71:OU74=OU71)*(OS71:OS74&gt;OS71)),"")</f>
        <v>0</v>
      </c>
      <c r="PD71" s="321">
        <f t="shared" ref="PD71" ca="1" si="18245">IF(OO71&lt;&gt;"",SUMPRODUCT((OZ71:OZ74=OZ71)*(OU71:OU74=OU71)*(OS71:OS74=OS71)*(OW71:OW74&gt;OW71)),"")</f>
        <v>0</v>
      </c>
      <c r="PE71" s="321">
        <f t="shared" ref="PE71" ca="1" si="18246">IF(OO71&lt;&gt;"",SUMPRODUCT((OZ71:OZ74=OZ71)*(OU71:OU74=OU71)*(OS71:OS74=OS71)*(OW71:OW74=OW71)*(OX71:OX74&gt;OX71)),"")</f>
        <v>0</v>
      </c>
      <c r="PF71" s="321">
        <f t="shared" ref="PF71" ca="1" si="18247">IF(OO71&lt;&gt;"",SUMPRODUCT((OZ71:OZ74=OZ71)*(OU71:OU74=OU71)*(OS71:OS74=OS71)*(OW71:OW74=OW71)*(OX71:OX74=OX71)*(OY71:OY74&gt;OY71)),"")</f>
        <v>3</v>
      </c>
      <c r="PG71" s="321">
        <f t="shared" ref="PG71:PG74" ca="1" si="18248">IF(OO71&lt;&gt;"",SUM(PA71:PF71),"")</f>
        <v>4</v>
      </c>
      <c r="TA71" s="321">
        <f ca="1">SUMPRODUCT((TA31:TA34=TA31)*(SZ31:SZ34=SZ31)*(SX31:SX34&gt;SX31))+1</f>
        <v>1</v>
      </c>
      <c r="TL71" s="321">
        <f t="shared" ref="TL71" ca="1" si="18249">IF(TM31&lt;&gt;"",SUMPRODUCT((TT31:TT34=TT31)*(TS31:TS34=TS31)*(TQ31:TQ34=TQ31)*(TR31:TR34=TR31)),"")</f>
        <v>4</v>
      </c>
      <c r="TM71" s="321" t="str">
        <f t="shared" ref="TM71:TM74" ca="1" si="18250">IF(AND(TL71&lt;&gt;"",TL71&gt;1),TM31,"")</f>
        <v>Ukraine</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f t="shared" ref="TT71:TT74" ca="1" si="18257">IF(TM71&lt;&gt;"",TN71*3+TO71*1,"")</f>
        <v>0</v>
      </c>
      <c r="TU71" s="321">
        <f t="shared" ref="TU71" ca="1" si="18258">IF(TM71&lt;&gt;"",VLOOKUP(TM71,ST4:SZ40,7,FALSE),"")</f>
        <v>1000</v>
      </c>
      <c r="TV71" s="321">
        <f t="shared" ref="TV71" ca="1" si="18259">IF(TM71&lt;&gt;"",VLOOKUP(TM71,ST4:SZ40,5,FALSE),"")</f>
        <v>0</v>
      </c>
      <c r="TW71" s="321">
        <f t="shared" ref="TW71" ca="1" si="18260">IF(TM71&lt;&gt;"",VLOOKUP(TM71,ST4:TB40,9,FALSE),"")</f>
        <v>0</v>
      </c>
      <c r="TX71" s="321">
        <f t="shared" ref="TX71:TX74" ca="1" si="18261">TT71</f>
        <v>0</v>
      </c>
      <c r="TY71" s="321">
        <f t="shared" ref="TY71" ca="1" si="18262">IF(TM71&lt;&gt;"",RANK(TX71,TX71:TX74),"")</f>
        <v>1</v>
      </c>
      <c r="TZ71" s="321">
        <f t="shared" ref="TZ71" ca="1" si="18263">IF(TM71&lt;&gt;"",SUMPRODUCT((TX71:TX74=TX71)*(TS71:TS74&gt;TS71)),"")</f>
        <v>0</v>
      </c>
      <c r="UA71" s="321">
        <f t="shared" ref="UA71" ca="1" si="18264">IF(TM71&lt;&gt;"",SUMPRODUCT((TX71:TX74=TX71)*(TS71:TS74=TS71)*(TQ71:TQ74&gt;TQ71)),"")</f>
        <v>0</v>
      </c>
      <c r="UB71" s="321">
        <f t="shared" ref="UB71" ca="1" si="18265">IF(TM71&lt;&gt;"",SUMPRODUCT((TX71:TX74=TX71)*(TS71:TS74=TS71)*(TQ71:TQ74=TQ71)*(TU71:TU74&gt;TU71)),"")</f>
        <v>0</v>
      </c>
      <c r="UC71" s="321">
        <f t="shared" ref="UC71" ca="1" si="18266">IF(TM71&lt;&gt;"",SUMPRODUCT((TX71:TX74=TX71)*(TS71:TS74=TS71)*(TQ71:TQ74=TQ71)*(TU71:TU74=TU71)*(TV71:TV74&gt;TV71)),"")</f>
        <v>0</v>
      </c>
      <c r="UD71" s="321">
        <f t="shared" ref="UD71" ca="1" si="18267">IF(TM71&lt;&gt;"",SUMPRODUCT((TX71:TX74=TX71)*(TS71:TS74=TS71)*(TQ71:TQ74=TQ71)*(TU71:TU74=TU71)*(TV71:TV74=TV71)*(TW71:TW74&gt;TW71)),"")</f>
        <v>3</v>
      </c>
      <c r="UE71" s="321">
        <f t="shared" ref="UE71:UE74" ca="1" si="18268">IF(TM71&lt;&gt;"",SUM(TY71:UD71),"")</f>
        <v>4</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f t="shared" ref="ADH71" ca="1" si="18289">IF(ADI31&lt;&gt;"",SUMPRODUCT((ADP31:ADP34=ADP31)*(ADO31:ADO34=ADO31)*(ADM31:ADM34=ADM31)*(ADN31:ADN34=ADN31)),"")</f>
        <v>4</v>
      </c>
      <c r="ADI71" s="321" t="str">
        <f t="shared" ref="ADI71:ADI74" ca="1" si="18290">IF(AND(ADH71&lt;&gt;"",ADH71&gt;1),ADI31,"")</f>
        <v>Ukraine</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f t="shared" ref="ADP71:ADP74" ca="1" si="18297">IF(ADI71&lt;&gt;"",ADJ71*3+ADK71*1,"")</f>
        <v>0</v>
      </c>
      <c r="ADQ71" s="321">
        <f t="shared" ref="ADQ71" ca="1" si="18298">IF(ADI71&lt;&gt;"",VLOOKUP(ADI71,ACP4:ACV40,7,FALSE),"")</f>
        <v>1000</v>
      </c>
      <c r="ADR71" s="321">
        <f t="shared" ref="ADR71" ca="1" si="18299">IF(ADI71&lt;&gt;"",VLOOKUP(ADI71,ACP4:ACV40,5,FALSE),"")</f>
        <v>0</v>
      </c>
      <c r="ADS71" s="321">
        <f t="shared" ref="ADS71" ca="1" si="18300">IF(ADI71&lt;&gt;"",VLOOKUP(ADI71,ACP4:ACX40,9,FALSE),"")</f>
        <v>0</v>
      </c>
      <c r="ADT71" s="321">
        <f t="shared" ref="ADT71:ADT74" ca="1" si="18301">ADP71</f>
        <v>0</v>
      </c>
      <c r="ADU71" s="321">
        <f t="shared" ref="ADU71" ca="1" si="18302">IF(ADI71&lt;&gt;"",RANK(ADT71,ADT71:ADT74),"")</f>
        <v>1</v>
      </c>
      <c r="ADV71" s="321">
        <f t="shared" ref="ADV71" ca="1" si="18303">IF(ADI71&lt;&gt;"",SUMPRODUCT((ADT71:ADT74=ADT71)*(ADO71:ADO74&gt;ADO71)),"")</f>
        <v>0</v>
      </c>
      <c r="ADW71" s="321">
        <f t="shared" ref="ADW71" ca="1" si="18304">IF(ADI71&lt;&gt;"",SUMPRODUCT((ADT71:ADT74=ADT71)*(ADO71:ADO74=ADO71)*(ADM71:ADM74&gt;ADM71)),"")</f>
        <v>0</v>
      </c>
      <c r="ADX71" s="321">
        <f t="shared" ref="ADX71" ca="1" si="18305">IF(ADI71&lt;&gt;"",SUMPRODUCT((ADT71:ADT74=ADT71)*(ADO71:ADO74=ADO71)*(ADM71:ADM74=ADM71)*(ADQ71:ADQ74&gt;ADQ71)),"")</f>
        <v>0</v>
      </c>
      <c r="ADY71" s="321">
        <f t="shared" ref="ADY71" ca="1" si="18306">IF(ADI71&lt;&gt;"",SUMPRODUCT((ADT71:ADT74=ADT71)*(ADO71:ADO74=ADO71)*(ADM71:ADM74=ADM71)*(ADQ71:ADQ74=ADQ71)*(ADR71:ADR74&gt;ADR71)),"")</f>
        <v>0</v>
      </c>
      <c r="ADZ71" s="321">
        <f t="shared" ref="ADZ71" ca="1" si="18307">IF(ADI71&lt;&gt;"",SUMPRODUCT((ADT71:ADT74=ADT71)*(ADO71:ADO74=ADO71)*(ADM71:ADM74=ADM71)*(ADQ71:ADQ74=ADQ71)*(ADR71:ADR74=ADR71)*(ADS71:ADS74&gt;ADS71)),"")</f>
        <v>3</v>
      </c>
      <c r="AEA71" s="321">
        <f t="shared" ref="AEA71:AEA74" ca="1" si="18308">IF(ADI71&lt;&gt;"",SUM(ADU71:ADZ71),"")</f>
        <v>4</v>
      </c>
      <c r="AHU71" s="321">
        <f ca="1">SUMPRODUCT((AHU31:AHU34=AHU31)*(AHT31:AHT34=AHT31)*(AHR31:AHR34&gt;AHR31))+1</f>
        <v>1</v>
      </c>
      <c r="AIF71" s="321">
        <f t="shared" ref="AIF71" ca="1" si="18309">IF(AIG31&lt;&gt;"",SUMPRODUCT((AIN31:AIN34=AIN31)*(AIM31:AIM34=AIM31)*(AIK31:AIK34=AIK31)*(AIL31:AIL34=AIL31)),"")</f>
        <v>4</v>
      </c>
      <c r="AIG71" s="321" t="str">
        <f t="shared" ref="AIG71:AIG74" ca="1" si="18310">IF(AND(AIF71&lt;&gt;"",AIF71&gt;1),AIG31,"")</f>
        <v>Ukraine</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f t="shared" ref="AIN71:AIN74" ca="1" si="18317">IF(AIG71&lt;&gt;"",AIH71*3+AII71*1,"")</f>
        <v>0</v>
      </c>
      <c r="AIO71" s="321">
        <f t="shared" ref="AIO71" ca="1" si="18318">IF(AIG71&lt;&gt;"",VLOOKUP(AIG71,AHN4:AHT40,7,FALSE),"")</f>
        <v>1000</v>
      </c>
      <c r="AIP71" s="321">
        <f t="shared" ref="AIP71" ca="1" si="18319">IF(AIG71&lt;&gt;"",VLOOKUP(AIG71,AHN4:AHT40,5,FALSE),"")</f>
        <v>0</v>
      </c>
      <c r="AIQ71" s="321">
        <f t="shared" ref="AIQ71" ca="1" si="18320">IF(AIG71&lt;&gt;"",VLOOKUP(AIG71,AHN4:AHV40,9,FALSE),"")</f>
        <v>0</v>
      </c>
      <c r="AIR71" s="321">
        <f t="shared" ref="AIR71:AIR74" ca="1" si="18321">AIN71</f>
        <v>0</v>
      </c>
      <c r="AIS71" s="321">
        <f t="shared" ref="AIS71" ca="1" si="18322">IF(AIG71&lt;&gt;"",RANK(AIR71,AIR71:AIR74),"")</f>
        <v>1</v>
      </c>
      <c r="AIT71" s="321">
        <f t="shared" ref="AIT71" ca="1" si="18323">IF(AIG71&lt;&gt;"",SUMPRODUCT((AIR71:AIR74=AIR71)*(AIM71:AIM74&gt;AIM71)),"")</f>
        <v>0</v>
      </c>
      <c r="AIU71" s="321">
        <f t="shared" ref="AIU71" ca="1" si="18324">IF(AIG71&lt;&gt;"",SUMPRODUCT((AIR71:AIR74=AIR71)*(AIM71:AIM74=AIM71)*(AIK71:AIK74&gt;AIK71)),"")</f>
        <v>0</v>
      </c>
      <c r="AIV71" s="321">
        <f t="shared" ref="AIV71" ca="1" si="18325">IF(AIG71&lt;&gt;"",SUMPRODUCT((AIR71:AIR74=AIR71)*(AIM71:AIM74=AIM71)*(AIK71:AIK74=AIK71)*(AIO71:AIO74&gt;AIO71)),"")</f>
        <v>0</v>
      </c>
      <c r="AIW71" s="321">
        <f t="shared" ref="AIW71" ca="1" si="18326">IF(AIG71&lt;&gt;"",SUMPRODUCT((AIR71:AIR74=AIR71)*(AIM71:AIM74=AIM71)*(AIK71:AIK74=AIK71)*(AIO71:AIO74=AIO71)*(AIP71:AIP74&gt;AIP71)),"")</f>
        <v>0</v>
      </c>
      <c r="AIX71" s="321">
        <f t="shared" ref="AIX71" ca="1" si="18327">IF(AIG71&lt;&gt;"",SUMPRODUCT((AIR71:AIR74=AIR71)*(AIM71:AIM74=AIM71)*(AIK71:AIK74=AIK71)*(AIO71:AIO74=AIO71)*(AIP71:AIP74=AIP71)*(AIQ71:AIQ74&gt;AIQ71)),"")</f>
        <v>3</v>
      </c>
      <c r="AIY71" s="321">
        <f t="shared" ref="AIY71:AIY74" ca="1" si="18328">IF(AIG71&lt;&gt;"",SUM(AIS71:AIX71),"")</f>
        <v>4</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f ca="1">IF(JQ32&lt;&gt;"",SUMPRODUCT((JX31:JX34=JX32)*(JW31:JW34=JW32)*(JU31:JU34=JU32)*(JV31:JV34=JV32)),"")</f>
        <v>2</v>
      </c>
      <c r="JQ72" s="321" t="str">
        <f t="shared" ref="JQ72:JQ74" ca="1" si="18421">IF(AND(JP72&lt;&gt;"",JP72&gt;1),JQ32,"")</f>
        <v>Belgium</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1</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1</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1</v>
      </c>
      <c r="JW72" s="321">
        <f ca="1">JU72-JV72+1000</f>
        <v>1000</v>
      </c>
      <c r="JX72" s="321">
        <f t="shared" ref="JX72:JX74" ca="1" si="18422">IF(JQ72&lt;&gt;"",JR72*3+JS72*1,"")</f>
        <v>1</v>
      </c>
      <c r="JY72" s="321">
        <f ca="1">IF(JQ72&lt;&gt;"",VLOOKUP(JQ72,IX4:JD40,7,FALSE),"")</f>
        <v>1003</v>
      </c>
      <c r="JZ72" s="321">
        <f ca="1">IF(JQ72&lt;&gt;"",VLOOKUP(JQ72,IX4:JD40,5,FALSE),"")</f>
        <v>5</v>
      </c>
      <c r="KA72" s="321">
        <f ca="1">IF(JQ72&lt;&gt;"",VLOOKUP(JQ72,IX4:JF40,9,FALSE),"")</f>
        <v>50</v>
      </c>
      <c r="KB72" s="321">
        <f t="shared" ref="KB72:KB74" ca="1" si="18423">JX72</f>
        <v>1</v>
      </c>
      <c r="KC72" s="321">
        <f ca="1">IF(JQ72&lt;&gt;"",RANK(KB72,KB71:KB74),"")</f>
        <v>1</v>
      </c>
      <c r="KD72" s="321">
        <f ca="1">IF(JQ72&lt;&gt;"",SUMPRODUCT((KB71:KB74=KB72)*(JW71:JW74&gt;JW72)),"")</f>
        <v>0</v>
      </c>
      <c r="KE72" s="321">
        <f ca="1">IF(JQ72&lt;&gt;"",SUMPRODUCT((KB71:KB74=KB72)*(JW71:JW74=JW72)*(JU71:JU74&gt;JU72)),"")</f>
        <v>0</v>
      </c>
      <c r="KF72" s="321">
        <f ca="1">IF(JQ72&lt;&gt;"",SUMPRODUCT((KB71:KB74=KB72)*(JW71:JW74=JW72)*(JU71:JU74=JU72)*(JY71:JY74&gt;JY72)),"")</f>
        <v>0</v>
      </c>
      <c r="KG72" s="321">
        <f ca="1">IF(JQ72&lt;&gt;"",SUMPRODUCT((KB71:KB74=KB72)*(JW71:JW74=JW72)*(JU71:JU74=JU72)*(JY71:JY74=JY72)*(JZ71:JZ74&gt;JZ72)),"")</f>
        <v>0</v>
      </c>
      <c r="KH72" s="321">
        <f ca="1">IF(JQ72&lt;&gt;"",SUMPRODUCT((KB71:KB74=KB72)*(JW71:JW74=JW72)*(JU71:JU74=JU72)*(JY71:JY74=JY72)*(JZ71:JZ74=JZ72)*(KA71:KA74&gt;KA72)),"")</f>
        <v>0</v>
      </c>
      <c r="KI72" s="321">
        <f ca="1">IF(JQ72&lt;&gt;"",SUM(KC72:KH72),"")</f>
        <v>1</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f t="shared" ref="ON72" ca="1" si="18427">IF(OO32&lt;&gt;"",SUMPRODUCT((OV31:OV34=OV32)*(OU31:OU34=OU32)*(OS31:OS34=OS32)*(OT31:OT34=OT32)),"")</f>
        <v>4</v>
      </c>
      <c r="OO72" s="321" t="str">
        <f t="shared" ca="1" si="18230"/>
        <v>Slovakia</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f t="shared" ca="1" si="18237"/>
        <v>0</v>
      </c>
      <c r="OW72" s="321">
        <f t="shared" ref="OW72" ca="1" si="18433">IF(OO72&lt;&gt;"",VLOOKUP(OO72,NV4:OB40,7,FALSE),"")</f>
        <v>1000</v>
      </c>
      <c r="OX72" s="321">
        <f t="shared" ref="OX72" ca="1" si="18434">IF(OO72&lt;&gt;"",VLOOKUP(OO72,NV4:OB40,5,FALSE),"")</f>
        <v>0</v>
      </c>
      <c r="OY72" s="321">
        <f t="shared" ref="OY72" ca="1" si="18435">IF(OO72&lt;&gt;"",VLOOKUP(OO72,NV4:OD40,9,FALSE),"")</f>
        <v>38</v>
      </c>
      <c r="OZ72" s="321">
        <f t="shared" ca="1" si="18241"/>
        <v>0</v>
      </c>
      <c r="PA72" s="321">
        <f t="shared" ref="PA72" ca="1" si="18436">IF(OO72&lt;&gt;"",RANK(OZ72,OZ71:OZ74),"")</f>
        <v>1</v>
      </c>
      <c r="PB72" s="321">
        <f t="shared" ref="PB72" ca="1" si="18437">IF(OO72&lt;&gt;"",SUMPRODUCT((OZ71:OZ74=OZ72)*(OU71:OU74&gt;OU72)),"")</f>
        <v>0</v>
      </c>
      <c r="PC72" s="321">
        <f t="shared" ref="PC72" ca="1" si="18438">IF(OO72&lt;&gt;"",SUMPRODUCT((OZ71:OZ74=OZ72)*(OU71:OU74=OU72)*(OS71:OS74&gt;OS72)),"")</f>
        <v>0</v>
      </c>
      <c r="PD72" s="321">
        <f t="shared" ref="PD72" ca="1" si="18439">IF(OO72&lt;&gt;"",SUMPRODUCT((OZ71:OZ74=OZ72)*(OU71:OU74=OU72)*(OS71:OS74=OS72)*(OW71:OW74&gt;OW72)),"")</f>
        <v>0</v>
      </c>
      <c r="PE72" s="321">
        <f t="shared" ref="PE72" ca="1" si="18440">IF(OO72&lt;&gt;"",SUMPRODUCT((OZ71:OZ74=OZ72)*(OU71:OU74=OU72)*(OS71:OS74=OS72)*(OW71:OW74=OW72)*(OX71:OX74&gt;OX72)),"")</f>
        <v>0</v>
      </c>
      <c r="PF72" s="321">
        <f t="shared" ref="PF72" ca="1" si="18441">IF(OO72&lt;&gt;"",SUMPRODUCT((OZ71:OZ74=OZ72)*(OU71:OU74=OU72)*(OS71:OS74=OS72)*(OW71:OW74=OW72)*(OX71:OX74=OX72)*(OY71:OY74&gt;OY72)),"")</f>
        <v>2</v>
      </c>
      <c r="PG72" s="321">
        <f t="shared" ca="1" si="18248"/>
        <v>3</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f t="shared" ref="TL72" ca="1" si="18462">IF(TM32&lt;&gt;"",SUMPRODUCT((TT31:TT34=TT32)*(TS31:TS34=TS32)*(TQ31:TQ34=TQ32)*(TR31:TR34=TR32)),"")</f>
        <v>4</v>
      </c>
      <c r="TM72" s="321" t="str">
        <f t="shared" ca="1" si="18250"/>
        <v>Slovakia</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f t="shared" ca="1" si="18257"/>
        <v>0</v>
      </c>
      <c r="TU72" s="321">
        <f t="shared" ref="TU72" ca="1" si="18468">IF(TM72&lt;&gt;"",VLOOKUP(TM72,ST4:SZ40,7,FALSE),"")</f>
        <v>1000</v>
      </c>
      <c r="TV72" s="321">
        <f t="shared" ref="TV72" ca="1" si="18469">IF(TM72&lt;&gt;"",VLOOKUP(TM72,ST4:SZ40,5,FALSE),"")</f>
        <v>0</v>
      </c>
      <c r="TW72" s="321">
        <f t="shared" ref="TW72" ca="1" si="18470">IF(TM72&lt;&gt;"",VLOOKUP(TM72,ST4:TB40,9,FALSE),"")</f>
        <v>38</v>
      </c>
      <c r="TX72" s="321">
        <f t="shared" ca="1" si="18261"/>
        <v>0</v>
      </c>
      <c r="TY72" s="321">
        <f t="shared" ref="TY72" ca="1" si="18471">IF(TM72&lt;&gt;"",RANK(TX72,TX71:TX74),"")</f>
        <v>1</v>
      </c>
      <c r="TZ72" s="321">
        <f t="shared" ref="TZ72" ca="1" si="18472">IF(TM72&lt;&gt;"",SUMPRODUCT((TX71:TX74=TX72)*(TS71:TS74&gt;TS72)),"")</f>
        <v>0</v>
      </c>
      <c r="UA72" s="321">
        <f t="shared" ref="UA72" ca="1" si="18473">IF(TM72&lt;&gt;"",SUMPRODUCT((TX71:TX74=TX72)*(TS71:TS74=TS72)*(TQ71:TQ74&gt;TQ72)),"")</f>
        <v>0</v>
      </c>
      <c r="UB72" s="321">
        <f t="shared" ref="UB72" ca="1" si="18474">IF(TM72&lt;&gt;"",SUMPRODUCT((TX71:TX74=TX72)*(TS71:TS74=TS72)*(TQ71:TQ74=TQ72)*(TU71:TU74&gt;TU72)),"")</f>
        <v>0</v>
      </c>
      <c r="UC72" s="321">
        <f t="shared" ref="UC72" ca="1" si="18475">IF(TM72&lt;&gt;"",SUMPRODUCT((TX71:TX74=TX72)*(TS71:TS74=TS72)*(TQ71:TQ74=TQ72)*(TU71:TU74=TU72)*(TV71:TV74&gt;TV72)),"")</f>
        <v>0</v>
      </c>
      <c r="UD72" s="321">
        <f t="shared" ref="UD72" ca="1" si="18476">IF(TM72&lt;&gt;"",SUMPRODUCT((TX71:TX74=TX72)*(TS71:TS74=TS72)*(TQ71:TQ74=TQ72)*(TU71:TU74=TU72)*(TV71:TV74=TV72)*(TW71:TW74&gt;TW72)),"")</f>
        <v>2</v>
      </c>
      <c r="UE72" s="321">
        <f t="shared" ca="1" si="18268"/>
        <v>3</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f t="shared" ref="ADH72" ca="1" si="18532">IF(ADI32&lt;&gt;"",SUMPRODUCT((ADP31:ADP34=ADP32)*(ADO31:ADO34=ADO32)*(ADM31:ADM34=ADM32)*(ADN31:ADN34=ADN32)),"")</f>
        <v>4</v>
      </c>
      <c r="ADI72" s="321" t="str">
        <f t="shared" ca="1" si="18290"/>
        <v>Slovakia</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f t="shared" ca="1" si="18297"/>
        <v>0</v>
      </c>
      <c r="ADQ72" s="321">
        <f t="shared" ref="ADQ72" ca="1" si="18538">IF(ADI72&lt;&gt;"",VLOOKUP(ADI72,ACP4:ACV40,7,FALSE),"")</f>
        <v>1000</v>
      </c>
      <c r="ADR72" s="321">
        <f t="shared" ref="ADR72" ca="1" si="18539">IF(ADI72&lt;&gt;"",VLOOKUP(ADI72,ACP4:ACV40,5,FALSE),"")</f>
        <v>0</v>
      </c>
      <c r="ADS72" s="321">
        <f t="shared" ref="ADS72" ca="1" si="18540">IF(ADI72&lt;&gt;"",VLOOKUP(ADI72,ACP4:ACX40,9,FALSE),"")</f>
        <v>38</v>
      </c>
      <c r="ADT72" s="321">
        <f t="shared" ca="1" si="18301"/>
        <v>0</v>
      </c>
      <c r="ADU72" s="321">
        <f t="shared" ref="ADU72" ca="1" si="18541">IF(ADI72&lt;&gt;"",RANK(ADT72,ADT71:ADT74),"")</f>
        <v>1</v>
      </c>
      <c r="ADV72" s="321">
        <f t="shared" ref="ADV72" ca="1" si="18542">IF(ADI72&lt;&gt;"",SUMPRODUCT((ADT71:ADT74=ADT72)*(ADO71:ADO74&gt;ADO72)),"")</f>
        <v>0</v>
      </c>
      <c r="ADW72" s="321">
        <f t="shared" ref="ADW72" ca="1" si="18543">IF(ADI72&lt;&gt;"",SUMPRODUCT((ADT71:ADT74=ADT72)*(ADO71:ADO74=ADO72)*(ADM71:ADM74&gt;ADM72)),"")</f>
        <v>0</v>
      </c>
      <c r="ADX72" s="321">
        <f t="shared" ref="ADX72" ca="1" si="18544">IF(ADI72&lt;&gt;"",SUMPRODUCT((ADT71:ADT74=ADT72)*(ADO71:ADO74=ADO72)*(ADM71:ADM74=ADM72)*(ADQ71:ADQ74&gt;ADQ72)),"")</f>
        <v>0</v>
      </c>
      <c r="ADY72" s="321">
        <f t="shared" ref="ADY72" ca="1" si="18545">IF(ADI72&lt;&gt;"",SUMPRODUCT((ADT71:ADT74=ADT72)*(ADO71:ADO74=ADO72)*(ADM71:ADM74=ADM72)*(ADQ71:ADQ74=ADQ72)*(ADR71:ADR74&gt;ADR72)),"")</f>
        <v>0</v>
      </c>
      <c r="ADZ72" s="321">
        <f t="shared" ref="ADZ72" ca="1" si="18546">IF(ADI72&lt;&gt;"",SUMPRODUCT((ADT71:ADT74=ADT72)*(ADO71:ADO74=ADO72)*(ADM71:ADM74=ADM72)*(ADQ71:ADQ74=ADQ72)*(ADR71:ADR74=ADR72)*(ADS71:ADS74&gt;ADS72)),"")</f>
        <v>2</v>
      </c>
      <c r="AEA72" s="321">
        <f t="shared" ca="1" si="18308"/>
        <v>3</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f t="shared" ref="AIF72" ca="1" si="18567">IF(AIG32&lt;&gt;"",SUMPRODUCT((AIN31:AIN34=AIN32)*(AIM31:AIM34=AIM32)*(AIK31:AIK34=AIK32)*(AIL31:AIL34=AIL32)),"")</f>
        <v>4</v>
      </c>
      <c r="AIG72" s="321" t="str">
        <f t="shared" ca="1" si="18310"/>
        <v>Slovakia</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f t="shared" ca="1" si="18317"/>
        <v>0</v>
      </c>
      <c r="AIO72" s="321">
        <f t="shared" ref="AIO72" ca="1" si="18573">IF(AIG72&lt;&gt;"",VLOOKUP(AIG72,AHN4:AHT40,7,FALSE),"")</f>
        <v>1000</v>
      </c>
      <c r="AIP72" s="321">
        <f t="shared" ref="AIP72" ca="1" si="18574">IF(AIG72&lt;&gt;"",VLOOKUP(AIG72,AHN4:AHT40,5,FALSE),"")</f>
        <v>0</v>
      </c>
      <c r="AIQ72" s="321">
        <f t="shared" ref="AIQ72" ca="1" si="18575">IF(AIG72&lt;&gt;"",VLOOKUP(AIG72,AHN4:AHV40,9,FALSE),"")</f>
        <v>38</v>
      </c>
      <c r="AIR72" s="321">
        <f t="shared" ca="1" si="18321"/>
        <v>0</v>
      </c>
      <c r="AIS72" s="321">
        <f t="shared" ref="AIS72" ca="1" si="18576">IF(AIG72&lt;&gt;"",RANK(AIR72,AIR71:AIR74),"")</f>
        <v>1</v>
      </c>
      <c r="AIT72" s="321">
        <f t="shared" ref="AIT72" ca="1" si="18577">IF(AIG72&lt;&gt;"",SUMPRODUCT((AIR71:AIR74=AIR72)*(AIM71:AIM74&gt;AIM72)),"")</f>
        <v>0</v>
      </c>
      <c r="AIU72" s="321">
        <f t="shared" ref="AIU72" ca="1" si="18578">IF(AIG72&lt;&gt;"",SUMPRODUCT((AIR71:AIR74=AIR72)*(AIM71:AIM74=AIM72)*(AIK71:AIK74&gt;AIK72)),"")</f>
        <v>0</v>
      </c>
      <c r="AIV72" s="321">
        <f t="shared" ref="AIV72" ca="1" si="18579">IF(AIG72&lt;&gt;"",SUMPRODUCT((AIR71:AIR74=AIR72)*(AIM71:AIM74=AIM72)*(AIK71:AIK74=AIK72)*(AIO71:AIO74&gt;AIO72)),"")</f>
        <v>0</v>
      </c>
      <c r="AIW72" s="321">
        <f t="shared" ref="AIW72" ca="1" si="18580">IF(AIG72&lt;&gt;"",SUMPRODUCT((AIR71:AIR74=AIR72)*(AIM71:AIM74=AIM72)*(AIK71:AIK74=AIK72)*(AIO71:AIO74=AIO72)*(AIP71:AIP74&gt;AIP72)),"")</f>
        <v>0</v>
      </c>
      <c r="AIX72" s="321">
        <f t="shared" ref="AIX72" ca="1" si="18581">IF(AIG72&lt;&gt;"",SUMPRODUCT((AIR71:AIR74=AIR72)*(AIM71:AIM74=AIM72)*(AIK71:AIK74=AIK72)*(AIO71:AIO74=AIO72)*(AIP71:AIP74=AIP72)*(AIQ71:AIQ74&gt;AIQ72)),"")</f>
        <v>2</v>
      </c>
      <c r="AIY72" s="321">
        <f t="shared" ca="1" si="18328"/>
        <v>3</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f t="shared" ref="ON73" ca="1" si="18745">IF(OO33&lt;&gt;"",SUMPRODUCT((OV31:OV34=OV33)*(OU31:OU34=OU33)*(OS31:OS34=OS33)*(OT31:OT34=OT33)),"")</f>
        <v>4</v>
      </c>
      <c r="OO73" s="321" t="str">
        <f t="shared" ca="1" si="18230"/>
        <v>Romania</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f t="shared" ca="1" si="18237"/>
        <v>0</v>
      </c>
      <c r="OW73" s="321">
        <f t="shared" ref="OW73" ca="1" si="18751">IF(OO73&lt;&gt;"",VLOOKUP(OO73,NV4:OB40,7,FALSE),"")</f>
        <v>1000</v>
      </c>
      <c r="OX73" s="321">
        <f t="shared" ref="OX73" ca="1" si="18752">IF(OO73&lt;&gt;"",VLOOKUP(OO73,NV4:OB40,5,FALSE),"")</f>
        <v>0</v>
      </c>
      <c r="OY73" s="321">
        <f t="shared" ref="OY73" ca="1" si="18753">IF(OO73&lt;&gt;"",VLOOKUP(OO73,NV4:OD40,9,FALSE),"")</f>
        <v>46</v>
      </c>
      <c r="OZ73" s="321">
        <f t="shared" ca="1" si="18241"/>
        <v>0</v>
      </c>
      <c r="PA73" s="321">
        <f t="shared" ref="PA73" ca="1" si="18754">IF(OO73&lt;&gt;"",RANK(OZ73,OZ71:OZ74),"")</f>
        <v>1</v>
      </c>
      <c r="PB73" s="321">
        <f t="shared" ref="PB73" ca="1" si="18755">IF(OO73&lt;&gt;"",SUMPRODUCT((OZ71:OZ74=OZ73)*(OU71:OU74&gt;OU73)),"")</f>
        <v>0</v>
      </c>
      <c r="PC73" s="321">
        <f t="shared" ref="PC73" ca="1" si="18756">IF(OO73&lt;&gt;"",SUMPRODUCT((OZ71:OZ74=OZ73)*(OU71:OU74=OU73)*(OS71:OS74&gt;OS73)),"")</f>
        <v>0</v>
      </c>
      <c r="PD73" s="321">
        <f t="shared" ref="PD73" ca="1" si="18757">IF(OO73&lt;&gt;"",SUMPRODUCT((OZ71:OZ74=OZ73)*(OU71:OU74=OU73)*(OS71:OS74=OS73)*(OW71:OW74&gt;OW73)),"")</f>
        <v>0</v>
      </c>
      <c r="PE73" s="321">
        <f t="shared" ref="PE73" ca="1" si="18758">IF(OO73&lt;&gt;"",SUMPRODUCT((OZ71:OZ74=OZ73)*(OU71:OU74=OU73)*(OS71:OS74=OS73)*(OW71:OW74=OW73)*(OX71:OX74&gt;OX73)),"")</f>
        <v>0</v>
      </c>
      <c r="PF73" s="321">
        <f t="shared" ref="PF73" ca="1" si="18759">IF(OO73&lt;&gt;"",SUMPRODUCT((OZ71:OZ74=OZ73)*(OU71:OU74=OU73)*(OS71:OS74=OS73)*(OW71:OW74=OW73)*(OX71:OX74=OX73)*(OY71:OY74&gt;OY73)),"")</f>
        <v>1</v>
      </c>
      <c r="PG73" s="321">
        <f t="shared" ca="1" si="18248"/>
        <v>2</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f t="shared" ref="TL73" ca="1" si="18776">IF(TM33&lt;&gt;"",SUMPRODUCT((TT31:TT34=TT33)*(TS31:TS34=TS33)*(TQ31:TQ34=TQ33)*(TR31:TR34=TR33)),"")</f>
        <v>4</v>
      </c>
      <c r="TM73" s="321" t="str">
        <f t="shared" ca="1" si="18250"/>
        <v>Romania</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f t="shared" ca="1" si="18257"/>
        <v>0</v>
      </c>
      <c r="TU73" s="321">
        <f t="shared" ref="TU73" ca="1" si="18782">IF(TM73&lt;&gt;"",VLOOKUP(TM73,ST4:SZ40,7,FALSE),"")</f>
        <v>1000</v>
      </c>
      <c r="TV73" s="321">
        <f t="shared" ref="TV73" ca="1" si="18783">IF(TM73&lt;&gt;"",VLOOKUP(TM73,ST4:SZ40,5,FALSE),"")</f>
        <v>0</v>
      </c>
      <c r="TW73" s="321">
        <f t="shared" ref="TW73" ca="1" si="18784">IF(TM73&lt;&gt;"",VLOOKUP(TM73,ST4:TB40,9,FALSE),"")</f>
        <v>46</v>
      </c>
      <c r="TX73" s="321">
        <f t="shared" ca="1" si="18261"/>
        <v>0</v>
      </c>
      <c r="TY73" s="321">
        <f t="shared" ref="TY73" ca="1" si="18785">IF(TM73&lt;&gt;"",RANK(TX73,TX71:TX74),"")</f>
        <v>1</v>
      </c>
      <c r="TZ73" s="321">
        <f t="shared" ref="TZ73" ca="1" si="18786">IF(TM73&lt;&gt;"",SUMPRODUCT((TX71:TX74=TX73)*(TS71:TS74&gt;TS73)),"")</f>
        <v>0</v>
      </c>
      <c r="UA73" s="321">
        <f t="shared" ref="UA73" ca="1" si="18787">IF(TM73&lt;&gt;"",SUMPRODUCT((TX71:TX74=TX73)*(TS71:TS74=TS73)*(TQ71:TQ74&gt;TQ73)),"")</f>
        <v>0</v>
      </c>
      <c r="UB73" s="321">
        <f t="shared" ref="UB73" ca="1" si="18788">IF(TM73&lt;&gt;"",SUMPRODUCT((TX71:TX74=TX73)*(TS71:TS74=TS73)*(TQ71:TQ74=TQ73)*(TU71:TU74&gt;TU73)),"")</f>
        <v>0</v>
      </c>
      <c r="UC73" s="321">
        <f t="shared" ref="UC73" ca="1" si="18789">IF(TM73&lt;&gt;"",SUMPRODUCT((TX71:TX74=TX73)*(TS71:TS74=TS73)*(TQ71:TQ74=TQ73)*(TU71:TU74=TU73)*(TV71:TV74&gt;TV73)),"")</f>
        <v>0</v>
      </c>
      <c r="UD73" s="321">
        <f t="shared" ref="UD73" ca="1" si="18790">IF(TM73&lt;&gt;"",SUMPRODUCT((TX71:TX74=TX73)*(TS71:TS74=TS73)*(TQ71:TQ74=TQ73)*(TU71:TU74=TU73)*(TV71:TV74=TV73)*(TW71:TW74&gt;TW73)),"")</f>
        <v>1</v>
      </c>
      <c r="UE73" s="321">
        <f t="shared" ca="1" si="18268"/>
        <v>2</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f t="shared" ref="ADH73" ca="1" si="18838">IF(ADI33&lt;&gt;"",SUMPRODUCT((ADP31:ADP34=ADP33)*(ADO31:ADO34=ADO33)*(ADM31:ADM34=ADM33)*(ADN31:ADN34=ADN33)),"")</f>
        <v>4</v>
      </c>
      <c r="ADI73" s="321" t="str">
        <f t="shared" ca="1" si="18290"/>
        <v>Romania</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f t="shared" ca="1" si="18297"/>
        <v>0</v>
      </c>
      <c r="ADQ73" s="321">
        <f t="shared" ref="ADQ73" ca="1" si="18844">IF(ADI73&lt;&gt;"",VLOOKUP(ADI73,ACP4:ACV40,7,FALSE),"")</f>
        <v>1000</v>
      </c>
      <c r="ADR73" s="321">
        <f t="shared" ref="ADR73" ca="1" si="18845">IF(ADI73&lt;&gt;"",VLOOKUP(ADI73,ACP4:ACV40,5,FALSE),"")</f>
        <v>0</v>
      </c>
      <c r="ADS73" s="321">
        <f t="shared" ref="ADS73" ca="1" si="18846">IF(ADI73&lt;&gt;"",VLOOKUP(ADI73,ACP4:ACX40,9,FALSE),"")</f>
        <v>46</v>
      </c>
      <c r="ADT73" s="321">
        <f t="shared" ca="1" si="18301"/>
        <v>0</v>
      </c>
      <c r="ADU73" s="321">
        <f t="shared" ref="ADU73" ca="1" si="18847">IF(ADI73&lt;&gt;"",RANK(ADT73,ADT71:ADT74),"")</f>
        <v>1</v>
      </c>
      <c r="ADV73" s="321">
        <f t="shared" ref="ADV73" ca="1" si="18848">IF(ADI73&lt;&gt;"",SUMPRODUCT((ADT71:ADT74=ADT73)*(ADO71:ADO74&gt;ADO73)),"")</f>
        <v>0</v>
      </c>
      <c r="ADW73" s="321">
        <f t="shared" ref="ADW73" ca="1" si="18849">IF(ADI73&lt;&gt;"",SUMPRODUCT((ADT71:ADT74=ADT73)*(ADO71:ADO74=ADO73)*(ADM71:ADM74&gt;ADM73)),"")</f>
        <v>0</v>
      </c>
      <c r="ADX73" s="321">
        <f t="shared" ref="ADX73" ca="1" si="18850">IF(ADI73&lt;&gt;"",SUMPRODUCT((ADT71:ADT74=ADT73)*(ADO71:ADO74=ADO73)*(ADM71:ADM74=ADM73)*(ADQ71:ADQ74&gt;ADQ73)),"")</f>
        <v>0</v>
      </c>
      <c r="ADY73" s="321">
        <f t="shared" ref="ADY73" ca="1" si="18851">IF(ADI73&lt;&gt;"",SUMPRODUCT((ADT71:ADT74=ADT73)*(ADO71:ADO74=ADO73)*(ADM71:ADM74=ADM73)*(ADQ71:ADQ74=ADQ73)*(ADR71:ADR74&gt;ADR73)),"")</f>
        <v>0</v>
      </c>
      <c r="ADZ73" s="321">
        <f t="shared" ref="ADZ73" ca="1" si="18852">IF(ADI73&lt;&gt;"",SUMPRODUCT((ADT71:ADT74=ADT73)*(ADO71:ADO74=ADO73)*(ADM71:ADM74=ADM73)*(ADQ71:ADQ74=ADQ73)*(ADR71:ADR74=ADR73)*(ADS71:ADS74&gt;ADS73)),"")</f>
        <v>1</v>
      </c>
      <c r="AEA73" s="321">
        <f t="shared" ca="1" si="18308"/>
        <v>2</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f t="shared" ref="AIF73" ca="1" si="18869">IF(AIG33&lt;&gt;"",SUMPRODUCT((AIN31:AIN34=AIN33)*(AIM31:AIM34=AIM33)*(AIK31:AIK34=AIK33)*(AIL31:AIL34=AIL33)),"")</f>
        <v>4</v>
      </c>
      <c r="AIG73" s="321" t="str">
        <f t="shared" ca="1" si="18310"/>
        <v>Romania</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f t="shared" ca="1" si="18317"/>
        <v>0</v>
      </c>
      <c r="AIO73" s="321">
        <f t="shared" ref="AIO73" ca="1" si="18875">IF(AIG73&lt;&gt;"",VLOOKUP(AIG73,AHN4:AHT40,7,FALSE),"")</f>
        <v>1000</v>
      </c>
      <c r="AIP73" s="321">
        <f t="shared" ref="AIP73" ca="1" si="18876">IF(AIG73&lt;&gt;"",VLOOKUP(AIG73,AHN4:AHT40,5,FALSE),"")</f>
        <v>0</v>
      </c>
      <c r="AIQ73" s="321">
        <f t="shared" ref="AIQ73" ca="1" si="18877">IF(AIG73&lt;&gt;"",VLOOKUP(AIG73,AHN4:AHV40,9,FALSE),"")</f>
        <v>46</v>
      </c>
      <c r="AIR73" s="321">
        <f t="shared" ca="1" si="18321"/>
        <v>0</v>
      </c>
      <c r="AIS73" s="321">
        <f t="shared" ref="AIS73" ca="1" si="18878">IF(AIG73&lt;&gt;"",RANK(AIR73,AIR71:AIR74),"")</f>
        <v>1</v>
      </c>
      <c r="AIT73" s="321">
        <f t="shared" ref="AIT73" ca="1" si="18879">IF(AIG73&lt;&gt;"",SUMPRODUCT((AIR71:AIR74=AIR73)*(AIM71:AIM74&gt;AIM73)),"")</f>
        <v>0</v>
      </c>
      <c r="AIU73" s="321">
        <f t="shared" ref="AIU73" ca="1" si="18880">IF(AIG73&lt;&gt;"",SUMPRODUCT((AIR71:AIR74=AIR73)*(AIM71:AIM74=AIM73)*(AIK71:AIK74&gt;AIK73)),"")</f>
        <v>0</v>
      </c>
      <c r="AIV73" s="321">
        <f t="shared" ref="AIV73" ca="1" si="18881">IF(AIG73&lt;&gt;"",SUMPRODUCT((AIR71:AIR74=AIR73)*(AIM71:AIM74=AIM73)*(AIK71:AIK74=AIK73)*(AIO71:AIO74&gt;AIO73)),"")</f>
        <v>0</v>
      </c>
      <c r="AIW73" s="321">
        <f t="shared" ref="AIW73" ca="1" si="18882">IF(AIG73&lt;&gt;"",SUMPRODUCT((AIR71:AIR74=AIR73)*(AIM71:AIM74=AIM73)*(AIK71:AIK74=AIK73)*(AIO71:AIO74=AIO73)*(AIP71:AIP74&gt;AIP73)),"")</f>
        <v>0</v>
      </c>
      <c r="AIX73" s="321">
        <f t="shared" ref="AIX73" ca="1" si="18883">IF(AIG73&lt;&gt;"",SUMPRODUCT((AIR71:AIR74=AIR73)*(AIM71:AIM74=AIM73)*(AIK71:AIK74=AIK73)*(AIO71:AIO74=AIO73)*(AIP71:AIP74=AIP73)*(AIQ71:AIQ74&gt;AIQ73)),"")</f>
        <v>1</v>
      </c>
      <c r="AIY73" s="321">
        <f t="shared" ca="1" si="18328"/>
        <v>2</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f>IF(U34&lt;&gt;"",SUMPRODUCT((AB31:AB34=AB34)*(AA31:AA34=AA34)*(Y31:Y34=Y34)*(Z31:Z34=Z34)),"")</f>
        <v>1</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f t="shared" ref="ON74" ca="1" si="19024">IF(OO34&lt;&gt;"",SUMPRODUCT((OV31:OV34=OV34)*(OU31:OU34=OU34)*(OS31:OS34=OS34)*(OT31:OT34=OT34)),"")</f>
        <v>4</v>
      </c>
      <c r="OO74" s="321" t="str">
        <f t="shared" ca="1" si="18230"/>
        <v>Belgium</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f t="shared" ca="1" si="18237"/>
        <v>0</v>
      </c>
      <c r="OW74" s="321">
        <f t="shared" ref="OW74" ca="1" si="19030">IF(OO74&lt;&gt;"",VLOOKUP(OO74,NV4:OB40,7,FALSE),"")</f>
        <v>1000</v>
      </c>
      <c r="OX74" s="321">
        <f t="shared" ref="OX74" ca="1" si="19031">IF(OO74&lt;&gt;"",VLOOKUP(OO74,NV4:OB40,5,FALSE),"")</f>
        <v>0</v>
      </c>
      <c r="OY74" s="321">
        <f t="shared" ref="OY74" ca="1" si="19032">IF(OO74&lt;&gt;"",VLOOKUP(OO74,NV4:OD40,9,FALSE),"")</f>
        <v>50</v>
      </c>
      <c r="OZ74" s="321">
        <f t="shared" ca="1" si="18241"/>
        <v>0</v>
      </c>
      <c r="PA74" s="321">
        <f t="shared" ref="PA74" ca="1" si="19033">IF(OO74&lt;&gt;"",RANK(OZ74,OZ71:OZ74),"")</f>
        <v>1</v>
      </c>
      <c r="PB74" s="321">
        <f t="shared" ref="PB74" ca="1" si="19034">IF(OO74&lt;&gt;"",SUMPRODUCT((OZ71:OZ74=OZ74)*(OU71:OU74&gt;OU74)),"")</f>
        <v>0</v>
      </c>
      <c r="PC74" s="321">
        <f t="shared" ref="PC74" ca="1" si="19035">IF(OO74&lt;&gt;"",SUMPRODUCT((OZ71:OZ74=OZ74)*(OU71:OU74=OU74)*(OS71:OS74&gt;OS74)),"")</f>
        <v>0</v>
      </c>
      <c r="PD74" s="321">
        <f t="shared" ref="PD74" ca="1" si="19036">IF(OO74&lt;&gt;"",SUMPRODUCT((OZ71:OZ74=OZ74)*(OU71:OU74=OU74)*(OS71:OS74=OS74)*(OW71:OW74&gt;OW74)),"")</f>
        <v>0</v>
      </c>
      <c r="PE74" s="321">
        <f t="shared" ref="PE74" ca="1" si="19037">IF(OO74&lt;&gt;"",SUMPRODUCT((OZ71:OZ74=OZ74)*(OU71:OU74=OU74)*(OS71:OS74=OS74)*(OW71:OW74=OW74)*(OX71:OX74&gt;OX74)),"")</f>
        <v>0</v>
      </c>
      <c r="PF74" s="321">
        <f t="shared" ref="PF74" ca="1" si="19038">IF(OO74&lt;&gt;"",SUMPRODUCT((OZ71:OZ74=OZ74)*(OU71:OU74=OU74)*(OS71:OS74=OS74)*(OW71:OW74=OW74)*(OX71:OX74=OX74)*(OY71:OY74&gt;OY74)),"")</f>
        <v>0</v>
      </c>
      <c r="PG74" s="321">
        <f t="shared" ca="1" si="18248"/>
        <v>1</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f t="shared" ref="TL74" ca="1" si="19054">IF(TM34&lt;&gt;"",SUMPRODUCT((TT31:TT34=TT34)*(TS31:TS34=TS34)*(TQ31:TQ34=TQ34)*(TR31:TR34=TR34)),"")</f>
        <v>4</v>
      </c>
      <c r="TM74" s="321" t="str">
        <f t="shared" ca="1" si="18250"/>
        <v>Belgium</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f t="shared" ca="1" si="18257"/>
        <v>0</v>
      </c>
      <c r="TU74" s="321">
        <f t="shared" ref="TU74" ca="1" si="19060">IF(TM74&lt;&gt;"",VLOOKUP(TM74,ST4:SZ40,7,FALSE),"")</f>
        <v>1000</v>
      </c>
      <c r="TV74" s="321">
        <f t="shared" ref="TV74" ca="1" si="19061">IF(TM74&lt;&gt;"",VLOOKUP(TM74,ST4:SZ40,5,FALSE),"")</f>
        <v>0</v>
      </c>
      <c r="TW74" s="321">
        <f t="shared" ref="TW74" ca="1" si="19062">IF(TM74&lt;&gt;"",VLOOKUP(TM74,ST4:TB40,9,FALSE),"")</f>
        <v>50</v>
      </c>
      <c r="TX74" s="321">
        <f t="shared" ca="1" si="18261"/>
        <v>0</v>
      </c>
      <c r="TY74" s="321">
        <f t="shared" ref="TY74" ca="1" si="19063">IF(TM74&lt;&gt;"",RANK(TX74,TX71:TX74),"")</f>
        <v>1</v>
      </c>
      <c r="TZ74" s="321">
        <f t="shared" ref="TZ74" ca="1" si="19064">IF(TM74&lt;&gt;"",SUMPRODUCT((TX71:TX74=TX74)*(TS71:TS74&gt;TS74)),"")</f>
        <v>0</v>
      </c>
      <c r="UA74" s="321">
        <f t="shared" ref="UA74" ca="1" si="19065">IF(TM74&lt;&gt;"",SUMPRODUCT((TX71:TX74=TX74)*(TS71:TS74=TS74)*(TQ71:TQ74&gt;TQ74)),"")</f>
        <v>0</v>
      </c>
      <c r="UB74" s="321">
        <f t="shared" ref="UB74" ca="1" si="19066">IF(TM74&lt;&gt;"",SUMPRODUCT((TX71:TX74=TX74)*(TS71:TS74=TS74)*(TQ71:TQ74=TQ74)*(TU71:TU74&gt;TU74)),"")</f>
        <v>0</v>
      </c>
      <c r="UC74" s="321">
        <f t="shared" ref="UC74" ca="1" si="19067">IF(TM74&lt;&gt;"",SUMPRODUCT((TX71:TX74=TX74)*(TS71:TS74=TS74)*(TQ71:TQ74=TQ74)*(TU71:TU74=TU74)*(TV71:TV74&gt;TV74)),"")</f>
        <v>0</v>
      </c>
      <c r="UD74" s="321">
        <f t="shared" ref="UD74" ca="1" si="19068">IF(TM74&lt;&gt;"",SUMPRODUCT((TX71:TX74=TX74)*(TS71:TS74=TS74)*(TQ71:TQ74=TQ74)*(TU71:TU74=TU74)*(TV71:TV74=TV74)*(TW71:TW74&gt;TW74)),"")</f>
        <v>0</v>
      </c>
      <c r="UE74" s="321">
        <f t="shared" ca="1" si="18268"/>
        <v>1</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f t="shared" ref="ADH74" ca="1" si="19114">IF(ADI34&lt;&gt;"",SUMPRODUCT((ADP31:ADP34=ADP34)*(ADO31:ADO34=ADO34)*(ADM31:ADM34=ADM34)*(ADN31:ADN34=ADN34)),"")</f>
        <v>4</v>
      </c>
      <c r="ADI74" s="321" t="str">
        <f t="shared" ca="1" si="18290"/>
        <v>Belgium</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f t="shared" ca="1" si="18297"/>
        <v>0</v>
      </c>
      <c r="ADQ74" s="321">
        <f t="shared" ref="ADQ74" ca="1" si="19120">IF(ADI74&lt;&gt;"",VLOOKUP(ADI74,ACP4:ACV40,7,FALSE),"")</f>
        <v>1000</v>
      </c>
      <c r="ADR74" s="321">
        <f t="shared" ref="ADR74" ca="1" si="19121">IF(ADI74&lt;&gt;"",VLOOKUP(ADI74,ACP4:ACV40,5,FALSE),"")</f>
        <v>0</v>
      </c>
      <c r="ADS74" s="321">
        <f t="shared" ref="ADS74" ca="1" si="19122">IF(ADI74&lt;&gt;"",VLOOKUP(ADI74,ACP4:ACX40,9,FALSE),"")</f>
        <v>50</v>
      </c>
      <c r="ADT74" s="321">
        <f t="shared" ca="1" si="18301"/>
        <v>0</v>
      </c>
      <c r="ADU74" s="321">
        <f t="shared" ref="ADU74" ca="1" si="19123">IF(ADI74&lt;&gt;"",RANK(ADT74,ADT71:ADT74),"")</f>
        <v>1</v>
      </c>
      <c r="ADV74" s="321">
        <f t="shared" ref="ADV74" ca="1" si="19124">IF(ADI74&lt;&gt;"",SUMPRODUCT((ADT71:ADT74=ADT74)*(ADO71:ADO74&gt;ADO74)),"")</f>
        <v>0</v>
      </c>
      <c r="ADW74" s="321">
        <f t="shared" ref="ADW74" ca="1" si="19125">IF(ADI74&lt;&gt;"",SUMPRODUCT((ADT71:ADT74=ADT74)*(ADO71:ADO74=ADO74)*(ADM71:ADM74&gt;ADM74)),"")</f>
        <v>0</v>
      </c>
      <c r="ADX74" s="321">
        <f t="shared" ref="ADX74" ca="1" si="19126">IF(ADI74&lt;&gt;"",SUMPRODUCT((ADT71:ADT74=ADT74)*(ADO71:ADO74=ADO74)*(ADM71:ADM74=ADM74)*(ADQ71:ADQ74&gt;ADQ74)),"")</f>
        <v>0</v>
      </c>
      <c r="ADY74" s="321">
        <f t="shared" ref="ADY74" ca="1" si="19127">IF(ADI74&lt;&gt;"",SUMPRODUCT((ADT71:ADT74=ADT74)*(ADO71:ADO74=ADO74)*(ADM71:ADM74=ADM74)*(ADQ71:ADQ74=ADQ74)*(ADR71:ADR74&gt;ADR74)),"")</f>
        <v>0</v>
      </c>
      <c r="ADZ74" s="321">
        <f t="shared" ref="ADZ74" ca="1" si="19128">IF(ADI74&lt;&gt;"",SUMPRODUCT((ADT71:ADT74=ADT74)*(ADO71:ADO74=ADO74)*(ADM71:ADM74=ADM74)*(ADQ71:ADQ74=ADQ74)*(ADR71:ADR74=ADR74)*(ADS71:ADS74&gt;ADS74)),"")</f>
        <v>0</v>
      </c>
      <c r="AEA74" s="321">
        <f t="shared" ca="1" si="18308"/>
        <v>1</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f t="shared" ref="AIF74" ca="1" si="19144">IF(AIG34&lt;&gt;"",SUMPRODUCT((AIN31:AIN34=AIN34)*(AIM31:AIM34=AIM34)*(AIK31:AIK34=AIK34)*(AIL31:AIL34=AIL34)),"")</f>
        <v>4</v>
      </c>
      <c r="AIG74" s="321" t="str">
        <f t="shared" ca="1" si="18310"/>
        <v>Belgium</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f t="shared" ca="1" si="18317"/>
        <v>0</v>
      </c>
      <c r="AIO74" s="321">
        <f t="shared" ref="AIO74" ca="1" si="19150">IF(AIG74&lt;&gt;"",VLOOKUP(AIG74,AHN4:AHT40,7,FALSE),"")</f>
        <v>1000</v>
      </c>
      <c r="AIP74" s="321">
        <f t="shared" ref="AIP74" ca="1" si="19151">IF(AIG74&lt;&gt;"",VLOOKUP(AIG74,AHN4:AHT40,5,FALSE),"")</f>
        <v>0</v>
      </c>
      <c r="AIQ74" s="321">
        <f t="shared" ref="AIQ74" ca="1" si="19152">IF(AIG74&lt;&gt;"",VLOOKUP(AIG74,AHN4:AHV40,9,FALSE),"")</f>
        <v>50</v>
      </c>
      <c r="AIR74" s="321">
        <f t="shared" ca="1" si="18321"/>
        <v>0</v>
      </c>
      <c r="AIS74" s="321">
        <f t="shared" ref="AIS74" ca="1" si="19153">IF(AIG74&lt;&gt;"",RANK(AIR74,AIR71:AIR74),"")</f>
        <v>1</v>
      </c>
      <c r="AIT74" s="321">
        <f t="shared" ref="AIT74" ca="1" si="19154">IF(AIG74&lt;&gt;"",SUMPRODUCT((AIR71:AIR74=AIR74)*(AIM71:AIM74&gt;AIM74)),"")</f>
        <v>0</v>
      </c>
      <c r="AIU74" s="321">
        <f t="shared" ref="AIU74" ca="1" si="19155">IF(AIG74&lt;&gt;"",SUMPRODUCT((AIR71:AIR74=AIR74)*(AIM71:AIM74=AIM74)*(AIK71:AIK74&gt;AIK74)),"")</f>
        <v>0</v>
      </c>
      <c r="AIV74" s="321">
        <f t="shared" ref="AIV74" ca="1" si="19156">IF(AIG74&lt;&gt;"",SUMPRODUCT((AIR71:AIR74=AIR74)*(AIM71:AIM74=AIM74)*(AIK71:AIK74=AIK74)*(AIO71:AIO74&gt;AIO74)),"")</f>
        <v>0</v>
      </c>
      <c r="AIW74" s="321">
        <f t="shared" ref="AIW74" ca="1" si="19157">IF(AIG74&lt;&gt;"",SUMPRODUCT((AIR71:AIR74=AIR74)*(AIM71:AIM74=AIM74)*(AIK71:AIK74=AIK74)*(AIO71:AIO74=AIO74)*(AIP71:AIP74&gt;AIP74)),"")</f>
        <v>0</v>
      </c>
      <c r="AIX74" s="321">
        <f t="shared" ref="AIX74" ca="1" si="19158">IF(AIG74&lt;&gt;"",SUMPRODUCT((AIR71:AIR74=AIR74)*(AIM71:AIM74=AIM74)*(AIK71:AIK74=AIK74)*(AIO71:AIO74=AIO74)*(AIP71:AIP74=AIP74)*(AIQ71:AIQ74&gt;AIQ74)),"")</f>
        <v>0</v>
      </c>
      <c r="AIY74" s="321">
        <f t="shared" ca="1" si="18328"/>
        <v>1</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t="str">
        <f>IF(U37&lt;&gt;"",SUMPRODUCT((AB37:AB40=AB37)*(AA37:AA40=AA37)*(Y37:Y40=Y37)*(Z37:Z40=Z37)),"")</f>
        <v/>
      </c>
      <c r="U77" s="321" t="str">
        <f>IF(AND(T77&lt;&gt;"",T77&gt;1),U37,"")</f>
        <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t="str">
        <f>IF(U77&lt;&gt;"",V77*3+W77*1,"")</f>
        <v/>
      </c>
      <c r="AC77" s="321" t="str">
        <f>IF(U77&lt;&gt;"",VLOOKUP(U77,B4:H40,7,FALSE),"")</f>
        <v/>
      </c>
      <c r="AD77" s="321" t="str">
        <f>IF(U77&lt;&gt;"",VLOOKUP(U77,B4:H40,5,FALSE),"")</f>
        <v/>
      </c>
      <c r="AE77" s="321" t="str">
        <f>IF(U77&lt;&gt;"",VLOOKUP(U77,B4:J40,9,FALSE),"")</f>
        <v/>
      </c>
      <c r="AF77" s="321" t="str">
        <f>AB77</f>
        <v/>
      </c>
      <c r="AG77" s="321" t="str">
        <f>IF(U77&lt;&gt;"",RANK(AF77,AF77:AF80),"")</f>
        <v/>
      </c>
      <c r="AH77" s="321" t="str">
        <f>IF(U77&lt;&gt;"",SUMPRODUCT((AF77:AF80=AF77)*(AA77:AA80&gt;AA77)),"")</f>
        <v/>
      </c>
      <c r="AI77" s="321" t="str">
        <f>IF(U77&lt;&gt;"",SUMPRODUCT((AF77:AF80=AF77)*(AA77:AA80=AA77)*(Y77:Y80&gt;Y77)),"")</f>
        <v/>
      </c>
      <c r="AJ77" s="321" t="str">
        <f>IF(U77&lt;&gt;"",SUMPRODUCT((AF77:AF80=AF77)*(AA77:AA80=AA77)*(Y77:Y80=Y77)*(AC77:AC80&gt;AC77)),"")</f>
        <v/>
      </c>
      <c r="AK77" s="321" t="str">
        <f>IF(U77&lt;&gt;"",SUMPRODUCT((AF77:AF80=AF77)*(AA77:AA80=AA77)*(Y77:Y80=Y77)*(AC77:AC80=AC77)*(AD77:AD80&gt;AD77)),"")</f>
        <v/>
      </c>
      <c r="AL77" s="321" t="str">
        <f>IF(U77&lt;&gt;"",SUMPRODUCT((AF77:AF80=AF77)*(AA77:AA80=AA77)*(Y77:Y80=Y77)*(AC77:AC80=AC77)*(AD77:AD80=AD77)*(AE77:AE80&gt;AE77)),"")</f>
        <v/>
      </c>
      <c r="AM77" s="321" t="str">
        <f>IF(U77&lt;&gt;"",SUM(AG77:AL77),"")</f>
        <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f t="shared" ref="ON77" ca="1" si="19312">IF(OO37&lt;&gt;"",SUMPRODUCT((OV37:OV40=OV37)*(OU37:OU40=OU37)*(OS37:OS40=OS37)*(OT37:OT40=OT37)),"")</f>
        <v>4</v>
      </c>
      <c r="OO77" s="321" t="str">
        <f t="shared" ref="OO77:OO80" ca="1" si="19313">IF(AND(ON77&lt;&gt;"",ON77&gt;1),OO37,"")</f>
        <v>Georgia</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f t="shared" ref="OV77:OV80" ca="1" si="19320">IF(OO77&lt;&gt;"",OP77*3+OQ77*1,"")</f>
        <v>0</v>
      </c>
      <c r="OW77" s="321">
        <f t="shared" ref="OW77" ca="1" si="19321">IF(OO77&lt;&gt;"",VLOOKUP(OO77,NV4:OB40,7,FALSE),"")</f>
        <v>1000</v>
      </c>
      <c r="OX77" s="321">
        <f t="shared" ref="OX77" ca="1" si="19322">IF(OO77&lt;&gt;"",VLOOKUP(OO77,NV4:OB40,5,FALSE),"")</f>
        <v>0</v>
      </c>
      <c r="OY77" s="321">
        <f t="shared" ref="OY77" ca="1" si="19323">IF(OO77&lt;&gt;"",VLOOKUP(OO77,NV4:OD40,9,FALSE),"")</f>
        <v>0</v>
      </c>
      <c r="OZ77" s="321">
        <f t="shared" ref="OZ77:OZ80" ca="1" si="19324">OV77</f>
        <v>0</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3</v>
      </c>
      <c r="PG77" s="321">
        <f t="shared" ref="PG77:PG80" ca="1" si="19331">IF(OO77&lt;&gt;"",SUM(PA77:PF77),"")</f>
        <v>4</v>
      </c>
      <c r="TA77" s="321">
        <f ca="1">SUMPRODUCT((TA37:TA40=TA37)*(SZ37:SZ40=SZ37)*(SX37:SX40&gt;SX37))+1</f>
        <v>1</v>
      </c>
      <c r="TL77" s="321">
        <f t="shared" ref="TL77" ca="1" si="19332">IF(TM37&lt;&gt;"",SUMPRODUCT((TT37:TT40=TT37)*(TS37:TS40=TS37)*(TQ37:TQ40=TQ37)*(TR37:TR40=TR37)),"")</f>
        <v>4</v>
      </c>
      <c r="TM77" s="321" t="str">
        <f t="shared" ref="TM77:TM80" ca="1" si="19333">IF(AND(TL77&lt;&gt;"",TL77&gt;1),TM37,"")</f>
        <v>Georgia</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f t="shared" ref="TT77:TT80" ca="1" si="19340">IF(TM77&lt;&gt;"",TN77*3+TO77*1,"")</f>
        <v>0</v>
      </c>
      <c r="TU77" s="321">
        <f t="shared" ref="TU77" ca="1" si="19341">IF(TM77&lt;&gt;"",VLOOKUP(TM77,ST4:SZ40,7,FALSE),"")</f>
        <v>1000</v>
      </c>
      <c r="TV77" s="321">
        <f t="shared" ref="TV77" ca="1" si="19342">IF(TM77&lt;&gt;"",VLOOKUP(TM77,ST4:SZ40,5,FALSE),"")</f>
        <v>0</v>
      </c>
      <c r="TW77" s="321">
        <f t="shared" ref="TW77" ca="1" si="19343">IF(TM77&lt;&gt;"",VLOOKUP(TM77,ST4:TB40,9,FALSE),"")</f>
        <v>0</v>
      </c>
      <c r="TX77" s="321">
        <f t="shared" ref="TX77:TX80" ca="1" si="19344">TT77</f>
        <v>0</v>
      </c>
      <c r="TY77" s="321">
        <f t="shared" ref="TY77" ca="1" si="19345">IF(TM77&lt;&gt;"",RANK(TX77,TX77:TX80),"")</f>
        <v>1</v>
      </c>
      <c r="TZ77" s="321">
        <f t="shared" ref="TZ77" ca="1" si="19346">IF(TM77&lt;&gt;"",SUMPRODUCT((TX77:TX80=TX77)*(TS77:TS80&gt;TS77)),"")</f>
        <v>0</v>
      </c>
      <c r="UA77" s="321">
        <f t="shared" ref="UA77" ca="1" si="19347">IF(TM77&lt;&gt;"",SUMPRODUCT((TX77:TX80=TX77)*(TS77:TS80=TS77)*(TQ77:TQ80&gt;TQ77)),"")</f>
        <v>0</v>
      </c>
      <c r="UB77" s="321">
        <f t="shared" ref="UB77" ca="1" si="19348">IF(TM77&lt;&gt;"",SUMPRODUCT((TX77:TX80=TX77)*(TS77:TS80=TS77)*(TQ77:TQ80=TQ77)*(TU77:TU80&gt;TU77)),"")</f>
        <v>0</v>
      </c>
      <c r="UC77" s="321">
        <f t="shared" ref="UC77" ca="1" si="19349">IF(TM77&lt;&gt;"",SUMPRODUCT((TX77:TX80=TX77)*(TS77:TS80=TS77)*(TQ77:TQ80=TQ77)*(TU77:TU80=TU77)*(TV77:TV80&gt;TV77)),"")</f>
        <v>0</v>
      </c>
      <c r="UD77" s="321">
        <f t="shared" ref="UD77" ca="1" si="19350">IF(TM77&lt;&gt;"",SUMPRODUCT((TX77:TX80=TX77)*(TS77:TS80=TS77)*(TQ77:TQ80=TQ77)*(TU77:TU80=TU77)*(TV77:TV80=TV77)*(TW77:TW80&gt;TW77)),"")</f>
        <v>3</v>
      </c>
      <c r="UE77" s="321">
        <f t="shared" ref="UE77:UE80" ca="1" si="19351">IF(TM77&lt;&gt;"",SUM(TY77:UD77),"")</f>
        <v>4</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4</v>
      </c>
      <c r="ADI77" s="321" t="str">
        <f t="shared" ref="ADI77:ADI80" ca="1" si="19373">IF(AND(ADH77&lt;&gt;"",ADH77&gt;1),ADI37,"")</f>
        <v>Georgia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f t="shared" ref="ADP77:ADP80" ca="1" si="19380">IF(ADI77&lt;&gt;"",ADJ77*3+ADK77*1,"")</f>
        <v>0</v>
      </c>
      <c r="ADQ77" s="321">
        <f t="shared" ref="ADQ77" ca="1" si="19381">IF(ADI77&lt;&gt;"",VLOOKUP(ADI77,ACP4:ACV40,7,FALSE),"")</f>
        <v>1000</v>
      </c>
      <c r="ADR77" s="321">
        <f t="shared" ref="ADR77" ca="1" si="19382">IF(ADI77&lt;&gt;"",VLOOKUP(ADI77,ACP4:ACV40,5,FALSE),"")</f>
        <v>0</v>
      </c>
      <c r="ADS77" s="321">
        <f t="shared" ref="ADS77" ca="1" si="19383">IF(ADI77&lt;&gt;"",VLOOKUP(ADI77,ACP4:ACX40,9,FALSE),"")</f>
        <v>0</v>
      </c>
      <c r="ADT77" s="321">
        <f t="shared" ref="ADT77:ADT80" ca="1" si="19384">ADP77</f>
        <v>0</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0</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3</v>
      </c>
      <c r="AEA77" s="321">
        <f t="shared" ref="AEA77:AEA80" ca="1" si="19391">IF(ADI77&lt;&gt;"",SUM(ADU77:ADZ77),"")</f>
        <v>4</v>
      </c>
      <c r="AHU77" s="321">
        <f ca="1">SUMPRODUCT((AHU37:AHU40=AHU37)*(AHT37:AHT40=AHT37)*(AHR37:AHR40&gt;AHR37))+1</f>
        <v>1</v>
      </c>
      <c r="AIF77" s="321">
        <f t="shared" ref="AIF77" ca="1" si="19392">IF(AIG37&lt;&gt;"",SUMPRODUCT((AIN37:AIN40=AIN37)*(AIM37:AIM40=AIM37)*(AIK37:AIK40=AIK37)*(AIL37:AIL40=AIL37)),"")</f>
        <v>4</v>
      </c>
      <c r="AIG77" s="321" t="str">
        <f t="shared" ref="AIG77:AIG80" ca="1" si="19393">IF(AND(AIF77&lt;&gt;"",AIF77&gt;1),AIG37,"")</f>
        <v>Georgia</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f t="shared" ref="AIN77:AIN80" ca="1" si="19400">IF(AIG77&lt;&gt;"",AIH77*3+AII77*1,"")</f>
        <v>0</v>
      </c>
      <c r="AIO77" s="321">
        <f t="shared" ref="AIO77" ca="1" si="19401">IF(AIG77&lt;&gt;"",VLOOKUP(AIG77,AHN4:AHT40,7,FALSE),"")</f>
        <v>1000</v>
      </c>
      <c r="AIP77" s="321">
        <f t="shared" ref="AIP77" ca="1" si="19402">IF(AIG77&lt;&gt;"",VLOOKUP(AIG77,AHN4:AHT40,5,FALSE),"")</f>
        <v>0</v>
      </c>
      <c r="AIQ77" s="321">
        <f t="shared" ref="AIQ77" ca="1" si="19403">IF(AIG77&lt;&gt;"",VLOOKUP(AIG77,AHN4:AHV40,9,FALSE),"")</f>
        <v>0</v>
      </c>
      <c r="AIR77" s="321">
        <f t="shared" ref="AIR77:AIR80" ca="1" si="19404">AIN77</f>
        <v>0</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3</v>
      </c>
      <c r="AIY77" s="321">
        <f t="shared" ref="AIY77:AIY80" ca="1" si="19411">IF(AIG77&lt;&gt;"",SUM(AIS77:AIX77),"")</f>
        <v>4</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t="str">
        <f>IF(U38&lt;&gt;"",SUMPRODUCT((AB37:AB40=AB38)*(AA37:AA40=AA38)*(Y37:Y40=Y38)*(Z37:Z40=Z38)),"")</f>
        <v/>
      </c>
      <c r="U78" s="321" t="str">
        <f t="shared" ref="U78:U80" si="19492">IF(AND(T78&lt;&gt;"",T78&gt;1),U38,"")</f>
        <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t="str">
        <f t="shared" ref="AB78:AB80" si="19493">IF(U78&lt;&gt;"",V78*3+W78*1,"")</f>
        <v/>
      </c>
      <c r="AC78" s="321" t="str">
        <f>IF(U78&lt;&gt;"",VLOOKUP(U78,B4:H40,7,FALSE),"")</f>
        <v/>
      </c>
      <c r="AD78" s="321" t="str">
        <f>IF(U78&lt;&gt;"",VLOOKUP(U78,B4:H40,5,FALSE),"")</f>
        <v/>
      </c>
      <c r="AE78" s="321" t="str">
        <f>IF(U78&lt;&gt;"",VLOOKUP(U78,B4:J40,9,FALSE),"")</f>
        <v/>
      </c>
      <c r="AF78" s="321" t="str">
        <f t="shared" ref="AF78:AF80" si="19494">AB78</f>
        <v/>
      </c>
      <c r="AG78" s="321" t="str">
        <f>IF(U78&lt;&gt;"",RANK(AF78,AF77:AF80),"")</f>
        <v/>
      </c>
      <c r="AH78" s="321" t="str">
        <f>IF(U78&lt;&gt;"",SUMPRODUCT((AF77:AF80=AF78)*(AA77:AA80&gt;AA78)),"")</f>
        <v/>
      </c>
      <c r="AI78" s="321" t="str">
        <f>IF(U78&lt;&gt;"",SUMPRODUCT((AF77:AF80=AF78)*(AA77:AA80=AA78)*(Y77:Y80&gt;Y78)),"")</f>
        <v/>
      </c>
      <c r="AJ78" s="321" t="str">
        <f>IF(U78&lt;&gt;"",SUMPRODUCT((AF77:AF80=AF78)*(AA77:AA80=AA78)*(Y77:Y80=Y78)*(AC77:AC80&gt;AC78)),"")</f>
        <v/>
      </c>
      <c r="AK78" s="321" t="str">
        <f>IF(U78&lt;&gt;"",SUMPRODUCT((AF77:AF80=AF78)*(AA77:AA80=AA78)*(Y77:Y80=Y78)*(AC77:AC80=AC78)*(AD77:AD80&gt;AD78)),"")</f>
        <v/>
      </c>
      <c r="AL78" s="321" t="str">
        <f>IF(U78&lt;&gt;"",SUMPRODUCT((AF77:AF80=AF78)*(AA77:AA80=AA78)*(Y77:Y80=Y78)*(AC77:AC80=AC78)*(AD77:AD80=AD78)*(AE77:AE80&gt;AE78)),"")</f>
        <v/>
      </c>
      <c r="AM78" s="321" t="str">
        <f>IF(U78&lt;&gt;"",SUM(AG78:AL78),"")</f>
        <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t="str">
        <f ca="1">IF(FM38&lt;&gt;"",SUMPRODUCT((FT37:FT40=FT38)*(FS37:FS40=FS38)*(FQ37:FQ40=FQ38)*(FR37:FR40=FR38)),"")</f>
        <v/>
      </c>
      <c r="FM78" s="321" t="str">
        <f t="shared" ref="FM78:FM80" ca="1" si="19501">IF(AND(FL78&lt;&gt;"",FL78&gt;1),FM38,"")</f>
        <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0</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0</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0</v>
      </c>
      <c r="FS78" s="321">
        <f ca="1">FQ78-FR78+1000</f>
        <v>1000</v>
      </c>
      <c r="FT78" s="321" t="str">
        <f t="shared" ref="FT78:FT80" ca="1" si="19502">IF(FM78&lt;&gt;"",FN78*3+FO78*1,"")</f>
        <v/>
      </c>
      <c r="FU78" s="321" t="str">
        <f ca="1">IF(FM78&lt;&gt;"",VLOOKUP(FM78,DZ4:EF40,7,FALSE),"")</f>
        <v/>
      </c>
      <c r="FV78" s="321" t="str">
        <f ca="1">IF(FM78&lt;&gt;"",VLOOKUP(FM78,DZ4:EF40,5,FALSE),"")</f>
        <v/>
      </c>
      <c r="FW78" s="321" t="str">
        <f ca="1">IF(FM78&lt;&gt;"",VLOOKUP(FM78,DZ4:EH40,9,FALSE),"")</f>
        <v/>
      </c>
      <c r="FX78" s="321" t="str">
        <f t="shared" ref="FX78:FX80" ca="1" si="19503">FT78</f>
        <v/>
      </c>
      <c r="FY78" s="321" t="str">
        <f ca="1">IF(FM78&lt;&gt;"",RANK(FX78,FX77:FX80),"")</f>
        <v/>
      </c>
      <c r="FZ78" s="321" t="str">
        <f ca="1">IF(FM78&lt;&gt;"",SUMPRODUCT((FX77:FX80=FX78)*(FS77:FS80&gt;FS78)),"")</f>
        <v/>
      </c>
      <c r="GA78" s="321" t="str">
        <f ca="1">IF(FM78&lt;&gt;"",SUMPRODUCT((FX77:FX80=FX78)*(FS77:FS80=FS78)*(FQ77:FQ80&gt;FQ78)),"")</f>
        <v/>
      </c>
      <c r="GB78" s="321" t="str">
        <f ca="1">IF(FM78&lt;&gt;"",SUMPRODUCT((FX77:FX80=FX78)*(FS77:FS80=FS78)*(FQ77:FQ80=FQ78)*(FU77:FU80&gt;FU78)),"")</f>
        <v/>
      </c>
      <c r="GC78" s="321" t="str">
        <f ca="1">IF(FM78&lt;&gt;"",SUMPRODUCT((FX77:FX80=FX78)*(FS77:FS80=FS78)*(FQ77:FQ80=FQ78)*(FU77:FU80=FU78)*(FV77:FV80&gt;FV78)),"")</f>
        <v/>
      </c>
      <c r="GD78" s="321" t="str">
        <f ca="1">IF(FM78&lt;&gt;"",SUMPRODUCT((FX77:FX80=FX78)*(FS77:FS80=FS78)*(FQ77:FQ80=FQ78)*(FU77:FU80=FU78)*(FV77:FV80=FV78)*(FW77:FW80&gt;FW78)),"")</f>
        <v/>
      </c>
      <c r="GE78" s="321" t="str">
        <f ca="1">IF(FM78&lt;&gt;"",SUM(FY78:GD78)+1,"")</f>
        <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4</v>
      </c>
      <c r="OO78" s="321" t="str">
        <f t="shared" ca="1" si="19313"/>
        <v>Czechia</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f t="shared" ca="1" si="19320"/>
        <v>0</v>
      </c>
      <c r="OW78" s="321">
        <f t="shared" ref="OW78" ca="1" si="19516">IF(OO78&lt;&gt;"",VLOOKUP(OO78,NV4:OB40,7,FALSE),"")</f>
        <v>1000</v>
      </c>
      <c r="OX78" s="321">
        <f t="shared" ref="OX78" ca="1" si="19517">IF(OO78&lt;&gt;"",VLOOKUP(OO78,NV4:OB40,5,FALSE),"")</f>
        <v>0</v>
      </c>
      <c r="OY78" s="321">
        <f t="shared" ref="OY78" ca="1" si="19518">IF(OO78&lt;&gt;"",VLOOKUP(OO78,NV4:OD40,9,FALSE),"")</f>
        <v>37</v>
      </c>
      <c r="OZ78" s="321">
        <f t="shared" ca="1" si="19324"/>
        <v>0</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0</v>
      </c>
      <c r="PF78" s="321">
        <f t="shared" ref="PF78" ca="1" si="19524">IF(OO78&lt;&gt;"",SUMPRODUCT((OZ77:OZ80=OZ78)*(OU77:OU80=OU78)*(OS77:OS80=OS78)*(OW77:OW80=OW78)*(OX77:OX80=OX78)*(OY77:OY80&gt;OY78)),"")</f>
        <v>2</v>
      </c>
      <c r="PG78" s="321">
        <f t="shared" ca="1" si="19331"/>
        <v>3</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f t="shared" ref="TL78" ca="1" si="19545">IF(TM38&lt;&gt;"",SUMPRODUCT((TT37:TT40=TT38)*(TS37:TS40=TS38)*(TQ37:TQ40=TQ38)*(TR37:TR40=TR38)),"")</f>
        <v>4</v>
      </c>
      <c r="TM78" s="321" t="str">
        <f t="shared" ca="1" si="19333"/>
        <v>Czechia</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f t="shared" ca="1" si="19340"/>
        <v>0</v>
      </c>
      <c r="TU78" s="321">
        <f t="shared" ref="TU78" ca="1" si="19551">IF(TM78&lt;&gt;"",VLOOKUP(TM78,ST4:SZ40,7,FALSE),"")</f>
        <v>1000</v>
      </c>
      <c r="TV78" s="321">
        <f t="shared" ref="TV78" ca="1" si="19552">IF(TM78&lt;&gt;"",VLOOKUP(TM78,ST4:SZ40,5,FALSE),"")</f>
        <v>0</v>
      </c>
      <c r="TW78" s="321">
        <f t="shared" ref="TW78" ca="1" si="19553">IF(TM78&lt;&gt;"",VLOOKUP(TM78,ST4:TB40,9,FALSE),"")</f>
        <v>37</v>
      </c>
      <c r="TX78" s="321">
        <f t="shared" ca="1" si="19344"/>
        <v>0</v>
      </c>
      <c r="TY78" s="321">
        <f t="shared" ref="TY78" ca="1" si="19554">IF(TM78&lt;&gt;"",RANK(TX78,TX77:TX80),"")</f>
        <v>1</v>
      </c>
      <c r="TZ78" s="321">
        <f t="shared" ref="TZ78" ca="1" si="19555">IF(TM78&lt;&gt;"",SUMPRODUCT((TX77:TX80=TX78)*(TS77:TS80&gt;TS78)),"")</f>
        <v>0</v>
      </c>
      <c r="UA78" s="321">
        <f t="shared" ref="UA78" ca="1" si="19556">IF(TM78&lt;&gt;"",SUMPRODUCT((TX77:TX80=TX78)*(TS77:TS80=TS78)*(TQ77:TQ80&gt;TQ78)),"")</f>
        <v>0</v>
      </c>
      <c r="UB78" s="321">
        <f t="shared" ref="UB78" ca="1" si="19557">IF(TM78&lt;&gt;"",SUMPRODUCT((TX77:TX80=TX78)*(TS77:TS80=TS78)*(TQ77:TQ80=TQ78)*(TU77:TU80&gt;TU78)),"")</f>
        <v>0</v>
      </c>
      <c r="UC78" s="321">
        <f t="shared" ref="UC78" ca="1" si="19558">IF(TM78&lt;&gt;"",SUMPRODUCT((TX77:TX80=TX78)*(TS77:TS80=TS78)*(TQ77:TQ80=TQ78)*(TU77:TU80=TU78)*(TV77:TV80&gt;TV78)),"")</f>
        <v>0</v>
      </c>
      <c r="UD78" s="321">
        <f t="shared" ref="UD78" ca="1" si="19559">IF(TM78&lt;&gt;"",SUMPRODUCT((TX77:TX80=TX78)*(TS77:TS80=TS78)*(TQ77:TQ80=TQ78)*(TU77:TU80=TU78)*(TV77:TV80=TV78)*(TW77:TW80&gt;TW78)),"")</f>
        <v>2</v>
      </c>
      <c r="UE78" s="321">
        <f t="shared" ca="1" si="19351"/>
        <v>3</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4</v>
      </c>
      <c r="ADI78" s="321" t="str">
        <f t="shared" ca="1" si="19373"/>
        <v>Czechia</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f t="shared" ca="1" si="19380"/>
        <v>0</v>
      </c>
      <c r="ADQ78" s="321">
        <f t="shared" ref="ADQ78" ca="1" si="19621">IF(ADI78&lt;&gt;"",VLOOKUP(ADI78,ACP4:ACV40,7,FALSE),"")</f>
        <v>1000</v>
      </c>
      <c r="ADR78" s="321">
        <f t="shared" ref="ADR78" ca="1" si="19622">IF(ADI78&lt;&gt;"",VLOOKUP(ADI78,ACP4:ACV40,5,FALSE),"")</f>
        <v>0</v>
      </c>
      <c r="ADS78" s="321">
        <f t="shared" ref="ADS78" ca="1" si="19623">IF(ADI78&lt;&gt;"",VLOOKUP(ADI78,ACP4:ACX40,9,FALSE),"")</f>
        <v>37</v>
      </c>
      <c r="ADT78" s="321">
        <f t="shared" ca="1" si="19384"/>
        <v>0</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2</v>
      </c>
      <c r="AEA78" s="321">
        <f t="shared" ca="1" si="19391"/>
        <v>3</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f t="shared" ref="AIF78" ca="1" si="19650">IF(AIG38&lt;&gt;"",SUMPRODUCT((AIN37:AIN40=AIN38)*(AIM37:AIM40=AIM38)*(AIK37:AIK40=AIK38)*(AIL37:AIL40=AIL38)),"")</f>
        <v>4</v>
      </c>
      <c r="AIG78" s="321" t="str">
        <f t="shared" ca="1" si="19393"/>
        <v>Czechia</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f t="shared" ca="1" si="19400"/>
        <v>0</v>
      </c>
      <c r="AIO78" s="321">
        <f t="shared" ref="AIO78" ca="1" si="19656">IF(AIG78&lt;&gt;"",VLOOKUP(AIG78,AHN4:AHT40,7,FALSE),"")</f>
        <v>1000</v>
      </c>
      <c r="AIP78" s="321">
        <f t="shared" ref="AIP78" ca="1" si="19657">IF(AIG78&lt;&gt;"",VLOOKUP(AIG78,AHN4:AHT40,5,FALSE),"")</f>
        <v>0</v>
      </c>
      <c r="AIQ78" s="321">
        <f t="shared" ref="AIQ78" ca="1" si="19658">IF(AIG78&lt;&gt;"",VLOOKUP(AIG78,AHN4:AHV40,9,FALSE),"")</f>
        <v>37</v>
      </c>
      <c r="AIR78" s="321">
        <f t="shared" ca="1" si="19404"/>
        <v>0</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2</v>
      </c>
      <c r="AIY78" s="321">
        <f t="shared" ca="1" si="19411"/>
        <v>3</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t="str">
        <f ca="1">IF(FM39&lt;&gt;"",SUMPRODUCT((FT37:FT40=FT39)*(FS37:FS40=FS39)*(FQ37:FQ40=FQ39)*(FR37:FR40=FR39)),"")</f>
        <v/>
      </c>
      <c r="FM79" s="321" t="str">
        <f t="shared" ca="1" si="19501"/>
        <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0</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0</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0</v>
      </c>
      <c r="FS79" s="321">
        <f ca="1">FQ79-FR79+1000</f>
        <v>1000</v>
      </c>
      <c r="FT79" s="321" t="str">
        <f t="shared" ca="1" si="19502"/>
        <v/>
      </c>
      <c r="FU79" s="321" t="str">
        <f ca="1">IF(FM79&lt;&gt;"",VLOOKUP(FM79,DZ4:EF40,7,FALSE),"")</f>
        <v/>
      </c>
      <c r="FV79" s="321" t="str">
        <f ca="1">IF(FM79&lt;&gt;"",VLOOKUP(FM79,DZ4:EF40,5,FALSE),"")</f>
        <v/>
      </c>
      <c r="FW79" s="321" t="str">
        <f ca="1">IF(FM79&lt;&gt;"",VLOOKUP(FM79,DZ4:EH40,9,FALSE),"")</f>
        <v/>
      </c>
      <c r="FX79" s="321" t="str">
        <f t="shared" ca="1" si="19503"/>
        <v/>
      </c>
      <c r="FY79" s="321" t="str">
        <f ca="1">IF(FM79&lt;&gt;"",RANK(FX79,FX77:FX80),"")</f>
        <v/>
      </c>
      <c r="FZ79" s="321" t="str">
        <f ca="1">IF(FM79&lt;&gt;"",SUMPRODUCT((FX77:FX80=FX79)*(FS77:FS80&gt;FS79)),"")</f>
        <v/>
      </c>
      <c r="GA79" s="321" t="str">
        <f ca="1">IF(FM79&lt;&gt;"",SUMPRODUCT((FX77:FX80=FX79)*(FS77:FS80=FS79)*(FQ77:FQ80&gt;FQ79)),"")</f>
        <v/>
      </c>
      <c r="GB79" s="321" t="str">
        <f ca="1">IF(FM79&lt;&gt;"",SUMPRODUCT((FX77:FX80=FX79)*(FS77:FS80=FS79)*(FQ77:FQ80=FQ79)*(FU77:FU80&gt;FU79)),"")</f>
        <v/>
      </c>
      <c r="GC79" s="321" t="str">
        <f ca="1">IF(FM79&lt;&gt;"",SUMPRODUCT((FX77:FX80=FX79)*(FS77:FS80=FS79)*(FQ77:FQ80=FQ79)*(FU77:FU80=FU79)*(FV77:FV80&gt;FV79)),"")</f>
        <v/>
      </c>
      <c r="GD79" s="321" t="str">
        <f ca="1">IF(FM79&lt;&gt;"",SUMPRODUCT((FX77:FX80=FX79)*(FS77:FS80=FS79)*(FQ77:FQ80=FQ79)*(FU77:FU80=FU79)*(FV77:FV80=FV79)*(FW77:FW80&gt;FW79)),"")</f>
        <v/>
      </c>
      <c r="GE79" s="321" t="str">
        <f t="shared" ref="GE79:GE80" ca="1" si="19826">IF(FM79&lt;&gt;"",SUM(FY79:GD79)+1,"")</f>
        <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f t="shared" ref="ON79" ca="1" si="19828">IF(OO39&lt;&gt;"",SUMPRODUCT((OV37:OV40=OV39)*(OU37:OU40=OU39)*(OS37:OS40=OS39)*(OT37:OT40=OT39)),"")</f>
        <v>4</v>
      </c>
      <c r="OO79" s="321" t="str">
        <f t="shared" ca="1" si="19313"/>
        <v>Türkiye</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f t="shared" ca="1" si="19320"/>
        <v>0</v>
      </c>
      <c r="OW79" s="321">
        <f t="shared" ref="OW79" ca="1" si="19834">IF(OO79&lt;&gt;"",VLOOKUP(OO79,NV4:OB40,7,FALSE),"")</f>
        <v>1000</v>
      </c>
      <c r="OX79" s="321">
        <f t="shared" ref="OX79" ca="1" si="19835">IF(OO79&lt;&gt;"",VLOOKUP(OO79,NV4:OB40,5,FALSE),"")</f>
        <v>0</v>
      </c>
      <c r="OY79" s="321">
        <f t="shared" ref="OY79" ca="1" si="19836">IF(OO79&lt;&gt;"",VLOOKUP(OO79,NV4:OD40,9,FALSE),"")</f>
        <v>47</v>
      </c>
      <c r="OZ79" s="321">
        <f t="shared" ca="1" si="19324"/>
        <v>0</v>
      </c>
      <c r="PA79" s="321">
        <f t="shared" ref="PA79" ca="1" si="19837">IF(OO79&lt;&gt;"",RANK(OZ79,OZ77:OZ80),"")</f>
        <v>1</v>
      </c>
      <c r="PB79" s="321">
        <f t="shared" ref="PB79" ca="1" si="19838">IF(OO79&lt;&gt;"",SUMPRODUCT((OZ77:OZ80=OZ79)*(OU77:OU80&gt;OU79)),"")</f>
        <v>0</v>
      </c>
      <c r="PC79" s="321">
        <f t="shared" ref="PC79" ca="1" si="19839">IF(OO79&lt;&gt;"",SUMPRODUCT((OZ77:OZ80=OZ79)*(OU77:OU80=OU79)*(OS77:OS80&gt;OS79)),"")</f>
        <v>0</v>
      </c>
      <c r="PD79" s="321">
        <f t="shared" ref="PD79" ca="1" si="19840">IF(OO79&lt;&gt;"",SUMPRODUCT((OZ77:OZ80=OZ79)*(OU77:OU80=OU79)*(OS77:OS80=OS79)*(OW77:OW80&gt;OW79)),"")</f>
        <v>0</v>
      </c>
      <c r="PE79" s="321">
        <f t="shared" ref="PE79" ca="1" si="19841">IF(OO79&lt;&gt;"",SUMPRODUCT((OZ77:OZ80=OZ79)*(OU77:OU80=OU79)*(OS77:OS80=OS79)*(OW77:OW80=OW79)*(OX77:OX80&gt;OX79)),"")</f>
        <v>0</v>
      </c>
      <c r="PF79" s="321">
        <f t="shared" ref="PF79" ca="1" si="19842">IF(OO79&lt;&gt;"",SUMPRODUCT((OZ77:OZ80=OZ79)*(OU77:OU80=OU79)*(OS77:OS80=OS79)*(OW77:OW80=OW79)*(OX77:OX80=OX79)*(OY77:OY80&gt;OY79)),"")</f>
        <v>1</v>
      </c>
      <c r="PG79" s="321">
        <f t="shared" ca="1" si="19331"/>
        <v>2</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f t="shared" ref="TL79" ca="1" si="19859">IF(TM39&lt;&gt;"",SUMPRODUCT((TT37:TT40=TT39)*(TS37:TS40=TS39)*(TQ37:TQ40=TQ39)*(TR37:TR40=TR39)),"")</f>
        <v>4</v>
      </c>
      <c r="TM79" s="321" t="str">
        <f t="shared" ca="1" si="19333"/>
        <v>Türkiye</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f t="shared" ca="1" si="19340"/>
        <v>0</v>
      </c>
      <c r="TU79" s="321">
        <f t="shared" ref="TU79" ca="1" si="19865">IF(TM79&lt;&gt;"",VLOOKUP(TM79,ST4:SZ40,7,FALSE),"")</f>
        <v>1000</v>
      </c>
      <c r="TV79" s="321">
        <f t="shared" ref="TV79" ca="1" si="19866">IF(TM79&lt;&gt;"",VLOOKUP(TM79,ST4:SZ40,5,FALSE),"")</f>
        <v>0</v>
      </c>
      <c r="TW79" s="321">
        <f t="shared" ref="TW79" ca="1" si="19867">IF(TM79&lt;&gt;"",VLOOKUP(TM79,ST4:TB40,9,FALSE),"")</f>
        <v>47</v>
      </c>
      <c r="TX79" s="321">
        <f t="shared" ca="1" si="19344"/>
        <v>0</v>
      </c>
      <c r="TY79" s="321">
        <f t="shared" ref="TY79" ca="1" si="19868">IF(TM79&lt;&gt;"",RANK(TX79,TX77:TX80),"")</f>
        <v>1</v>
      </c>
      <c r="TZ79" s="321">
        <f t="shared" ref="TZ79" ca="1" si="19869">IF(TM79&lt;&gt;"",SUMPRODUCT((TX77:TX80=TX79)*(TS77:TS80&gt;TS79)),"")</f>
        <v>0</v>
      </c>
      <c r="UA79" s="321">
        <f t="shared" ref="UA79" ca="1" si="19870">IF(TM79&lt;&gt;"",SUMPRODUCT((TX77:TX80=TX79)*(TS77:TS80=TS79)*(TQ77:TQ80&gt;TQ79)),"")</f>
        <v>0</v>
      </c>
      <c r="UB79" s="321">
        <f t="shared" ref="UB79" ca="1" si="19871">IF(TM79&lt;&gt;"",SUMPRODUCT((TX77:TX80=TX79)*(TS77:TS80=TS79)*(TQ77:TQ80=TQ79)*(TU77:TU80&gt;TU79)),"")</f>
        <v>0</v>
      </c>
      <c r="UC79" s="321">
        <f t="shared" ref="UC79" ca="1" si="19872">IF(TM79&lt;&gt;"",SUMPRODUCT((TX77:TX80=TX79)*(TS77:TS80=TS79)*(TQ77:TQ80=TQ79)*(TU77:TU80=TU79)*(TV77:TV80&gt;TV79)),"")</f>
        <v>0</v>
      </c>
      <c r="UD79" s="321">
        <f t="shared" ref="UD79" ca="1" si="19873">IF(TM79&lt;&gt;"",SUMPRODUCT((TX77:TX80=TX79)*(TS77:TS80=TS79)*(TQ77:TQ80=TQ79)*(TU77:TU80=TU79)*(TV77:TV80=TV79)*(TW77:TW80&gt;TW79)),"")</f>
        <v>1</v>
      </c>
      <c r="UE79" s="321">
        <f t="shared" ca="1" si="19351"/>
        <v>2</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f t="shared" ref="ADH79" ca="1" si="19921">IF(ADI39&lt;&gt;"",SUMPRODUCT((ADP37:ADP40=ADP39)*(ADO37:ADO40=ADO39)*(ADM37:ADM40=ADM39)*(ADN37:ADN40=ADN39)),"")</f>
        <v>4</v>
      </c>
      <c r="ADI79" s="321" t="str">
        <f t="shared" ca="1" si="19373"/>
        <v>Türkiye</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f t="shared" ca="1" si="19380"/>
        <v>0</v>
      </c>
      <c r="ADQ79" s="321">
        <f t="shared" ref="ADQ79" ca="1" si="19927">IF(ADI79&lt;&gt;"",VLOOKUP(ADI79,ACP4:ACV40,7,FALSE),"")</f>
        <v>1000</v>
      </c>
      <c r="ADR79" s="321">
        <f t="shared" ref="ADR79" ca="1" si="19928">IF(ADI79&lt;&gt;"",VLOOKUP(ADI79,ACP4:ACV40,5,FALSE),"")</f>
        <v>0</v>
      </c>
      <c r="ADS79" s="321">
        <f t="shared" ref="ADS79" ca="1" si="19929">IF(ADI79&lt;&gt;"",VLOOKUP(ADI79,ACP4:ACX40,9,FALSE),"")</f>
        <v>47</v>
      </c>
      <c r="ADT79" s="321">
        <f t="shared" ca="1" si="19384"/>
        <v>0</v>
      </c>
      <c r="ADU79" s="321">
        <f t="shared" ref="ADU79" ca="1" si="19930">IF(ADI79&lt;&gt;"",RANK(ADT79,ADT77:ADT80),"")</f>
        <v>1</v>
      </c>
      <c r="ADV79" s="321">
        <f t="shared" ref="ADV79" ca="1" si="19931">IF(ADI79&lt;&gt;"",SUMPRODUCT((ADT77:ADT80=ADT79)*(ADO77:ADO80&gt;ADO79)),"")</f>
        <v>0</v>
      </c>
      <c r="ADW79" s="321">
        <f t="shared" ref="ADW79" ca="1" si="19932">IF(ADI79&lt;&gt;"",SUMPRODUCT((ADT77:ADT80=ADT79)*(ADO77:ADO80=ADO79)*(ADM77:ADM80&gt;ADM79)),"")</f>
        <v>0</v>
      </c>
      <c r="ADX79" s="321">
        <f t="shared" ref="ADX79" ca="1" si="19933">IF(ADI79&lt;&gt;"",SUMPRODUCT((ADT77:ADT80=ADT79)*(ADO77:ADO80=ADO79)*(ADM77:ADM80=ADM79)*(ADQ77:ADQ80&gt;ADQ79)),"")</f>
        <v>0</v>
      </c>
      <c r="ADY79" s="321">
        <f t="shared" ref="ADY79" ca="1" si="19934">IF(ADI79&lt;&gt;"",SUMPRODUCT((ADT77:ADT80=ADT79)*(ADO77:ADO80=ADO79)*(ADM77:ADM80=ADM79)*(ADQ77:ADQ80=ADQ79)*(ADR77:ADR80&gt;ADR79)),"")</f>
        <v>0</v>
      </c>
      <c r="ADZ79" s="321">
        <f t="shared" ref="ADZ79" ca="1" si="19935">IF(ADI79&lt;&gt;"",SUMPRODUCT((ADT77:ADT80=ADT79)*(ADO77:ADO80=ADO79)*(ADM77:ADM80=ADM79)*(ADQ77:ADQ80=ADQ79)*(ADR77:ADR80=ADR79)*(ADS77:ADS80&gt;ADS79)),"")</f>
        <v>1</v>
      </c>
      <c r="AEA79" s="321">
        <f t="shared" ca="1" si="19391"/>
        <v>2</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f t="shared" ref="AIF79" ca="1" si="19952">IF(AIG39&lt;&gt;"",SUMPRODUCT((AIN37:AIN40=AIN39)*(AIM37:AIM40=AIM39)*(AIK37:AIK40=AIK39)*(AIL37:AIL40=AIL39)),"")</f>
        <v>4</v>
      </c>
      <c r="AIG79" s="321" t="str">
        <f t="shared" ca="1" si="19393"/>
        <v>Türkiye</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f t="shared" ca="1" si="19400"/>
        <v>0</v>
      </c>
      <c r="AIO79" s="321">
        <f t="shared" ref="AIO79" ca="1" si="19958">IF(AIG79&lt;&gt;"",VLOOKUP(AIG79,AHN4:AHT40,7,FALSE),"")</f>
        <v>1000</v>
      </c>
      <c r="AIP79" s="321">
        <f t="shared" ref="AIP79" ca="1" si="19959">IF(AIG79&lt;&gt;"",VLOOKUP(AIG79,AHN4:AHT40,5,FALSE),"")</f>
        <v>0</v>
      </c>
      <c r="AIQ79" s="321">
        <f t="shared" ref="AIQ79" ca="1" si="19960">IF(AIG79&lt;&gt;"",VLOOKUP(AIG79,AHN4:AHV40,9,FALSE),"")</f>
        <v>47</v>
      </c>
      <c r="AIR79" s="321">
        <f t="shared" ca="1" si="19404"/>
        <v>0</v>
      </c>
      <c r="AIS79" s="321">
        <f t="shared" ref="AIS79" ca="1" si="19961">IF(AIG79&lt;&gt;"",RANK(AIR79,AIR77:AIR80),"")</f>
        <v>1</v>
      </c>
      <c r="AIT79" s="321">
        <f t="shared" ref="AIT79" ca="1" si="19962">IF(AIG79&lt;&gt;"",SUMPRODUCT((AIR77:AIR80=AIR79)*(AIM77:AIM80&gt;AIM79)),"")</f>
        <v>0</v>
      </c>
      <c r="AIU79" s="321">
        <f t="shared" ref="AIU79" ca="1" si="19963">IF(AIG79&lt;&gt;"",SUMPRODUCT((AIR77:AIR80=AIR79)*(AIM77:AIM80=AIM79)*(AIK77:AIK80&gt;AIK79)),"")</f>
        <v>0</v>
      </c>
      <c r="AIV79" s="321">
        <f t="shared" ref="AIV79" ca="1" si="19964">IF(AIG79&lt;&gt;"",SUMPRODUCT((AIR77:AIR80=AIR79)*(AIM77:AIM80=AIM79)*(AIK77:AIK80=AIK79)*(AIO77:AIO80&gt;AIO79)),"")</f>
        <v>0</v>
      </c>
      <c r="AIW79" s="321">
        <f t="shared" ref="AIW79" ca="1" si="19965">IF(AIG79&lt;&gt;"",SUMPRODUCT((AIR77:AIR80=AIR79)*(AIM77:AIM80=AIM79)*(AIK77:AIK80=AIK79)*(AIO77:AIO80=AIO79)*(AIP77:AIP80&gt;AIP79)),"")</f>
        <v>0</v>
      </c>
      <c r="AIX79" s="321">
        <f t="shared" ref="AIX79" ca="1" si="19966">IF(AIG79&lt;&gt;"",SUMPRODUCT((AIR77:AIR80=AIR79)*(AIM77:AIM80=AIM79)*(AIK77:AIK80=AIK79)*(AIO77:AIO80=AIO79)*(AIP77:AIP80=AIP79)*(AIQ77:AIQ80&gt;AIQ79)),"")</f>
        <v>1</v>
      </c>
      <c r="AIY79" s="321">
        <f t="shared" ca="1" si="19411"/>
        <v>2</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f t="shared" ref="ON80" ca="1" si="20107">IF(OO40&lt;&gt;"",SUMPRODUCT((OV37:OV40=OV40)*(OU37:OU40=OU40)*(OS37:OS40=OS40)*(OT37:OT40=OT40)),"")</f>
        <v>4</v>
      </c>
      <c r="OO80" s="321" t="str">
        <f t="shared" ca="1" si="19313"/>
        <v>Portugal</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f t="shared" ca="1" si="19320"/>
        <v>0</v>
      </c>
      <c r="OW80" s="321">
        <f t="shared" ref="OW80" ca="1" si="20113">IF(OO80&lt;&gt;"",VLOOKUP(OO80,NV4:OB40,7,FALSE),"")</f>
        <v>1000</v>
      </c>
      <c r="OX80" s="321">
        <f t="shared" ref="OX80" ca="1" si="20114">IF(OO80&lt;&gt;"",VLOOKUP(OO80,NV4:OB40,5,FALSE),"")</f>
        <v>0</v>
      </c>
      <c r="OY80" s="321">
        <f t="shared" ref="OY80" ca="1" si="20115">IF(OO80&lt;&gt;"",VLOOKUP(OO80,NV4:OD40,9,FALSE),"")</f>
        <v>53</v>
      </c>
      <c r="OZ80" s="321">
        <f t="shared" ca="1" si="19324"/>
        <v>0</v>
      </c>
      <c r="PA80" s="321">
        <f t="shared" ref="PA80" ca="1" si="20116">IF(OO80&lt;&gt;"",RANK(OZ80,OZ77:OZ80),"")</f>
        <v>1</v>
      </c>
      <c r="PB80" s="321">
        <f t="shared" ref="PB80" ca="1" si="20117">IF(OO80&lt;&gt;"",SUMPRODUCT((OZ77:OZ80=OZ80)*(OU77:OU80&gt;OU80)),"")</f>
        <v>0</v>
      </c>
      <c r="PC80" s="321">
        <f t="shared" ref="PC80" ca="1" si="20118">IF(OO80&lt;&gt;"",SUMPRODUCT((OZ77:OZ80=OZ80)*(OU77:OU80=OU80)*(OS77:OS80&gt;OS80)),"")</f>
        <v>0</v>
      </c>
      <c r="PD80" s="321">
        <f t="shared" ref="PD80" ca="1" si="20119">IF(OO80&lt;&gt;"",SUMPRODUCT((OZ77:OZ80=OZ80)*(OU77:OU80=OU80)*(OS77:OS80=OS80)*(OW77:OW80&gt;OW80)),"")</f>
        <v>0</v>
      </c>
      <c r="PE80" s="321">
        <f t="shared" ref="PE80" ca="1" si="20120">IF(OO80&lt;&gt;"",SUMPRODUCT((OZ77:OZ80=OZ80)*(OU77:OU80=OU80)*(OS77:OS80=OS80)*(OW77:OW80=OW80)*(OX77:OX80&gt;OX80)),"")</f>
        <v>0</v>
      </c>
      <c r="PF80" s="321">
        <f t="shared" ref="PF80" ca="1" si="20121">IF(OO80&lt;&gt;"",SUMPRODUCT((OZ77:OZ80=OZ80)*(OU77:OU80=OU80)*(OS77:OS80=OS80)*(OW77:OW80=OW80)*(OX77:OX80=OX80)*(OY77:OY80&gt;OY80)),"")</f>
        <v>0</v>
      </c>
      <c r="PG80" s="321">
        <f t="shared" ca="1" si="19331"/>
        <v>1</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f t="shared" ref="TL80" ca="1" si="20137">IF(TM40&lt;&gt;"",SUMPRODUCT((TT37:TT40=TT40)*(TS37:TS40=TS40)*(TQ37:TQ40=TQ40)*(TR37:TR40=TR40)),"")</f>
        <v>4</v>
      </c>
      <c r="TM80" s="321" t="str">
        <f t="shared" ca="1" si="19333"/>
        <v>Portugal</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f t="shared" ca="1" si="19340"/>
        <v>0</v>
      </c>
      <c r="TU80" s="321">
        <f t="shared" ref="TU80" ca="1" si="20143">IF(TM80&lt;&gt;"",VLOOKUP(TM80,ST4:SZ40,7,FALSE),"")</f>
        <v>1000</v>
      </c>
      <c r="TV80" s="321">
        <f t="shared" ref="TV80" ca="1" si="20144">IF(TM80&lt;&gt;"",VLOOKUP(TM80,ST4:SZ40,5,FALSE),"")</f>
        <v>0</v>
      </c>
      <c r="TW80" s="321">
        <f t="shared" ref="TW80" ca="1" si="20145">IF(TM80&lt;&gt;"",VLOOKUP(TM80,ST4:TB40,9,FALSE),"")</f>
        <v>53</v>
      </c>
      <c r="TX80" s="321">
        <f t="shared" ca="1" si="19344"/>
        <v>0</v>
      </c>
      <c r="TY80" s="321">
        <f t="shared" ref="TY80" ca="1" si="20146">IF(TM80&lt;&gt;"",RANK(TX80,TX77:TX80),"")</f>
        <v>1</v>
      </c>
      <c r="TZ80" s="321">
        <f t="shared" ref="TZ80" ca="1" si="20147">IF(TM80&lt;&gt;"",SUMPRODUCT((TX77:TX80=TX80)*(TS77:TS80&gt;TS80)),"")</f>
        <v>0</v>
      </c>
      <c r="UA80" s="321">
        <f t="shared" ref="UA80" ca="1" si="20148">IF(TM80&lt;&gt;"",SUMPRODUCT((TX77:TX80=TX80)*(TS77:TS80=TS80)*(TQ77:TQ80&gt;TQ80)),"")</f>
        <v>0</v>
      </c>
      <c r="UB80" s="321">
        <f t="shared" ref="UB80" ca="1" si="20149">IF(TM80&lt;&gt;"",SUMPRODUCT((TX77:TX80=TX80)*(TS77:TS80=TS80)*(TQ77:TQ80=TQ80)*(TU77:TU80&gt;TU80)),"")</f>
        <v>0</v>
      </c>
      <c r="UC80" s="321">
        <f t="shared" ref="UC80" ca="1" si="20150">IF(TM80&lt;&gt;"",SUMPRODUCT((TX77:TX80=TX80)*(TS77:TS80=TS80)*(TQ77:TQ80=TQ80)*(TU77:TU80=TU80)*(TV77:TV80&gt;TV80)),"")</f>
        <v>0</v>
      </c>
      <c r="UD80" s="321">
        <f t="shared" ref="UD80" ca="1" si="20151">IF(TM80&lt;&gt;"",SUMPRODUCT((TX77:TX80=TX80)*(TS77:TS80=TS80)*(TQ77:TQ80=TQ80)*(TU77:TU80=TU80)*(TV77:TV80=TV80)*(TW77:TW80&gt;TW80)),"")</f>
        <v>0</v>
      </c>
      <c r="UE80" s="321">
        <f t="shared" ca="1" si="19351"/>
        <v>1</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f t="shared" ref="ADH80" ca="1" si="20197">IF(ADI40&lt;&gt;"",SUMPRODUCT((ADP37:ADP40=ADP40)*(ADO37:ADO40=ADO40)*(ADM37:ADM40=ADM40)*(ADN37:ADN40=ADN40)),"")</f>
        <v>4</v>
      </c>
      <c r="ADI80" s="321" t="str">
        <f t="shared" ca="1" si="19373"/>
        <v>Portugal</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f t="shared" ca="1" si="19380"/>
        <v>0</v>
      </c>
      <c r="ADQ80" s="321">
        <f t="shared" ref="ADQ80" ca="1" si="20203">IF(ADI80&lt;&gt;"",VLOOKUP(ADI80,ACP4:ACV40,7,FALSE),"")</f>
        <v>1000</v>
      </c>
      <c r="ADR80" s="321">
        <f t="shared" ref="ADR80" ca="1" si="20204">IF(ADI80&lt;&gt;"",VLOOKUP(ADI80,ACP4:ACV40,5,FALSE),"")</f>
        <v>0</v>
      </c>
      <c r="ADS80" s="321">
        <f t="shared" ref="ADS80" ca="1" si="20205">IF(ADI80&lt;&gt;"",VLOOKUP(ADI80,ACP4:ACX40,9,FALSE),"")</f>
        <v>53</v>
      </c>
      <c r="ADT80" s="321">
        <f t="shared" ca="1" si="19384"/>
        <v>0</v>
      </c>
      <c r="ADU80" s="321">
        <f t="shared" ref="ADU80" ca="1" si="20206">IF(ADI80&lt;&gt;"",RANK(ADT80,ADT77:ADT80),"")</f>
        <v>1</v>
      </c>
      <c r="ADV80" s="321">
        <f t="shared" ref="ADV80" ca="1" si="20207">IF(ADI80&lt;&gt;"",SUMPRODUCT((ADT77:ADT80=ADT80)*(ADO77:ADO80&gt;ADO80)),"")</f>
        <v>0</v>
      </c>
      <c r="ADW80" s="321">
        <f t="shared" ref="ADW80" ca="1" si="20208">IF(ADI80&lt;&gt;"",SUMPRODUCT((ADT77:ADT80=ADT80)*(ADO77:ADO80=ADO80)*(ADM77:ADM80&gt;ADM80)),"")</f>
        <v>0</v>
      </c>
      <c r="ADX80" s="321">
        <f t="shared" ref="ADX80" ca="1" si="20209">IF(ADI80&lt;&gt;"",SUMPRODUCT((ADT77:ADT80=ADT80)*(ADO77:ADO80=ADO80)*(ADM77:ADM80=ADM80)*(ADQ77:ADQ80&gt;ADQ80)),"")</f>
        <v>0</v>
      </c>
      <c r="ADY80" s="321">
        <f t="shared" ref="ADY80" ca="1" si="20210">IF(ADI80&lt;&gt;"",SUMPRODUCT((ADT77:ADT80=ADT80)*(ADO77:ADO80=ADO80)*(ADM77:ADM80=ADM80)*(ADQ77:ADQ80=ADQ80)*(ADR77:ADR80&gt;ADR80)),"")</f>
        <v>0</v>
      </c>
      <c r="ADZ80" s="321">
        <f t="shared" ref="ADZ80" ca="1" si="20211">IF(ADI80&lt;&gt;"",SUMPRODUCT((ADT77:ADT80=ADT80)*(ADO77:ADO80=ADO80)*(ADM77:ADM80=ADM80)*(ADQ77:ADQ80=ADQ80)*(ADR77:ADR80=ADR80)*(ADS77:ADS80&gt;ADS80)),"")</f>
        <v>0</v>
      </c>
      <c r="AEA80" s="321">
        <f t="shared" ca="1" si="19391"/>
        <v>1</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f t="shared" ref="AIF80" ca="1" si="20227">IF(AIG40&lt;&gt;"",SUMPRODUCT((AIN37:AIN40=AIN40)*(AIM37:AIM40=AIM40)*(AIK37:AIK40=AIK40)*(AIL37:AIL40=AIL40)),"")</f>
        <v>4</v>
      </c>
      <c r="AIG80" s="321" t="str">
        <f t="shared" ca="1" si="19393"/>
        <v>Portugal</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f t="shared" ca="1" si="19400"/>
        <v>0</v>
      </c>
      <c r="AIO80" s="321">
        <f t="shared" ref="AIO80" ca="1" si="20233">IF(AIG80&lt;&gt;"",VLOOKUP(AIG80,AHN4:AHT40,7,FALSE),"")</f>
        <v>1000</v>
      </c>
      <c r="AIP80" s="321">
        <f t="shared" ref="AIP80" ca="1" si="20234">IF(AIG80&lt;&gt;"",VLOOKUP(AIG80,AHN4:AHT40,5,FALSE),"")</f>
        <v>0</v>
      </c>
      <c r="AIQ80" s="321">
        <f t="shared" ref="AIQ80" ca="1" si="20235">IF(AIG80&lt;&gt;"",VLOOKUP(AIG80,AHN4:AHV40,9,FALSE),"")</f>
        <v>53</v>
      </c>
      <c r="AIR80" s="321">
        <f t="shared" ca="1" si="19404"/>
        <v>0</v>
      </c>
      <c r="AIS80" s="321">
        <f t="shared" ref="AIS80" ca="1" si="20236">IF(AIG80&lt;&gt;"",RANK(AIR80,AIR77:AIR80),"")</f>
        <v>1</v>
      </c>
      <c r="AIT80" s="321">
        <f t="shared" ref="AIT80" ca="1" si="20237">IF(AIG80&lt;&gt;"",SUMPRODUCT((AIR77:AIR80=AIR80)*(AIM77:AIM80&gt;AIM80)),"")</f>
        <v>0</v>
      </c>
      <c r="AIU80" s="321">
        <f t="shared" ref="AIU80" ca="1" si="20238">IF(AIG80&lt;&gt;"",SUMPRODUCT((AIR77:AIR80=AIR80)*(AIM77:AIM80=AIM80)*(AIK77:AIK80&gt;AIK80)),"")</f>
        <v>0</v>
      </c>
      <c r="AIV80" s="321">
        <f t="shared" ref="AIV80" ca="1" si="20239">IF(AIG80&lt;&gt;"",SUMPRODUCT((AIR77:AIR80=AIR80)*(AIM77:AIM80=AIM80)*(AIK77:AIK80=AIK80)*(AIO77:AIO80&gt;AIO80)),"")</f>
        <v>0</v>
      </c>
      <c r="AIW80" s="321">
        <f t="shared" ref="AIW80" ca="1" si="20240">IF(AIG80&lt;&gt;"",SUMPRODUCT((AIR77:AIR80=AIR80)*(AIM77:AIM80=AIM80)*(AIK77:AIK80=AIK80)*(AIO77:AIO80=AIO80)*(AIP77:AIP80&gt;AIP80)),"")</f>
        <v>0</v>
      </c>
      <c r="AIX80" s="321">
        <f t="shared" ref="AIX80" ca="1" si="20241">IF(AIG80&lt;&gt;"",SUMPRODUCT((AIR77:AIR80=AIR80)*(AIM77:AIM80=AIM80)*(AIK77:AIK80=AIK80)*(AIO77:AIO80=AIO80)*(AIP77:AIP80=AIP80)*(AIQ77:AIQ80&gt;AIQ80)),"")</f>
        <v>0</v>
      </c>
      <c r="AIY80" s="321">
        <f t="shared" ca="1" si="19411"/>
        <v>1</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5"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368</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369</v>
      </c>
      <c r="C6" s="143" t="s">
        <v>370</v>
      </c>
      <c r="D6" s="143" t="s">
        <v>371</v>
      </c>
      <c r="E6" s="143" t="s">
        <v>372</v>
      </c>
      <c r="F6" s="142" t="s">
        <v>266</v>
      </c>
      <c r="G6" s="142" t="s">
        <v>372</v>
      </c>
    </row>
    <row r="7" spans="1:7" x14ac:dyDescent="0.3">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Ena</v>
      </c>
      <c r="G7" s="146">
        <f ca="1">E7</f>
        <v>1</v>
      </c>
    </row>
    <row r="8" spans="1:7" x14ac:dyDescent="0.3">
      <c r="A8" s="144">
        <f>IF('Player Scoreboard'!C11&lt;&gt;"",'Player Scoreboard'!B11,"")</f>
        <v>2</v>
      </c>
      <c r="B8" s="144">
        <f ca="1">IF('Player Scoreboard'!C11&lt;&gt;"",RANK('Player Scoreboard'!D11,'Player Scoreboard'!D10:D19),"")</f>
        <v>2</v>
      </c>
      <c r="C8" s="144">
        <f ca="1">SUMPRODUCT((B7:B16=B8)*('Player Scoreboard'!H10:H19&gt;'Player Scoreboard'!H11))</f>
        <v>0</v>
      </c>
      <c r="D8" s="144">
        <f ca="1">SUMPRODUCT((B7:B16=B8)*(C7:C16=C8)*(A7:A16&lt;A8))</f>
        <v>0</v>
      </c>
      <c r="E8" s="144">
        <f t="shared" ref="E8:E16" ca="1" si="0">B8+C8+D8</f>
        <v>2</v>
      </c>
      <c r="F8" s="145" t="str">
        <f>'Player Scoreboard'!C11</f>
        <v>Pavlo</v>
      </c>
      <c r="G8" s="146">
        <f t="shared" ref="G8:G16" ca="1" si="1">E8</f>
        <v>2</v>
      </c>
    </row>
    <row r="9" spans="1:7" x14ac:dyDescent="0.3">
      <c r="A9" s="144">
        <f>IF('Player Scoreboard'!C12&lt;&gt;"",'Player Scoreboard'!B12,"")</f>
        <v>3</v>
      </c>
      <c r="B9" s="144">
        <f ca="1">IF('Player Scoreboard'!C12&lt;&gt;"",RANK('Player Scoreboard'!D12,'Player Scoreboard'!D10:D19),"")</f>
        <v>4</v>
      </c>
      <c r="C9" s="144">
        <f ca="1">SUMPRODUCT((B7:B16=B9)*('Player Scoreboard'!H10:H19&gt;'Player Scoreboard'!H12))</f>
        <v>0</v>
      </c>
      <c r="D9" s="144">
        <f ca="1">SUMPRODUCT((B7:B16=B9)*(C7:C16=C9)*(A7:A16&lt;A9))</f>
        <v>0</v>
      </c>
      <c r="E9" s="144">
        <f t="shared" ca="1" si="0"/>
        <v>4</v>
      </c>
      <c r="F9" s="145" t="str">
        <f>'Player Scoreboard'!C12</f>
        <v>Player</v>
      </c>
      <c r="G9" s="146">
        <f t="shared" ca="1" si="1"/>
        <v>4</v>
      </c>
    </row>
    <row r="10" spans="1:7" x14ac:dyDescent="0.3">
      <c r="A10" s="144">
        <f>IF('Player Scoreboard'!C13&lt;&gt;"",'Player Scoreboard'!B13,"")</f>
        <v>4</v>
      </c>
      <c r="B10" s="144">
        <f ca="1">IF('Player Scoreboard'!C13&lt;&gt;"",RANK('Player Scoreboard'!D13,'Player Scoreboard'!D10:D19),"")</f>
        <v>4</v>
      </c>
      <c r="C10" s="144">
        <f ca="1">SUMPRODUCT((B7:B16=B10)*('Player Scoreboard'!H10:H19&gt;'Player Scoreboard'!H13))</f>
        <v>0</v>
      </c>
      <c r="D10" s="144">
        <f ca="1">SUMPRODUCT((B7:B16=B10)*(C7:C16=C10)*(A7:A16&lt;A10))</f>
        <v>1</v>
      </c>
      <c r="E10" s="144">
        <f t="shared" ca="1" si="0"/>
        <v>5</v>
      </c>
      <c r="F10" s="145" t="str">
        <f>'Player Scoreboard'!C13</f>
        <v>Player</v>
      </c>
      <c r="G10" s="146">
        <f t="shared" ca="1" si="1"/>
        <v>5</v>
      </c>
    </row>
    <row r="11" spans="1:7" x14ac:dyDescent="0.3">
      <c r="A11" s="144">
        <f>IF('Player Scoreboard'!C14&lt;&gt;"",'Player Scoreboard'!B14,"")</f>
        <v>5</v>
      </c>
      <c r="B11" s="144">
        <f ca="1">IF('Player Scoreboard'!C14&lt;&gt;"",RANK('Player Scoreboard'!D14,'Player Scoreboard'!D10:D19),"")</f>
        <v>3</v>
      </c>
      <c r="C11" s="144">
        <f ca="1">SUMPRODUCT((B7:B16=B11)*('Player Scoreboard'!H10:H19&gt;'Player Scoreboard'!H14))</f>
        <v>0</v>
      </c>
      <c r="D11" s="144">
        <f ca="1">SUMPRODUCT((B7:B16=B11)*(C7:C16=C11)*(A7:A16&lt;A11))</f>
        <v>0</v>
      </c>
      <c r="E11" s="144">
        <f t="shared" ca="1" si="0"/>
        <v>3</v>
      </c>
      <c r="F11" s="145" t="str">
        <f>'Player Scoreboard'!C14</f>
        <v>Player</v>
      </c>
      <c r="G11" s="146">
        <f t="shared" ca="1" si="1"/>
        <v>3</v>
      </c>
    </row>
    <row r="12" spans="1:7" x14ac:dyDescent="0.3">
      <c r="A12" s="144">
        <f>IF('Player Scoreboard'!C15&lt;&gt;"",'Player Scoreboard'!B15,"")</f>
        <v>6</v>
      </c>
      <c r="B12" s="144">
        <f ca="1">IF('Player Scoreboard'!C15&lt;&gt;"",RANK('Player Scoreboard'!D15,'Player Scoreboard'!D10:D19),"")</f>
        <v>4</v>
      </c>
      <c r="C12" s="144">
        <f ca="1">SUMPRODUCT((B7:B16=B12)*('Player Scoreboard'!H10:H19&gt;'Player Scoreboard'!H15))</f>
        <v>0</v>
      </c>
      <c r="D12" s="144">
        <f ca="1">SUMPRODUCT((B7:B16=B12)*(C7:C16=C12)*(A7:A16&lt;A12))</f>
        <v>2</v>
      </c>
      <c r="E12" s="144">
        <f t="shared" ca="1" si="0"/>
        <v>6</v>
      </c>
      <c r="F12" s="145" t="str">
        <f>'Player Scoreboard'!C15</f>
        <v>Player</v>
      </c>
      <c r="G12" s="146">
        <f t="shared" ca="1" si="1"/>
        <v>6</v>
      </c>
    </row>
    <row r="13" spans="1:7" x14ac:dyDescent="0.3">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3</v>
      </c>
      <c r="E13" s="144">
        <f t="shared" ca="1" si="0"/>
        <v>7</v>
      </c>
      <c r="F13" s="145" t="str">
        <f>'Player Scoreboard'!C16</f>
        <v>Player</v>
      </c>
      <c r="G13" s="146">
        <f t="shared" ca="1" si="1"/>
        <v>7</v>
      </c>
    </row>
    <row r="14" spans="1:7" x14ac:dyDescent="0.3">
      <c r="A14" s="144">
        <f>IF('Player Scoreboard'!C17&lt;&gt;"",'Player Scoreboard'!B17,"")</f>
        <v>8</v>
      </c>
      <c r="B14" s="144">
        <f ca="1">IF('Player Scoreboard'!C17&lt;&gt;"",RANK('Player Scoreboard'!D17,'Player Scoreboard'!D10:D19),"")</f>
        <v>4</v>
      </c>
      <c r="C14" s="144">
        <f ca="1">SUMPRODUCT((B7:B16=B14)*('Player Scoreboard'!H10:H19&gt;'Player Scoreboard'!H17))</f>
        <v>0</v>
      </c>
      <c r="D14" s="144">
        <f ca="1">SUMPRODUCT((B7:B16=B14)*(C7:C16=C14)*(A7:A16&lt;A14))</f>
        <v>4</v>
      </c>
      <c r="E14" s="144">
        <f t="shared" ca="1" si="0"/>
        <v>8</v>
      </c>
      <c r="F14" s="145" t="str">
        <f>'Player Scoreboard'!C17</f>
        <v>Player</v>
      </c>
      <c r="G14" s="146">
        <f t="shared" ca="1" si="1"/>
        <v>8</v>
      </c>
    </row>
    <row r="15" spans="1:7" x14ac:dyDescent="0.3">
      <c r="A15" s="144">
        <f>IF('Player Scoreboard'!C18&lt;&gt;"",'Player Scoreboard'!B18,"")</f>
        <v>9</v>
      </c>
      <c r="B15" s="144">
        <f ca="1">IF('Player Scoreboard'!C18&lt;&gt;"",RANK('Player Scoreboard'!D18,'Player Scoreboard'!D10:D19),"")</f>
        <v>4</v>
      </c>
      <c r="C15" s="144">
        <f ca="1">SUMPRODUCT((B7:B16=B15)*('Player Scoreboard'!H10:H19&gt;'Player Scoreboard'!H18))</f>
        <v>0</v>
      </c>
      <c r="D15" s="144">
        <f ca="1">SUMPRODUCT((B7:B16=B15)*(C7:C16=C15)*(A7:A16&lt;A15))</f>
        <v>5</v>
      </c>
      <c r="E15" s="144">
        <f t="shared" ca="1" si="0"/>
        <v>9</v>
      </c>
      <c r="F15" s="145" t="str">
        <f>'Player Scoreboard'!C18</f>
        <v>Player</v>
      </c>
      <c r="G15" s="146">
        <f t="shared" ca="1" si="1"/>
        <v>9</v>
      </c>
    </row>
    <row r="16" spans="1:7" x14ac:dyDescent="0.3">
      <c r="A16" s="144">
        <f>IF('Player Scoreboard'!C19&lt;&gt;"",'Player Scoreboard'!B19,"")</f>
        <v>10</v>
      </c>
      <c r="B16" s="144">
        <f ca="1">IF('Player Scoreboard'!C19&lt;&gt;"",RANK('Player Scoreboard'!D19,'Player Scoreboard'!D10:D19),"")</f>
        <v>4</v>
      </c>
      <c r="C16" s="144">
        <f ca="1">SUMPRODUCT((B7:B16=B16)*('Player Scoreboard'!H10:H19&gt;'Player Scoreboard'!H19))</f>
        <v>0</v>
      </c>
      <c r="D16" s="144">
        <f ca="1">SUMPRODUCT((B7:B16=B16)*(C7:C16=C16)*(A7:A16&lt;A16))</f>
        <v>6</v>
      </c>
      <c r="E16" s="144">
        <f t="shared" ca="1" si="0"/>
        <v>10</v>
      </c>
      <c r="F16" s="145" t="str">
        <f>'Player Scoreboard'!C19</f>
        <v>Player</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3" sqref="D23"/>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30" t="s">
        <v>73</v>
      </c>
      <c r="D6" s="266">
        <v>0</v>
      </c>
      <c r="E6" s="267">
        <v>0</v>
      </c>
      <c r="F6" s="268"/>
      <c r="G6" s="268"/>
      <c r="K6" s="257" t="s">
        <v>74</v>
      </c>
      <c r="L6" s="1" t="s">
        <v>75</v>
      </c>
    </row>
    <row r="7" spans="2:14" ht="15" customHeight="1" x14ac:dyDescent="0.3">
      <c r="B7" s="271">
        <v>2</v>
      </c>
      <c r="C7" s="329" t="s">
        <v>76</v>
      </c>
      <c r="D7" s="266">
        <v>0</v>
      </c>
      <c r="E7" s="267">
        <v>0</v>
      </c>
      <c r="F7" s="269"/>
      <c r="G7" s="269"/>
      <c r="L7" s="2" t="s">
        <v>77</v>
      </c>
    </row>
    <row r="8" spans="2:14" ht="15" customHeight="1" x14ac:dyDescent="0.3">
      <c r="B8" s="271">
        <v>3</v>
      </c>
      <c r="C8" s="329" t="s">
        <v>78</v>
      </c>
      <c r="D8" s="266">
        <v>0</v>
      </c>
      <c r="E8" s="267">
        <v>0</v>
      </c>
      <c r="F8" s="269"/>
      <c r="G8" s="269"/>
      <c r="K8" s="257" t="s">
        <v>74</v>
      </c>
      <c r="L8" s="2" t="s">
        <v>79</v>
      </c>
    </row>
    <row r="9" spans="2:14" ht="15" customHeight="1" x14ac:dyDescent="0.3">
      <c r="B9" s="271">
        <v>4</v>
      </c>
      <c r="C9" s="329" t="s">
        <v>78</v>
      </c>
      <c r="D9" s="266">
        <v>0</v>
      </c>
      <c r="E9" s="267">
        <v>0</v>
      </c>
      <c r="F9" s="269"/>
      <c r="G9" s="269"/>
      <c r="K9" s="257" t="s">
        <v>74</v>
      </c>
      <c r="L9" s="2" t="s">
        <v>80</v>
      </c>
    </row>
    <row r="10" spans="2:14" ht="15" customHeight="1" x14ac:dyDescent="0.3">
      <c r="B10" s="271">
        <v>5</v>
      </c>
      <c r="C10" s="329" t="s">
        <v>78</v>
      </c>
      <c r="D10" s="266">
        <v>0</v>
      </c>
      <c r="E10" s="267">
        <v>0</v>
      </c>
      <c r="F10" s="269"/>
      <c r="G10" s="269"/>
      <c r="L10" s="2" t="s">
        <v>81</v>
      </c>
    </row>
    <row r="11" spans="2:14" ht="15" customHeight="1" x14ac:dyDescent="0.3">
      <c r="B11" s="271">
        <v>6</v>
      </c>
      <c r="C11" s="329" t="s">
        <v>78</v>
      </c>
      <c r="D11" s="266">
        <v>0</v>
      </c>
      <c r="E11" s="267">
        <v>0</v>
      </c>
      <c r="F11" s="269"/>
      <c r="G11" s="269"/>
      <c r="K11" s="257"/>
      <c r="L11" s="2" t="s">
        <v>82</v>
      </c>
    </row>
    <row r="12" spans="2:14" ht="15" customHeight="1" x14ac:dyDescent="0.3">
      <c r="B12" s="271">
        <v>7</v>
      </c>
      <c r="C12" s="329" t="s">
        <v>78</v>
      </c>
      <c r="D12" s="266">
        <v>0</v>
      </c>
      <c r="E12" s="267">
        <v>0</v>
      </c>
      <c r="F12" s="269"/>
      <c r="G12" s="269"/>
      <c r="L12" s="2" t="s">
        <v>83</v>
      </c>
    </row>
    <row r="13" spans="2:14" ht="15" customHeight="1" x14ac:dyDescent="0.3">
      <c r="B13" s="271">
        <v>8</v>
      </c>
      <c r="C13" s="329" t="s">
        <v>78</v>
      </c>
      <c r="D13" s="266">
        <v>0</v>
      </c>
      <c r="E13" s="267">
        <v>0</v>
      </c>
      <c r="F13" s="269"/>
      <c r="G13" s="269"/>
      <c r="L13" s="258" t="s">
        <v>84</v>
      </c>
      <c r="M13" s="2" t="s">
        <v>85</v>
      </c>
    </row>
    <row r="14" spans="2:14" ht="15" customHeight="1" x14ac:dyDescent="0.3">
      <c r="B14" s="271">
        <v>9</v>
      </c>
      <c r="C14" s="329" t="s">
        <v>78</v>
      </c>
      <c r="D14" s="266">
        <v>0</v>
      </c>
      <c r="E14" s="267">
        <v>0</v>
      </c>
      <c r="F14" s="269"/>
      <c r="G14" s="269"/>
      <c r="L14" s="258" t="s">
        <v>84</v>
      </c>
      <c r="M14" s="2" t="s">
        <v>86</v>
      </c>
    </row>
    <row r="15" spans="2:14" ht="15" customHeight="1" x14ac:dyDescent="0.3">
      <c r="B15" s="271">
        <v>10</v>
      </c>
      <c r="C15" s="329" t="s">
        <v>78</v>
      </c>
      <c r="D15" s="266">
        <v>0</v>
      </c>
      <c r="E15" s="267">
        <v>0</v>
      </c>
      <c r="F15" s="269"/>
      <c r="G15" s="269"/>
      <c r="L15" s="258" t="s">
        <v>84</v>
      </c>
      <c r="M15" s="2" t="s">
        <v>87</v>
      </c>
    </row>
    <row r="16" spans="2:14" ht="15" customHeight="1" x14ac:dyDescent="0.3">
      <c r="E16" s="255"/>
      <c r="F16" s="255"/>
      <c r="G16" s="255"/>
      <c r="K16" s="257" t="s">
        <v>74</v>
      </c>
      <c r="L16" s="259" t="s">
        <v>88</v>
      </c>
    </row>
    <row r="17" spans="5:13" ht="15" customHeight="1" x14ac:dyDescent="0.3">
      <c r="E17" s="255"/>
      <c r="F17" s="255"/>
      <c r="G17" s="255"/>
    </row>
    <row r="18" spans="5:13" ht="15" customHeight="1" x14ac:dyDescent="0.3">
      <c r="E18" s="255"/>
      <c r="F18" s="255"/>
      <c r="G18" s="255"/>
      <c r="K18" s="249" t="s">
        <v>74</v>
      </c>
      <c r="L18" s="250" t="s">
        <v>89</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28" activePane="bottomRight" state="frozen"/>
      <selection pane="topRight" activeCell="N1" sqref="N1"/>
      <selection pane="bottomLeft" activeCell="A9" sqref="A9"/>
      <selection pane="bottomRight" activeCell="H31" sqref="H31:I33"/>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90</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73" t="s">
        <v>91</v>
      </c>
      <c r="C3" s="373"/>
      <c r="D3" s="373"/>
      <c r="E3" s="373"/>
      <c r="F3" s="373"/>
      <c r="G3" s="373"/>
      <c r="H3" s="373"/>
      <c r="I3" s="373"/>
      <c r="J3" s="125"/>
      <c r="K3" s="125"/>
      <c r="L3" s="125"/>
      <c r="M3" s="125"/>
      <c r="N3" s="346" t="s">
        <v>92</v>
      </c>
      <c r="O3" s="347"/>
      <c r="P3" s="347"/>
      <c r="Q3" s="347"/>
      <c r="R3" s="347"/>
      <c r="S3" s="347"/>
      <c r="T3" s="347"/>
      <c r="U3" s="347"/>
      <c r="V3" s="347"/>
      <c r="W3" s="347"/>
      <c r="X3" s="347"/>
      <c r="Y3" s="347"/>
      <c r="Z3" s="347"/>
      <c r="AA3" s="347"/>
      <c r="AB3" s="347"/>
      <c r="AC3" s="347"/>
      <c r="AD3" s="347"/>
      <c r="AE3" s="44"/>
      <c r="AF3" s="44"/>
      <c r="AG3" s="44"/>
      <c r="AH3" s="382"/>
      <c r="AI3" s="383"/>
      <c r="AJ3" s="383"/>
      <c r="AK3" s="383"/>
      <c r="AL3" s="383"/>
      <c r="AM3" s="44"/>
      <c r="AN3" s="44"/>
      <c r="AO3" s="44"/>
      <c r="AP3" s="44"/>
      <c r="AQ3" s="44"/>
      <c r="AR3" s="382"/>
      <c r="AS3" s="383"/>
      <c r="AT3" s="383"/>
      <c r="AU3" s="383"/>
      <c r="AV3" s="383"/>
      <c r="AW3" s="44"/>
      <c r="AX3" s="44"/>
      <c r="AY3" s="44"/>
      <c r="AZ3" s="44"/>
      <c r="BA3" s="44"/>
      <c r="BB3" s="382"/>
      <c r="BC3" s="383"/>
      <c r="BD3" s="383"/>
      <c r="BE3" s="383"/>
      <c r="BF3" s="383"/>
      <c r="BG3" s="44"/>
      <c r="BH3" s="44"/>
      <c r="BI3" s="44"/>
      <c r="BJ3" s="44"/>
      <c r="BK3" s="44"/>
      <c r="BL3" s="382"/>
      <c r="BM3" s="383"/>
      <c r="BN3" s="383"/>
      <c r="BO3" s="383"/>
      <c r="BP3" s="383"/>
      <c r="BQ3" s="44"/>
      <c r="BR3" s="44"/>
      <c r="BS3" s="44"/>
      <c r="BT3" s="44"/>
      <c r="BU3" s="44"/>
      <c r="BV3" s="382"/>
      <c r="BW3" s="383"/>
      <c r="BX3" s="383"/>
      <c r="BY3" s="383"/>
      <c r="BZ3" s="383"/>
      <c r="CA3" s="44"/>
      <c r="CB3" s="44"/>
      <c r="CC3" s="44"/>
      <c r="CD3" s="44"/>
      <c r="CE3" s="44"/>
      <c r="CF3" s="382"/>
      <c r="CG3" s="383"/>
      <c r="CH3" s="383"/>
      <c r="CI3" s="383"/>
      <c r="CJ3" s="383"/>
      <c r="CK3" s="44"/>
      <c r="CL3" s="44"/>
      <c r="CM3" s="44"/>
      <c r="CN3" s="44"/>
      <c r="CO3" s="44"/>
      <c r="CP3" s="382"/>
      <c r="CQ3" s="383"/>
      <c r="CR3" s="383"/>
      <c r="CS3" s="383"/>
      <c r="CT3" s="383"/>
      <c r="CU3" s="44"/>
      <c r="CV3" s="44"/>
      <c r="CW3" s="44"/>
      <c r="CX3" s="44"/>
      <c r="CY3" s="44"/>
      <c r="CZ3" s="382"/>
      <c r="DA3" s="383"/>
      <c r="DB3" s="383"/>
      <c r="DC3" s="383"/>
      <c r="DD3" s="383"/>
      <c r="DE3" s="44"/>
      <c r="DF3" s="44"/>
      <c r="DG3" s="44"/>
      <c r="DH3" s="44"/>
      <c r="DI3" s="44"/>
    </row>
    <row r="4" spans="1:113" s="43" customFormat="1" ht="15" customHeight="1" x14ac:dyDescent="0.25">
      <c r="A4" s="41"/>
      <c r="B4" s="373"/>
      <c r="C4" s="373"/>
      <c r="D4" s="373"/>
      <c r="E4" s="373"/>
      <c r="F4" s="373"/>
      <c r="G4" s="373"/>
      <c r="H4" s="373"/>
      <c r="I4" s="373"/>
      <c r="J4" s="125"/>
      <c r="K4" s="125"/>
      <c r="L4" s="125"/>
      <c r="M4" s="125"/>
      <c r="N4" s="346"/>
      <c r="O4" s="347"/>
      <c r="P4" s="347"/>
      <c r="Q4" s="347"/>
      <c r="R4" s="347"/>
      <c r="S4" s="347"/>
      <c r="T4" s="347"/>
      <c r="U4" s="347"/>
      <c r="V4" s="347"/>
      <c r="W4" s="347"/>
      <c r="X4" s="347"/>
      <c r="Y4" s="347"/>
      <c r="Z4" s="347"/>
      <c r="AA4" s="347"/>
      <c r="AB4" s="347"/>
      <c r="AC4" s="347"/>
      <c r="AD4" s="347"/>
      <c r="AE4" s="46"/>
      <c r="AF4" s="45"/>
      <c r="AG4" s="45"/>
      <c r="AH4" s="382"/>
      <c r="AI4" s="383"/>
      <c r="AJ4" s="383"/>
      <c r="AK4" s="383"/>
      <c r="AL4" s="383"/>
      <c r="AM4" s="46"/>
      <c r="AN4" s="46"/>
      <c r="AO4" s="46"/>
      <c r="AP4" s="45"/>
      <c r="AQ4" s="45"/>
      <c r="AR4" s="382"/>
      <c r="AS4" s="383"/>
      <c r="AT4" s="383"/>
      <c r="AU4" s="383"/>
      <c r="AV4" s="383"/>
      <c r="AW4" s="46"/>
      <c r="AX4" s="46"/>
      <c r="AY4" s="46"/>
      <c r="AZ4" s="45"/>
      <c r="BA4" s="45"/>
      <c r="BB4" s="382"/>
      <c r="BC4" s="383"/>
      <c r="BD4" s="383"/>
      <c r="BE4" s="383"/>
      <c r="BF4" s="383"/>
      <c r="BG4" s="46"/>
      <c r="BH4" s="46"/>
      <c r="BI4" s="46"/>
      <c r="BJ4" s="45"/>
      <c r="BK4" s="45"/>
      <c r="BL4" s="382"/>
      <c r="BM4" s="383"/>
      <c r="BN4" s="383"/>
      <c r="BO4" s="383"/>
      <c r="BP4" s="383"/>
      <c r="BQ4" s="46"/>
      <c r="BR4" s="46"/>
      <c r="BS4" s="46"/>
      <c r="BT4" s="45"/>
      <c r="BU4" s="45"/>
      <c r="BV4" s="382"/>
      <c r="BW4" s="383"/>
      <c r="BX4" s="383"/>
      <c r="BY4" s="383"/>
      <c r="BZ4" s="383"/>
      <c r="CA4" s="46"/>
      <c r="CB4" s="46"/>
      <c r="CC4" s="46"/>
      <c r="CD4" s="45"/>
      <c r="CE4" s="45"/>
      <c r="CF4" s="382"/>
      <c r="CG4" s="383"/>
      <c r="CH4" s="383"/>
      <c r="CI4" s="383"/>
      <c r="CJ4" s="383"/>
      <c r="CK4" s="46"/>
      <c r="CL4" s="46"/>
      <c r="CM4" s="46"/>
      <c r="CN4" s="45"/>
      <c r="CO4" s="45"/>
      <c r="CP4" s="382"/>
      <c r="CQ4" s="383"/>
      <c r="CR4" s="383"/>
      <c r="CS4" s="383"/>
      <c r="CT4" s="383"/>
      <c r="CU4" s="46"/>
      <c r="CV4" s="46"/>
      <c r="CW4" s="46"/>
      <c r="CX4" s="45"/>
      <c r="CY4" s="45"/>
      <c r="CZ4" s="382"/>
      <c r="DA4" s="383"/>
      <c r="DB4" s="383"/>
      <c r="DC4" s="383"/>
      <c r="DD4" s="383"/>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78</v>
      </c>
      <c r="P6" s="53" t="str">
        <f>VLOOKUP(N6,'Player Scoreboard'!B10:C19,2,FALSE)</f>
        <v>Ena</v>
      </c>
      <c r="Q6" s="52"/>
      <c r="R6" s="52"/>
      <c r="S6" s="52"/>
      <c r="T6" s="52"/>
      <c r="U6" s="54" t="s">
        <v>93</v>
      </c>
      <c r="V6" s="54" t="s">
        <v>3</v>
      </c>
      <c r="W6" s="54" t="s">
        <v>94</v>
      </c>
      <c r="X6" s="51">
        <f>N6+1</f>
        <v>2</v>
      </c>
      <c r="Y6" s="52" t="s">
        <v>78</v>
      </c>
      <c r="Z6" s="53" t="str">
        <f>VLOOKUP(X6,'Player Scoreboard'!B10:C19,2,FALSE)</f>
        <v>Pavlo</v>
      </c>
      <c r="AA6" s="52"/>
      <c r="AB6" s="52"/>
      <c r="AC6" s="52"/>
      <c r="AD6" s="52"/>
      <c r="AE6" s="54" t="s">
        <v>93</v>
      </c>
      <c r="AF6" s="54" t="s">
        <v>3</v>
      </c>
      <c r="AG6" s="54" t="s">
        <v>94</v>
      </c>
      <c r="AH6" s="51">
        <f t="shared" ref="AH6" si="64">X6+1</f>
        <v>3</v>
      </c>
      <c r="AI6" s="52" t="s">
        <v>78</v>
      </c>
      <c r="AJ6" s="53" t="str">
        <f>VLOOKUP(AH6,'Player Scoreboard'!B10:C19,2,FALSE)</f>
        <v>Player</v>
      </c>
      <c r="AK6" s="52"/>
      <c r="AL6" s="52"/>
      <c r="AM6" s="52"/>
      <c r="AN6" s="52"/>
      <c r="AO6" s="54" t="s">
        <v>93</v>
      </c>
      <c r="AP6" s="54" t="s">
        <v>3</v>
      </c>
      <c r="AQ6" s="54" t="s">
        <v>94</v>
      </c>
      <c r="AR6" s="51">
        <f t="shared" ref="AR6" si="65">AH6+1</f>
        <v>4</v>
      </c>
      <c r="AS6" s="52" t="s">
        <v>78</v>
      </c>
      <c r="AT6" s="53" t="str">
        <f>VLOOKUP(AR6,'Player Scoreboard'!B10:C19,2,FALSE)</f>
        <v>Player</v>
      </c>
      <c r="AU6" s="52"/>
      <c r="AV6" s="52"/>
      <c r="AW6" s="52"/>
      <c r="AX6" s="52"/>
      <c r="AY6" s="54" t="s">
        <v>93</v>
      </c>
      <c r="AZ6" s="54" t="s">
        <v>3</v>
      </c>
      <c r="BA6" s="54" t="s">
        <v>94</v>
      </c>
      <c r="BB6" s="51">
        <f t="shared" ref="BB6" si="66">AR6+1</f>
        <v>5</v>
      </c>
      <c r="BC6" s="52" t="s">
        <v>78</v>
      </c>
      <c r="BD6" s="53" t="str">
        <f>VLOOKUP(BB6,'Player Scoreboard'!B10:C19,2,FALSE)</f>
        <v>Player</v>
      </c>
      <c r="BE6" s="52"/>
      <c r="BF6" s="52"/>
      <c r="BG6" s="52"/>
      <c r="BH6" s="52"/>
      <c r="BI6" s="54" t="s">
        <v>93</v>
      </c>
      <c r="BJ6" s="54" t="s">
        <v>3</v>
      </c>
      <c r="BK6" s="54" t="s">
        <v>94</v>
      </c>
      <c r="BL6" s="51">
        <f t="shared" ref="BL6" si="67">BB6+1</f>
        <v>6</v>
      </c>
      <c r="BM6" s="52" t="s">
        <v>78</v>
      </c>
      <c r="BN6" s="53" t="str">
        <f>VLOOKUP(BL6,'Player Scoreboard'!B10:C19,2,FALSE)</f>
        <v>Player</v>
      </c>
      <c r="BO6" s="52"/>
      <c r="BP6" s="52"/>
      <c r="BQ6" s="52"/>
      <c r="BR6" s="52"/>
      <c r="BS6" s="54" t="s">
        <v>93</v>
      </c>
      <c r="BT6" s="54" t="s">
        <v>3</v>
      </c>
      <c r="BU6" s="54" t="s">
        <v>94</v>
      </c>
      <c r="BV6" s="51">
        <f t="shared" ref="BV6" si="68">BL6+1</f>
        <v>7</v>
      </c>
      <c r="BW6" s="52" t="s">
        <v>78</v>
      </c>
      <c r="BX6" s="53" t="str">
        <f>VLOOKUP(BV6,'Player Scoreboard'!B10:C19,2,FALSE)</f>
        <v>Player</v>
      </c>
      <c r="BY6" s="52"/>
      <c r="BZ6" s="52"/>
      <c r="CA6" s="52"/>
      <c r="CB6" s="52"/>
      <c r="CC6" s="54" t="s">
        <v>93</v>
      </c>
      <c r="CD6" s="54" t="s">
        <v>3</v>
      </c>
      <c r="CE6" s="54" t="s">
        <v>94</v>
      </c>
      <c r="CF6" s="51">
        <f t="shared" ref="CF6" si="69">BV6+1</f>
        <v>8</v>
      </c>
      <c r="CG6" s="52" t="s">
        <v>78</v>
      </c>
      <c r="CH6" s="53" t="str">
        <f>VLOOKUP(CF6,'Player Scoreboard'!B10:C19,2,FALSE)</f>
        <v>Player</v>
      </c>
      <c r="CI6" s="52"/>
      <c r="CJ6" s="52"/>
      <c r="CK6" s="52"/>
      <c r="CL6" s="52"/>
      <c r="CM6" s="54" t="s">
        <v>93</v>
      </c>
      <c r="CN6" s="54" t="s">
        <v>3</v>
      </c>
      <c r="CO6" s="54" t="s">
        <v>94</v>
      </c>
      <c r="CP6" s="51">
        <f t="shared" ref="CP6" si="70">CF6+1</f>
        <v>9</v>
      </c>
      <c r="CQ6" s="52" t="s">
        <v>78</v>
      </c>
      <c r="CR6" s="53" t="str">
        <f>VLOOKUP(CP6,'Player Scoreboard'!B10:C19,2,FALSE)</f>
        <v>Player</v>
      </c>
      <c r="CS6" s="52"/>
      <c r="CT6" s="52"/>
      <c r="CU6" s="52"/>
      <c r="CV6" s="52"/>
      <c r="CW6" s="54" t="s">
        <v>93</v>
      </c>
      <c r="CX6" s="54" t="s">
        <v>3</v>
      </c>
      <c r="CY6" s="54" t="s">
        <v>94</v>
      </c>
      <c r="CZ6" s="51">
        <f t="shared" ref="CZ6" si="71">CP6+1</f>
        <v>10</v>
      </c>
      <c r="DA6" s="52" t="s">
        <v>78</v>
      </c>
      <c r="DB6" s="53" t="str">
        <f>VLOOKUP(CZ6,'Player Scoreboard'!B10:C19,2,FALSE)</f>
        <v>Player</v>
      </c>
      <c r="DC6" s="52"/>
      <c r="DD6" s="52"/>
      <c r="DE6" s="52"/>
      <c r="DF6" s="52"/>
      <c r="DG6" s="54" t="s">
        <v>93</v>
      </c>
      <c r="DH6" s="54" t="s">
        <v>3</v>
      </c>
      <c r="DI6" s="54" t="s">
        <v>94</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79" t="str">
        <f>'Language Table'!C38</f>
        <v>Score</v>
      </c>
      <c r="I7" s="379"/>
      <c r="J7" s="123" t="str">
        <f>G7</f>
        <v>Country</v>
      </c>
      <c r="K7" s="56"/>
      <c r="L7" s="56"/>
      <c r="M7" s="55"/>
      <c r="N7" s="51"/>
      <c r="O7" s="52" t="s">
        <v>95</v>
      </c>
      <c r="P7" s="57">
        <f ca="1">VLOOKUP(P6,'Dummy Rank'!F7:G16,2,FALSE)</f>
        <v>1</v>
      </c>
      <c r="Q7" s="52"/>
      <c r="R7" s="52"/>
      <c r="S7" s="52"/>
      <c r="T7" s="52"/>
      <c r="U7" s="58">
        <f ca="1">V7+W7</f>
        <v>44</v>
      </c>
      <c r="V7" s="58">
        <f ca="1">SUM(V10:V75)</f>
        <v>44</v>
      </c>
      <c r="W7" s="59">
        <f ca="1">SUM(W10:W88)</f>
        <v>0</v>
      </c>
      <c r="X7" s="51"/>
      <c r="Y7" s="52" t="s">
        <v>95</v>
      </c>
      <c r="Z7" s="148">
        <f ca="1">VLOOKUP(Z6,'Dummy Rank'!F7:G16,2,FALSE)</f>
        <v>2</v>
      </c>
      <c r="AA7" s="52"/>
      <c r="AB7" s="52"/>
      <c r="AC7" s="52"/>
      <c r="AD7" s="52"/>
      <c r="AE7" s="58">
        <f ca="1">AF7+AG7</f>
        <v>42</v>
      </c>
      <c r="AF7" s="58">
        <f ca="1">SUM(AF10:AF75)</f>
        <v>42</v>
      </c>
      <c r="AG7" s="59">
        <f ca="1">SUM(AG10:AG88)</f>
        <v>0</v>
      </c>
      <c r="AH7" s="51"/>
      <c r="AI7" s="52" t="s">
        <v>95</v>
      </c>
      <c r="AJ7" s="148">
        <f ca="1">VLOOKUP(AJ6,'Dummy Rank'!F7:G16,2,FALSE)</f>
        <v>4</v>
      </c>
      <c r="AK7" s="52"/>
      <c r="AL7" s="52"/>
      <c r="AM7" s="52"/>
      <c r="AN7" s="52"/>
      <c r="AO7" s="58">
        <f t="shared" ref="AO7" ca="1" si="72">AP7+AQ7</f>
        <v>0</v>
      </c>
      <c r="AP7" s="58">
        <f t="shared" ref="AP7" ca="1" si="73">SUM(AP10:AP75)</f>
        <v>0</v>
      </c>
      <c r="AQ7" s="59">
        <f t="shared" ref="AQ7" ca="1" si="74">SUM(AQ10:AQ88)</f>
        <v>0</v>
      </c>
      <c r="AR7" s="51"/>
      <c r="AS7" s="52" t="s">
        <v>95</v>
      </c>
      <c r="AT7" s="148">
        <f ca="1">VLOOKUP(AT6,'Dummy Rank'!F7:G16,2,FALSE)</f>
        <v>4</v>
      </c>
      <c r="AU7" s="52"/>
      <c r="AV7" s="52"/>
      <c r="AW7" s="52"/>
      <c r="AX7" s="52"/>
      <c r="AY7" s="58">
        <f t="shared" ref="AY7" ca="1" si="75">AZ7+BA7</f>
        <v>0</v>
      </c>
      <c r="AZ7" s="58">
        <f t="shared" ref="AZ7" ca="1" si="76">SUM(AZ10:AZ75)</f>
        <v>0</v>
      </c>
      <c r="BA7" s="59">
        <f t="shared" ref="BA7" ca="1" si="77">SUM(BA10:BA88)</f>
        <v>0</v>
      </c>
      <c r="BB7" s="51"/>
      <c r="BC7" s="52" t="s">
        <v>95</v>
      </c>
      <c r="BD7" s="148">
        <f ca="1">VLOOKUP(BD6,'Dummy Rank'!F7:G16,2,FALSE)</f>
        <v>4</v>
      </c>
      <c r="BE7" s="52"/>
      <c r="BF7" s="52"/>
      <c r="BG7" s="52"/>
      <c r="BH7" s="52"/>
      <c r="BI7" s="58">
        <f t="shared" ref="BI7" ca="1" si="78">BJ7+BK7</f>
        <v>36</v>
      </c>
      <c r="BJ7" s="58">
        <f t="shared" ref="BJ7" ca="1" si="79">SUM(BJ10:BJ75)</f>
        <v>36</v>
      </c>
      <c r="BK7" s="59">
        <f t="shared" ref="BK7" ca="1" si="80">SUM(BK10:BK88)</f>
        <v>0</v>
      </c>
      <c r="BL7" s="51"/>
      <c r="BM7" s="52" t="s">
        <v>95</v>
      </c>
      <c r="BN7" s="148">
        <f ca="1">VLOOKUP(BN6,'Dummy Rank'!F7:G16,2,FALSE)</f>
        <v>4</v>
      </c>
      <c r="BO7" s="52"/>
      <c r="BP7" s="52"/>
      <c r="BQ7" s="52"/>
      <c r="BR7" s="52"/>
      <c r="BS7" s="58">
        <f t="shared" ref="BS7" ca="1" si="81">BT7+BU7</f>
        <v>0</v>
      </c>
      <c r="BT7" s="58">
        <f t="shared" ref="BT7" ca="1" si="82">SUM(BT10:BT75)</f>
        <v>0</v>
      </c>
      <c r="BU7" s="59">
        <f t="shared" ref="BU7" ca="1" si="83">SUM(BU10:BU88)</f>
        <v>0</v>
      </c>
      <c r="BV7" s="51"/>
      <c r="BW7" s="52" t="s">
        <v>95</v>
      </c>
      <c r="BX7" s="148">
        <f ca="1">VLOOKUP(BX6,'Dummy Rank'!F7:G16,2,FALSE)</f>
        <v>4</v>
      </c>
      <c r="BY7" s="52"/>
      <c r="BZ7" s="52"/>
      <c r="CA7" s="52"/>
      <c r="CB7" s="52"/>
      <c r="CC7" s="58">
        <f t="shared" ref="CC7" ca="1" si="84">CD7+CE7</f>
        <v>0</v>
      </c>
      <c r="CD7" s="58">
        <f t="shared" ref="CD7" ca="1" si="85">SUM(CD10:CD75)</f>
        <v>0</v>
      </c>
      <c r="CE7" s="59">
        <f t="shared" ref="CE7" ca="1" si="86">SUM(CE10:CE88)</f>
        <v>0</v>
      </c>
      <c r="CF7" s="51"/>
      <c r="CG7" s="52" t="s">
        <v>95</v>
      </c>
      <c r="CH7" s="148">
        <f ca="1">VLOOKUP(CH6,'Dummy Rank'!F7:G16,2,FALSE)</f>
        <v>4</v>
      </c>
      <c r="CI7" s="52"/>
      <c r="CJ7" s="52"/>
      <c r="CK7" s="52"/>
      <c r="CL7" s="52"/>
      <c r="CM7" s="58">
        <f t="shared" ref="CM7" ca="1" si="87">CN7+CO7</f>
        <v>0</v>
      </c>
      <c r="CN7" s="58">
        <f t="shared" ref="CN7" ca="1" si="88">SUM(CN10:CN75)</f>
        <v>0</v>
      </c>
      <c r="CO7" s="59">
        <f t="shared" ref="CO7" ca="1" si="89">SUM(CO10:CO88)</f>
        <v>0</v>
      </c>
      <c r="CP7" s="51"/>
      <c r="CQ7" s="52" t="s">
        <v>95</v>
      </c>
      <c r="CR7" s="148">
        <f ca="1">VLOOKUP(CR6,'Dummy Rank'!F7:G16,2,FALSE)</f>
        <v>4</v>
      </c>
      <c r="CS7" s="52"/>
      <c r="CT7" s="52"/>
      <c r="CU7" s="52"/>
      <c r="CV7" s="52"/>
      <c r="CW7" s="58">
        <f t="shared" ref="CW7" ca="1" si="90">CX7+CY7</f>
        <v>0</v>
      </c>
      <c r="CX7" s="58">
        <f t="shared" ref="CX7" ca="1" si="91">SUM(CX10:CX75)</f>
        <v>0</v>
      </c>
      <c r="CY7" s="59">
        <f t="shared" ref="CY7" ca="1" si="92">SUM(CY10:CY88)</f>
        <v>0</v>
      </c>
      <c r="CZ7" s="51"/>
      <c r="DA7" s="52" t="s">
        <v>95</v>
      </c>
      <c r="DB7" s="148">
        <f ca="1">VLOOKUP(DB6,'Dummy Rank'!F7:G16,2,FALSE)</f>
        <v>4</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2</v>
      </c>
      <c r="V9" s="68"/>
      <c r="W9" s="69"/>
      <c r="X9" s="126">
        <f>SUM(AE10:AE45)</f>
        <v>3</v>
      </c>
      <c r="Z9" s="43" t="s">
        <v>96</v>
      </c>
      <c r="AF9" s="68"/>
      <c r="AG9" s="69"/>
      <c r="AH9" s="126">
        <f t="shared" ref="AH9" si="96">SUM(AO10:AO45)</f>
        <v>0</v>
      </c>
      <c r="AJ9" s="43" t="s">
        <v>96</v>
      </c>
      <c r="AP9" s="68"/>
      <c r="AQ9" s="69"/>
      <c r="AR9" s="126">
        <f t="shared" ref="AR9" si="97">SUM(AY10:AY45)</f>
        <v>0</v>
      </c>
      <c r="AT9" s="43" t="s">
        <v>96</v>
      </c>
      <c r="AZ9" s="68"/>
      <c r="BA9" s="69"/>
      <c r="BB9" s="126">
        <f t="shared" ref="BB9" si="98">SUM(BI10:BI45)</f>
        <v>4</v>
      </c>
      <c r="BD9" s="43" t="s">
        <v>96</v>
      </c>
      <c r="BJ9" s="68"/>
      <c r="BK9" s="69"/>
      <c r="BL9" s="126">
        <f t="shared" ref="BL9" si="99">SUM(BS10:BS45)</f>
        <v>0</v>
      </c>
      <c r="BN9" s="43" t="s">
        <v>96</v>
      </c>
      <c r="BT9" s="68"/>
      <c r="BU9" s="69"/>
      <c r="BV9" s="126">
        <f t="shared" ref="BV9" si="100">SUM(CC10:CC45)</f>
        <v>0</v>
      </c>
      <c r="BX9" s="43" t="s">
        <v>96</v>
      </c>
      <c r="CD9" s="68"/>
      <c r="CE9" s="69"/>
      <c r="CF9" s="126">
        <f t="shared" ref="CF9" si="101">SUM(CM10:CM45)</f>
        <v>0</v>
      </c>
      <c r="CH9" s="43" t="s">
        <v>96</v>
      </c>
      <c r="CN9" s="68"/>
      <c r="CO9" s="69"/>
      <c r="CP9" s="126">
        <f t="shared" ref="CP9" si="102">SUM(CW10:CW45)</f>
        <v>0</v>
      </c>
      <c r="CR9" s="43" t="s">
        <v>96</v>
      </c>
      <c r="CX9" s="68"/>
      <c r="CY9" s="69"/>
      <c r="CZ9" s="126">
        <f t="shared" ref="CZ9" si="103">SUM(DG10:DG45)</f>
        <v>0</v>
      </c>
      <c r="DB9" s="43" t="s">
        <v>96</v>
      </c>
      <c r="DH9" s="68"/>
      <c r="DI9" s="69"/>
    </row>
    <row r="10" spans="1:113" s="43" customFormat="1" ht="15" customHeight="1" x14ac:dyDescent="0.25">
      <c r="A10" s="41">
        <v>15</v>
      </c>
      <c r="B10" s="65"/>
      <c r="C10" s="55">
        <v>1</v>
      </c>
      <c r="D10" s="20" t="s">
        <v>97</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2</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c r="AK10" s="75"/>
      <c r="AL10" s="76" t="str">
        <f t="shared" ref="AL10:AL45" si="113">J10</f>
        <v>Scotland</v>
      </c>
      <c r="AO10" s="77">
        <f t="shared" ref="AO10:AO45" si="114">IF(AP10=Pool1,1,0)</f>
        <v>0</v>
      </c>
      <c r="AP10" s="78" t="str">
        <f t="shared" ref="AP10:AP45" si="115">IF(AND(H10&lt;&gt;"",I10&lt;&gt;"",AJ10&lt;&gt;"",AK10&lt;&gt;""),IF(AND(H10=AJ10,I10=AK10),Pool1,IF((H10-I10)=(AJ10-AK10),Pool2,IF(AND((H10&gt;I10),(AJ10&gt;AK10)),Pool4,IF(AND((I10&gt;H10),(AK10&gt;AJ10)),Pool4,0)))),"")</f>
        <v/>
      </c>
      <c r="AQ10" s="69"/>
      <c r="AR10" s="127"/>
      <c r="AS10" s="74" t="str">
        <f t="shared" ref="AS10:AS45" si="116">G10</f>
        <v>Germany</v>
      </c>
      <c r="AT10" s="75"/>
      <c r="AU10" s="75"/>
      <c r="AV10" s="76" t="str">
        <f t="shared" ref="AV10:AV45" si="117">J10</f>
        <v>Scotland</v>
      </c>
      <c r="AY10" s="77">
        <f t="shared" ref="AY10:AY45" si="118">IF(AZ10=Pool1,1,0)</f>
        <v>0</v>
      </c>
      <c r="AZ10" s="78" t="str">
        <f t="shared" ref="AZ10:AZ45" si="119">IF(AND(H10&lt;&gt;"",I10&lt;&gt;"",AT10&lt;&gt;"",AU10&lt;&gt;""),IF(AND(H10=AT10,I10=AU10),Pool1,IF((H10-I10)=(AT10-AU10),Pool2,IF(AND((H10&gt;I10),(AT10&gt;AU10)),Pool4,IF(AND((I10&gt;H10),(AU10&gt;AT10)),Pool4,0)))),"")</f>
        <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c r="BO10" s="75"/>
      <c r="BP10" s="76" t="str">
        <f t="shared" ref="BP10:BP45" si="125">J10</f>
        <v>Scotland</v>
      </c>
      <c r="BS10" s="77">
        <f t="shared" ref="BS10:BS45" si="126">IF(BT10=Pool1,1,0)</f>
        <v>0</v>
      </c>
      <c r="BT10" s="78" t="str">
        <f t="shared" ref="BT10:BT45" si="127">IF(AND(H10&lt;&gt;"",I10&lt;&gt;"",BN10&lt;&gt;"",BO10&lt;&gt;""),IF(AND(H10=BN10,I10=BO10),Pool1,IF((H10-I10)=(BN10-BO10),Pool2,IF(AND((H10&gt;I10),(BN10&gt;BO10)),Pool4,IF(AND((I10&gt;H10),(BO10&gt;BN10)),Pool4,0)))),"")</f>
        <v/>
      </c>
      <c r="BU10" s="69"/>
      <c r="BV10" s="127"/>
      <c r="BW10" s="74" t="str">
        <f t="shared" ref="BW10:BW45" si="128">G10</f>
        <v>Germany</v>
      </c>
      <c r="BX10" s="75"/>
      <c r="BY10" s="75"/>
      <c r="BZ10" s="76" t="str">
        <f t="shared" ref="BZ10:BZ45" si="129">J10</f>
        <v>Scotland</v>
      </c>
      <c r="CC10" s="77">
        <f t="shared" ref="CC10:CC45" si="130">IF(CD10=Pool1,1,0)</f>
        <v>0</v>
      </c>
      <c r="CD10" s="78" t="str">
        <f t="shared" ref="CD10:CD45" si="131">IF(AND(H10&lt;&gt;"",I10&lt;&gt;"",BX10&lt;&gt;"",BY10&lt;&gt;""),IF(AND(H10=BX10,I10=BY10),Pool1,IF((H10-I10)=(BX10-BY10),Pool2,IF(AND((H10&gt;I10),(BX10&gt;BY10)),Pool4,IF(AND((I10&gt;H10),(BY10&gt;BX10)),Pool4,0)))),"")</f>
        <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97</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2</v>
      </c>
      <c r="R11" s="76" t="str">
        <f t="shared" si="105"/>
        <v>Switzerland</v>
      </c>
      <c r="U11" s="77">
        <f t="shared" si="106"/>
        <v>0</v>
      </c>
      <c r="V11" s="78">
        <f t="shared" si="107"/>
        <v>4</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c r="AK11" s="75"/>
      <c r="AL11" s="76" t="str">
        <f t="shared" si="113"/>
        <v>Switzerland</v>
      </c>
      <c r="AO11" s="77">
        <f t="shared" si="114"/>
        <v>0</v>
      </c>
      <c r="AP11" s="78" t="str">
        <f t="shared" si="115"/>
        <v/>
      </c>
      <c r="AQ11" s="69"/>
      <c r="AR11" s="127"/>
      <c r="AS11" s="74" t="str">
        <f t="shared" si="116"/>
        <v>Hungary</v>
      </c>
      <c r="AT11" s="75"/>
      <c r="AU11" s="75"/>
      <c r="AV11" s="76" t="str">
        <f t="shared" si="117"/>
        <v>Switzerland</v>
      </c>
      <c r="AY11" s="77">
        <f t="shared" si="118"/>
        <v>0</v>
      </c>
      <c r="AZ11" s="78" t="str">
        <f t="shared" si="119"/>
        <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c r="BO11" s="75"/>
      <c r="BP11" s="76" t="str">
        <f t="shared" si="125"/>
        <v>Switzerland</v>
      </c>
      <c r="BS11" s="77">
        <f t="shared" si="126"/>
        <v>0</v>
      </c>
      <c r="BT11" s="78" t="str">
        <f t="shared" si="127"/>
        <v/>
      </c>
      <c r="BU11" s="69"/>
      <c r="BV11" s="127"/>
      <c r="BW11" s="74" t="str">
        <f t="shared" si="128"/>
        <v>Hungary</v>
      </c>
      <c r="BX11" s="75"/>
      <c r="BY11" s="75"/>
      <c r="BZ11" s="76" t="str">
        <f t="shared" si="129"/>
        <v>Switzerland</v>
      </c>
      <c r="CC11" s="77">
        <f t="shared" si="130"/>
        <v>0</v>
      </c>
      <c r="CD11" s="78" t="str">
        <f t="shared" si="131"/>
        <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98</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1</v>
      </c>
      <c r="Q12" s="331">
        <v>2</v>
      </c>
      <c r="R12" s="76" t="str">
        <f t="shared" si="105"/>
        <v>Croatia</v>
      </c>
      <c r="U12" s="77">
        <f t="shared" si="106"/>
        <v>0</v>
      </c>
      <c r="V12" s="78">
        <f t="shared" si="107"/>
        <v>0</v>
      </c>
      <c r="W12" s="69"/>
      <c r="X12" s="127"/>
      <c r="Y12" s="74" t="str">
        <f t="shared" si="108"/>
        <v>Spain</v>
      </c>
      <c r="Z12" s="333">
        <v>2</v>
      </c>
      <c r="AA12" s="334">
        <v>2</v>
      </c>
      <c r="AB12" s="76" t="str">
        <f t="shared" si="109"/>
        <v>Croatia</v>
      </c>
      <c r="AE12" s="77">
        <f t="shared" si="110"/>
        <v>0</v>
      </c>
      <c r="AF12" s="78">
        <f t="shared" si="111"/>
        <v>0</v>
      </c>
      <c r="AG12" s="69"/>
      <c r="AH12" s="127"/>
      <c r="AI12" s="74" t="str">
        <f t="shared" si="112"/>
        <v>Spain</v>
      </c>
      <c r="AJ12" s="75"/>
      <c r="AK12" s="75"/>
      <c r="AL12" s="76" t="str">
        <f t="shared" si="113"/>
        <v>Croatia</v>
      </c>
      <c r="AO12" s="77">
        <f t="shared" si="114"/>
        <v>0</v>
      </c>
      <c r="AP12" s="78" t="str">
        <f t="shared" si="115"/>
        <v/>
      </c>
      <c r="AQ12" s="69"/>
      <c r="AR12" s="127"/>
      <c r="AS12" s="74" t="str">
        <f t="shared" si="116"/>
        <v>Spain</v>
      </c>
      <c r="AT12" s="75"/>
      <c r="AU12" s="75"/>
      <c r="AV12" s="76" t="str">
        <f t="shared" si="117"/>
        <v>Croatia</v>
      </c>
      <c r="AY12" s="77">
        <f t="shared" si="118"/>
        <v>0</v>
      </c>
      <c r="AZ12" s="78" t="str">
        <f t="shared" si="119"/>
        <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c r="BO12" s="75"/>
      <c r="BP12" s="76" t="str">
        <f t="shared" si="125"/>
        <v>Croatia</v>
      </c>
      <c r="BS12" s="77">
        <f t="shared" si="126"/>
        <v>0</v>
      </c>
      <c r="BT12" s="78" t="str">
        <f t="shared" si="127"/>
        <v/>
      </c>
      <c r="BU12" s="69"/>
      <c r="BV12" s="127"/>
      <c r="BW12" s="74" t="str">
        <f t="shared" si="128"/>
        <v>Spain</v>
      </c>
      <c r="BX12" s="75"/>
      <c r="BY12" s="75"/>
      <c r="BZ12" s="76" t="str">
        <f t="shared" si="129"/>
        <v>Croatia</v>
      </c>
      <c r="CC12" s="77">
        <f t="shared" si="130"/>
        <v>0</v>
      </c>
      <c r="CD12" s="78" t="str">
        <f t="shared" si="131"/>
        <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98</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1</v>
      </c>
      <c r="Q13" s="331">
        <v>0</v>
      </c>
      <c r="R13" s="76" t="str">
        <f t="shared" si="105"/>
        <v>Albania</v>
      </c>
      <c r="U13" s="77">
        <f t="shared" si="106"/>
        <v>0</v>
      </c>
      <c r="V13" s="78">
        <f t="shared" si="107"/>
        <v>4</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c r="AK13" s="75"/>
      <c r="AL13" s="76" t="str">
        <f t="shared" si="113"/>
        <v>Albania</v>
      </c>
      <c r="AO13" s="77">
        <f t="shared" si="114"/>
        <v>0</v>
      </c>
      <c r="AP13" s="78" t="str">
        <f t="shared" si="115"/>
        <v/>
      </c>
      <c r="AQ13" s="69"/>
      <c r="AR13" s="127"/>
      <c r="AS13" s="74" t="str">
        <f t="shared" si="116"/>
        <v>Italy</v>
      </c>
      <c r="AT13" s="75"/>
      <c r="AU13" s="75"/>
      <c r="AV13" s="76" t="str">
        <f t="shared" si="117"/>
        <v>Albania</v>
      </c>
      <c r="AY13" s="77">
        <f t="shared" si="118"/>
        <v>0</v>
      </c>
      <c r="AZ13" s="78" t="str">
        <f t="shared" si="119"/>
        <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c r="BO13" s="75"/>
      <c r="BP13" s="76" t="str">
        <f t="shared" si="125"/>
        <v>Albania</v>
      </c>
      <c r="BS13" s="77">
        <f t="shared" si="126"/>
        <v>0</v>
      </c>
      <c r="BT13" s="78" t="str">
        <f t="shared" si="127"/>
        <v/>
      </c>
      <c r="BU13" s="69"/>
      <c r="BV13" s="127"/>
      <c r="BW13" s="74" t="str">
        <f t="shared" si="128"/>
        <v>Italy</v>
      </c>
      <c r="BX13" s="75"/>
      <c r="BY13" s="75"/>
      <c r="BZ13" s="76" t="str">
        <f t="shared" si="129"/>
        <v>Albania</v>
      </c>
      <c r="CC13" s="77">
        <f t="shared" si="130"/>
        <v>0</v>
      </c>
      <c r="CD13" s="78" t="str">
        <f t="shared" si="131"/>
        <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99</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0</v>
      </c>
      <c r="Q14" s="331">
        <v>1</v>
      </c>
      <c r="R14" s="76" t="str">
        <f t="shared" si="105"/>
        <v>England</v>
      </c>
      <c r="U14" s="77">
        <f t="shared" si="106"/>
        <v>1</v>
      </c>
      <c r="V14" s="78">
        <f t="shared" si="107"/>
        <v>6</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c r="AK14" s="75"/>
      <c r="AL14" s="76" t="str">
        <f t="shared" si="113"/>
        <v>England</v>
      </c>
      <c r="AO14" s="77">
        <f t="shared" si="114"/>
        <v>0</v>
      </c>
      <c r="AP14" s="78" t="str">
        <f t="shared" si="115"/>
        <v/>
      </c>
      <c r="AQ14" s="69"/>
      <c r="AR14" s="127"/>
      <c r="AS14" s="74" t="str">
        <f t="shared" si="116"/>
        <v>Serbia</v>
      </c>
      <c r="AT14" s="75"/>
      <c r="AU14" s="75"/>
      <c r="AV14" s="76" t="str">
        <f t="shared" si="117"/>
        <v>England</v>
      </c>
      <c r="AY14" s="77">
        <f t="shared" si="118"/>
        <v>0</v>
      </c>
      <c r="AZ14" s="78" t="str">
        <f t="shared" si="119"/>
        <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c r="BO14" s="75"/>
      <c r="BP14" s="76" t="str">
        <f t="shared" si="125"/>
        <v>England</v>
      </c>
      <c r="BS14" s="77">
        <f t="shared" si="126"/>
        <v>0</v>
      </c>
      <c r="BT14" s="78" t="str">
        <f t="shared" si="127"/>
        <v/>
      </c>
      <c r="BU14" s="69"/>
      <c r="BV14" s="127"/>
      <c r="BW14" s="74" t="str">
        <f t="shared" si="128"/>
        <v>Serbia</v>
      </c>
      <c r="BX14" s="75"/>
      <c r="BY14" s="75"/>
      <c r="BZ14" s="76" t="str">
        <f t="shared" si="129"/>
        <v>England</v>
      </c>
      <c r="CC14" s="77">
        <f t="shared" si="130"/>
        <v>0</v>
      </c>
      <c r="CD14" s="78" t="str">
        <f t="shared" si="131"/>
        <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99</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0</v>
      </c>
      <c r="Q15" s="331">
        <v>1</v>
      </c>
      <c r="R15" s="76" t="str">
        <f t="shared" si="105"/>
        <v>Denmark</v>
      </c>
      <c r="U15" s="77">
        <f t="shared" si="106"/>
        <v>0</v>
      </c>
      <c r="V15" s="78">
        <f t="shared" si="107"/>
        <v>0</v>
      </c>
      <c r="W15" s="69"/>
      <c r="X15" s="127"/>
      <c r="Y15" s="74" t="str">
        <f t="shared" si="108"/>
        <v>Slovenia</v>
      </c>
      <c r="Z15" s="333">
        <v>1</v>
      </c>
      <c r="AA15" s="334">
        <v>3</v>
      </c>
      <c r="AB15" s="76" t="str">
        <f t="shared" si="109"/>
        <v>Denmark</v>
      </c>
      <c r="AE15" s="77">
        <f t="shared" si="110"/>
        <v>0</v>
      </c>
      <c r="AF15" s="78">
        <f t="shared" si="111"/>
        <v>0</v>
      </c>
      <c r="AG15" s="69"/>
      <c r="AH15" s="127"/>
      <c r="AI15" s="74" t="str">
        <f t="shared" si="112"/>
        <v>Slovenia</v>
      </c>
      <c r="AJ15" s="75"/>
      <c r="AK15" s="75"/>
      <c r="AL15" s="76" t="str">
        <f t="shared" si="113"/>
        <v>Denmark</v>
      </c>
      <c r="AO15" s="77">
        <f t="shared" si="114"/>
        <v>0</v>
      </c>
      <c r="AP15" s="78" t="str">
        <f t="shared" si="115"/>
        <v/>
      </c>
      <c r="AQ15" s="69"/>
      <c r="AR15" s="127"/>
      <c r="AS15" s="74" t="str">
        <f t="shared" si="116"/>
        <v>Slovenia</v>
      </c>
      <c r="AT15" s="75"/>
      <c r="AU15" s="75"/>
      <c r="AV15" s="76" t="str">
        <f t="shared" si="117"/>
        <v>Denmark</v>
      </c>
      <c r="AY15" s="77">
        <f t="shared" si="118"/>
        <v>0</v>
      </c>
      <c r="AZ15" s="78" t="str">
        <f t="shared" si="119"/>
        <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c r="BO15" s="75"/>
      <c r="BP15" s="76" t="str">
        <f t="shared" si="125"/>
        <v>Denmark</v>
      </c>
      <c r="BS15" s="77">
        <f t="shared" si="126"/>
        <v>0</v>
      </c>
      <c r="BT15" s="78" t="str">
        <f t="shared" si="127"/>
        <v/>
      </c>
      <c r="BU15" s="69"/>
      <c r="BV15" s="127"/>
      <c r="BW15" s="74" t="str">
        <f t="shared" si="128"/>
        <v>Slovenia</v>
      </c>
      <c r="BX15" s="75"/>
      <c r="BY15" s="75"/>
      <c r="BZ15" s="76" t="str">
        <f t="shared" si="129"/>
        <v>Denmark</v>
      </c>
      <c r="CC15" s="77">
        <f t="shared" si="130"/>
        <v>0</v>
      </c>
      <c r="CD15" s="78" t="str">
        <f t="shared" si="131"/>
        <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100</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1</v>
      </c>
      <c r="Q16" s="331">
        <v>1</v>
      </c>
      <c r="R16" s="76" t="str">
        <f t="shared" si="105"/>
        <v>Netherlands</v>
      </c>
      <c r="U16" s="77">
        <f t="shared" si="106"/>
        <v>0</v>
      </c>
      <c r="V16" s="78">
        <f t="shared" si="107"/>
        <v>0</v>
      </c>
      <c r="W16" s="69"/>
      <c r="X16" s="127"/>
      <c r="Y16" s="74" t="str">
        <f t="shared" si="108"/>
        <v>Poland</v>
      </c>
      <c r="Z16" s="333">
        <v>1</v>
      </c>
      <c r="AA16" s="334">
        <v>2</v>
      </c>
      <c r="AB16" s="76" t="str">
        <f t="shared" si="109"/>
        <v>Netherlands</v>
      </c>
      <c r="AE16" s="77">
        <f t="shared" si="110"/>
        <v>1</v>
      </c>
      <c r="AF16" s="78">
        <f t="shared" si="111"/>
        <v>6</v>
      </c>
      <c r="AG16" s="69"/>
      <c r="AH16" s="127"/>
      <c r="AI16" s="74" t="str">
        <f t="shared" si="112"/>
        <v>Poland</v>
      </c>
      <c r="AJ16" s="75"/>
      <c r="AK16" s="75"/>
      <c r="AL16" s="76" t="str">
        <f t="shared" si="113"/>
        <v>Netherlands</v>
      </c>
      <c r="AO16" s="77">
        <f t="shared" si="114"/>
        <v>0</v>
      </c>
      <c r="AP16" s="78" t="str">
        <f t="shared" si="115"/>
        <v/>
      </c>
      <c r="AQ16" s="69"/>
      <c r="AR16" s="127"/>
      <c r="AS16" s="74" t="str">
        <f t="shared" si="116"/>
        <v>Poland</v>
      </c>
      <c r="AT16" s="75"/>
      <c r="AU16" s="75"/>
      <c r="AV16" s="76" t="str">
        <f t="shared" si="117"/>
        <v>Netherlands</v>
      </c>
      <c r="AY16" s="77">
        <f t="shared" si="118"/>
        <v>0</v>
      </c>
      <c r="AZ16" s="78" t="str">
        <f t="shared" si="119"/>
        <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c r="BO16" s="75"/>
      <c r="BP16" s="76" t="str">
        <f t="shared" si="125"/>
        <v>Netherlands</v>
      </c>
      <c r="BS16" s="77">
        <f t="shared" si="126"/>
        <v>0</v>
      </c>
      <c r="BT16" s="78" t="str">
        <f t="shared" si="127"/>
        <v/>
      </c>
      <c r="BU16" s="69"/>
      <c r="BV16" s="127"/>
      <c r="BW16" s="74" t="str">
        <f t="shared" si="128"/>
        <v>Poland</v>
      </c>
      <c r="BX16" s="75"/>
      <c r="BY16" s="75"/>
      <c r="BZ16" s="76" t="str">
        <f t="shared" si="129"/>
        <v>Netherlands</v>
      </c>
      <c r="CC16" s="77">
        <f t="shared" si="130"/>
        <v>0</v>
      </c>
      <c r="CD16" s="78" t="str">
        <f t="shared" si="131"/>
        <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100</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0</v>
      </c>
      <c r="Q17" s="331">
        <v>2</v>
      </c>
      <c r="R17" s="76" t="str">
        <f t="shared" si="105"/>
        <v>France</v>
      </c>
      <c r="U17" s="77">
        <f t="shared" si="106"/>
        <v>0</v>
      </c>
      <c r="V17" s="78">
        <f t="shared" si="107"/>
        <v>2</v>
      </c>
      <c r="W17" s="69"/>
      <c r="X17" s="127"/>
      <c r="Y17" s="74" t="str">
        <f t="shared" si="108"/>
        <v>Austria</v>
      </c>
      <c r="Z17" s="333">
        <v>2</v>
      </c>
      <c r="AA17" s="334">
        <v>3</v>
      </c>
      <c r="AB17" s="76" t="str">
        <f t="shared" si="109"/>
        <v>France</v>
      </c>
      <c r="AE17" s="77">
        <f t="shared" si="110"/>
        <v>0</v>
      </c>
      <c r="AF17" s="78">
        <f t="shared" si="111"/>
        <v>4</v>
      </c>
      <c r="AG17" s="69"/>
      <c r="AH17" s="127"/>
      <c r="AI17" s="74" t="str">
        <f t="shared" si="112"/>
        <v>Austria</v>
      </c>
      <c r="AJ17" s="75"/>
      <c r="AK17" s="75"/>
      <c r="AL17" s="76" t="str">
        <f t="shared" si="113"/>
        <v>France</v>
      </c>
      <c r="AO17" s="77">
        <f t="shared" si="114"/>
        <v>0</v>
      </c>
      <c r="AP17" s="78" t="str">
        <f t="shared" si="115"/>
        <v/>
      </c>
      <c r="AQ17" s="69"/>
      <c r="AR17" s="127"/>
      <c r="AS17" s="74" t="str">
        <f t="shared" si="116"/>
        <v>Austria</v>
      </c>
      <c r="AT17" s="75"/>
      <c r="AU17" s="75"/>
      <c r="AV17" s="76" t="str">
        <f t="shared" si="117"/>
        <v>France</v>
      </c>
      <c r="AY17" s="77">
        <f t="shared" si="118"/>
        <v>0</v>
      </c>
      <c r="AZ17" s="78" t="str">
        <f t="shared" si="119"/>
        <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c r="BO17" s="75"/>
      <c r="BP17" s="76" t="str">
        <f t="shared" si="125"/>
        <v>France</v>
      </c>
      <c r="BS17" s="77">
        <f t="shared" si="126"/>
        <v>0</v>
      </c>
      <c r="BT17" s="78" t="str">
        <f t="shared" si="127"/>
        <v/>
      </c>
      <c r="BU17" s="69"/>
      <c r="BV17" s="127"/>
      <c r="BW17" s="74" t="str">
        <f t="shared" si="128"/>
        <v>Austria</v>
      </c>
      <c r="BX17" s="75"/>
      <c r="BY17" s="75"/>
      <c r="BZ17" s="76" t="str">
        <f t="shared" si="129"/>
        <v>France</v>
      </c>
      <c r="CC17" s="77">
        <f t="shared" si="130"/>
        <v>0</v>
      </c>
      <c r="CD17" s="78" t="str">
        <f t="shared" si="131"/>
        <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101</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1</v>
      </c>
      <c r="Q18" s="331">
        <v>0</v>
      </c>
      <c r="R18" s="76" t="str">
        <f t="shared" si="105"/>
        <v>Slovakia</v>
      </c>
      <c r="U18" s="77">
        <f t="shared" si="106"/>
        <v>0</v>
      </c>
      <c r="V18" s="78">
        <f t="shared" si="107"/>
        <v>0</v>
      </c>
      <c r="W18" s="69"/>
      <c r="X18" s="127"/>
      <c r="Y18" s="74" t="str">
        <f t="shared" si="108"/>
        <v>Belgium</v>
      </c>
      <c r="Z18" s="333">
        <v>1</v>
      </c>
      <c r="AA18" s="334">
        <v>0</v>
      </c>
      <c r="AB18" s="76" t="str">
        <f t="shared" si="109"/>
        <v>Slovakia</v>
      </c>
      <c r="AE18" s="77">
        <f t="shared" si="110"/>
        <v>0</v>
      </c>
      <c r="AF18" s="78">
        <f t="shared" si="111"/>
        <v>0</v>
      </c>
      <c r="AG18" s="69"/>
      <c r="AH18" s="127"/>
      <c r="AI18" s="74" t="str">
        <f t="shared" si="112"/>
        <v>Belgium</v>
      </c>
      <c r="AJ18" s="75"/>
      <c r="AK18" s="75"/>
      <c r="AL18" s="76" t="str">
        <f t="shared" si="113"/>
        <v>Slovakia</v>
      </c>
      <c r="AO18" s="77">
        <f t="shared" si="114"/>
        <v>0</v>
      </c>
      <c r="AP18" s="78" t="str">
        <f t="shared" si="115"/>
        <v/>
      </c>
      <c r="AQ18" s="69"/>
      <c r="AR18" s="127"/>
      <c r="AS18" s="74" t="str">
        <f t="shared" si="116"/>
        <v>Belgium</v>
      </c>
      <c r="AT18" s="75"/>
      <c r="AU18" s="75"/>
      <c r="AV18" s="76" t="str">
        <f t="shared" si="117"/>
        <v>Slovakia</v>
      </c>
      <c r="AY18" s="77">
        <f t="shared" si="118"/>
        <v>0</v>
      </c>
      <c r="AZ18" s="78" t="str">
        <f t="shared" si="119"/>
        <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c r="BO18" s="75"/>
      <c r="BP18" s="76" t="str">
        <f t="shared" si="125"/>
        <v>Slovakia</v>
      </c>
      <c r="BS18" s="77">
        <f t="shared" si="126"/>
        <v>0</v>
      </c>
      <c r="BT18" s="78" t="str">
        <f t="shared" si="127"/>
        <v/>
      </c>
      <c r="BU18" s="69"/>
      <c r="BV18" s="127"/>
      <c r="BW18" s="74" t="str">
        <f t="shared" si="128"/>
        <v>Belgium</v>
      </c>
      <c r="BX18" s="75"/>
      <c r="BY18" s="75"/>
      <c r="BZ18" s="76" t="str">
        <f t="shared" si="129"/>
        <v>Slovakia</v>
      </c>
      <c r="CC18" s="77">
        <f t="shared" si="130"/>
        <v>0</v>
      </c>
      <c r="CD18" s="78" t="str">
        <f t="shared" si="131"/>
        <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101</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0</v>
      </c>
      <c r="Q19" s="331">
        <v>0</v>
      </c>
      <c r="R19" s="76" t="str">
        <f t="shared" si="105"/>
        <v>Ukraine</v>
      </c>
      <c r="U19" s="77">
        <f t="shared" si="106"/>
        <v>0</v>
      </c>
      <c r="V19" s="78">
        <f t="shared" si="107"/>
        <v>0</v>
      </c>
      <c r="W19" s="69"/>
      <c r="X19" s="127"/>
      <c r="Y19" s="74" t="str">
        <f t="shared" si="108"/>
        <v>Romania</v>
      </c>
      <c r="Z19" s="333">
        <v>0</v>
      </c>
      <c r="AA19" s="334">
        <v>1</v>
      </c>
      <c r="AB19" s="76" t="str">
        <f t="shared" si="109"/>
        <v>Ukraine</v>
      </c>
      <c r="AE19" s="77">
        <f t="shared" si="110"/>
        <v>0</v>
      </c>
      <c r="AF19" s="78">
        <f t="shared" si="111"/>
        <v>0</v>
      </c>
      <c r="AG19" s="69"/>
      <c r="AH19" s="127"/>
      <c r="AI19" s="74" t="str">
        <f t="shared" si="112"/>
        <v>Romania</v>
      </c>
      <c r="AJ19" s="75"/>
      <c r="AK19" s="75"/>
      <c r="AL19" s="76" t="str">
        <f t="shared" si="113"/>
        <v>Ukraine</v>
      </c>
      <c r="AO19" s="77">
        <f t="shared" si="114"/>
        <v>0</v>
      </c>
      <c r="AP19" s="78" t="str">
        <f t="shared" si="115"/>
        <v/>
      </c>
      <c r="AQ19" s="69"/>
      <c r="AR19" s="127"/>
      <c r="AS19" s="74" t="str">
        <f t="shared" si="116"/>
        <v>Romania</v>
      </c>
      <c r="AT19" s="75"/>
      <c r="AU19" s="75"/>
      <c r="AV19" s="76" t="str">
        <f t="shared" si="117"/>
        <v>Ukraine</v>
      </c>
      <c r="AY19" s="77">
        <f t="shared" si="118"/>
        <v>0</v>
      </c>
      <c r="AZ19" s="78" t="str">
        <f t="shared" si="119"/>
        <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c r="BO19" s="75"/>
      <c r="BP19" s="76" t="str">
        <f t="shared" si="125"/>
        <v>Ukraine</v>
      </c>
      <c r="BS19" s="77">
        <f t="shared" si="126"/>
        <v>0</v>
      </c>
      <c r="BT19" s="78" t="str">
        <f t="shared" si="127"/>
        <v/>
      </c>
      <c r="BU19" s="69"/>
      <c r="BV19" s="127"/>
      <c r="BW19" s="74" t="str">
        <f t="shared" si="128"/>
        <v>Romania</v>
      </c>
      <c r="BX19" s="75"/>
      <c r="BY19" s="75"/>
      <c r="BZ19" s="76" t="str">
        <f t="shared" si="129"/>
        <v>Ukraine</v>
      </c>
      <c r="CC19" s="77">
        <f t="shared" si="130"/>
        <v>0</v>
      </c>
      <c r="CD19" s="78" t="str">
        <f t="shared" si="131"/>
        <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102</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1</v>
      </c>
      <c r="Q20" s="331">
        <v>0</v>
      </c>
      <c r="R20" s="76" t="str">
        <f t="shared" si="105"/>
        <v>Georgia</v>
      </c>
      <c r="U20" s="77">
        <f t="shared" si="106"/>
        <v>0</v>
      </c>
      <c r="V20" s="78">
        <f t="shared" si="107"/>
        <v>2</v>
      </c>
      <c r="W20" s="69"/>
      <c r="X20" s="127"/>
      <c r="Y20" s="74" t="str">
        <f t="shared" si="108"/>
        <v>Türkiye</v>
      </c>
      <c r="Z20" s="333">
        <v>2</v>
      </c>
      <c r="AA20" s="334">
        <v>1</v>
      </c>
      <c r="AB20" s="76" t="str">
        <f t="shared" si="109"/>
        <v>Georgia</v>
      </c>
      <c r="AE20" s="77">
        <f t="shared" si="110"/>
        <v>0</v>
      </c>
      <c r="AF20" s="78">
        <f t="shared" si="111"/>
        <v>2</v>
      </c>
      <c r="AG20" s="69"/>
      <c r="AH20" s="127"/>
      <c r="AI20" s="74" t="str">
        <f t="shared" si="112"/>
        <v>Türkiye</v>
      </c>
      <c r="AJ20" s="75"/>
      <c r="AK20" s="75"/>
      <c r="AL20" s="76" t="str">
        <f t="shared" si="113"/>
        <v>Georgia</v>
      </c>
      <c r="AO20" s="77">
        <f t="shared" si="114"/>
        <v>0</v>
      </c>
      <c r="AP20" s="78" t="str">
        <f t="shared" si="115"/>
        <v/>
      </c>
      <c r="AQ20" s="69"/>
      <c r="AR20" s="127"/>
      <c r="AS20" s="74" t="str">
        <f t="shared" si="116"/>
        <v>Türkiye</v>
      </c>
      <c r="AT20" s="75"/>
      <c r="AU20" s="75"/>
      <c r="AV20" s="76" t="str">
        <f t="shared" si="117"/>
        <v>Georgia</v>
      </c>
      <c r="AY20" s="77">
        <f t="shared" si="118"/>
        <v>0</v>
      </c>
      <c r="AZ20" s="78" t="str">
        <f t="shared" si="119"/>
        <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c r="BO20" s="75"/>
      <c r="BP20" s="76" t="str">
        <f t="shared" si="125"/>
        <v>Georgia</v>
      </c>
      <c r="BS20" s="77">
        <f t="shared" si="126"/>
        <v>0</v>
      </c>
      <c r="BT20" s="78" t="str">
        <f t="shared" si="127"/>
        <v/>
      </c>
      <c r="BU20" s="69"/>
      <c r="BV20" s="127"/>
      <c r="BW20" s="74" t="str">
        <f t="shared" si="128"/>
        <v>Türkiye</v>
      </c>
      <c r="BX20" s="75"/>
      <c r="BY20" s="75"/>
      <c r="BZ20" s="76" t="str">
        <f t="shared" si="129"/>
        <v>Georgia</v>
      </c>
      <c r="CC20" s="77">
        <f t="shared" si="130"/>
        <v>0</v>
      </c>
      <c r="CD20" s="78" t="str">
        <f t="shared" si="131"/>
        <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102</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0</v>
      </c>
      <c r="R21" s="76" t="str">
        <f t="shared" si="105"/>
        <v>Czechia</v>
      </c>
      <c r="U21" s="77">
        <f t="shared" si="106"/>
        <v>0</v>
      </c>
      <c r="V21" s="78">
        <f t="shared" si="107"/>
        <v>2</v>
      </c>
      <c r="W21" s="69"/>
      <c r="X21" s="127"/>
      <c r="Y21" s="74" t="str">
        <f t="shared" si="108"/>
        <v>Portugal</v>
      </c>
      <c r="Z21" s="333">
        <v>2</v>
      </c>
      <c r="AA21" s="334">
        <v>2</v>
      </c>
      <c r="AB21" s="76" t="str">
        <f t="shared" si="109"/>
        <v>Czechia</v>
      </c>
      <c r="AE21" s="77">
        <f t="shared" si="110"/>
        <v>0</v>
      </c>
      <c r="AF21" s="78">
        <f t="shared" si="111"/>
        <v>0</v>
      </c>
      <c r="AG21" s="69"/>
      <c r="AH21" s="127"/>
      <c r="AI21" s="74" t="str">
        <f t="shared" si="112"/>
        <v>Portugal</v>
      </c>
      <c r="AJ21" s="75"/>
      <c r="AK21" s="75"/>
      <c r="AL21" s="76" t="str">
        <f t="shared" si="113"/>
        <v>Czechia</v>
      </c>
      <c r="AO21" s="77">
        <f t="shared" si="114"/>
        <v>0</v>
      </c>
      <c r="AP21" s="78" t="str">
        <f t="shared" si="115"/>
        <v/>
      </c>
      <c r="AQ21" s="69"/>
      <c r="AR21" s="127"/>
      <c r="AS21" s="74" t="str">
        <f t="shared" si="116"/>
        <v>Portugal</v>
      </c>
      <c r="AT21" s="75"/>
      <c r="AU21" s="75"/>
      <c r="AV21" s="76" t="str">
        <f t="shared" si="117"/>
        <v>Czechia</v>
      </c>
      <c r="AY21" s="77">
        <f t="shared" si="118"/>
        <v>0</v>
      </c>
      <c r="AZ21" s="78" t="str">
        <f t="shared" si="119"/>
        <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c r="BO21" s="75"/>
      <c r="BP21" s="76" t="str">
        <f t="shared" si="125"/>
        <v>Czechia</v>
      </c>
      <c r="BS21" s="77">
        <f t="shared" si="126"/>
        <v>0</v>
      </c>
      <c r="BT21" s="78" t="str">
        <f t="shared" si="127"/>
        <v/>
      </c>
      <c r="BU21" s="69"/>
      <c r="BV21" s="127"/>
      <c r="BW21" s="74" t="str">
        <f t="shared" si="128"/>
        <v>Portugal</v>
      </c>
      <c r="BX21" s="75"/>
      <c r="BY21" s="75"/>
      <c r="BZ21" s="76" t="str">
        <f t="shared" si="129"/>
        <v>Czechia</v>
      </c>
      <c r="CC21" s="77">
        <f t="shared" si="130"/>
        <v>0</v>
      </c>
      <c r="CD21" s="78" t="str">
        <f t="shared" si="131"/>
        <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97</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1</v>
      </c>
      <c r="R22" s="76" t="str">
        <f t="shared" si="105"/>
        <v>Switzerland</v>
      </c>
      <c r="U22" s="77">
        <f t="shared" si="106"/>
        <v>0</v>
      </c>
      <c r="V22" s="78">
        <f t="shared" si="107"/>
        <v>0</v>
      </c>
      <c r="W22" s="69"/>
      <c r="X22" s="127"/>
      <c r="Y22" s="74" t="str">
        <f t="shared" si="108"/>
        <v>Scotland</v>
      </c>
      <c r="Z22" s="333">
        <v>0</v>
      </c>
      <c r="AA22" s="334">
        <v>1</v>
      </c>
      <c r="AB22" s="76" t="str">
        <f t="shared" si="109"/>
        <v>Switzerland</v>
      </c>
      <c r="AE22" s="77">
        <f t="shared" si="110"/>
        <v>0</v>
      </c>
      <c r="AF22" s="78">
        <f t="shared" si="111"/>
        <v>0</v>
      </c>
      <c r="AG22" s="69"/>
      <c r="AH22" s="127"/>
      <c r="AI22" s="74" t="str">
        <f t="shared" si="112"/>
        <v>Scotland</v>
      </c>
      <c r="AJ22" s="75"/>
      <c r="AK22" s="75"/>
      <c r="AL22" s="76" t="str">
        <f t="shared" si="113"/>
        <v>Switzerland</v>
      </c>
      <c r="AO22" s="77">
        <f t="shared" si="114"/>
        <v>0</v>
      </c>
      <c r="AP22" s="78" t="str">
        <f t="shared" si="115"/>
        <v/>
      </c>
      <c r="AQ22" s="69"/>
      <c r="AR22" s="127"/>
      <c r="AS22" s="74" t="str">
        <f t="shared" si="116"/>
        <v>Scotland</v>
      </c>
      <c r="AT22" s="75"/>
      <c r="AU22" s="75"/>
      <c r="AV22" s="76" t="str">
        <f t="shared" si="117"/>
        <v>Switzerland</v>
      </c>
      <c r="AY22" s="77">
        <f t="shared" si="118"/>
        <v>0</v>
      </c>
      <c r="AZ22" s="78" t="str">
        <f t="shared" si="119"/>
        <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c r="BO22" s="75"/>
      <c r="BP22" s="76" t="str">
        <f t="shared" si="125"/>
        <v>Switzerland</v>
      </c>
      <c r="BS22" s="77">
        <f t="shared" si="126"/>
        <v>0</v>
      </c>
      <c r="BT22" s="78" t="str">
        <f t="shared" si="127"/>
        <v/>
      </c>
      <c r="BU22" s="69"/>
      <c r="BV22" s="127"/>
      <c r="BW22" s="74" t="str">
        <f t="shared" si="128"/>
        <v>Scotland</v>
      </c>
      <c r="BX22" s="75"/>
      <c r="BY22" s="75"/>
      <c r="BZ22" s="76" t="str">
        <f t="shared" si="129"/>
        <v>Switzerland</v>
      </c>
      <c r="CC22" s="77">
        <f t="shared" si="130"/>
        <v>0</v>
      </c>
      <c r="CD22" s="78" t="str">
        <f t="shared" si="131"/>
        <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97</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2</v>
      </c>
      <c r="Q23" s="331">
        <v>0</v>
      </c>
      <c r="R23" s="76" t="str">
        <f t="shared" si="105"/>
        <v>Hungary</v>
      </c>
      <c r="U23" s="77">
        <f t="shared" si="106"/>
        <v>1</v>
      </c>
      <c r="V23" s="78">
        <f t="shared" si="107"/>
        <v>6</v>
      </c>
      <c r="W23" s="69"/>
      <c r="X23" s="127"/>
      <c r="Y23" s="74" t="str">
        <f t="shared" si="108"/>
        <v>Germany</v>
      </c>
      <c r="Z23" s="333">
        <v>0</v>
      </c>
      <c r="AA23" s="334">
        <v>1</v>
      </c>
      <c r="AB23" s="76" t="str">
        <f t="shared" si="109"/>
        <v>Hungary</v>
      </c>
      <c r="AE23" s="77">
        <f t="shared" si="110"/>
        <v>0</v>
      </c>
      <c r="AF23" s="78">
        <f t="shared" si="111"/>
        <v>0</v>
      </c>
      <c r="AG23" s="69"/>
      <c r="AH23" s="127"/>
      <c r="AI23" s="74" t="str">
        <f t="shared" si="112"/>
        <v>Germany</v>
      </c>
      <c r="AJ23" s="75"/>
      <c r="AK23" s="75"/>
      <c r="AL23" s="76" t="str">
        <f t="shared" si="113"/>
        <v>Hungary</v>
      </c>
      <c r="AO23" s="77">
        <f t="shared" si="114"/>
        <v>0</v>
      </c>
      <c r="AP23" s="78" t="str">
        <f t="shared" si="115"/>
        <v/>
      </c>
      <c r="AQ23" s="69"/>
      <c r="AR23" s="127"/>
      <c r="AS23" s="74" t="str">
        <f t="shared" si="116"/>
        <v>Germany</v>
      </c>
      <c r="AT23" s="75"/>
      <c r="AU23" s="75"/>
      <c r="AV23" s="76" t="str">
        <f t="shared" si="117"/>
        <v>Hungary</v>
      </c>
      <c r="AY23" s="77">
        <f t="shared" si="118"/>
        <v>0</v>
      </c>
      <c r="AZ23" s="78" t="str">
        <f t="shared" si="119"/>
        <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c r="BO23" s="75"/>
      <c r="BP23" s="76" t="str">
        <f t="shared" si="125"/>
        <v>Hungary</v>
      </c>
      <c r="BS23" s="77">
        <f t="shared" si="126"/>
        <v>0</v>
      </c>
      <c r="BT23" s="78" t="str">
        <f t="shared" si="127"/>
        <v/>
      </c>
      <c r="BU23" s="69"/>
      <c r="BV23" s="127"/>
      <c r="BW23" s="74" t="str">
        <f t="shared" si="128"/>
        <v>Germany</v>
      </c>
      <c r="BX23" s="75"/>
      <c r="BY23" s="75"/>
      <c r="BZ23" s="76" t="str">
        <f t="shared" si="129"/>
        <v>Hungary</v>
      </c>
      <c r="CC23" s="77">
        <f t="shared" si="130"/>
        <v>0</v>
      </c>
      <c r="CD23" s="78" t="str">
        <f t="shared" si="131"/>
        <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98</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3</v>
      </c>
      <c r="Q24" s="331">
        <v>0</v>
      </c>
      <c r="R24" s="76" t="str">
        <f t="shared" si="105"/>
        <v>Albania</v>
      </c>
      <c r="U24" s="77">
        <f t="shared" si="106"/>
        <v>0</v>
      </c>
      <c r="V24" s="78">
        <f t="shared" si="107"/>
        <v>0</v>
      </c>
      <c r="W24" s="69"/>
      <c r="X24" s="127"/>
      <c r="Y24" s="74" t="str">
        <f t="shared" si="108"/>
        <v>Croatia</v>
      </c>
      <c r="Z24" s="333">
        <v>3</v>
      </c>
      <c r="AA24" s="334">
        <v>1</v>
      </c>
      <c r="AB24" s="76" t="str">
        <f t="shared" si="109"/>
        <v>Albania</v>
      </c>
      <c r="AE24" s="77">
        <f t="shared" si="110"/>
        <v>0</v>
      </c>
      <c r="AF24" s="78">
        <f t="shared" si="111"/>
        <v>0</v>
      </c>
      <c r="AG24" s="69"/>
      <c r="AH24" s="127"/>
      <c r="AI24" s="74" t="str">
        <f t="shared" si="112"/>
        <v>Croatia</v>
      </c>
      <c r="AJ24" s="75"/>
      <c r="AK24" s="75"/>
      <c r="AL24" s="76" t="str">
        <f t="shared" si="113"/>
        <v>Albania</v>
      </c>
      <c r="AO24" s="77">
        <f t="shared" si="114"/>
        <v>0</v>
      </c>
      <c r="AP24" s="78" t="str">
        <f t="shared" si="115"/>
        <v/>
      </c>
      <c r="AQ24" s="69"/>
      <c r="AR24" s="127"/>
      <c r="AS24" s="74" t="str">
        <f t="shared" si="116"/>
        <v>Croatia</v>
      </c>
      <c r="AT24" s="75"/>
      <c r="AU24" s="75"/>
      <c r="AV24" s="76" t="str">
        <f t="shared" si="117"/>
        <v>Albania</v>
      </c>
      <c r="AY24" s="77">
        <f t="shared" si="118"/>
        <v>0</v>
      </c>
      <c r="AZ24" s="78" t="str">
        <f t="shared" si="119"/>
        <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c r="BO24" s="75"/>
      <c r="BP24" s="76" t="str">
        <f t="shared" si="125"/>
        <v>Albania</v>
      </c>
      <c r="BS24" s="77">
        <f t="shared" si="126"/>
        <v>0</v>
      </c>
      <c r="BT24" s="78" t="str">
        <f t="shared" si="127"/>
        <v/>
      </c>
      <c r="BU24" s="69"/>
      <c r="BV24" s="127"/>
      <c r="BW24" s="74" t="str">
        <f t="shared" si="128"/>
        <v>Croatia</v>
      </c>
      <c r="BX24" s="75"/>
      <c r="BY24" s="75"/>
      <c r="BZ24" s="76" t="str">
        <f t="shared" si="129"/>
        <v>Albania</v>
      </c>
      <c r="CC24" s="77">
        <f t="shared" si="130"/>
        <v>0</v>
      </c>
      <c r="CD24" s="78" t="str">
        <f t="shared" si="131"/>
        <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98</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1</v>
      </c>
      <c r="AA25" s="334">
        <v>1</v>
      </c>
      <c r="AB25" s="76" t="str">
        <f t="shared" si="109"/>
        <v>Italy</v>
      </c>
      <c r="AE25" s="77">
        <f t="shared" si="110"/>
        <v>0</v>
      </c>
      <c r="AF25" s="78">
        <f t="shared" si="111"/>
        <v>0</v>
      </c>
      <c r="AG25" s="69"/>
      <c r="AH25" s="127"/>
      <c r="AI25" s="74" t="str">
        <f t="shared" si="112"/>
        <v>Spain</v>
      </c>
      <c r="AJ25" s="75"/>
      <c r="AK25" s="75"/>
      <c r="AL25" s="76" t="str">
        <f t="shared" si="113"/>
        <v>Italy</v>
      </c>
      <c r="AO25" s="77">
        <f t="shared" si="114"/>
        <v>0</v>
      </c>
      <c r="AP25" s="78" t="str">
        <f t="shared" si="115"/>
        <v/>
      </c>
      <c r="AQ25" s="69"/>
      <c r="AR25" s="127"/>
      <c r="AS25" s="74" t="str">
        <f t="shared" si="116"/>
        <v>Spain</v>
      </c>
      <c r="AT25" s="75"/>
      <c r="AU25" s="75"/>
      <c r="AV25" s="76" t="str">
        <f t="shared" si="117"/>
        <v>Italy</v>
      </c>
      <c r="AY25" s="77">
        <f t="shared" si="118"/>
        <v>0</v>
      </c>
      <c r="AZ25" s="78" t="str">
        <f t="shared" si="119"/>
        <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c r="BO25" s="75"/>
      <c r="BP25" s="76" t="str">
        <f t="shared" si="125"/>
        <v>Italy</v>
      </c>
      <c r="BS25" s="77">
        <f t="shared" si="126"/>
        <v>0</v>
      </c>
      <c r="BT25" s="78" t="str">
        <f t="shared" si="127"/>
        <v/>
      </c>
      <c r="BU25" s="69"/>
      <c r="BV25" s="127"/>
      <c r="BW25" s="74" t="str">
        <f t="shared" si="128"/>
        <v>Spain</v>
      </c>
      <c r="BX25" s="75"/>
      <c r="BY25" s="75"/>
      <c r="BZ25" s="76" t="str">
        <f t="shared" si="129"/>
        <v>Italy</v>
      </c>
      <c r="CC25" s="77">
        <f t="shared" si="130"/>
        <v>0</v>
      </c>
      <c r="CD25" s="78" t="str">
        <f t="shared" si="131"/>
        <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99</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1</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c r="AK26" s="75"/>
      <c r="AL26" s="76" t="str">
        <f t="shared" si="113"/>
        <v>England</v>
      </c>
      <c r="AO26" s="77">
        <f t="shared" si="114"/>
        <v>0</v>
      </c>
      <c r="AP26" s="78" t="str">
        <f t="shared" si="115"/>
        <v/>
      </c>
      <c r="AQ26" s="69"/>
      <c r="AR26" s="127"/>
      <c r="AS26" s="74" t="str">
        <f t="shared" si="116"/>
        <v>Denmark</v>
      </c>
      <c r="AT26" s="75"/>
      <c r="AU26" s="75"/>
      <c r="AV26" s="76" t="str">
        <f t="shared" si="117"/>
        <v>England</v>
      </c>
      <c r="AY26" s="77">
        <f t="shared" si="118"/>
        <v>0</v>
      </c>
      <c r="AZ26" s="78" t="str">
        <f t="shared" si="119"/>
        <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c r="BO26" s="75"/>
      <c r="BP26" s="76" t="str">
        <f t="shared" si="125"/>
        <v>England</v>
      </c>
      <c r="BS26" s="77">
        <f t="shared" si="126"/>
        <v>0</v>
      </c>
      <c r="BT26" s="78" t="str">
        <f t="shared" si="127"/>
        <v/>
      </c>
      <c r="BU26" s="69"/>
      <c r="BV26" s="127"/>
      <c r="BW26" s="74" t="str">
        <f t="shared" si="128"/>
        <v>Denmark</v>
      </c>
      <c r="BX26" s="75"/>
      <c r="BY26" s="75"/>
      <c r="BZ26" s="76" t="str">
        <f t="shared" si="129"/>
        <v>England</v>
      </c>
      <c r="CC26" s="77">
        <f t="shared" si="130"/>
        <v>0</v>
      </c>
      <c r="CD26" s="78" t="str">
        <f t="shared" si="131"/>
        <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99</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4</v>
      </c>
      <c r="R27" s="76" t="str">
        <f t="shared" si="105"/>
        <v>Serbia</v>
      </c>
      <c r="U27" s="77">
        <f t="shared" si="106"/>
        <v>0</v>
      </c>
      <c r="V27" s="78">
        <f t="shared" si="107"/>
        <v>0</v>
      </c>
      <c r="W27" s="69"/>
      <c r="X27" s="127"/>
      <c r="Y27" s="74" t="str">
        <f t="shared" si="108"/>
        <v>Slovenia</v>
      </c>
      <c r="Z27" s="333">
        <v>0</v>
      </c>
      <c r="AA27" s="334">
        <v>0</v>
      </c>
      <c r="AB27" s="76" t="str">
        <f t="shared" si="109"/>
        <v>Serbia</v>
      </c>
      <c r="AE27" s="77">
        <f t="shared" si="110"/>
        <v>0</v>
      </c>
      <c r="AF27" s="78">
        <f t="shared" si="111"/>
        <v>4</v>
      </c>
      <c r="AG27" s="69"/>
      <c r="AH27" s="127"/>
      <c r="AI27" s="74" t="str">
        <f t="shared" si="112"/>
        <v>Slovenia</v>
      </c>
      <c r="AJ27" s="75"/>
      <c r="AK27" s="75"/>
      <c r="AL27" s="76" t="str">
        <f t="shared" si="113"/>
        <v>Serbia</v>
      </c>
      <c r="AO27" s="77">
        <f t="shared" si="114"/>
        <v>0</v>
      </c>
      <c r="AP27" s="78" t="str">
        <f t="shared" si="115"/>
        <v/>
      </c>
      <c r="AQ27" s="69"/>
      <c r="AR27" s="127"/>
      <c r="AS27" s="74" t="str">
        <f t="shared" si="116"/>
        <v>Slovenia</v>
      </c>
      <c r="AT27" s="75"/>
      <c r="AU27" s="75"/>
      <c r="AV27" s="76" t="str">
        <f t="shared" si="117"/>
        <v>Serbia</v>
      </c>
      <c r="AY27" s="77">
        <f t="shared" si="118"/>
        <v>0</v>
      </c>
      <c r="AZ27" s="78" t="str">
        <f t="shared" si="119"/>
        <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c r="BO27" s="75"/>
      <c r="BP27" s="76" t="str">
        <f t="shared" si="125"/>
        <v>Serbia</v>
      </c>
      <c r="BS27" s="77">
        <f t="shared" si="126"/>
        <v>0</v>
      </c>
      <c r="BT27" s="78" t="str">
        <f t="shared" si="127"/>
        <v/>
      </c>
      <c r="BU27" s="69"/>
      <c r="BV27" s="127"/>
      <c r="BW27" s="74" t="str">
        <f t="shared" si="128"/>
        <v>Slovenia</v>
      </c>
      <c r="BX27" s="75"/>
      <c r="BY27" s="75"/>
      <c r="BZ27" s="76" t="str">
        <f t="shared" si="129"/>
        <v>Serbia</v>
      </c>
      <c r="CC27" s="77">
        <f t="shared" si="130"/>
        <v>0</v>
      </c>
      <c r="CD27" s="78" t="str">
        <f t="shared" si="131"/>
        <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100</v>
      </c>
      <c r="E28" s="157">
        <f t="shared" si="144"/>
        <v>45464.75</v>
      </c>
      <c r="F28" s="158">
        <v>45464.75</v>
      </c>
      <c r="G28" s="72" t="str">
        <f>Matches!G26</f>
        <v>Poland</v>
      </c>
      <c r="H28" s="75">
        <v>1</v>
      </c>
      <c r="I28" s="75">
        <v>3</v>
      </c>
      <c r="J28" s="73" t="str">
        <f>Matches!J26</f>
        <v>Austria</v>
      </c>
      <c r="K28" s="55"/>
      <c r="L28" s="55"/>
      <c r="M28" s="67"/>
      <c r="N28" s="127"/>
      <c r="O28" s="74" t="str">
        <f t="shared" si="104"/>
        <v>Poland</v>
      </c>
      <c r="P28" s="331">
        <v>1</v>
      </c>
      <c r="Q28" s="331">
        <v>1</v>
      </c>
      <c r="R28" s="76" t="str">
        <f t="shared" si="105"/>
        <v>Austria</v>
      </c>
      <c r="U28" s="77">
        <f t="shared" si="106"/>
        <v>0</v>
      </c>
      <c r="V28" s="78">
        <f t="shared" si="107"/>
        <v>0</v>
      </c>
      <c r="W28" s="69"/>
      <c r="X28" s="127"/>
      <c r="Y28" s="74" t="str">
        <f t="shared" si="108"/>
        <v>Poland</v>
      </c>
      <c r="Z28" s="333">
        <v>2</v>
      </c>
      <c r="AA28" s="334">
        <v>1</v>
      </c>
      <c r="AB28" s="76" t="str">
        <f t="shared" si="109"/>
        <v>Austria</v>
      </c>
      <c r="AE28" s="77">
        <f t="shared" si="110"/>
        <v>0</v>
      </c>
      <c r="AF28" s="78">
        <f t="shared" si="111"/>
        <v>0</v>
      </c>
      <c r="AG28" s="69"/>
      <c r="AH28" s="127"/>
      <c r="AI28" s="74" t="str">
        <f t="shared" si="112"/>
        <v>Poland</v>
      </c>
      <c r="AJ28" s="75"/>
      <c r="AK28" s="75"/>
      <c r="AL28" s="76" t="str">
        <f t="shared" si="113"/>
        <v>Austria</v>
      </c>
      <c r="AO28" s="77">
        <f t="shared" si="114"/>
        <v>0</v>
      </c>
      <c r="AP28" s="78" t="str">
        <f t="shared" si="115"/>
        <v/>
      </c>
      <c r="AQ28" s="69"/>
      <c r="AR28" s="127"/>
      <c r="AS28" s="74" t="str">
        <f t="shared" si="116"/>
        <v>Poland</v>
      </c>
      <c r="AT28" s="75"/>
      <c r="AU28" s="75"/>
      <c r="AV28" s="76" t="str">
        <f t="shared" si="117"/>
        <v>Austria</v>
      </c>
      <c r="AY28" s="77">
        <f t="shared" si="118"/>
        <v>0</v>
      </c>
      <c r="AZ28" s="78" t="str">
        <f t="shared" si="119"/>
        <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c r="BO28" s="75"/>
      <c r="BP28" s="76" t="str">
        <f t="shared" si="125"/>
        <v>Austria</v>
      </c>
      <c r="BS28" s="77">
        <f t="shared" si="126"/>
        <v>0</v>
      </c>
      <c r="BT28" s="78" t="str">
        <f t="shared" si="127"/>
        <v/>
      </c>
      <c r="BU28" s="69"/>
      <c r="BV28" s="127"/>
      <c r="BW28" s="74" t="str">
        <f t="shared" si="128"/>
        <v>Poland</v>
      </c>
      <c r="BX28" s="75"/>
      <c r="BY28" s="75"/>
      <c r="BZ28" s="76" t="str">
        <f t="shared" si="129"/>
        <v>Austria</v>
      </c>
      <c r="CC28" s="77">
        <f t="shared" si="130"/>
        <v>0</v>
      </c>
      <c r="CD28" s="78" t="str">
        <f t="shared" si="131"/>
        <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100</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331">
        <v>1</v>
      </c>
      <c r="Q29" s="331">
        <v>1</v>
      </c>
      <c r="R29" s="76" t="str">
        <f t="shared" si="105"/>
        <v>France</v>
      </c>
      <c r="U29" s="77">
        <f t="shared" si="106"/>
        <v>0</v>
      </c>
      <c r="V29" s="78">
        <f t="shared" si="107"/>
        <v>4</v>
      </c>
      <c r="W29" s="69"/>
      <c r="X29" s="127"/>
      <c r="Y29" s="74" t="str">
        <f t="shared" si="108"/>
        <v>Netherlands</v>
      </c>
      <c r="Z29" s="333">
        <v>2</v>
      </c>
      <c r="AA29" s="334">
        <v>2</v>
      </c>
      <c r="AB29" s="76" t="str">
        <f t="shared" si="109"/>
        <v>France</v>
      </c>
      <c r="AE29" s="77">
        <f t="shared" si="110"/>
        <v>0</v>
      </c>
      <c r="AF29" s="78">
        <f t="shared" si="111"/>
        <v>4</v>
      </c>
      <c r="AG29" s="69"/>
      <c r="AH29" s="127"/>
      <c r="AI29" s="74" t="str">
        <f t="shared" si="112"/>
        <v>Netherlands</v>
      </c>
      <c r="AJ29" s="75"/>
      <c r="AK29" s="75"/>
      <c r="AL29" s="76" t="str">
        <f t="shared" si="113"/>
        <v>France</v>
      </c>
      <c r="AO29" s="77">
        <f t="shared" si="114"/>
        <v>0</v>
      </c>
      <c r="AP29" s="78" t="str">
        <f t="shared" si="115"/>
        <v/>
      </c>
      <c r="AQ29" s="69"/>
      <c r="AR29" s="127"/>
      <c r="AS29" s="74" t="str">
        <f t="shared" si="116"/>
        <v>Netherlands</v>
      </c>
      <c r="AT29" s="75"/>
      <c r="AU29" s="75"/>
      <c r="AV29" s="76" t="str">
        <f t="shared" si="117"/>
        <v>France</v>
      </c>
      <c r="AY29" s="77">
        <f t="shared" si="118"/>
        <v>0</v>
      </c>
      <c r="AZ29" s="78" t="str">
        <f t="shared" si="119"/>
        <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c r="BO29" s="75"/>
      <c r="BP29" s="76" t="str">
        <f t="shared" si="125"/>
        <v>France</v>
      </c>
      <c r="BS29" s="77">
        <f t="shared" si="126"/>
        <v>0</v>
      </c>
      <c r="BT29" s="78" t="str">
        <f t="shared" si="127"/>
        <v/>
      </c>
      <c r="BU29" s="69"/>
      <c r="BV29" s="127"/>
      <c r="BW29" s="74" t="str">
        <f t="shared" si="128"/>
        <v>Netherlands</v>
      </c>
      <c r="BX29" s="75"/>
      <c r="BY29" s="75"/>
      <c r="BZ29" s="76" t="str">
        <f t="shared" si="129"/>
        <v>France</v>
      </c>
      <c r="CC29" s="77">
        <f t="shared" si="130"/>
        <v>0</v>
      </c>
      <c r="CD29" s="78" t="str">
        <f t="shared" si="131"/>
        <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101</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331">
        <v>0</v>
      </c>
      <c r="Q30" s="331">
        <v>1</v>
      </c>
      <c r="R30" s="76" t="str">
        <f t="shared" si="105"/>
        <v>Ukraine</v>
      </c>
      <c r="U30" s="77">
        <f t="shared" si="106"/>
        <v>0</v>
      </c>
      <c r="V30" s="78">
        <f t="shared" si="107"/>
        <v>4</v>
      </c>
      <c r="W30" s="69"/>
      <c r="X30" s="127"/>
      <c r="Y30" s="74" t="str">
        <f t="shared" si="108"/>
        <v>Slovakia</v>
      </c>
      <c r="Z30" s="333">
        <v>1</v>
      </c>
      <c r="AA30" s="334">
        <v>2</v>
      </c>
      <c r="AB30" s="76" t="str">
        <f t="shared" si="109"/>
        <v>Ukraine</v>
      </c>
      <c r="AE30" s="77">
        <f t="shared" si="110"/>
        <v>1</v>
      </c>
      <c r="AF30" s="78">
        <f t="shared" si="111"/>
        <v>6</v>
      </c>
      <c r="AG30" s="69"/>
      <c r="AH30" s="127"/>
      <c r="AI30" s="74" t="str">
        <f t="shared" si="112"/>
        <v>Slovakia</v>
      </c>
      <c r="AJ30" s="75"/>
      <c r="AK30" s="75"/>
      <c r="AL30" s="76" t="str">
        <f t="shared" si="113"/>
        <v>Ukraine</v>
      </c>
      <c r="AO30" s="77">
        <f t="shared" si="114"/>
        <v>0</v>
      </c>
      <c r="AP30" s="78" t="str">
        <f t="shared" si="115"/>
        <v/>
      </c>
      <c r="AQ30" s="69"/>
      <c r="AR30" s="127"/>
      <c r="AS30" s="74" t="str">
        <f t="shared" si="116"/>
        <v>Slovakia</v>
      </c>
      <c r="AT30" s="75"/>
      <c r="AU30" s="75"/>
      <c r="AV30" s="76" t="str">
        <f t="shared" si="117"/>
        <v>Ukraine</v>
      </c>
      <c r="AY30" s="77">
        <f t="shared" si="118"/>
        <v>0</v>
      </c>
      <c r="AZ30" s="78" t="str">
        <f t="shared" si="119"/>
        <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c r="BO30" s="75"/>
      <c r="BP30" s="76" t="str">
        <f t="shared" si="125"/>
        <v>Ukraine</v>
      </c>
      <c r="BS30" s="77">
        <f t="shared" si="126"/>
        <v>0</v>
      </c>
      <c r="BT30" s="78" t="str">
        <f t="shared" si="127"/>
        <v/>
      </c>
      <c r="BU30" s="69"/>
      <c r="BV30" s="127"/>
      <c r="BW30" s="74" t="str">
        <f t="shared" si="128"/>
        <v>Slovakia</v>
      </c>
      <c r="BX30" s="75"/>
      <c r="BY30" s="75"/>
      <c r="BZ30" s="76" t="str">
        <f t="shared" si="129"/>
        <v>Ukraine</v>
      </c>
      <c r="CC30" s="77">
        <f t="shared" si="130"/>
        <v>0</v>
      </c>
      <c r="CD30" s="78" t="str">
        <f t="shared" si="131"/>
        <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101</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331">
        <v>1</v>
      </c>
      <c r="Q31" s="331">
        <v>0</v>
      </c>
      <c r="R31" s="76" t="str">
        <f t="shared" si="105"/>
        <v>Romania</v>
      </c>
      <c r="U31" s="77">
        <f t="shared" si="106"/>
        <v>0</v>
      </c>
      <c r="V31" s="78">
        <f t="shared" si="107"/>
        <v>2</v>
      </c>
      <c r="W31" s="69"/>
      <c r="X31" s="127"/>
      <c r="Y31" s="74" t="str">
        <f t="shared" si="108"/>
        <v>Belgium</v>
      </c>
      <c r="Z31" s="333">
        <v>3</v>
      </c>
      <c r="AA31" s="334">
        <v>1</v>
      </c>
      <c r="AB31" s="76" t="str">
        <f t="shared" si="109"/>
        <v>Romania</v>
      </c>
      <c r="AE31" s="77">
        <f t="shared" si="110"/>
        <v>0</v>
      </c>
      <c r="AF31" s="78">
        <f t="shared" si="111"/>
        <v>4</v>
      </c>
      <c r="AG31" s="69"/>
      <c r="AH31" s="127"/>
      <c r="AI31" s="74" t="str">
        <f t="shared" si="112"/>
        <v>Belgium</v>
      </c>
      <c r="AJ31" s="75"/>
      <c r="AK31" s="75"/>
      <c r="AL31" s="76" t="str">
        <f t="shared" si="113"/>
        <v>Romania</v>
      </c>
      <c r="AO31" s="77">
        <f t="shared" si="114"/>
        <v>0</v>
      </c>
      <c r="AP31" s="78" t="str">
        <f t="shared" si="115"/>
        <v/>
      </c>
      <c r="AQ31" s="69"/>
      <c r="AR31" s="127"/>
      <c r="AS31" s="74" t="str">
        <f t="shared" si="116"/>
        <v>Belgium</v>
      </c>
      <c r="AT31" s="75"/>
      <c r="AU31" s="75"/>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c r="BO31" s="75"/>
      <c r="BP31" s="76" t="str">
        <f t="shared" si="125"/>
        <v>Romania</v>
      </c>
      <c r="BS31" s="77">
        <f t="shared" si="126"/>
        <v>0</v>
      </c>
      <c r="BT31" s="78" t="str">
        <f t="shared" si="127"/>
        <v/>
      </c>
      <c r="BU31" s="69"/>
      <c r="BV31" s="127"/>
      <c r="BW31" s="74" t="str">
        <f t="shared" si="128"/>
        <v>Belgium</v>
      </c>
      <c r="BX31" s="75"/>
      <c r="BY31" s="75"/>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102</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331">
        <v>0</v>
      </c>
      <c r="Q32" s="331">
        <v>2</v>
      </c>
      <c r="R32" s="76" t="str">
        <f t="shared" si="105"/>
        <v>Portugal</v>
      </c>
      <c r="U32" s="77">
        <f t="shared" si="106"/>
        <v>0</v>
      </c>
      <c r="V32" s="78">
        <f t="shared" si="107"/>
        <v>2</v>
      </c>
      <c r="W32" s="69"/>
      <c r="X32" s="127"/>
      <c r="Y32" s="74" t="str">
        <f t="shared" si="108"/>
        <v>Türkiye</v>
      </c>
      <c r="Z32" s="333">
        <v>2</v>
      </c>
      <c r="AA32" s="334">
        <v>3</v>
      </c>
      <c r="AB32" s="76" t="str">
        <f t="shared" si="109"/>
        <v>Portugal</v>
      </c>
      <c r="AE32" s="77">
        <f t="shared" si="110"/>
        <v>0</v>
      </c>
      <c r="AF32" s="78">
        <f t="shared" si="111"/>
        <v>2</v>
      </c>
      <c r="AG32" s="69"/>
      <c r="AH32" s="127"/>
      <c r="AI32" s="74" t="str">
        <f t="shared" si="112"/>
        <v>Türkiye</v>
      </c>
      <c r="AJ32" s="75"/>
      <c r="AK32" s="75"/>
      <c r="AL32" s="76" t="str">
        <f t="shared" si="113"/>
        <v>Portugal</v>
      </c>
      <c r="AO32" s="77">
        <f t="shared" si="114"/>
        <v>0</v>
      </c>
      <c r="AP32" s="78" t="str">
        <f t="shared" si="115"/>
        <v/>
      </c>
      <c r="AQ32" s="69"/>
      <c r="AR32" s="127"/>
      <c r="AS32" s="74" t="str">
        <f t="shared" si="116"/>
        <v>Türkiye</v>
      </c>
      <c r="AT32" s="75"/>
      <c r="AU32" s="75"/>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c r="BO32" s="75"/>
      <c r="BP32" s="76" t="str">
        <f t="shared" si="125"/>
        <v>Portugal</v>
      </c>
      <c r="BS32" s="77">
        <f t="shared" si="126"/>
        <v>0</v>
      </c>
      <c r="BT32" s="78" t="str">
        <f t="shared" si="127"/>
        <v/>
      </c>
      <c r="BU32" s="69"/>
      <c r="BV32" s="127"/>
      <c r="BW32" s="74" t="str">
        <f t="shared" si="128"/>
        <v>Türkiye</v>
      </c>
      <c r="BX32" s="75"/>
      <c r="BY32" s="75"/>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102</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331">
        <v>0</v>
      </c>
      <c r="Q33" s="331">
        <v>0</v>
      </c>
      <c r="R33" s="76" t="str">
        <f t="shared" si="105"/>
        <v>Czechia</v>
      </c>
      <c r="U33" s="77">
        <f t="shared" si="106"/>
        <v>0</v>
      </c>
      <c r="V33" s="78">
        <f t="shared" si="107"/>
        <v>4</v>
      </c>
      <c r="W33" s="69"/>
      <c r="X33" s="127"/>
      <c r="Y33" s="74" t="str">
        <f t="shared" si="108"/>
        <v>Georgia</v>
      </c>
      <c r="Z33" s="333">
        <v>0</v>
      </c>
      <c r="AA33" s="334">
        <v>1</v>
      </c>
      <c r="AB33" s="76" t="str">
        <f t="shared" si="109"/>
        <v>Czechia</v>
      </c>
      <c r="AE33" s="77">
        <f t="shared" si="110"/>
        <v>0</v>
      </c>
      <c r="AF33" s="78">
        <f t="shared" si="111"/>
        <v>0</v>
      </c>
      <c r="AG33" s="69"/>
      <c r="AH33" s="127"/>
      <c r="AI33" s="74" t="str">
        <f t="shared" si="112"/>
        <v>Georgia</v>
      </c>
      <c r="AJ33" s="75"/>
      <c r="AK33" s="75"/>
      <c r="AL33" s="76" t="str">
        <f t="shared" si="113"/>
        <v>Czechia</v>
      </c>
      <c r="AO33" s="77">
        <f t="shared" si="114"/>
        <v>0</v>
      </c>
      <c r="AP33" s="78" t="str">
        <f t="shared" si="115"/>
        <v/>
      </c>
      <c r="AQ33" s="69"/>
      <c r="AR33" s="127"/>
      <c r="AS33" s="74" t="str">
        <f t="shared" si="116"/>
        <v>Georgia</v>
      </c>
      <c r="AT33" s="75"/>
      <c r="AU33" s="75"/>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c r="BO33" s="75"/>
      <c r="BP33" s="76" t="str">
        <f t="shared" si="125"/>
        <v>Czechia</v>
      </c>
      <c r="BS33" s="77">
        <f t="shared" si="126"/>
        <v>0</v>
      </c>
      <c r="BT33" s="78" t="str">
        <f t="shared" si="127"/>
        <v/>
      </c>
      <c r="BU33" s="69"/>
      <c r="BV33" s="127"/>
      <c r="BW33" s="74" t="str">
        <f t="shared" si="128"/>
        <v>Georgia</v>
      </c>
      <c r="BX33" s="75"/>
      <c r="BY33" s="75"/>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97</v>
      </c>
      <c r="E34" s="157">
        <f t="shared" si="144"/>
        <v>45466.875</v>
      </c>
      <c r="F34" s="158">
        <v>45466.875</v>
      </c>
      <c r="G34" s="72" t="str">
        <f>Matches!G32</f>
        <v>Switzerland</v>
      </c>
      <c r="H34" s="75"/>
      <c r="I34" s="75"/>
      <c r="J34" s="73" t="str">
        <f>Matches!J32</f>
        <v>Germany</v>
      </c>
      <c r="K34" s="55"/>
      <c r="L34" s="55"/>
      <c r="M34" s="67"/>
      <c r="N34" s="127"/>
      <c r="O34" s="74" t="str">
        <f t="shared" si="104"/>
        <v>Switzerland</v>
      </c>
      <c r="P34" s="331">
        <v>1</v>
      </c>
      <c r="Q34" s="331">
        <v>2</v>
      </c>
      <c r="R34" s="76" t="str">
        <f t="shared" si="105"/>
        <v>Germany</v>
      </c>
      <c r="U34" s="77">
        <f t="shared" si="106"/>
        <v>0</v>
      </c>
      <c r="V34" s="78" t="str">
        <f t="shared" si="107"/>
        <v/>
      </c>
      <c r="W34" s="69"/>
      <c r="X34" s="127"/>
      <c r="Y34" s="74" t="str">
        <f t="shared" si="108"/>
        <v>Switzerland</v>
      </c>
      <c r="Z34" s="333">
        <v>2</v>
      </c>
      <c r="AA34" s="334">
        <v>3</v>
      </c>
      <c r="AB34" s="76" t="str">
        <f t="shared" si="109"/>
        <v>Germany</v>
      </c>
      <c r="AE34" s="77">
        <f t="shared" si="110"/>
        <v>0</v>
      </c>
      <c r="AF34" s="78" t="str">
        <f t="shared" si="111"/>
        <v/>
      </c>
      <c r="AG34" s="69"/>
      <c r="AH34" s="127"/>
      <c r="AI34" s="74" t="str">
        <f t="shared" si="112"/>
        <v>Switzerland</v>
      </c>
      <c r="AJ34" s="75"/>
      <c r="AK34" s="75"/>
      <c r="AL34" s="76" t="str">
        <f t="shared" si="113"/>
        <v>Germany</v>
      </c>
      <c r="AO34" s="77">
        <f t="shared" si="114"/>
        <v>0</v>
      </c>
      <c r="AP34" s="78" t="str">
        <f t="shared" si="115"/>
        <v/>
      </c>
      <c r="AQ34" s="69"/>
      <c r="AR34" s="127"/>
      <c r="AS34" s="74" t="str">
        <f t="shared" si="116"/>
        <v>Switzerland</v>
      </c>
      <c r="AT34" s="75"/>
      <c r="AU34" s="75"/>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t="str">
        <f t="shared" si="123"/>
        <v/>
      </c>
      <c r="BK34" s="69"/>
      <c r="BL34" s="127"/>
      <c r="BM34" s="74" t="str">
        <f t="shared" si="124"/>
        <v>Switzerland</v>
      </c>
      <c r="BN34" s="75"/>
      <c r="BO34" s="75"/>
      <c r="BP34" s="76" t="str">
        <f t="shared" si="125"/>
        <v>Germany</v>
      </c>
      <c r="BS34" s="77">
        <f t="shared" si="126"/>
        <v>0</v>
      </c>
      <c r="BT34" s="78" t="str">
        <f t="shared" si="127"/>
        <v/>
      </c>
      <c r="BU34" s="69"/>
      <c r="BV34" s="127"/>
      <c r="BW34" s="74" t="str">
        <f t="shared" si="128"/>
        <v>Switzerland</v>
      </c>
      <c r="BX34" s="75"/>
      <c r="BY34" s="75"/>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97</v>
      </c>
      <c r="E35" s="157">
        <f t="shared" si="144"/>
        <v>45466.875</v>
      </c>
      <c r="F35" s="158">
        <v>45466.875</v>
      </c>
      <c r="G35" s="72" t="str">
        <f>Matches!G33</f>
        <v>Scotland</v>
      </c>
      <c r="H35" s="75"/>
      <c r="I35" s="75"/>
      <c r="J35" s="73" t="str">
        <f>Matches!J33</f>
        <v>Hungary</v>
      </c>
      <c r="K35" s="55"/>
      <c r="L35" s="55"/>
      <c r="M35" s="67"/>
      <c r="N35" s="127"/>
      <c r="O35" s="74" t="str">
        <f t="shared" si="104"/>
        <v>Scotland</v>
      </c>
      <c r="P35" s="331">
        <v>2</v>
      </c>
      <c r="Q35" s="331">
        <v>1</v>
      </c>
      <c r="R35" s="76" t="str">
        <f t="shared" si="105"/>
        <v>Hungary</v>
      </c>
      <c r="U35" s="77">
        <f t="shared" si="106"/>
        <v>0</v>
      </c>
      <c r="V35" s="78" t="str">
        <f t="shared" si="107"/>
        <v/>
      </c>
      <c r="W35" s="69"/>
      <c r="X35" s="127"/>
      <c r="Y35" s="74" t="str">
        <f t="shared" si="108"/>
        <v>Scotland</v>
      </c>
      <c r="Z35" s="333">
        <v>1</v>
      </c>
      <c r="AA35" s="334">
        <v>0</v>
      </c>
      <c r="AB35" s="76" t="str">
        <f t="shared" si="109"/>
        <v>Hungary</v>
      </c>
      <c r="AE35" s="77">
        <f t="shared" si="110"/>
        <v>0</v>
      </c>
      <c r="AF35" s="78" t="str">
        <f t="shared" si="111"/>
        <v/>
      </c>
      <c r="AG35" s="69"/>
      <c r="AH35" s="127"/>
      <c r="AI35" s="74" t="str">
        <f t="shared" si="112"/>
        <v>Scotland</v>
      </c>
      <c r="AJ35" s="75"/>
      <c r="AK35" s="75"/>
      <c r="AL35" s="76" t="str">
        <f t="shared" si="113"/>
        <v>Hungary</v>
      </c>
      <c r="AO35" s="77">
        <f t="shared" si="114"/>
        <v>0</v>
      </c>
      <c r="AP35" s="78" t="str">
        <f t="shared" si="115"/>
        <v/>
      </c>
      <c r="AQ35" s="69"/>
      <c r="AR35" s="127"/>
      <c r="AS35" s="74" t="str">
        <f t="shared" si="116"/>
        <v>Scotland</v>
      </c>
      <c r="AT35" s="75"/>
      <c r="AU35" s="75"/>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t="str">
        <f t="shared" si="123"/>
        <v/>
      </c>
      <c r="BK35" s="69"/>
      <c r="BL35" s="127"/>
      <c r="BM35" s="74" t="str">
        <f t="shared" si="124"/>
        <v>Scotland</v>
      </c>
      <c r="BN35" s="75"/>
      <c r="BO35" s="75"/>
      <c r="BP35" s="76" t="str">
        <f t="shared" si="125"/>
        <v>Hungary</v>
      </c>
      <c r="BS35" s="77">
        <f t="shared" si="126"/>
        <v>0</v>
      </c>
      <c r="BT35" s="78" t="str">
        <f t="shared" si="127"/>
        <v/>
      </c>
      <c r="BU35" s="69"/>
      <c r="BV35" s="127"/>
      <c r="BW35" s="74" t="str">
        <f t="shared" si="128"/>
        <v>Scotland</v>
      </c>
      <c r="BX35" s="75"/>
      <c r="BY35" s="75"/>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98</v>
      </c>
      <c r="E36" s="157">
        <f t="shared" si="144"/>
        <v>45467.875</v>
      </c>
      <c r="F36" s="158">
        <v>45467.875</v>
      </c>
      <c r="G36" s="72" t="str">
        <f>Matches!G34</f>
        <v>Albania</v>
      </c>
      <c r="H36" s="75"/>
      <c r="I36" s="75"/>
      <c r="J36" s="73" t="str">
        <f>Matches!J34</f>
        <v>Spain</v>
      </c>
      <c r="K36" s="55"/>
      <c r="L36" s="55"/>
      <c r="M36" s="67"/>
      <c r="N36" s="127"/>
      <c r="O36" s="74" t="str">
        <f t="shared" si="104"/>
        <v>Albania</v>
      </c>
      <c r="P36" s="331">
        <v>0</v>
      </c>
      <c r="Q36" s="331">
        <v>3</v>
      </c>
      <c r="R36" s="76" t="str">
        <f t="shared" si="105"/>
        <v>Spain</v>
      </c>
      <c r="U36" s="77">
        <f t="shared" si="106"/>
        <v>0</v>
      </c>
      <c r="V36" s="78" t="str">
        <f t="shared" si="107"/>
        <v/>
      </c>
      <c r="W36" s="69"/>
      <c r="X36" s="127"/>
      <c r="Y36" s="74" t="str">
        <f t="shared" si="108"/>
        <v>Albania</v>
      </c>
      <c r="Z36" s="333">
        <v>0</v>
      </c>
      <c r="AA36" s="334">
        <v>4</v>
      </c>
      <c r="AB36" s="76" t="str">
        <f t="shared" si="109"/>
        <v>Spain</v>
      </c>
      <c r="AE36" s="77">
        <f t="shared" si="110"/>
        <v>0</v>
      </c>
      <c r="AF36" s="78" t="str">
        <f t="shared" si="111"/>
        <v/>
      </c>
      <c r="AG36" s="69"/>
      <c r="AH36" s="127"/>
      <c r="AI36" s="74" t="str">
        <f t="shared" si="112"/>
        <v>Albania</v>
      </c>
      <c r="AJ36" s="75"/>
      <c r="AK36" s="75"/>
      <c r="AL36" s="76" t="str">
        <f t="shared" si="113"/>
        <v>Spain</v>
      </c>
      <c r="AO36" s="77">
        <f t="shared" si="114"/>
        <v>0</v>
      </c>
      <c r="AP36" s="78" t="str">
        <f t="shared" si="115"/>
        <v/>
      </c>
      <c r="AQ36" s="69"/>
      <c r="AR36" s="127"/>
      <c r="AS36" s="74" t="str">
        <f t="shared" si="116"/>
        <v>Albania</v>
      </c>
      <c r="AT36" s="75"/>
      <c r="AU36" s="75"/>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t="str">
        <f t="shared" si="123"/>
        <v/>
      </c>
      <c r="BK36" s="69"/>
      <c r="BL36" s="127"/>
      <c r="BM36" s="74" t="str">
        <f t="shared" si="124"/>
        <v>Albania</v>
      </c>
      <c r="BN36" s="75"/>
      <c r="BO36" s="75"/>
      <c r="BP36" s="76" t="str">
        <f t="shared" si="125"/>
        <v>Spain</v>
      </c>
      <c r="BS36" s="77">
        <f t="shared" si="126"/>
        <v>0</v>
      </c>
      <c r="BT36" s="78" t="str">
        <f t="shared" si="127"/>
        <v/>
      </c>
      <c r="BU36" s="69"/>
      <c r="BV36" s="127"/>
      <c r="BW36" s="74" t="str">
        <f t="shared" si="128"/>
        <v>Albania</v>
      </c>
      <c r="BX36" s="75"/>
      <c r="BY36" s="75"/>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98</v>
      </c>
      <c r="E37" s="157">
        <f t="shared" si="144"/>
        <v>45467.875</v>
      </c>
      <c r="F37" s="158">
        <v>45467.875</v>
      </c>
      <c r="G37" s="72" t="str">
        <f>Matches!G35</f>
        <v>Croatia</v>
      </c>
      <c r="H37" s="75"/>
      <c r="I37" s="75"/>
      <c r="J37" s="73" t="str">
        <f>Matches!J35</f>
        <v>Italy</v>
      </c>
      <c r="K37" s="55"/>
      <c r="L37" s="55"/>
      <c r="M37" s="67"/>
      <c r="N37" s="127"/>
      <c r="O37" s="74" t="str">
        <f t="shared" si="104"/>
        <v>Croatia</v>
      </c>
      <c r="P37" s="331">
        <v>3</v>
      </c>
      <c r="Q37" s="331">
        <v>2</v>
      </c>
      <c r="R37" s="76" t="str">
        <f t="shared" si="105"/>
        <v>Italy</v>
      </c>
      <c r="U37" s="77">
        <f t="shared" si="106"/>
        <v>0</v>
      </c>
      <c r="V37" s="78" t="str">
        <f t="shared" si="107"/>
        <v/>
      </c>
      <c r="W37" s="69"/>
      <c r="X37" s="127"/>
      <c r="Y37" s="74" t="str">
        <f t="shared" si="108"/>
        <v>Croatia</v>
      </c>
      <c r="Z37" s="333">
        <v>1</v>
      </c>
      <c r="AA37" s="334">
        <v>0</v>
      </c>
      <c r="AB37" s="76" t="str">
        <f t="shared" si="109"/>
        <v>Italy</v>
      </c>
      <c r="AE37" s="77">
        <f t="shared" si="110"/>
        <v>0</v>
      </c>
      <c r="AF37" s="78" t="str">
        <f t="shared" si="111"/>
        <v/>
      </c>
      <c r="AG37" s="69"/>
      <c r="AH37" s="127"/>
      <c r="AI37" s="74" t="str">
        <f t="shared" si="112"/>
        <v>Croatia</v>
      </c>
      <c r="AJ37" s="75"/>
      <c r="AK37" s="75"/>
      <c r="AL37" s="76" t="str">
        <f t="shared" si="113"/>
        <v>Italy</v>
      </c>
      <c r="AO37" s="77">
        <f t="shared" si="114"/>
        <v>0</v>
      </c>
      <c r="AP37" s="78" t="str">
        <f t="shared" si="115"/>
        <v/>
      </c>
      <c r="AQ37" s="69"/>
      <c r="AR37" s="127"/>
      <c r="AS37" s="74" t="str">
        <f t="shared" si="116"/>
        <v>Croatia</v>
      </c>
      <c r="AT37" s="75"/>
      <c r="AU37" s="75"/>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t="str">
        <f t="shared" si="123"/>
        <v/>
      </c>
      <c r="BK37" s="69"/>
      <c r="BL37" s="127"/>
      <c r="BM37" s="74" t="str">
        <f t="shared" si="124"/>
        <v>Croatia</v>
      </c>
      <c r="BN37" s="75"/>
      <c r="BO37" s="75"/>
      <c r="BP37" s="76" t="str">
        <f t="shared" si="125"/>
        <v>Italy</v>
      </c>
      <c r="BS37" s="77">
        <f t="shared" si="126"/>
        <v>0</v>
      </c>
      <c r="BT37" s="78" t="str">
        <f t="shared" si="127"/>
        <v/>
      </c>
      <c r="BU37" s="69"/>
      <c r="BV37" s="127"/>
      <c r="BW37" s="74" t="str">
        <f t="shared" si="128"/>
        <v>Croatia</v>
      </c>
      <c r="BX37" s="75"/>
      <c r="BY37" s="75"/>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99</v>
      </c>
      <c r="E38" s="157">
        <f t="shared" si="144"/>
        <v>45468.875</v>
      </c>
      <c r="F38" s="158">
        <v>45468.875</v>
      </c>
      <c r="G38" s="72" t="str">
        <f>Matches!G36</f>
        <v>England</v>
      </c>
      <c r="H38" s="75"/>
      <c r="I38" s="75"/>
      <c r="J38" s="73" t="str">
        <f>Matches!J36</f>
        <v>Slovenia</v>
      </c>
      <c r="K38" s="55"/>
      <c r="L38" s="55"/>
      <c r="M38" s="67"/>
      <c r="N38" s="127"/>
      <c r="O38" s="74" t="str">
        <f t="shared" si="104"/>
        <v>England</v>
      </c>
      <c r="P38" s="331">
        <v>2</v>
      </c>
      <c r="Q38" s="331">
        <v>1</v>
      </c>
      <c r="R38" s="76" t="str">
        <f t="shared" si="105"/>
        <v>Slovenia</v>
      </c>
      <c r="U38" s="77">
        <f t="shared" si="106"/>
        <v>0</v>
      </c>
      <c r="V38" s="78" t="str">
        <f t="shared" si="107"/>
        <v/>
      </c>
      <c r="W38" s="69"/>
      <c r="X38" s="127"/>
      <c r="Y38" s="74" t="str">
        <f t="shared" si="108"/>
        <v>England</v>
      </c>
      <c r="Z38" s="333">
        <v>2</v>
      </c>
      <c r="AA38" s="334">
        <v>1</v>
      </c>
      <c r="AB38" s="76" t="str">
        <f t="shared" si="109"/>
        <v>Slovenia</v>
      </c>
      <c r="AE38" s="77">
        <f t="shared" si="110"/>
        <v>0</v>
      </c>
      <c r="AF38" s="78" t="str">
        <f t="shared" si="111"/>
        <v/>
      </c>
      <c r="AG38" s="69"/>
      <c r="AH38" s="127"/>
      <c r="AI38" s="74" t="str">
        <f t="shared" si="112"/>
        <v>England</v>
      </c>
      <c r="AJ38" s="75"/>
      <c r="AK38" s="75"/>
      <c r="AL38" s="76" t="str">
        <f t="shared" si="113"/>
        <v>Slovenia</v>
      </c>
      <c r="AO38" s="77">
        <f t="shared" si="114"/>
        <v>0</v>
      </c>
      <c r="AP38" s="78" t="str">
        <f t="shared" si="115"/>
        <v/>
      </c>
      <c r="AQ38" s="69"/>
      <c r="AR38" s="127"/>
      <c r="AS38" s="74" t="str">
        <f t="shared" si="116"/>
        <v>England</v>
      </c>
      <c r="AT38" s="75"/>
      <c r="AU38" s="75"/>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c r="BO38" s="75"/>
      <c r="BP38" s="76" t="str">
        <f t="shared" si="125"/>
        <v>Slovenia</v>
      </c>
      <c r="BS38" s="77">
        <f t="shared" si="126"/>
        <v>0</v>
      </c>
      <c r="BT38" s="78" t="str">
        <f t="shared" si="127"/>
        <v/>
      </c>
      <c r="BU38" s="69"/>
      <c r="BV38" s="127"/>
      <c r="BW38" s="74" t="str">
        <f t="shared" si="128"/>
        <v>England</v>
      </c>
      <c r="BX38" s="75"/>
      <c r="BY38" s="75"/>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99</v>
      </c>
      <c r="E39" s="157">
        <f t="shared" si="144"/>
        <v>45468.875</v>
      </c>
      <c r="F39" s="158">
        <v>45468.875</v>
      </c>
      <c r="G39" s="72" t="str">
        <f>Matches!G37</f>
        <v>Denmark</v>
      </c>
      <c r="H39" s="75"/>
      <c r="I39" s="75"/>
      <c r="J39" s="73" t="str">
        <f>Matches!J37</f>
        <v>Serbia</v>
      </c>
      <c r="K39" s="55"/>
      <c r="L39" s="55"/>
      <c r="M39" s="67"/>
      <c r="N39" s="127"/>
      <c r="O39" s="74" t="str">
        <f t="shared" si="104"/>
        <v>Denmark</v>
      </c>
      <c r="P39" s="331">
        <v>1</v>
      </c>
      <c r="Q39" s="331">
        <v>0</v>
      </c>
      <c r="R39" s="76" t="str">
        <f t="shared" si="105"/>
        <v>Serbia</v>
      </c>
      <c r="U39" s="77">
        <f t="shared" si="106"/>
        <v>0</v>
      </c>
      <c r="V39" s="78" t="str">
        <f t="shared" si="107"/>
        <v/>
      </c>
      <c r="W39" s="69"/>
      <c r="X39" s="127"/>
      <c r="Y39" s="74" t="str">
        <f t="shared" si="108"/>
        <v>Denmark</v>
      </c>
      <c r="Z39" s="333">
        <v>2</v>
      </c>
      <c r="AA39" s="334">
        <v>0</v>
      </c>
      <c r="AB39" s="76" t="str">
        <f t="shared" si="109"/>
        <v>Serbia</v>
      </c>
      <c r="AE39" s="77">
        <f t="shared" si="110"/>
        <v>0</v>
      </c>
      <c r="AF39" s="78" t="str">
        <f t="shared" si="111"/>
        <v/>
      </c>
      <c r="AG39" s="69"/>
      <c r="AH39" s="127"/>
      <c r="AI39" s="74" t="str">
        <f t="shared" si="112"/>
        <v>Denmark</v>
      </c>
      <c r="AJ39" s="75"/>
      <c r="AK39" s="75"/>
      <c r="AL39" s="76" t="str">
        <f t="shared" si="113"/>
        <v>Serbia</v>
      </c>
      <c r="AO39" s="77">
        <f t="shared" si="114"/>
        <v>0</v>
      </c>
      <c r="AP39" s="78" t="str">
        <f t="shared" si="115"/>
        <v/>
      </c>
      <c r="AQ39" s="69"/>
      <c r="AR39" s="127"/>
      <c r="AS39" s="74" t="str">
        <f t="shared" si="116"/>
        <v>Denmark</v>
      </c>
      <c r="AT39" s="75"/>
      <c r="AU39" s="75"/>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c r="BO39" s="75"/>
      <c r="BP39" s="76" t="str">
        <f t="shared" si="125"/>
        <v>Serbia</v>
      </c>
      <c r="BS39" s="77">
        <f t="shared" si="126"/>
        <v>0</v>
      </c>
      <c r="BT39" s="78" t="str">
        <f t="shared" si="127"/>
        <v/>
      </c>
      <c r="BU39" s="69"/>
      <c r="BV39" s="127"/>
      <c r="BW39" s="74" t="str">
        <f t="shared" si="128"/>
        <v>Denmark</v>
      </c>
      <c r="BX39" s="75"/>
      <c r="BY39" s="75"/>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100</v>
      </c>
      <c r="E40" s="157">
        <f t="shared" si="144"/>
        <v>45468.75</v>
      </c>
      <c r="F40" s="158">
        <v>45468.75</v>
      </c>
      <c r="G40" s="72" t="str">
        <f>Matches!G38</f>
        <v>Netherlands</v>
      </c>
      <c r="H40" s="75"/>
      <c r="I40" s="75"/>
      <c r="J40" s="73" t="str">
        <f>Matches!J38</f>
        <v>Austria</v>
      </c>
      <c r="K40" s="55"/>
      <c r="L40" s="55"/>
      <c r="M40" s="67"/>
      <c r="N40" s="127"/>
      <c r="O40" s="74" t="str">
        <f t="shared" si="104"/>
        <v>Netherlands</v>
      </c>
      <c r="P40" s="331">
        <v>1</v>
      </c>
      <c r="Q40" s="331">
        <v>0</v>
      </c>
      <c r="R40" s="76" t="str">
        <f t="shared" si="105"/>
        <v>Austria</v>
      </c>
      <c r="U40" s="77">
        <f t="shared" si="106"/>
        <v>0</v>
      </c>
      <c r="V40" s="78" t="str">
        <f t="shared" si="107"/>
        <v/>
      </c>
      <c r="W40" s="69"/>
      <c r="X40" s="127"/>
      <c r="Y40" s="74" t="str">
        <f t="shared" si="108"/>
        <v>Netherlands</v>
      </c>
      <c r="Z40" s="333">
        <v>2</v>
      </c>
      <c r="AA40" s="334">
        <v>1</v>
      </c>
      <c r="AB40" s="76" t="str">
        <f t="shared" si="109"/>
        <v>Austria</v>
      </c>
      <c r="AE40" s="77">
        <f t="shared" si="110"/>
        <v>0</v>
      </c>
      <c r="AF40" s="78" t="str">
        <f t="shared" si="111"/>
        <v/>
      </c>
      <c r="AG40" s="69"/>
      <c r="AH40" s="127"/>
      <c r="AI40" s="74" t="str">
        <f t="shared" si="112"/>
        <v>Netherlands</v>
      </c>
      <c r="AJ40" s="75"/>
      <c r="AK40" s="75"/>
      <c r="AL40" s="76" t="str">
        <f t="shared" si="113"/>
        <v>Austria</v>
      </c>
      <c r="AO40" s="77">
        <f t="shared" si="114"/>
        <v>0</v>
      </c>
      <c r="AP40" s="78" t="str">
        <f t="shared" si="115"/>
        <v/>
      </c>
      <c r="AQ40" s="69"/>
      <c r="AR40" s="127"/>
      <c r="AS40" s="74" t="str">
        <f t="shared" si="116"/>
        <v>Netherlands</v>
      </c>
      <c r="AT40" s="75"/>
      <c r="AU40" s="75"/>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c r="BO40" s="75"/>
      <c r="BP40" s="76" t="str">
        <f t="shared" si="125"/>
        <v>Austria</v>
      </c>
      <c r="BS40" s="77">
        <f t="shared" si="126"/>
        <v>0</v>
      </c>
      <c r="BT40" s="78" t="str">
        <f t="shared" si="127"/>
        <v/>
      </c>
      <c r="BU40" s="69"/>
      <c r="BV40" s="127"/>
      <c r="BW40" s="74" t="str">
        <f t="shared" si="128"/>
        <v>Netherlands</v>
      </c>
      <c r="BX40" s="75"/>
      <c r="BY40" s="75"/>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100</v>
      </c>
      <c r="E41" s="157">
        <f t="shared" si="144"/>
        <v>45468.75</v>
      </c>
      <c r="F41" s="158">
        <v>45468.75</v>
      </c>
      <c r="G41" s="72" t="str">
        <f>Matches!G39</f>
        <v>France</v>
      </c>
      <c r="H41" s="75"/>
      <c r="I41" s="75"/>
      <c r="J41" s="73" t="str">
        <f>Matches!J39</f>
        <v>Poland</v>
      </c>
      <c r="K41" s="55"/>
      <c r="L41" s="55"/>
      <c r="M41" s="67"/>
      <c r="N41" s="127"/>
      <c r="O41" s="74" t="str">
        <f t="shared" si="104"/>
        <v>France</v>
      </c>
      <c r="P41" s="331">
        <v>2</v>
      </c>
      <c r="Q41" s="331">
        <v>0</v>
      </c>
      <c r="R41" s="76" t="str">
        <f t="shared" si="105"/>
        <v>Poland</v>
      </c>
      <c r="U41" s="77">
        <f t="shared" si="106"/>
        <v>0</v>
      </c>
      <c r="V41" s="78" t="str">
        <f t="shared" si="107"/>
        <v/>
      </c>
      <c r="W41" s="69"/>
      <c r="X41" s="127"/>
      <c r="Y41" s="74" t="str">
        <f t="shared" si="108"/>
        <v>France</v>
      </c>
      <c r="Z41" s="333">
        <v>3</v>
      </c>
      <c r="AA41" s="334">
        <v>1</v>
      </c>
      <c r="AB41" s="76" t="str">
        <f t="shared" si="109"/>
        <v>Poland</v>
      </c>
      <c r="AE41" s="77">
        <f t="shared" si="110"/>
        <v>0</v>
      </c>
      <c r="AF41" s="78" t="str">
        <f t="shared" si="111"/>
        <v/>
      </c>
      <c r="AG41" s="69"/>
      <c r="AH41" s="127"/>
      <c r="AI41" s="74" t="str">
        <f t="shared" si="112"/>
        <v>France</v>
      </c>
      <c r="AJ41" s="75"/>
      <c r="AK41" s="75"/>
      <c r="AL41" s="76" t="str">
        <f t="shared" si="113"/>
        <v>Poland</v>
      </c>
      <c r="AO41" s="77">
        <f t="shared" si="114"/>
        <v>0</v>
      </c>
      <c r="AP41" s="78" t="str">
        <f t="shared" si="115"/>
        <v/>
      </c>
      <c r="AQ41" s="69"/>
      <c r="AR41" s="127"/>
      <c r="AS41" s="74" t="str">
        <f t="shared" si="116"/>
        <v>France</v>
      </c>
      <c r="AT41" s="75"/>
      <c r="AU41" s="75"/>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c r="BO41" s="75"/>
      <c r="BP41" s="76" t="str">
        <f t="shared" si="125"/>
        <v>Poland</v>
      </c>
      <c r="BS41" s="77">
        <f t="shared" si="126"/>
        <v>0</v>
      </c>
      <c r="BT41" s="78" t="str">
        <f t="shared" si="127"/>
        <v/>
      </c>
      <c r="BU41" s="69"/>
      <c r="BV41" s="127"/>
      <c r="BW41" s="74" t="str">
        <f t="shared" si="128"/>
        <v>France</v>
      </c>
      <c r="BX41" s="75"/>
      <c r="BY41" s="75"/>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101</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c r="AK42" s="75"/>
      <c r="AL42" s="76" t="str">
        <f t="shared" si="113"/>
        <v>Romania</v>
      </c>
      <c r="AO42" s="77">
        <f t="shared" si="114"/>
        <v>0</v>
      </c>
      <c r="AP42" s="78" t="str">
        <f t="shared" si="115"/>
        <v/>
      </c>
      <c r="AQ42" s="69"/>
      <c r="AR42" s="127"/>
      <c r="AS42" s="74" t="str">
        <f t="shared" si="116"/>
        <v>Slovakia</v>
      </c>
      <c r="AT42" s="75"/>
      <c r="AU42" s="75"/>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c r="BO42" s="75"/>
      <c r="BP42" s="76" t="str">
        <f t="shared" si="125"/>
        <v>Romania</v>
      </c>
      <c r="BS42" s="77">
        <f t="shared" si="126"/>
        <v>0</v>
      </c>
      <c r="BT42" s="78" t="str">
        <f t="shared" si="127"/>
        <v/>
      </c>
      <c r="BU42" s="69"/>
      <c r="BV42" s="127"/>
      <c r="BW42" s="74" t="str">
        <f t="shared" si="128"/>
        <v>Slovakia</v>
      </c>
      <c r="BX42" s="75"/>
      <c r="BY42" s="75"/>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101</v>
      </c>
      <c r="E43" s="157">
        <f t="shared" si="144"/>
        <v>45469.75</v>
      </c>
      <c r="F43" s="158">
        <v>45469.75</v>
      </c>
      <c r="G43" s="72" t="str">
        <f>Matches!G41</f>
        <v>Ukraine</v>
      </c>
      <c r="H43" s="75"/>
      <c r="I43" s="75"/>
      <c r="J43" s="73" t="str">
        <f>Matches!J41</f>
        <v>Belgium</v>
      </c>
      <c r="K43" s="55"/>
      <c r="L43" s="55"/>
      <c r="M43" s="67"/>
      <c r="N43" s="127"/>
      <c r="O43" s="74" t="str">
        <f t="shared" si="104"/>
        <v>Ukraine</v>
      </c>
      <c r="P43" s="331">
        <v>1</v>
      </c>
      <c r="Q43" s="331">
        <v>2</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c r="AK43" s="75"/>
      <c r="AL43" s="76" t="str">
        <f t="shared" si="113"/>
        <v>Belgium</v>
      </c>
      <c r="AO43" s="77">
        <f t="shared" si="114"/>
        <v>0</v>
      </c>
      <c r="AP43" s="78" t="str">
        <f t="shared" si="115"/>
        <v/>
      </c>
      <c r="AQ43" s="69"/>
      <c r="AR43" s="127"/>
      <c r="AS43" s="74" t="str">
        <f t="shared" si="116"/>
        <v>Ukraine</v>
      </c>
      <c r="AT43" s="75"/>
      <c r="AU43" s="75"/>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c r="BO43" s="75"/>
      <c r="BP43" s="76" t="str">
        <f t="shared" si="125"/>
        <v>Belgium</v>
      </c>
      <c r="BS43" s="77">
        <f t="shared" si="126"/>
        <v>0</v>
      </c>
      <c r="BT43" s="78" t="str">
        <f t="shared" si="127"/>
        <v/>
      </c>
      <c r="BU43" s="69"/>
      <c r="BV43" s="127"/>
      <c r="BW43" s="74" t="str">
        <f t="shared" si="128"/>
        <v>Ukraine</v>
      </c>
      <c r="BX43" s="75"/>
      <c r="BY43" s="75"/>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102</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2</v>
      </c>
      <c r="R44" s="76" t="str">
        <f t="shared" si="105"/>
        <v>Portugal</v>
      </c>
      <c r="U44" s="77">
        <f t="shared" si="106"/>
        <v>0</v>
      </c>
      <c r="V44" s="78" t="str">
        <f t="shared" si="107"/>
        <v/>
      </c>
      <c r="W44" s="69"/>
      <c r="X44" s="127"/>
      <c r="Y44" s="74" t="str">
        <f t="shared" si="108"/>
        <v>Georgia</v>
      </c>
      <c r="Z44" s="333">
        <v>0</v>
      </c>
      <c r="AA44" s="334">
        <v>3</v>
      </c>
      <c r="AB44" s="76" t="str">
        <f t="shared" si="109"/>
        <v>Portugal</v>
      </c>
      <c r="AE44" s="77">
        <f t="shared" si="110"/>
        <v>0</v>
      </c>
      <c r="AF44" s="78" t="str">
        <f t="shared" si="111"/>
        <v/>
      </c>
      <c r="AG44" s="69"/>
      <c r="AH44" s="127"/>
      <c r="AI44" s="74" t="str">
        <f t="shared" si="112"/>
        <v>Georgia</v>
      </c>
      <c r="AJ44" s="75"/>
      <c r="AK44" s="75"/>
      <c r="AL44" s="76" t="str">
        <f t="shared" si="113"/>
        <v>Portugal</v>
      </c>
      <c r="AO44" s="77">
        <f t="shared" si="114"/>
        <v>0</v>
      </c>
      <c r="AP44" s="78" t="str">
        <f t="shared" si="115"/>
        <v/>
      </c>
      <c r="AQ44" s="69"/>
      <c r="AR44" s="127"/>
      <c r="AS44" s="74" t="str">
        <f t="shared" si="116"/>
        <v>Georgia</v>
      </c>
      <c r="AT44" s="75"/>
      <c r="AU44" s="75"/>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c r="BO44" s="75"/>
      <c r="BP44" s="76" t="str">
        <f t="shared" si="125"/>
        <v>Portugal</v>
      </c>
      <c r="BS44" s="77">
        <f t="shared" si="126"/>
        <v>0</v>
      </c>
      <c r="BT44" s="78" t="str">
        <f t="shared" si="127"/>
        <v/>
      </c>
      <c r="BU44" s="69"/>
      <c r="BV44" s="127"/>
      <c r="BW44" s="74" t="str">
        <f t="shared" si="128"/>
        <v>Georgia</v>
      </c>
      <c r="BX44" s="75"/>
      <c r="BY44" s="75"/>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102</v>
      </c>
      <c r="E45" s="157">
        <f t="shared" si="144"/>
        <v>45469.875</v>
      </c>
      <c r="F45" s="158">
        <v>45469.875</v>
      </c>
      <c r="G45" s="72" t="str">
        <f>Matches!G43</f>
        <v>Czechia</v>
      </c>
      <c r="H45" s="75"/>
      <c r="I45" s="75"/>
      <c r="J45" s="73" t="str">
        <f>Matches!J43</f>
        <v>Türkiye</v>
      </c>
      <c r="K45" s="55"/>
      <c r="L45" s="55"/>
      <c r="M45" s="67"/>
      <c r="N45" s="127"/>
      <c r="O45" s="74" t="str">
        <f t="shared" si="104"/>
        <v>Czechia</v>
      </c>
      <c r="P45" s="331">
        <v>3</v>
      </c>
      <c r="Q45" s="331">
        <v>3</v>
      </c>
      <c r="R45" s="76" t="str">
        <f t="shared" si="105"/>
        <v>Türkiye</v>
      </c>
      <c r="U45" s="77">
        <f t="shared" si="106"/>
        <v>0</v>
      </c>
      <c r="V45" s="78" t="str">
        <f t="shared" si="107"/>
        <v/>
      </c>
      <c r="W45" s="69"/>
      <c r="X45" s="127"/>
      <c r="Y45" s="74" t="str">
        <f t="shared" si="108"/>
        <v>Czechia</v>
      </c>
      <c r="Z45" s="333">
        <v>1</v>
      </c>
      <c r="AA45" s="334">
        <v>2</v>
      </c>
      <c r="AB45" s="76" t="str">
        <f t="shared" si="109"/>
        <v>Türkiye</v>
      </c>
      <c r="AE45" s="77">
        <f t="shared" si="110"/>
        <v>0</v>
      </c>
      <c r="AF45" s="78" t="str">
        <f t="shared" si="111"/>
        <v/>
      </c>
      <c r="AG45" s="69"/>
      <c r="AH45" s="127"/>
      <c r="AI45" s="74" t="str">
        <f t="shared" si="112"/>
        <v>Czechia</v>
      </c>
      <c r="AJ45" s="75"/>
      <c r="AK45" s="75"/>
      <c r="AL45" s="76" t="str">
        <f t="shared" si="113"/>
        <v>Türkiye</v>
      </c>
      <c r="AO45" s="77">
        <f t="shared" si="114"/>
        <v>0</v>
      </c>
      <c r="AP45" s="78" t="str">
        <f t="shared" si="115"/>
        <v/>
      </c>
      <c r="AQ45" s="69"/>
      <c r="AR45" s="127"/>
      <c r="AS45" s="74" t="str">
        <f t="shared" si="116"/>
        <v>Czechia</v>
      </c>
      <c r="AT45" s="75"/>
      <c r="AU45" s="75"/>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c r="BO45" s="75"/>
      <c r="BP45" s="76" t="str">
        <f t="shared" si="125"/>
        <v>Türkiye</v>
      </c>
      <c r="BS45" s="77">
        <f t="shared" si="126"/>
        <v>0</v>
      </c>
      <c r="BT45" s="78" t="str">
        <f t="shared" si="127"/>
        <v/>
      </c>
      <c r="BU45" s="69"/>
      <c r="BV45" s="127"/>
      <c r="BW45" s="74" t="str">
        <f t="shared" si="128"/>
        <v>Czechia</v>
      </c>
      <c r="BX45" s="75"/>
      <c r="BY45" s="75"/>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78" t="s">
        <v>103</v>
      </c>
      <c r="E50" s="368"/>
      <c r="F50" s="368"/>
      <c r="G50" s="378" t="s">
        <v>104</v>
      </c>
      <c r="H50" s="368"/>
      <c r="I50" s="368" t="s">
        <v>105</v>
      </c>
      <c r="J50" s="368"/>
      <c r="K50" s="66"/>
      <c r="L50" s="66"/>
      <c r="M50" s="67"/>
      <c r="N50" s="86">
        <f ca="1">SUM(W51:W58)</f>
        <v>0</v>
      </c>
      <c r="O50" s="367" t="str">
        <f>D50</f>
        <v>Winner</v>
      </c>
      <c r="P50" s="367"/>
      <c r="Q50" s="367" t="str">
        <f>G50</f>
        <v>Runner Up</v>
      </c>
      <c r="R50" s="367"/>
      <c r="S50" s="367" t="str">
        <f>I50</f>
        <v>Third Place</v>
      </c>
      <c r="T50" s="367"/>
      <c r="U50" s="367"/>
      <c r="V50" s="68"/>
      <c r="W50" s="69"/>
      <c r="X50" s="86">
        <f ca="1">SUM(AG51:AG58)</f>
        <v>0</v>
      </c>
      <c r="Y50" s="367" t="str">
        <f>O50</f>
        <v>Winner</v>
      </c>
      <c r="Z50" s="367"/>
      <c r="AA50" s="367" t="str">
        <f>Q50</f>
        <v>Runner Up</v>
      </c>
      <c r="AB50" s="367"/>
      <c r="AC50" s="367" t="str">
        <f>S50</f>
        <v>Third Place</v>
      </c>
      <c r="AD50" s="367"/>
      <c r="AE50" s="367"/>
      <c r="AF50" s="68"/>
      <c r="AG50" s="69"/>
      <c r="AH50" s="86">
        <f t="shared" ref="AH50" si="153">SUM(AQ51:AQ58)</f>
        <v>0</v>
      </c>
      <c r="AI50" s="367" t="str">
        <f t="shared" si="145"/>
        <v>Winner</v>
      </c>
      <c r="AJ50" s="367"/>
      <c r="AK50" s="367" t="str">
        <f t="shared" ref="AK50" si="154">AA50</f>
        <v>Runner Up</v>
      </c>
      <c r="AL50" s="367"/>
      <c r="AM50" s="367" t="str">
        <f t="shared" ref="AM50" si="155">AC50</f>
        <v>Third Place</v>
      </c>
      <c r="AN50" s="367"/>
      <c r="AO50" s="367"/>
      <c r="AP50" s="68"/>
      <c r="AQ50" s="69"/>
      <c r="AR50" s="86">
        <f t="shared" ref="AR50" si="156">SUM(BA51:BA58)</f>
        <v>0</v>
      </c>
      <c r="AS50" s="367" t="str">
        <f t="shared" si="146"/>
        <v>Winner</v>
      </c>
      <c r="AT50" s="367"/>
      <c r="AU50" s="367" t="str">
        <f t="shared" ref="AU50" si="157">AK50</f>
        <v>Runner Up</v>
      </c>
      <c r="AV50" s="367"/>
      <c r="AW50" s="367" t="str">
        <f t="shared" ref="AW50" si="158">AM50</f>
        <v>Third Place</v>
      </c>
      <c r="AX50" s="367"/>
      <c r="AY50" s="367"/>
      <c r="AZ50" s="68"/>
      <c r="BA50" s="69"/>
      <c r="BB50" s="86">
        <f t="shared" ref="BB50" ca="1" si="159">SUM(BK51:BK58)</f>
        <v>0</v>
      </c>
      <c r="BC50" s="367" t="str">
        <f t="shared" si="147"/>
        <v>Winner</v>
      </c>
      <c r="BD50" s="367"/>
      <c r="BE50" s="367" t="str">
        <f t="shared" ref="BE50" si="160">AU50</f>
        <v>Runner Up</v>
      </c>
      <c r="BF50" s="367"/>
      <c r="BG50" s="367" t="str">
        <f t="shared" ref="BG50" si="161">AW50</f>
        <v>Third Place</v>
      </c>
      <c r="BH50" s="367"/>
      <c r="BI50" s="367"/>
      <c r="BJ50" s="68"/>
      <c r="BK50" s="69"/>
      <c r="BL50" s="86">
        <f t="shared" ref="BL50" si="162">SUM(BU51:BU58)</f>
        <v>0</v>
      </c>
      <c r="BM50" s="367" t="str">
        <f t="shared" si="148"/>
        <v>Winner</v>
      </c>
      <c r="BN50" s="367"/>
      <c r="BO50" s="367" t="str">
        <f t="shared" ref="BO50" si="163">BE50</f>
        <v>Runner Up</v>
      </c>
      <c r="BP50" s="367"/>
      <c r="BQ50" s="367" t="str">
        <f t="shared" ref="BQ50" si="164">BG50</f>
        <v>Third Place</v>
      </c>
      <c r="BR50" s="367"/>
      <c r="BS50" s="367"/>
      <c r="BT50" s="68"/>
      <c r="BU50" s="69"/>
      <c r="BV50" s="86">
        <f t="shared" ref="BV50" si="165">SUM(CE51:CE58)</f>
        <v>0</v>
      </c>
      <c r="BW50" s="367" t="str">
        <f t="shared" si="149"/>
        <v>Winner</v>
      </c>
      <c r="BX50" s="367"/>
      <c r="BY50" s="367" t="str">
        <f t="shared" ref="BY50" si="166">BO50</f>
        <v>Runner Up</v>
      </c>
      <c r="BZ50" s="367"/>
      <c r="CA50" s="367" t="str">
        <f t="shared" ref="CA50" si="167">BQ50</f>
        <v>Third Place</v>
      </c>
      <c r="CB50" s="367"/>
      <c r="CC50" s="367"/>
      <c r="CD50" s="68"/>
      <c r="CE50" s="69"/>
      <c r="CF50" s="86">
        <f t="shared" ref="CF50" si="168">SUM(CO51:CO58)</f>
        <v>0</v>
      </c>
      <c r="CG50" s="367" t="str">
        <f t="shared" si="150"/>
        <v>Winner</v>
      </c>
      <c r="CH50" s="367"/>
      <c r="CI50" s="367" t="str">
        <f t="shared" ref="CI50" si="169">BY50</f>
        <v>Runner Up</v>
      </c>
      <c r="CJ50" s="367"/>
      <c r="CK50" s="367" t="str">
        <f t="shared" ref="CK50" si="170">CA50</f>
        <v>Third Place</v>
      </c>
      <c r="CL50" s="367"/>
      <c r="CM50" s="367"/>
      <c r="CN50" s="68"/>
      <c r="CO50" s="69"/>
      <c r="CP50" s="86">
        <f t="shared" ref="CP50" si="171">SUM(CY51:CY58)</f>
        <v>0</v>
      </c>
      <c r="CQ50" s="367" t="str">
        <f t="shared" si="151"/>
        <v>Winner</v>
      </c>
      <c r="CR50" s="367"/>
      <c r="CS50" s="367" t="str">
        <f t="shared" ref="CS50" si="172">CI50</f>
        <v>Runner Up</v>
      </c>
      <c r="CT50" s="367"/>
      <c r="CU50" s="367" t="str">
        <f t="shared" ref="CU50" si="173">CK50</f>
        <v>Third Place</v>
      </c>
      <c r="CV50" s="367"/>
      <c r="CW50" s="367"/>
      <c r="CX50" s="68"/>
      <c r="CY50" s="69"/>
      <c r="CZ50" s="86">
        <f t="shared" ref="CZ50" si="174">SUM(DI51:DI58)</f>
        <v>0</v>
      </c>
      <c r="DA50" s="367" t="str">
        <f t="shared" si="152"/>
        <v>Winner</v>
      </c>
      <c r="DB50" s="367"/>
      <c r="DC50" s="367" t="str">
        <f t="shared" ref="DC50" si="175">CS50</f>
        <v>Runner Up</v>
      </c>
      <c r="DD50" s="367"/>
      <c r="DE50" s="367" t="str">
        <f t="shared" ref="DE50" si="176">CU50</f>
        <v>Third Place</v>
      </c>
      <c r="DF50" s="367"/>
      <c r="DG50" s="367"/>
      <c r="DH50" s="68"/>
      <c r="DI50" s="69"/>
    </row>
    <row r="51" spans="1:113" s="43" customFormat="1" ht="15" customHeight="1" x14ac:dyDescent="0.25">
      <c r="A51" s="41"/>
      <c r="B51" s="65"/>
      <c r="C51" s="87" t="s">
        <v>97</v>
      </c>
      <c r="D51" s="363" t="str">
        <f>Matches!P7</f>
        <v>Germany</v>
      </c>
      <c r="E51" s="363"/>
      <c r="F51" s="363"/>
      <c r="G51" s="363" t="str">
        <f>Matches!P8</f>
        <v>Switzerland</v>
      </c>
      <c r="H51" s="363"/>
      <c r="I51" s="376" t="str">
        <f>IF(ISNA(MATCH(Matches!P9,Qual3,0)),"",Matches!P9)</f>
        <v/>
      </c>
      <c r="J51" s="377"/>
      <c r="K51" s="66"/>
      <c r="L51" s="66"/>
      <c r="M51" s="67"/>
      <c r="N51" s="126">
        <v>0</v>
      </c>
      <c r="O51" s="353" t="str">
        <f ca="1">VLOOKUP(1,OFFSET('Dummy Table'!DY4:DZ7,0,N51),2,FALSE)</f>
        <v>Germany</v>
      </c>
      <c r="P51" s="353"/>
      <c r="Q51" s="353" t="str">
        <f ca="1">VLOOKUP(2,OFFSET('Dummy Table'!DY4:DZ7,0,N51),2,FALSE)</f>
        <v>Scotland</v>
      </c>
      <c r="R51" s="353"/>
      <c r="S51" s="355" t="str">
        <f ca="1">IFERROR(IF(MATCH(VLOOKUP(3,OFFSET('Dummy Table'!DY4:DZ7,0,N51),2,FALSE),OFFSET('Dummy Table'!IU13:IU16,0,N51),0),VLOOKUP(3,OFFSET('Dummy Table'!DY4:DZ7,0,N51),2,FALSE),""),"")</f>
        <v>Switzerland</v>
      </c>
      <c r="T51" s="355"/>
      <c r="U51" s="355"/>
      <c r="V51" s="68"/>
      <c r="W51" s="78">
        <f>IF(P45&lt;&gt;"",IF(SUM(Matches!T7:T10)=12,IF(O51=D51,Bonu1,0)+IF(Q51=G51,Bonu2,0)+IF(AND(S51&lt;&gt;"",I51&lt;&gt;"",S51=I51),Bonu3,0),0),"")</f>
        <v>0</v>
      </c>
      <c r="X51" s="126">
        <f>N51+128</f>
        <v>128</v>
      </c>
      <c r="Y51" s="353" t="str">
        <f ca="1">VLOOKUP(1,OFFSET('Dummy Table'!DY4:DZ7,0,X51),2,FALSE)</f>
        <v>Germany</v>
      </c>
      <c r="Z51" s="353"/>
      <c r="AA51" s="353" t="str">
        <f ca="1">VLOOKUP(2,OFFSET('Dummy Table'!DY4:DZ7,0,X51),2,FALSE)</f>
        <v>Switzerland</v>
      </c>
      <c r="AB51" s="353"/>
      <c r="AC51" s="355" t="str">
        <f ca="1">IFERROR(IF(MATCH(VLOOKUP(3,OFFSET('Dummy Table'!DY4:DZ7,0,X51),2,FALSE),OFFSET('Dummy Table'!IU13:IU16,0,X51),0),VLOOKUP(3,OFFSET('Dummy Table'!DY4:DZ7,0,X51),2,FALSE),""),"")</f>
        <v>Hungary</v>
      </c>
      <c r="AD51" s="355"/>
      <c r="AE51" s="355"/>
      <c r="AF51" s="68"/>
      <c r="AG51" s="78">
        <f>IF(Z45&lt;&gt;"",IF(SUM(Matches!T7:T10)=12,IF(Y51=D51,Bonu1,0)+IF(AA51=G51,Bonu2,0)+IF(AND(AC51&lt;&gt;"",I51&lt;&gt;"",AC51=I51),Bonu3,0),0),"")</f>
        <v>0</v>
      </c>
      <c r="AH51" s="126">
        <f t="shared" ref="AH51" si="177">X51+128</f>
        <v>256</v>
      </c>
      <c r="AI51" s="353" t="str">
        <f ca="1">VLOOKUP(1,OFFSET('Dummy Table'!DY4:DZ7,0,AH51),2,FALSE)</f>
        <v>Germany</v>
      </c>
      <c r="AJ51" s="353"/>
      <c r="AK51" s="353" t="str">
        <f ca="1">VLOOKUP(2,OFFSET('Dummy Table'!DY4:DZ7,0,AH51),2,FALSE)</f>
        <v>Hungary</v>
      </c>
      <c r="AL51" s="353"/>
      <c r="AM51" s="355" t="str">
        <f ca="1">IFERROR(IF(MATCH(VLOOKUP(3,OFFSET('Dummy Table'!DY4:DZ7,0,AH51),2,FALSE),OFFSET('Dummy Table'!IU13:IU16,0,AH51),0),VLOOKUP(3,OFFSET('Dummy Table'!DY4:DZ7,0,AH51),2,FALSE),""),"")</f>
        <v>Scotland</v>
      </c>
      <c r="AN51" s="355"/>
      <c r="AO51" s="355"/>
      <c r="AP51" s="68"/>
      <c r="AQ51" s="78" t="str">
        <f>IF(AJ45&lt;&gt;"",IF(SUM(Matches!T7:T10)=12,IF(AI51=D51,Bonu1,0)+IF(AK51=G51,Bonu2,0)+IF(AND(AM51&lt;&gt;"",I51&lt;&gt;"",AM51=I51),Bonu3,0),0),"")</f>
        <v/>
      </c>
      <c r="AR51" s="126">
        <f t="shared" ref="AR51" si="178">AH51+128</f>
        <v>384</v>
      </c>
      <c r="AS51" s="353" t="str">
        <f ca="1">VLOOKUP(1,OFFSET('Dummy Table'!DY4:DZ7,0,AR51),2,FALSE)</f>
        <v>Germany</v>
      </c>
      <c r="AT51" s="353"/>
      <c r="AU51" s="353" t="str">
        <f ca="1">VLOOKUP(2,OFFSET('Dummy Table'!DY4:DZ7,0,AR51),2,FALSE)</f>
        <v>Hungary</v>
      </c>
      <c r="AV51" s="353"/>
      <c r="AW51" s="355" t="str">
        <f ca="1">IFERROR(IF(MATCH(VLOOKUP(3,OFFSET('Dummy Table'!DY4:DZ7,0,AR51),2,FALSE),OFFSET('Dummy Table'!IU13:IU16,0,AR51),0),VLOOKUP(3,OFFSET('Dummy Table'!DY4:DZ7,0,AR51),2,FALSE),""),"")</f>
        <v>Scotland</v>
      </c>
      <c r="AX51" s="355"/>
      <c r="AY51" s="355"/>
      <c r="AZ51" s="68"/>
      <c r="BA51" s="78" t="str">
        <f>IF(AT45&lt;&gt;"",IF(SUM(Matches!T7:T10)=12,IF(AS51=D51,Bonu1,0)+IF(AU51=G51,Bonu2,0)+IF(AND(AW51&lt;&gt;"",I51&lt;&gt;"",AW51=I51),Bonu3,0),0),"")</f>
        <v/>
      </c>
      <c r="BB51" s="126">
        <f t="shared" ref="BB51" si="179">AR51+128</f>
        <v>512</v>
      </c>
      <c r="BC51" s="353" t="str">
        <f ca="1">VLOOKUP(1,OFFSET('Dummy Table'!DY4:DZ7,0,BB51),2,FALSE)</f>
        <v>Germany</v>
      </c>
      <c r="BD51" s="353"/>
      <c r="BE51" s="353" t="str">
        <f ca="1">VLOOKUP(2,OFFSET('Dummy Table'!DY4:DZ7,0,BB51),2,FALSE)</f>
        <v>Switzerland</v>
      </c>
      <c r="BF51" s="353"/>
      <c r="BG51" s="355" t="str">
        <f ca="1">IFERROR(IF(MATCH(VLOOKUP(3,OFFSET('Dummy Table'!DY4:DZ7,0,BB51),2,FALSE),OFFSET('Dummy Table'!IU13:IU16,0,BB51),0),VLOOKUP(3,OFFSET('Dummy Table'!DY4:DZ7,0,BB51),2,FALSE),""),"")</f>
        <v/>
      </c>
      <c r="BH51" s="355"/>
      <c r="BI51" s="355"/>
      <c r="BJ51" s="68"/>
      <c r="BK51" s="78">
        <f>IF(BD45&lt;&gt;"",IF(SUM(Matches!T7:T10)=12,IF(BC51=D51,Bonu1,0)+IF(BE51=G51,Bonu2,0)+IF(AND(BG51&lt;&gt;"",I51&lt;&gt;"",BG51=I51),Bonu3,0),0),"")</f>
        <v>0</v>
      </c>
      <c r="BL51" s="126">
        <f t="shared" ref="BL51" si="180">BB51+128</f>
        <v>640</v>
      </c>
      <c r="BM51" s="353" t="str">
        <f ca="1">VLOOKUP(1,OFFSET('Dummy Table'!DY4:DZ7,0,BL51),2,FALSE)</f>
        <v>Germany</v>
      </c>
      <c r="BN51" s="353"/>
      <c r="BO51" s="353" t="str">
        <f ca="1">VLOOKUP(2,OFFSET('Dummy Table'!DY4:DZ7,0,BL51),2,FALSE)</f>
        <v>Hungary</v>
      </c>
      <c r="BP51" s="353"/>
      <c r="BQ51" s="355" t="str">
        <f ca="1">IFERROR(IF(MATCH(VLOOKUP(3,OFFSET('Dummy Table'!DY4:DZ7,0,BL51),2,FALSE),OFFSET('Dummy Table'!IU13:IU16,0,BL51),0),VLOOKUP(3,OFFSET('Dummy Table'!DY4:DZ7,0,BL51),2,FALSE),""),"")</f>
        <v>Scotland</v>
      </c>
      <c r="BR51" s="355"/>
      <c r="BS51" s="355"/>
      <c r="BT51" s="68"/>
      <c r="BU51" s="78" t="str">
        <f>IF(BN45&lt;&gt;"",IF(SUM(Matches!T7:T10)=12,IF(BM51=D51,Bonu1,0)+IF(BO51=G51,Bonu2,0)+IF(AND(BQ51&lt;&gt;"",I51&lt;&gt;"",BQ51=I51),Bonu3,0),0),"")</f>
        <v/>
      </c>
      <c r="BV51" s="126">
        <f t="shared" ref="BV51" si="181">BL51+128</f>
        <v>768</v>
      </c>
      <c r="BW51" s="353" t="str">
        <f ca="1">VLOOKUP(1,OFFSET('Dummy Table'!DY4:DZ7,0,BV51),2,FALSE)</f>
        <v>Germany</v>
      </c>
      <c r="BX51" s="353"/>
      <c r="BY51" s="353" t="str">
        <f ca="1">VLOOKUP(2,OFFSET('Dummy Table'!DY4:DZ7,0,BV51),2,FALSE)</f>
        <v>Hungary</v>
      </c>
      <c r="BZ51" s="353"/>
      <c r="CA51" s="355" t="str">
        <f ca="1">IFERROR(IF(MATCH(VLOOKUP(3,OFFSET('Dummy Table'!DY4:DZ7,0,BV51),2,FALSE),OFFSET('Dummy Table'!IU13:IU16,0,BV51),0),VLOOKUP(3,OFFSET('Dummy Table'!DY4:DZ7,0,BV51),2,FALSE),""),"")</f>
        <v>Scotland</v>
      </c>
      <c r="CB51" s="355"/>
      <c r="CC51" s="355"/>
      <c r="CD51" s="68"/>
      <c r="CE51" s="78" t="str">
        <f>IF(BX45&lt;&gt;"",IF(SUM(Matches!T7:T10)=12,IF(BW51=D51,Bonu1,0)+IF(BY51=G51,Bonu2,0)+IF(AND(CA51&lt;&gt;"",I51&lt;&gt;"",CA51=I51),Bonu3,0),0),"")</f>
        <v/>
      </c>
      <c r="CF51" s="126">
        <f t="shared" ref="CF51" si="182">BV51+128</f>
        <v>896</v>
      </c>
      <c r="CG51" s="353" t="str">
        <f ca="1">VLOOKUP(1,OFFSET('Dummy Table'!DY4:DZ7,0,CF51),2,FALSE)</f>
        <v>Germany</v>
      </c>
      <c r="CH51" s="353"/>
      <c r="CI51" s="353" t="str">
        <f ca="1">VLOOKUP(2,OFFSET('Dummy Table'!DY4:DZ7,0,CF51),2,FALSE)</f>
        <v>Hungary</v>
      </c>
      <c r="CJ51" s="353"/>
      <c r="CK51" s="355" t="str">
        <f ca="1">IFERROR(IF(MATCH(VLOOKUP(3,OFFSET('Dummy Table'!DY4:DZ7,0,CF51),2,FALSE),OFFSET('Dummy Table'!IU13:IU16,0,CF51),0),VLOOKUP(3,OFFSET('Dummy Table'!DY4:DZ7,0,CF51),2,FALSE),""),"")</f>
        <v>Scotland</v>
      </c>
      <c r="CL51" s="355"/>
      <c r="CM51" s="355"/>
      <c r="CN51" s="68"/>
      <c r="CO51" s="78" t="str">
        <f>IF(CH45&lt;&gt;"",IF(SUM(Matches!T7:T10)=12,IF(CG51=D51,Bonu1,0)+IF(CI51=G51,Bonu2,0)+IF(AND(CK51&lt;&gt;"",I51&lt;&gt;"",CK51=I51),Bonu3,0),0),"")</f>
        <v/>
      </c>
      <c r="CP51" s="126">
        <f t="shared" ref="CP51" si="183">CF51+128</f>
        <v>1024</v>
      </c>
      <c r="CQ51" s="353" t="str">
        <f ca="1">VLOOKUP(1,OFFSET('Dummy Table'!DY4:DZ7,0,CP51),2,FALSE)</f>
        <v>Germany</v>
      </c>
      <c r="CR51" s="353"/>
      <c r="CS51" s="353" t="str">
        <f ca="1">VLOOKUP(2,OFFSET('Dummy Table'!DY4:DZ7,0,CP51),2,FALSE)</f>
        <v>Hungary</v>
      </c>
      <c r="CT51" s="353"/>
      <c r="CU51" s="355" t="str">
        <f ca="1">IFERROR(IF(MATCH(VLOOKUP(3,OFFSET('Dummy Table'!DY4:DZ7,0,CP51),2,FALSE),OFFSET('Dummy Table'!IU13:IU16,0,CP51),0),VLOOKUP(3,OFFSET('Dummy Table'!DY4:DZ7,0,CP51),2,FALSE),""),"")</f>
        <v>Scotland</v>
      </c>
      <c r="CV51" s="355"/>
      <c r="CW51" s="355"/>
      <c r="CX51" s="68"/>
      <c r="CY51" s="78" t="str">
        <f>IF(CR45&lt;&gt;"",IF(SUM(Matches!T7:T10)=12,IF(CQ51=D51,Bonu1,0)+IF(CS51=G51,Bonu2,0)+IF(AND(CU51&lt;&gt;"",I51&lt;&gt;"",CU51=I51),Bonu3,0),0),"")</f>
        <v/>
      </c>
      <c r="CZ51" s="126">
        <f t="shared" ref="CZ51" si="184">CP51+128</f>
        <v>1152</v>
      </c>
      <c r="DA51" s="353" t="str">
        <f ca="1">VLOOKUP(1,OFFSET('Dummy Table'!DY4:DZ7,0,CZ51),2,FALSE)</f>
        <v>Germany</v>
      </c>
      <c r="DB51" s="353"/>
      <c r="DC51" s="353" t="str">
        <f ca="1">VLOOKUP(2,OFFSET('Dummy Table'!DY4:DZ7,0,CZ51),2,FALSE)</f>
        <v>Hungary</v>
      </c>
      <c r="DD51" s="353"/>
      <c r="DE51" s="355" t="str">
        <f ca="1">IFERROR(IF(MATCH(VLOOKUP(3,OFFSET('Dummy Table'!DY4:DZ7,0,CZ51),2,FALSE),OFFSET('Dummy Table'!IU13:IU16,0,CZ51),0),VLOOKUP(3,OFFSET('Dummy Table'!DY4:DZ7,0,CZ51),2,FALSE),""),"")</f>
        <v>Scotland</v>
      </c>
      <c r="DF51" s="355"/>
      <c r="DG51" s="355"/>
      <c r="DH51" s="68"/>
      <c r="DI51" s="78" t="str">
        <f>IF(DB45&lt;&gt;"",IF(SUM(Matches!T7:T10)=12,IF(DA51=D51,Bonu1,0)+IF(DC51=G51,Bonu2,0)+IF(AND(DE51&lt;&gt;"",I51&lt;&gt;"",DE51=I51),Bonu3,0),0),"")</f>
        <v/>
      </c>
    </row>
    <row r="52" spans="1:113" s="43" customFormat="1" ht="15" customHeight="1" x14ac:dyDescent="0.25">
      <c r="A52" s="41"/>
      <c r="B52" s="65"/>
      <c r="C52" s="87" t="s">
        <v>98</v>
      </c>
      <c r="D52" s="363" t="str">
        <f>Matches!P12</f>
        <v>Spain</v>
      </c>
      <c r="E52" s="363"/>
      <c r="F52" s="363"/>
      <c r="G52" s="363" t="str">
        <f>Matches!P13</f>
        <v>Italy</v>
      </c>
      <c r="H52" s="363"/>
      <c r="I52" s="376" t="str">
        <f>IF(ISNA(MATCH(Matches!P14,Qual3,0)),"",Matches!P14)</f>
        <v>Albania</v>
      </c>
      <c r="J52" s="377"/>
      <c r="K52" s="66"/>
      <c r="L52" s="66"/>
      <c r="M52" s="67"/>
      <c r="N52" s="126">
        <f ca="1">SUM(U61:U75)</f>
        <v>0</v>
      </c>
      <c r="O52" s="353" t="str">
        <f ca="1">VLOOKUP(1,OFFSET('Dummy Table'!DY11:DZ14,0,N51),2,FALSE)</f>
        <v>Croatia</v>
      </c>
      <c r="P52" s="353"/>
      <c r="Q52" s="353" t="str">
        <f ca="1">VLOOKUP(2,OFFSET('Dummy Table'!DY11:DZ14,0,N51),2,FALSE)</f>
        <v>Spain</v>
      </c>
      <c r="R52" s="353"/>
      <c r="S52" s="355" t="str">
        <f ca="1">IFERROR(IF(MATCH(VLOOKUP(3,OFFSET('Dummy Table'!DY11:DZ14,0,N51),2,FALSE),OFFSET('Dummy Table'!IU13:IU16,0,N51),0),VLOOKUP(3,OFFSET('Dummy Table'!DY11:DZ14,0,N51),2,FALSE),""),"")</f>
        <v>Italy</v>
      </c>
      <c r="T52" s="355"/>
      <c r="U52" s="355"/>
      <c r="V52" s="68"/>
      <c r="W52" s="78">
        <f>IF(P45&lt;&gt;"",IF(SUM(Matches!T12:T15)=12,IF(O52=D52,Bonu1,0)+IF(Q52=G52,Bonu2,0)+IF(AND(S52&lt;&gt;"",I52&lt;&gt;"",S52=I52),Bonu3,0),0),"")</f>
        <v>0</v>
      </c>
      <c r="X52" s="126">
        <f ca="1">SUM(AE61:AE75)</f>
        <v>0</v>
      </c>
      <c r="Y52" s="353" t="str">
        <f ca="1">VLOOKUP(1,OFFSET('Dummy Table'!DY11:DZ14,0,X51),2,FALSE)</f>
        <v>Croatia</v>
      </c>
      <c r="Z52" s="353"/>
      <c r="AA52" s="353" t="str">
        <f ca="1">VLOOKUP(2,OFFSET('Dummy Table'!DY11:DZ14,0,X51),2,FALSE)</f>
        <v>Spain</v>
      </c>
      <c r="AB52" s="353"/>
      <c r="AC52" s="355" t="str">
        <f ca="1">IFERROR(IF(MATCH(VLOOKUP(3,OFFSET('Dummy Table'!DY11:DZ14,0,X51),2,FALSE),OFFSET('Dummy Table'!IU13:IU16,0,X51),0),VLOOKUP(3,OFFSET('Dummy Table'!DY11:DZ14,0,X51),2,FALSE),""),"")</f>
        <v>Italy</v>
      </c>
      <c r="AD52" s="355"/>
      <c r="AE52" s="355"/>
      <c r="AF52" s="68"/>
      <c r="AG52" s="78">
        <f>IF(Z45&lt;&gt;"",IF(SUM(Matches!T12:T15)=12,IF(Y52=D52,Bonu1,0)+IF(AA52=G52,Bonu2,0)+IF(AND(AC52&lt;&gt;"",I52&lt;&gt;"",AC52=I52),Bonu3,0),0),"")</f>
        <v>0</v>
      </c>
      <c r="AH52" s="126">
        <f t="shared" ref="AH52" ca="1" si="185">SUM(AO61:AO75)</f>
        <v>0</v>
      </c>
      <c r="AI52" s="353" t="str">
        <f ca="1">VLOOKUP(1,OFFSET('Dummy Table'!DY11:DZ14,0,AH51),2,FALSE)</f>
        <v>Spain</v>
      </c>
      <c r="AJ52" s="353"/>
      <c r="AK52" s="353" t="str">
        <f ca="1">VLOOKUP(2,OFFSET('Dummy Table'!DY11:DZ14,0,AH51),2,FALSE)</f>
        <v>Albania</v>
      </c>
      <c r="AL52" s="353"/>
      <c r="AM52" s="355" t="str">
        <f ca="1">IFERROR(IF(MATCH(VLOOKUP(3,OFFSET('Dummy Table'!DY11:DZ14,0,AH51),2,FALSE),OFFSET('Dummy Table'!IU13:IU16,0,AH51),0),VLOOKUP(3,OFFSET('Dummy Table'!DY11:DZ14,0,AH51),2,FALSE),""),"")</f>
        <v>Croatia</v>
      </c>
      <c r="AN52" s="355"/>
      <c r="AO52" s="355"/>
      <c r="AP52" s="68"/>
      <c r="AQ52" s="78" t="str">
        <f>IF(AJ45&lt;&gt;"",IF(SUM(Matches!T12:T15)=12,IF(AI52=D52,Bonu1,0)+IF(AK52=G52,Bonu2,0)+IF(AND(AM52&lt;&gt;"",I52&lt;&gt;"",AM52=I52),Bonu3,0),0),"")</f>
        <v/>
      </c>
      <c r="AR52" s="126">
        <f t="shared" ref="AR52" ca="1" si="186">SUM(AY61:AY75)</f>
        <v>0</v>
      </c>
      <c r="AS52" s="353" t="str">
        <f ca="1">VLOOKUP(1,OFFSET('Dummy Table'!DY11:DZ14,0,AR51),2,FALSE)</f>
        <v>Spain</v>
      </c>
      <c r="AT52" s="353"/>
      <c r="AU52" s="353" t="str">
        <f ca="1">VLOOKUP(2,OFFSET('Dummy Table'!DY11:DZ14,0,AR51),2,FALSE)</f>
        <v>Albania</v>
      </c>
      <c r="AV52" s="353"/>
      <c r="AW52" s="355" t="str">
        <f ca="1">IFERROR(IF(MATCH(VLOOKUP(3,OFFSET('Dummy Table'!DY11:DZ14,0,AR51),2,FALSE),OFFSET('Dummy Table'!IU13:IU16,0,AR51),0),VLOOKUP(3,OFFSET('Dummy Table'!DY11:DZ14,0,AR51),2,FALSE),""),"")</f>
        <v>Croatia</v>
      </c>
      <c r="AX52" s="355"/>
      <c r="AY52" s="355"/>
      <c r="AZ52" s="68"/>
      <c r="BA52" s="78" t="str">
        <f>IF(AT45&lt;&gt;"",IF(SUM(Matches!T12:T15)=12,IF(AS52=D52,Bonu1,0)+IF(AU52=G52,Bonu2,0)+IF(AND(AW52&lt;&gt;"",I52&lt;&gt;"",AW52=I52),Bonu3,0),0),"")</f>
        <v/>
      </c>
      <c r="BB52" s="126">
        <f t="shared" ref="BB52" ca="1" si="187">SUM(BI61:BI75)</f>
        <v>0</v>
      </c>
      <c r="BC52" s="353" t="str">
        <f ca="1">VLOOKUP(1,OFFSET('Dummy Table'!DY11:DZ14,0,BB51),2,FALSE)</f>
        <v>Croatia</v>
      </c>
      <c r="BD52" s="353"/>
      <c r="BE52" s="353" t="str">
        <f ca="1">VLOOKUP(2,OFFSET('Dummy Table'!DY11:DZ14,0,BB51),2,FALSE)</f>
        <v>Spain</v>
      </c>
      <c r="BF52" s="353"/>
      <c r="BG52" s="355" t="str">
        <f ca="1">IFERROR(IF(MATCH(VLOOKUP(3,OFFSET('Dummy Table'!DY11:DZ14,0,BB51),2,FALSE),OFFSET('Dummy Table'!IU13:IU16,0,BB51),0),VLOOKUP(3,OFFSET('Dummy Table'!DY11:DZ14,0,BB51),2,FALSE),""),"")</f>
        <v>Italy</v>
      </c>
      <c r="BH52" s="355"/>
      <c r="BI52" s="355"/>
      <c r="BJ52" s="68"/>
      <c r="BK52" s="78">
        <f>IF(BD45&lt;&gt;"",IF(SUM(Matches!T12:T15)=12,IF(BC52=D52,Bonu1,0)+IF(BE52=G52,Bonu2,0)+IF(AND(BG52&lt;&gt;"",I52&lt;&gt;"",BG52=I52),Bonu3,0),0),"")</f>
        <v>0</v>
      </c>
      <c r="BL52" s="126">
        <f t="shared" ref="BL52" ca="1" si="188">SUM(BS61:BS75)</f>
        <v>0</v>
      </c>
      <c r="BM52" s="353" t="str">
        <f ca="1">VLOOKUP(1,OFFSET('Dummy Table'!DY11:DZ14,0,BL51),2,FALSE)</f>
        <v>Spain</v>
      </c>
      <c r="BN52" s="353"/>
      <c r="BO52" s="353" t="str">
        <f ca="1">VLOOKUP(2,OFFSET('Dummy Table'!DY11:DZ14,0,BL51),2,FALSE)</f>
        <v>Albania</v>
      </c>
      <c r="BP52" s="353"/>
      <c r="BQ52" s="355" t="str">
        <f ca="1">IFERROR(IF(MATCH(VLOOKUP(3,OFFSET('Dummy Table'!DY11:DZ14,0,BL51),2,FALSE),OFFSET('Dummy Table'!IU13:IU16,0,BL51),0),VLOOKUP(3,OFFSET('Dummy Table'!DY11:DZ14,0,BL51),2,FALSE),""),"")</f>
        <v>Croatia</v>
      </c>
      <c r="BR52" s="355"/>
      <c r="BS52" s="355"/>
      <c r="BT52" s="68"/>
      <c r="BU52" s="78" t="str">
        <f>IF(BN45&lt;&gt;"",IF(SUM(Matches!T12:T15)=12,IF(BM52=D52,Bonu1,0)+IF(BO52=G52,Bonu2,0)+IF(AND(BQ52&lt;&gt;"",I52&lt;&gt;"",BQ52=I52),Bonu3,0),0),"")</f>
        <v/>
      </c>
      <c r="BV52" s="126">
        <f t="shared" ref="BV52" ca="1" si="189">SUM(CC61:CC75)</f>
        <v>0</v>
      </c>
      <c r="BW52" s="353" t="str">
        <f ca="1">VLOOKUP(1,OFFSET('Dummy Table'!DY11:DZ14,0,BV51),2,FALSE)</f>
        <v>Spain</v>
      </c>
      <c r="BX52" s="353"/>
      <c r="BY52" s="353" t="str">
        <f ca="1">VLOOKUP(2,OFFSET('Dummy Table'!DY11:DZ14,0,BV51),2,FALSE)</f>
        <v>Albania</v>
      </c>
      <c r="BZ52" s="353"/>
      <c r="CA52" s="355" t="str">
        <f ca="1">IFERROR(IF(MATCH(VLOOKUP(3,OFFSET('Dummy Table'!DY11:DZ14,0,BV51),2,FALSE),OFFSET('Dummy Table'!IU13:IU16,0,BV51),0),VLOOKUP(3,OFFSET('Dummy Table'!DY11:DZ14,0,BV51),2,FALSE),""),"")</f>
        <v>Croatia</v>
      </c>
      <c r="CB52" s="355"/>
      <c r="CC52" s="355"/>
      <c r="CD52" s="68"/>
      <c r="CE52" s="78" t="str">
        <f>IF(BX45&lt;&gt;"",IF(SUM(Matches!T12:T15)=12,IF(BW52=D52,Bonu1,0)+IF(BY52=G52,Bonu2,0)+IF(AND(CA52&lt;&gt;"",I52&lt;&gt;"",CA52=I52),Bonu3,0),0),"")</f>
        <v/>
      </c>
      <c r="CF52" s="126">
        <f t="shared" ref="CF52" ca="1" si="190">SUM(CM61:CM75)</f>
        <v>0</v>
      </c>
      <c r="CG52" s="353" t="str">
        <f ca="1">VLOOKUP(1,OFFSET('Dummy Table'!DY11:DZ14,0,CF51),2,FALSE)</f>
        <v>Spain</v>
      </c>
      <c r="CH52" s="353"/>
      <c r="CI52" s="353" t="str">
        <f ca="1">VLOOKUP(2,OFFSET('Dummy Table'!DY11:DZ14,0,CF51),2,FALSE)</f>
        <v>Albania</v>
      </c>
      <c r="CJ52" s="353"/>
      <c r="CK52" s="355" t="str">
        <f ca="1">IFERROR(IF(MATCH(VLOOKUP(3,OFFSET('Dummy Table'!DY11:DZ14,0,CF51),2,FALSE),OFFSET('Dummy Table'!IU13:IU16,0,CF51),0),VLOOKUP(3,OFFSET('Dummy Table'!DY11:DZ14,0,CF51),2,FALSE),""),"")</f>
        <v>Croatia</v>
      </c>
      <c r="CL52" s="355"/>
      <c r="CM52" s="355"/>
      <c r="CN52" s="68"/>
      <c r="CO52" s="78" t="str">
        <f>IF(CH45&lt;&gt;"",IF(SUM(Matches!T12:T15)=12,IF(CG52=D52,Bonu1,0)+IF(CI52=G52,Bonu2,0)+IF(AND(CK52&lt;&gt;"",I52&lt;&gt;"",CK52=I52),Bonu3,0),0),"")</f>
        <v/>
      </c>
      <c r="CP52" s="126">
        <f t="shared" ref="CP52" ca="1" si="191">SUM(CW61:CW75)</f>
        <v>0</v>
      </c>
      <c r="CQ52" s="353" t="str">
        <f ca="1">VLOOKUP(1,OFFSET('Dummy Table'!DY11:DZ14,0,CP51),2,FALSE)</f>
        <v>Spain</v>
      </c>
      <c r="CR52" s="353"/>
      <c r="CS52" s="353" t="str">
        <f ca="1">VLOOKUP(2,OFFSET('Dummy Table'!DY11:DZ14,0,CP51),2,FALSE)</f>
        <v>Albania</v>
      </c>
      <c r="CT52" s="353"/>
      <c r="CU52" s="355" t="str">
        <f ca="1">IFERROR(IF(MATCH(VLOOKUP(3,OFFSET('Dummy Table'!DY11:DZ14,0,CP51),2,FALSE),OFFSET('Dummy Table'!IU13:IU16,0,CP51),0),VLOOKUP(3,OFFSET('Dummy Table'!DY11:DZ14,0,CP51),2,FALSE),""),"")</f>
        <v>Croatia</v>
      </c>
      <c r="CV52" s="355"/>
      <c r="CW52" s="355"/>
      <c r="CX52" s="68"/>
      <c r="CY52" s="78" t="str">
        <f>IF(CR45&lt;&gt;"",IF(SUM(Matches!T12:T15)=12,IF(CQ52=D52,Bonu1,0)+IF(CS52=G52,Bonu2,0)+IF(AND(CU52&lt;&gt;"",I52&lt;&gt;"",CU52=I52),Bonu3,0),0),"")</f>
        <v/>
      </c>
      <c r="CZ52" s="126">
        <f t="shared" ref="CZ52" ca="1" si="192">SUM(DG61:DG75)</f>
        <v>0</v>
      </c>
      <c r="DA52" s="353" t="str">
        <f ca="1">VLOOKUP(1,OFFSET('Dummy Table'!DY11:DZ14,0,CZ51),2,FALSE)</f>
        <v>Spain</v>
      </c>
      <c r="DB52" s="353"/>
      <c r="DC52" s="353" t="str">
        <f ca="1">VLOOKUP(2,OFFSET('Dummy Table'!DY11:DZ14,0,CZ51),2,FALSE)</f>
        <v>Albania</v>
      </c>
      <c r="DD52" s="353"/>
      <c r="DE52" s="355" t="str">
        <f ca="1">IFERROR(IF(MATCH(VLOOKUP(3,OFFSET('Dummy Table'!DY11:DZ14,0,CZ51),2,FALSE),OFFSET('Dummy Table'!IU13:IU16,0,CZ51),0),VLOOKUP(3,OFFSET('Dummy Table'!DY11:DZ14,0,CZ51),2,FALSE),""),"")</f>
        <v>Croatia</v>
      </c>
      <c r="DF52" s="355"/>
      <c r="DG52" s="355"/>
      <c r="DH52" s="68"/>
      <c r="DI52" s="78" t="str">
        <f>IF(DB45&lt;&gt;"",IF(SUM(Matches!T12:T15)=12,IF(DA52=D52,Bonu1,0)+IF(DC52=G52,Bonu2,0)+IF(AND(DE52&lt;&gt;"",I52&lt;&gt;"",DE52=I52),Bonu3,0),0),"")</f>
        <v/>
      </c>
    </row>
    <row r="53" spans="1:113" s="43" customFormat="1" ht="15" customHeight="1" x14ac:dyDescent="0.25">
      <c r="A53" s="41"/>
      <c r="B53" s="65"/>
      <c r="C53" s="87" t="s">
        <v>99</v>
      </c>
      <c r="D53" s="363" t="str">
        <f>Matches!P17</f>
        <v>England</v>
      </c>
      <c r="E53" s="363"/>
      <c r="F53" s="363"/>
      <c r="G53" s="363" t="str">
        <f>Matches!P18</f>
        <v>Denmark</v>
      </c>
      <c r="H53" s="363"/>
      <c r="I53" s="376" t="str">
        <f>IF(ISNA(MATCH(Matches!P19,Qual3,0)),"",Matches!P19)</f>
        <v>Slovenia</v>
      </c>
      <c r="J53" s="377"/>
      <c r="K53" s="66"/>
      <c r="L53" s="66"/>
      <c r="M53" s="67"/>
      <c r="N53" s="86">
        <f ca="1">SUM(W61:W88)</f>
        <v>0</v>
      </c>
      <c r="O53" s="353" t="str">
        <f ca="1">VLOOKUP(1,OFFSET('Dummy Table'!DY18:DZ21,0,N51),2,FALSE)</f>
        <v>England</v>
      </c>
      <c r="P53" s="353"/>
      <c r="Q53" s="353" t="str">
        <f ca="1">VLOOKUP(2,OFFSET('Dummy Table'!DY18:DZ21,0,N51),2,FALSE)</f>
        <v>Denmark</v>
      </c>
      <c r="R53" s="353"/>
      <c r="S53" s="355" t="str">
        <f ca="1">IFERROR(IF(MATCH(VLOOKUP(3,OFFSET('Dummy Table'!DY18:DZ21,0,N51),2,FALSE),OFFSET('Dummy Table'!IU13:IU16,0,N51),0),VLOOKUP(3,OFFSET('Dummy Table'!DY18:DZ21,0,N51),2,FALSE),""),"")</f>
        <v>Serbia</v>
      </c>
      <c r="T53" s="355"/>
      <c r="U53" s="355"/>
      <c r="V53" s="68"/>
      <c r="W53" s="78">
        <f>IF(P45&lt;&gt;"",IF(SUM(Matches!T17:T20)=12,IF(O53=D53,Bonu1,0)+IF(Q53=G53,Bonu2,0)+IF(AND(S53&lt;&gt;"",I53&lt;&gt;"",S53=I53),Bonu3,0),0),"")</f>
        <v>0</v>
      </c>
      <c r="X53" s="86">
        <f ca="1">SUM(AG61:AG88)</f>
        <v>0</v>
      </c>
      <c r="Y53" s="353" t="str">
        <f ca="1">VLOOKUP(1,OFFSET('Dummy Table'!DY18:DZ21,0,X51),2,FALSE)</f>
        <v>England</v>
      </c>
      <c r="Z53" s="353"/>
      <c r="AA53" s="353" t="str">
        <f ca="1">VLOOKUP(2,OFFSET('Dummy Table'!DY18:DZ21,0,X51),2,FALSE)</f>
        <v>Denmark</v>
      </c>
      <c r="AB53" s="353"/>
      <c r="AC53" s="355" t="str">
        <f ca="1">IFERROR(IF(MATCH(VLOOKUP(3,OFFSET('Dummy Table'!DY18:DZ21,0,X51),2,FALSE),OFFSET('Dummy Table'!IU13:IU16,0,X51),0),VLOOKUP(3,OFFSET('Dummy Table'!DY18:DZ21,0,X51),2,FALSE),""),"")</f>
        <v/>
      </c>
      <c r="AD53" s="355"/>
      <c r="AE53" s="355"/>
      <c r="AF53" s="68"/>
      <c r="AG53" s="78">
        <f>IF(Z45&lt;&gt;"",IF(SUM(Matches!T17:T20)=12,IF(Y53=D53,Bonu1,0)+IF(AA53=G53,Bonu2,0)+IF(AND(AC53&lt;&gt;"",I53&lt;&gt;"",AC53=I53),Bonu3,0),0),"")</f>
        <v>0</v>
      </c>
      <c r="AH53" s="86">
        <f t="shared" ref="AH53" ca="1" si="193">SUM(AQ61:AQ88)</f>
        <v>0</v>
      </c>
      <c r="AI53" s="353" t="str">
        <f ca="1">VLOOKUP(1,OFFSET('Dummy Table'!DY18:DZ21,0,AH51),2,FALSE)</f>
        <v>England</v>
      </c>
      <c r="AJ53" s="353"/>
      <c r="AK53" s="353" t="str">
        <f ca="1">VLOOKUP(2,OFFSET('Dummy Table'!DY18:DZ21,0,AH51),2,FALSE)</f>
        <v>Denmark</v>
      </c>
      <c r="AL53" s="353"/>
      <c r="AM53" s="355" t="str">
        <f ca="1">IFERROR(IF(MATCH(VLOOKUP(3,OFFSET('Dummy Table'!DY18:DZ21,0,AH51),2,FALSE),OFFSET('Dummy Table'!IU13:IU16,0,AH51),0),VLOOKUP(3,OFFSET('Dummy Table'!DY18:DZ21,0,AH51),2,FALSE),""),"")</f>
        <v>Slovenia</v>
      </c>
      <c r="AN53" s="355"/>
      <c r="AO53" s="355"/>
      <c r="AP53" s="68"/>
      <c r="AQ53" s="78" t="str">
        <f>IF(AJ45&lt;&gt;"",IF(SUM(Matches!T17:T20)=12,IF(AI53=D53,Bonu1,0)+IF(AK53=G53,Bonu2,0)+IF(AND(AM53&lt;&gt;"",I53&lt;&gt;"",AM53=I53),Bonu3,0),0),"")</f>
        <v/>
      </c>
      <c r="AR53" s="86">
        <f t="shared" ref="AR53" ca="1" si="194">SUM(BA61:BA88)</f>
        <v>0</v>
      </c>
      <c r="AS53" s="353" t="str">
        <f ca="1">VLOOKUP(1,OFFSET('Dummy Table'!DY18:DZ21,0,AR51),2,FALSE)</f>
        <v>England</v>
      </c>
      <c r="AT53" s="353"/>
      <c r="AU53" s="353" t="str">
        <f ca="1">VLOOKUP(2,OFFSET('Dummy Table'!DY18:DZ21,0,AR51),2,FALSE)</f>
        <v>Denmark</v>
      </c>
      <c r="AV53" s="353"/>
      <c r="AW53" s="355" t="str">
        <f ca="1">IFERROR(IF(MATCH(VLOOKUP(3,OFFSET('Dummy Table'!DY18:DZ21,0,AR51),2,FALSE),OFFSET('Dummy Table'!IU13:IU16,0,AR51),0),VLOOKUP(3,OFFSET('Dummy Table'!DY18:DZ21,0,AR51),2,FALSE),""),"")</f>
        <v>Slovenia</v>
      </c>
      <c r="AX53" s="355"/>
      <c r="AY53" s="355"/>
      <c r="AZ53" s="68"/>
      <c r="BA53" s="78" t="str">
        <f>IF(AT45&lt;&gt;"",IF(SUM(Matches!T17:T20)=12,IF(AS53=D53,Bonu1,0)+IF(AU53=G53,Bonu2,0)+IF(AND(AW53&lt;&gt;"",I53&lt;&gt;"",AW53=I53),Bonu3,0),0),"")</f>
        <v/>
      </c>
      <c r="BB53" s="86">
        <f t="shared" ref="BB53" ca="1" si="195">SUM(BK61:BK88)</f>
        <v>0</v>
      </c>
      <c r="BC53" s="353" t="str">
        <f ca="1">VLOOKUP(1,OFFSET('Dummy Table'!DY18:DZ21,0,BB51),2,FALSE)</f>
        <v>England</v>
      </c>
      <c r="BD53" s="353"/>
      <c r="BE53" s="353" t="str">
        <f ca="1">VLOOKUP(2,OFFSET('Dummy Table'!DY18:DZ21,0,BB51),2,FALSE)</f>
        <v>Denmark</v>
      </c>
      <c r="BF53" s="353"/>
      <c r="BG53" s="355" t="str">
        <f ca="1">IFERROR(IF(MATCH(VLOOKUP(3,OFFSET('Dummy Table'!DY18:DZ21,0,BB51),2,FALSE),OFFSET('Dummy Table'!IU13:IU16,0,BB51),0),VLOOKUP(3,OFFSET('Dummy Table'!DY18:DZ21,0,BB51),2,FALSE),""),"")</f>
        <v/>
      </c>
      <c r="BH53" s="355"/>
      <c r="BI53" s="355"/>
      <c r="BJ53" s="68"/>
      <c r="BK53" s="78">
        <f>IF(BD45&lt;&gt;"",IF(SUM(Matches!T17:T20)=12,IF(BC53=D53,Bonu1,0)+IF(BE53=G53,Bonu2,0)+IF(AND(BG53&lt;&gt;"",I53&lt;&gt;"",BG53=I53),Bonu3,0),0),"")</f>
        <v>0</v>
      </c>
      <c r="BL53" s="86">
        <f t="shared" ref="BL53" ca="1" si="196">SUM(BU61:BU88)</f>
        <v>0</v>
      </c>
      <c r="BM53" s="353" t="str">
        <f ca="1">VLOOKUP(1,OFFSET('Dummy Table'!DY18:DZ21,0,BL51),2,FALSE)</f>
        <v>England</v>
      </c>
      <c r="BN53" s="353"/>
      <c r="BO53" s="353" t="str">
        <f ca="1">VLOOKUP(2,OFFSET('Dummy Table'!DY18:DZ21,0,BL51),2,FALSE)</f>
        <v>Denmark</v>
      </c>
      <c r="BP53" s="353"/>
      <c r="BQ53" s="355" t="str">
        <f ca="1">IFERROR(IF(MATCH(VLOOKUP(3,OFFSET('Dummy Table'!DY18:DZ21,0,BL51),2,FALSE),OFFSET('Dummy Table'!IU13:IU16,0,BL51),0),VLOOKUP(3,OFFSET('Dummy Table'!DY18:DZ21,0,BL51),2,FALSE),""),"")</f>
        <v>Slovenia</v>
      </c>
      <c r="BR53" s="355"/>
      <c r="BS53" s="355"/>
      <c r="BT53" s="68"/>
      <c r="BU53" s="78" t="str">
        <f>IF(BN45&lt;&gt;"",IF(SUM(Matches!T17:T20)=12,IF(BM53=D53,Bonu1,0)+IF(BO53=G53,Bonu2,0)+IF(AND(BQ53&lt;&gt;"",I53&lt;&gt;"",BQ53=I53),Bonu3,0),0),"")</f>
        <v/>
      </c>
      <c r="BV53" s="86">
        <f t="shared" ref="BV53" ca="1" si="197">SUM(CE61:CE88)</f>
        <v>0</v>
      </c>
      <c r="BW53" s="353" t="str">
        <f ca="1">VLOOKUP(1,OFFSET('Dummy Table'!DY18:DZ21,0,BV51),2,FALSE)</f>
        <v>England</v>
      </c>
      <c r="BX53" s="353"/>
      <c r="BY53" s="353" t="str">
        <f ca="1">VLOOKUP(2,OFFSET('Dummy Table'!DY18:DZ21,0,BV51),2,FALSE)</f>
        <v>Denmark</v>
      </c>
      <c r="BZ53" s="353"/>
      <c r="CA53" s="355" t="str">
        <f ca="1">IFERROR(IF(MATCH(VLOOKUP(3,OFFSET('Dummy Table'!DY18:DZ21,0,BV51),2,FALSE),OFFSET('Dummy Table'!IU13:IU16,0,BV51),0),VLOOKUP(3,OFFSET('Dummy Table'!DY18:DZ21,0,BV51),2,FALSE),""),"")</f>
        <v>Slovenia</v>
      </c>
      <c r="CB53" s="355"/>
      <c r="CC53" s="355"/>
      <c r="CD53" s="68"/>
      <c r="CE53" s="78" t="str">
        <f>IF(BX45&lt;&gt;"",IF(SUM(Matches!T17:T20)=12,IF(BW53=D53,Bonu1,0)+IF(BY53=G53,Bonu2,0)+IF(AND(CA53&lt;&gt;"",I53&lt;&gt;"",CA53=I53),Bonu3,0),0),"")</f>
        <v/>
      </c>
      <c r="CF53" s="86">
        <f t="shared" ref="CF53" ca="1" si="198">SUM(CO61:CO88)</f>
        <v>0</v>
      </c>
      <c r="CG53" s="353" t="str">
        <f ca="1">VLOOKUP(1,OFFSET('Dummy Table'!DY18:DZ21,0,CF51),2,FALSE)</f>
        <v>England</v>
      </c>
      <c r="CH53" s="353"/>
      <c r="CI53" s="353" t="str">
        <f ca="1">VLOOKUP(2,OFFSET('Dummy Table'!DY18:DZ21,0,CF51),2,FALSE)</f>
        <v>Denmark</v>
      </c>
      <c r="CJ53" s="353"/>
      <c r="CK53" s="355" t="str">
        <f ca="1">IFERROR(IF(MATCH(VLOOKUP(3,OFFSET('Dummy Table'!DY18:DZ21,0,CF51),2,FALSE),OFFSET('Dummy Table'!IU13:IU16,0,CF51),0),VLOOKUP(3,OFFSET('Dummy Table'!DY18:DZ21,0,CF51),2,FALSE),""),"")</f>
        <v>Slovenia</v>
      </c>
      <c r="CL53" s="355"/>
      <c r="CM53" s="355"/>
      <c r="CN53" s="68"/>
      <c r="CO53" s="78" t="str">
        <f>IF(CH45&lt;&gt;"",IF(SUM(Matches!T17:T20)=12,IF(CG53=D53,Bonu1,0)+IF(CI53=G53,Bonu2,0)+IF(AND(CK53&lt;&gt;"",I53&lt;&gt;"",CK53=I53),Bonu3,0),0),"")</f>
        <v/>
      </c>
      <c r="CP53" s="86">
        <f t="shared" ref="CP53" ca="1" si="199">SUM(CY61:CY88)</f>
        <v>0</v>
      </c>
      <c r="CQ53" s="353" t="str">
        <f ca="1">VLOOKUP(1,OFFSET('Dummy Table'!DY18:DZ21,0,CP51),2,FALSE)</f>
        <v>England</v>
      </c>
      <c r="CR53" s="353"/>
      <c r="CS53" s="353" t="str">
        <f ca="1">VLOOKUP(2,OFFSET('Dummy Table'!DY18:DZ21,0,CP51),2,FALSE)</f>
        <v>Denmark</v>
      </c>
      <c r="CT53" s="353"/>
      <c r="CU53" s="355" t="str">
        <f ca="1">IFERROR(IF(MATCH(VLOOKUP(3,OFFSET('Dummy Table'!DY18:DZ21,0,CP51),2,FALSE),OFFSET('Dummy Table'!IU13:IU16,0,CP51),0),VLOOKUP(3,OFFSET('Dummy Table'!DY18:DZ21,0,CP51),2,FALSE),""),"")</f>
        <v>Slovenia</v>
      </c>
      <c r="CV53" s="355"/>
      <c r="CW53" s="355"/>
      <c r="CX53" s="68"/>
      <c r="CY53" s="78" t="str">
        <f>IF(CR45&lt;&gt;"",IF(SUM(Matches!T17:T20)=12,IF(CQ53=D53,Bonu1,0)+IF(CS53=G53,Bonu2,0)+IF(AND(CU53&lt;&gt;"",I53&lt;&gt;"",CU53=I53),Bonu3,0),0),"")</f>
        <v/>
      </c>
      <c r="CZ53" s="86">
        <f t="shared" ref="CZ53" ca="1" si="200">SUM(DI61:DI88)</f>
        <v>0</v>
      </c>
      <c r="DA53" s="353" t="str">
        <f ca="1">VLOOKUP(1,OFFSET('Dummy Table'!DY18:DZ21,0,CZ51),2,FALSE)</f>
        <v>England</v>
      </c>
      <c r="DB53" s="353"/>
      <c r="DC53" s="353" t="str">
        <f ca="1">VLOOKUP(2,OFFSET('Dummy Table'!DY18:DZ21,0,CZ51),2,FALSE)</f>
        <v>Denmark</v>
      </c>
      <c r="DD53" s="353"/>
      <c r="DE53" s="355" t="str">
        <f ca="1">IFERROR(IF(MATCH(VLOOKUP(3,OFFSET('Dummy Table'!DY18:DZ21,0,CZ51),2,FALSE),OFFSET('Dummy Table'!IU13:IU16,0,CZ51),0),VLOOKUP(3,OFFSET('Dummy Table'!DY18:DZ21,0,CZ51),2,FALSE),""),"")</f>
        <v>Slovenia</v>
      </c>
      <c r="DF53" s="355"/>
      <c r="DG53" s="355"/>
      <c r="DH53" s="68"/>
      <c r="DI53" s="78" t="str">
        <f>IF(DB45&lt;&gt;"",IF(SUM(Matches!T17:T20)=12,IF(DA53=D53,Bonu1,0)+IF(DC53=G53,Bonu2,0)+IF(AND(DE53&lt;&gt;"",I53&lt;&gt;"",DE53=I53),Bonu3,0),0),"")</f>
        <v/>
      </c>
    </row>
    <row r="54" spans="1:113" s="43" customFormat="1" ht="15" customHeight="1" x14ac:dyDescent="0.25">
      <c r="A54" s="41"/>
      <c r="B54" s="65"/>
      <c r="C54" s="87" t="s">
        <v>100</v>
      </c>
      <c r="D54" s="363" t="str">
        <f>Matches!P22</f>
        <v>Netherlands</v>
      </c>
      <c r="E54" s="363"/>
      <c r="F54" s="363"/>
      <c r="G54" s="363" t="str">
        <f>Matches!P23</f>
        <v>France</v>
      </c>
      <c r="H54" s="363"/>
      <c r="I54" s="376" t="str">
        <f>IF(ISNA(MATCH(Matches!P24,Qual3,0)),"",Matches!P24)</f>
        <v>Austria</v>
      </c>
      <c r="J54" s="377"/>
      <c r="K54" s="66"/>
      <c r="L54" s="66"/>
      <c r="M54" s="67"/>
      <c r="N54" s="126"/>
      <c r="O54" s="353" t="str">
        <f ca="1">VLOOKUP(1,OFFSET('Dummy Table'!DY25:DZ28,0,N51),2,FALSE)</f>
        <v>France</v>
      </c>
      <c r="P54" s="353"/>
      <c r="Q54" s="353" t="str">
        <f ca="1">VLOOKUP(2,OFFSET('Dummy Table'!DY25:DZ28,0,N51),2,FALSE)</f>
        <v>Netherlands</v>
      </c>
      <c r="R54" s="353"/>
      <c r="S54" s="355" t="str">
        <f ca="1">IFERROR(IF(MATCH(VLOOKUP(3,OFFSET('Dummy Table'!DY25:DZ28,0,N51),2,FALSE),OFFSET('Dummy Table'!IU13:IU16,0,N51),0),VLOOKUP(3,OFFSET('Dummy Table'!DY25:DZ28,0,N51),2,FALSE),""),"")</f>
        <v/>
      </c>
      <c r="T54" s="355"/>
      <c r="U54" s="355"/>
      <c r="V54" s="68"/>
      <c r="W54" s="78">
        <f>IF(P45&lt;&gt;"",IF(SUM(Matches!T22:T25)=12,IF(O54=D54,Bonu1,0)+IF(Q54=G54,Bonu2,0)+IF(AND(S54&lt;&gt;"",I54&lt;&gt;"",S54=I54),Bonu3,0),0),"")</f>
        <v>0</v>
      </c>
      <c r="X54" s="126"/>
      <c r="Y54" s="353" t="str">
        <f ca="1">VLOOKUP(1,OFFSET('Dummy Table'!DY25:DZ28,0,X51),2,FALSE)</f>
        <v>France</v>
      </c>
      <c r="Z54" s="353"/>
      <c r="AA54" s="353" t="str">
        <f ca="1">VLOOKUP(2,OFFSET('Dummy Table'!DY25:DZ28,0,X51),2,FALSE)</f>
        <v>Netherlands</v>
      </c>
      <c r="AB54" s="353"/>
      <c r="AC54" s="355" t="str">
        <f ca="1">IFERROR(IF(MATCH(VLOOKUP(3,OFFSET('Dummy Table'!DY25:DZ28,0,X51),2,FALSE),OFFSET('Dummy Table'!IU13:IU16,0,X51),0),VLOOKUP(3,OFFSET('Dummy Table'!DY25:DZ28,0,X51),2,FALSE),""),"")</f>
        <v>Poland</v>
      </c>
      <c r="AD54" s="355"/>
      <c r="AE54" s="355"/>
      <c r="AF54" s="68"/>
      <c r="AG54" s="78">
        <f>IF(Z45&lt;&gt;"",IF(SUM(Matches!T22:T25)=12,IF(Y54=D54,Bonu1,0)+IF(AA54=G54,Bonu2,0)+IF(AND(AC54&lt;&gt;"",I54&lt;&gt;"",AC54=I54),Bonu3,0),0),"")</f>
        <v>0</v>
      </c>
      <c r="AH54" s="126"/>
      <c r="AI54" s="353" t="str">
        <f ca="1">VLOOKUP(1,OFFSET('Dummy Table'!DY25:DZ28,0,AH51),2,FALSE)</f>
        <v>France</v>
      </c>
      <c r="AJ54" s="353"/>
      <c r="AK54" s="353" t="str">
        <f ca="1">VLOOKUP(2,OFFSET('Dummy Table'!DY25:DZ28,0,AH51),2,FALSE)</f>
        <v>Netherlands</v>
      </c>
      <c r="AL54" s="353"/>
      <c r="AM54" s="355" t="str">
        <f ca="1">IFERROR(IF(MATCH(VLOOKUP(3,OFFSET('Dummy Table'!DY25:DZ28,0,AH51),2,FALSE),OFFSET('Dummy Table'!IU13:IU16,0,AH51),0),VLOOKUP(3,OFFSET('Dummy Table'!DY25:DZ28,0,AH51),2,FALSE),""),"")</f>
        <v>Austria</v>
      </c>
      <c r="AN54" s="355"/>
      <c r="AO54" s="355"/>
      <c r="AP54" s="68"/>
      <c r="AQ54" s="78" t="str">
        <f>IF(AJ45&lt;&gt;"",IF(SUM(Matches!T22:T25)=12,IF(AI54=D54,Bonu1,0)+IF(AK54=G54,Bonu2,0)+IF(AND(AM54&lt;&gt;"",I54&lt;&gt;"",AM54=I54),Bonu3,0),0),"")</f>
        <v/>
      </c>
      <c r="AR54" s="126"/>
      <c r="AS54" s="353" t="str">
        <f ca="1">VLOOKUP(1,OFFSET('Dummy Table'!DY25:DZ28,0,AR51),2,FALSE)</f>
        <v>France</v>
      </c>
      <c r="AT54" s="353"/>
      <c r="AU54" s="353" t="str">
        <f ca="1">VLOOKUP(2,OFFSET('Dummy Table'!DY25:DZ28,0,AR51),2,FALSE)</f>
        <v>Netherlands</v>
      </c>
      <c r="AV54" s="353"/>
      <c r="AW54" s="355" t="str">
        <f ca="1">IFERROR(IF(MATCH(VLOOKUP(3,OFFSET('Dummy Table'!DY25:DZ28,0,AR51),2,FALSE),OFFSET('Dummy Table'!IU13:IU16,0,AR51),0),VLOOKUP(3,OFFSET('Dummy Table'!DY25:DZ28,0,AR51),2,FALSE),""),"")</f>
        <v>Austria</v>
      </c>
      <c r="AX54" s="355"/>
      <c r="AY54" s="355"/>
      <c r="AZ54" s="68"/>
      <c r="BA54" s="78" t="str">
        <f>IF(AT45&lt;&gt;"",IF(SUM(Matches!T22:T25)=12,IF(AS54=D54,Bonu1,0)+IF(AU54=G54,Bonu2,0)+IF(AND(AW54&lt;&gt;"",I54&lt;&gt;"",AW54=I54),Bonu3,0),0),"")</f>
        <v/>
      </c>
      <c r="BB54" s="126"/>
      <c r="BC54" s="353" t="str">
        <f ca="1">VLOOKUP(1,OFFSET('Dummy Table'!DY25:DZ28,0,BB51),2,FALSE)</f>
        <v>France</v>
      </c>
      <c r="BD54" s="353"/>
      <c r="BE54" s="353" t="str">
        <f ca="1">VLOOKUP(2,OFFSET('Dummy Table'!DY25:DZ28,0,BB51),2,FALSE)</f>
        <v>Netherlands</v>
      </c>
      <c r="BF54" s="353"/>
      <c r="BG54" s="355" t="str">
        <f ca="1">IFERROR(IF(MATCH(VLOOKUP(3,OFFSET('Dummy Table'!DY25:DZ28,0,BB51),2,FALSE),OFFSET('Dummy Table'!IU13:IU16,0,BB51),0),VLOOKUP(3,OFFSET('Dummy Table'!DY25:DZ28,0,BB51),2,FALSE),""),"")</f>
        <v>Poland</v>
      </c>
      <c r="BH54" s="355"/>
      <c r="BI54" s="355"/>
      <c r="BJ54" s="68"/>
      <c r="BK54" s="78">
        <f>IF(BD45&lt;&gt;"",IF(SUM(Matches!T22:T25)=12,IF(BC54=D54,Bonu1,0)+IF(BE54=G54,Bonu2,0)+IF(AND(BG54&lt;&gt;"",I54&lt;&gt;"",BG54=I54),Bonu3,0),0),"")</f>
        <v>0</v>
      </c>
      <c r="BL54" s="126"/>
      <c r="BM54" s="353" t="str">
        <f ca="1">VLOOKUP(1,OFFSET('Dummy Table'!DY25:DZ28,0,BL51),2,FALSE)</f>
        <v>France</v>
      </c>
      <c r="BN54" s="353"/>
      <c r="BO54" s="353" t="str">
        <f ca="1">VLOOKUP(2,OFFSET('Dummy Table'!DY25:DZ28,0,BL51),2,FALSE)</f>
        <v>Netherlands</v>
      </c>
      <c r="BP54" s="353"/>
      <c r="BQ54" s="355" t="str">
        <f ca="1">IFERROR(IF(MATCH(VLOOKUP(3,OFFSET('Dummy Table'!DY25:DZ28,0,BL51),2,FALSE),OFFSET('Dummy Table'!IU13:IU16,0,BL51),0),VLOOKUP(3,OFFSET('Dummy Table'!DY25:DZ28,0,BL51),2,FALSE),""),"")</f>
        <v>Austria</v>
      </c>
      <c r="BR54" s="355"/>
      <c r="BS54" s="355"/>
      <c r="BT54" s="68"/>
      <c r="BU54" s="78" t="str">
        <f>IF(BN45&lt;&gt;"",IF(SUM(Matches!T22:T25)=12,IF(BM54=D54,Bonu1,0)+IF(BO54=G54,Bonu2,0)+IF(AND(BQ54&lt;&gt;"",I54&lt;&gt;"",BQ54=I54),Bonu3,0),0),"")</f>
        <v/>
      </c>
      <c r="BV54" s="126"/>
      <c r="BW54" s="353" t="str">
        <f ca="1">VLOOKUP(1,OFFSET('Dummy Table'!DY25:DZ28,0,BV51),2,FALSE)</f>
        <v>France</v>
      </c>
      <c r="BX54" s="353"/>
      <c r="BY54" s="353" t="str">
        <f ca="1">VLOOKUP(2,OFFSET('Dummy Table'!DY25:DZ28,0,BV51),2,FALSE)</f>
        <v>Netherlands</v>
      </c>
      <c r="BZ54" s="353"/>
      <c r="CA54" s="355" t="str">
        <f ca="1">IFERROR(IF(MATCH(VLOOKUP(3,OFFSET('Dummy Table'!DY25:DZ28,0,BV51),2,FALSE),OFFSET('Dummy Table'!IU13:IU16,0,BV51),0),VLOOKUP(3,OFFSET('Dummy Table'!DY25:DZ28,0,BV51),2,FALSE),""),"")</f>
        <v>Austria</v>
      </c>
      <c r="CB54" s="355"/>
      <c r="CC54" s="355"/>
      <c r="CD54" s="68"/>
      <c r="CE54" s="78" t="str">
        <f>IF(BX45&lt;&gt;"",IF(SUM(Matches!T22:T25)=12,IF(BW54=D54,Bonu1,0)+IF(BY54=G54,Bonu2,0)+IF(AND(CA54&lt;&gt;"",I54&lt;&gt;"",CA54=I54),Bonu3,0),0),"")</f>
        <v/>
      </c>
      <c r="CF54" s="126"/>
      <c r="CG54" s="353" t="str">
        <f ca="1">VLOOKUP(1,OFFSET('Dummy Table'!DY25:DZ28,0,CF51),2,FALSE)</f>
        <v>France</v>
      </c>
      <c r="CH54" s="353"/>
      <c r="CI54" s="353" t="str">
        <f ca="1">VLOOKUP(2,OFFSET('Dummy Table'!DY25:DZ28,0,CF51),2,FALSE)</f>
        <v>Netherlands</v>
      </c>
      <c r="CJ54" s="353"/>
      <c r="CK54" s="355" t="str">
        <f ca="1">IFERROR(IF(MATCH(VLOOKUP(3,OFFSET('Dummy Table'!DY25:DZ28,0,CF51),2,FALSE),OFFSET('Dummy Table'!IU13:IU16,0,CF51),0),VLOOKUP(3,OFFSET('Dummy Table'!DY25:DZ28,0,CF51),2,FALSE),""),"")</f>
        <v>Austria</v>
      </c>
      <c r="CL54" s="355"/>
      <c r="CM54" s="355"/>
      <c r="CN54" s="68"/>
      <c r="CO54" s="78" t="str">
        <f>IF(CH45&lt;&gt;"",IF(SUM(Matches!T22:T25)=12,IF(CG54=D54,Bonu1,0)+IF(CI54=G54,Bonu2,0)+IF(AND(CK54&lt;&gt;"",I54&lt;&gt;"",CK54=I54),Bonu3,0),0),"")</f>
        <v/>
      </c>
      <c r="CP54" s="126"/>
      <c r="CQ54" s="353" t="str">
        <f ca="1">VLOOKUP(1,OFFSET('Dummy Table'!DY25:DZ28,0,CP51),2,FALSE)</f>
        <v>France</v>
      </c>
      <c r="CR54" s="353"/>
      <c r="CS54" s="353" t="str">
        <f ca="1">VLOOKUP(2,OFFSET('Dummy Table'!DY25:DZ28,0,CP51),2,FALSE)</f>
        <v>Netherlands</v>
      </c>
      <c r="CT54" s="353"/>
      <c r="CU54" s="355" t="str">
        <f ca="1">IFERROR(IF(MATCH(VLOOKUP(3,OFFSET('Dummy Table'!DY25:DZ28,0,CP51),2,FALSE),OFFSET('Dummy Table'!IU13:IU16,0,CP51),0),VLOOKUP(3,OFFSET('Dummy Table'!DY25:DZ28,0,CP51),2,FALSE),""),"")</f>
        <v>Austria</v>
      </c>
      <c r="CV54" s="355"/>
      <c r="CW54" s="355"/>
      <c r="CX54" s="68"/>
      <c r="CY54" s="78" t="str">
        <f>IF(CR45&lt;&gt;"",IF(SUM(Matches!T22:T25)=12,IF(CQ54=D54,Bonu1,0)+IF(CS54=G54,Bonu2,0)+IF(AND(CU54&lt;&gt;"",I54&lt;&gt;"",CU54=I54),Bonu3,0),0),"")</f>
        <v/>
      </c>
      <c r="CZ54" s="126"/>
      <c r="DA54" s="353" t="str">
        <f ca="1">VLOOKUP(1,OFFSET('Dummy Table'!DY25:DZ28,0,CZ51),2,FALSE)</f>
        <v>France</v>
      </c>
      <c r="DB54" s="353"/>
      <c r="DC54" s="353" t="str">
        <f ca="1">VLOOKUP(2,OFFSET('Dummy Table'!DY25:DZ28,0,CZ51),2,FALSE)</f>
        <v>Netherlands</v>
      </c>
      <c r="DD54" s="353"/>
      <c r="DE54" s="355" t="str">
        <f ca="1">IFERROR(IF(MATCH(VLOOKUP(3,OFFSET('Dummy Table'!DY25:DZ28,0,CZ51),2,FALSE),OFFSET('Dummy Table'!IU13:IU16,0,CZ51),0),VLOOKUP(3,OFFSET('Dummy Table'!DY25:DZ28,0,CZ51),2,FALSE),""),"")</f>
        <v>Austria</v>
      </c>
      <c r="DF54" s="355"/>
      <c r="DG54" s="355"/>
      <c r="DH54" s="68"/>
      <c r="DI54" s="78" t="str">
        <f>IF(DB45&lt;&gt;"",IF(SUM(Matches!T22:T25)=12,IF(DA54=D54,Bonu1,0)+IF(DC54=G54,Bonu2,0)+IF(AND(DE54&lt;&gt;"",I54&lt;&gt;"",DE54=I54),Bonu3,0),0),"")</f>
        <v/>
      </c>
    </row>
    <row r="55" spans="1:113" s="43" customFormat="1" ht="15" customHeight="1" x14ac:dyDescent="0.25">
      <c r="A55" s="41"/>
      <c r="B55" s="65"/>
      <c r="C55" s="87" t="s">
        <v>101</v>
      </c>
      <c r="D55" s="363" t="str">
        <f>Matches!P27</f>
        <v>Romania</v>
      </c>
      <c r="E55" s="363"/>
      <c r="F55" s="363"/>
      <c r="G55" s="363" t="str">
        <f>Matches!P28</f>
        <v>Belgium</v>
      </c>
      <c r="H55" s="363"/>
      <c r="I55" s="376" t="str">
        <f>IF(ISNA(MATCH(Matches!P29,Qual3,0)),"",Matches!P29)</f>
        <v>Slovakia</v>
      </c>
      <c r="J55" s="377"/>
      <c r="K55" s="66"/>
      <c r="L55" s="66"/>
      <c r="M55" s="67"/>
      <c r="N55" s="126"/>
      <c r="O55" s="353" t="str">
        <f ca="1">VLOOKUP(1,OFFSET('Dummy Table'!DY31:DZ34,0,N51),2,FALSE)</f>
        <v>Belgium</v>
      </c>
      <c r="P55" s="353"/>
      <c r="Q55" s="353" t="str">
        <f ca="1">VLOOKUP(2,OFFSET('Dummy Table'!DY31:DZ34,0,N51),2,FALSE)</f>
        <v>Ukraine</v>
      </c>
      <c r="R55" s="353"/>
      <c r="S55" s="355" t="str">
        <f ca="1">IFERROR(IF(MATCH(VLOOKUP(3,OFFSET('Dummy Table'!DY31:DZ34,0,N51),2,FALSE),OFFSET('Dummy Table'!IU13:IU16,0,N51),0),VLOOKUP(3,OFFSET('Dummy Table'!DY31:DZ34,0,N51),2,FALSE),""),"")</f>
        <v>Romania</v>
      </c>
      <c r="T55" s="355"/>
      <c r="U55" s="355"/>
      <c r="V55" s="68"/>
      <c r="W55" s="78">
        <f>IF(P45&lt;&gt;"",IF(SUM(Matches!T27:T30)=12,IF(O55=D55,Bonu1,0)+IF(Q55=G55,Bonu2,0)+IF(AND(S55&lt;&gt;"",I55&lt;&gt;"",S55=I55),Bonu3,0),0),"")</f>
        <v>0</v>
      </c>
      <c r="X55" s="126"/>
      <c r="Y55" s="353" t="str">
        <f ca="1">VLOOKUP(1,OFFSET('Dummy Table'!DY31:DZ34,0,X51),2,FALSE)</f>
        <v>Belgium</v>
      </c>
      <c r="Z55" s="353"/>
      <c r="AA55" s="353" t="str">
        <f ca="1">VLOOKUP(2,OFFSET('Dummy Table'!DY31:DZ34,0,X51),2,FALSE)</f>
        <v>Ukraine</v>
      </c>
      <c r="AB55" s="353"/>
      <c r="AC55" s="355" t="str">
        <f ca="1">IFERROR(IF(MATCH(VLOOKUP(3,OFFSET('Dummy Table'!DY31:DZ34,0,X51),2,FALSE),OFFSET('Dummy Table'!IU13:IU16,0,X51),0),VLOOKUP(3,OFFSET('Dummy Table'!DY31:DZ34,0,X51),2,FALSE),""),"")</f>
        <v/>
      </c>
      <c r="AD55" s="355"/>
      <c r="AE55" s="355"/>
      <c r="AF55" s="68"/>
      <c r="AG55" s="78">
        <f>IF(Z45&lt;&gt;"",IF(SUM(Matches!T27:T30)=12,IF(Y55=D55,Bonu1,0)+IF(AA55=G55,Bonu2,0)+IF(AND(AC55&lt;&gt;"",I55&lt;&gt;"",AC55=I55),Bonu3,0),0),"")</f>
        <v>0</v>
      </c>
      <c r="AH55" s="126"/>
      <c r="AI55" s="353" t="str">
        <f ca="1">VLOOKUP(1,OFFSET('Dummy Table'!DY31:DZ34,0,AH51),2,FALSE)</f>
        <v>Belgium</v>
      </c>
      <c r="AJ55" s="353"/>
      <c r="AK55" s="353" t="str">
        <f ca="1">VLOOKUP(2,OFFSET('Dummy Table'!DY31:DZ34,0,AH51),2,FALSE)</f>
        <v>Romania</v>
      </c>
      <c r="AL55" s="353"/>
      <c r="AM55" s="355" t="str">
        <f ca="1">IFERROR(IF(MATCH(VLOOKUP(3,OFFSET('Dummy Table'!DY31:DZ34,0,AH51),2,FALSE),OFFSET('Dummy Table'!IU13:IU16,0,AH51),0),VLOOKUP(3,OFFSET('Dummy Table'!DY31:DZ34,0,AH51),2,FALSE),""),"")</f>
        <v/>
      </c>
      <c r="AN55" s="355"/>
      <c r="AO55" s="355"/>
      <c r="AP55" s="68"/>
      <c r="AQ55" s="78" t="str">
        <f>IF(AJ45&lt;&gt;"",IF(SUM(Matches!T27:T30)=12,IF(AI55=D55,Bonu1,0)+IF(AK55=G55,Bonu2,0)+IF(AND(AM55&lt;&gt;"",I55&lt;&gt;"",AM55=I55),Bonu3,0),0),"")</f>
        <v/>
      </c>
      <c r="AR55" s="126"/>
      <c r="AS55" s="353" t="str">
        <f ca="1">VLOOKUP(1,OFFSET('Dummy Table'!DY31:DZ34,0,AR51),2,FALSE)</f>
        <v>Belgium</v>
      </c>
      <c r="AT55" s="353"/>
      <c r="AU55" s="353" t="str">
        <f ca="1">VLOOKUP(2,OFFSET('Dummy Table'!DY31:DZ34,0,AR51),2,FALSE)</f>
        <v>Romania</v>
      </c>
      <c r="AV55" s="353"/>
      <c r="AW55" s="355" t="str">
        <f ca="1">IFERROR(IF(MATCH(VLOOKUP(3,OFFSET('Dummy Table'!DY31:DZ34,0,AR51),2,FALSE),OFFSET('Dummy Table'!IU13:IU16,0,AR51),0),VLOOKUP(3,OFFSET('Dummy Table'!DY31:DZ34,0,AR51),2,FALSE),""),"")</f>
        <v/>
      </c>
      <c r="AX55" s="355"/>
      <c r="AY55" s="355"/>
      <c r="AZ55" s="68"/>
      <c r="BA55" s="78" t="str">
        <f>IF(AT45&lt;&gt;"",IF(SUM(Matches!T27:T30)=12,IF(AS55=D55,Bonu1,0)+IF(AU55=G55,Bonu2,0)+IF(AND(AW55&lt;&gt;"",I55&lt;&gt;"",AW55=I55),Bonu3,0),0),"")</f>
        <v/>
      </c>
      <c r="BB55" s="126"/>
      <c r="BC55" s="353" t="str">
        <f ca="1">VLOOKUP(1,OFFSET('Dummy Table'!DY31:DZ34,0,BB51),2,FALSE)</f>
        <v>Belgium</v>
      </c>
      <c r="BD55" s="353"/>
      <c r="BE55" s="353" t="str">
        <f ca="1">VLOOKUP(2,OFFSET('Dummy Table'!DY31:DZ34,0,BB51),2,FALSE)</f>
        <v>Ukraine</v>
      </c>
      <c r="BF55" s="353"/>
      <c r="BG55" s="355" t="str">
        <f ca="1">IFERROR(IF(MATCH(VLOOKUP(3,OFFSET('Dummy Table'!DY31:DZ34,0,BB51),2,FALSE),OFFSET('Dummy Table'!IU13:IU16,0,BB51),0),VLOOKUP(3,OFFSET('Dummy Table'!DY31:DZ34,0,BB51),2,FALSE),""),"")</f>
        <v>Slovakia</v>
      </c>
      <c r="BH55" s="355"/>
      <c r="BI55" s="355"/>
      <c r="BJ55" s="68"/>
      <c r="BK55" s="78">
        <f>IF(BD45&lt;&gt;"",IF(SUM(Matches!T27:T30)=12,IF(BC55=D55,Bonu1,0)+IF(BE55=G55,Bonu2,0)+IF(AND(BG55&lt;&gt;"",I55&lt;&gt;"",BG55=I55),Bonu3,0),0),"")</f>
        <v>0</v>
      </c>
      <c r="BL55" s="126"/>
      <c r="BM55" s="353" t="str">
        <f ca="1">VLOOKUP(1,OFFSET('Dummy Table'!DY31:DZ34,0,BL51),2,FALSE)</f>
        <v>Belgium</v>
      </c>
      <c r="BN55" s="353"/>
      <c r="BO55" s="353" t="str">
        <f ca="1">VLOOKUP(2,OFFSET('Dummy Table'!DY31:DZ34,0,BL51),2,FALSE)</f>
        <v>Romania</v>
      </c>
      <c r="BP55" s="353"/>
      <c r="BQ55" s="355" t="str">
        <f ca="1">IFERROR(IF(MATCH(VLOOKUP(3,OFFSET('Dummy Table'!DY31:DZ34,0,BL51),2,FALSE),OFFSET('Dummy Table'!IU13:IU16,0,BL51),0),VLOOKUP(3,OFFSET('Dummy Table'!DY31:DZ34,0,BL51),2,FALSE),""),"")</f>
        <v/>
      </c>
      <c r="BR55" s="355"/>
      <c r="BS55" s="355"/>
      <c r="BT55" s="68"/>
      <c r="BU55" s="78" t="str">
        <f>IF(BN45&lt;&gt;"",IF(SUM(Matches!T27:T30)=12,IF(BM55=D55,Bonu1,0)+IF(BO55=G55,Bonu2,0)+IF(AND(BQ55&lt;&gt;"",I55&lt;&gt;"",BQ55=I55),Bonu3,0),0),"")</f>
        <v/>
      </c>
      <c r="BV55" s="126"/>
      <c r="BW55" s="353" t="str">
        <f ca="1">VLOOKUP(1,OFFSET('Dummy Table'!DY31:DZ34,0,BV51),2,FALSE)</f>
        <v>Belgium</v>
      </c>
      <c r="BX55" s="353"/>
      <c r="BY55" s="353" t="str">
        <f ca="1">VLOOKUP(2,OFFSET('Dummy Table'!DY31:DZ34,0,BV51),2,FALSE)</f>
        <v>Romania</v>
      </c>
      <c r="BZ55" s="353"/>
      <c r="CA55" s="355" t="str">
        <f ca="1">IFERROR(IF(MATCH(VLOOKUP(3,OFFSET('Dummy Table'!DY31:DZ34,0,BV51),2,FALSE),OFFSET('Dummy Table'!IU13:IU16,0,BV51),0),VLOOKUP(3,OFFSET('Dummy Table'!DY31:DZ34,0,BV51),2,FALSE),""),"")</f>
        <v/>
      </c>
      <c r="CB55" s="355"/>
      <c r="CC55" s="355"/>
      <c r="CD55" s="68"/>
      <c r="CE55" s="78" t="str">
        <f>IF(BX45&lt;&gt;"",IF(SUM(Matches!T27:T30)=12,IF(BW55=D55,Bonu1,0)+IF(BY55=G55,Bonu2,0)+IF(AND(CA55&lt;&gt;"",I55&lt;&gt;"",CA55=I55),Bonu3,0),0),"")</f>
        <v/>
      </c>
      <c r="CF55" s="126"/>
      <c r="CG55" s="353" t="str">
        <f ca="1">VLOOKUP(1,OFFSET('Dummy Table'!DY31:DZ34,0,CF51),2,FALSE)</f>
        <v>Belgium</v>
      </c>
      <c r="CH55" s="353"/>
      <c r="CI55" s="353" t="str">
        <f ca="1">VLOOKUP(2,OFFSET('Dummy Table'!DY31:DZ34,0,CF51),2,FALSE)</f>
        <v>Romania</v>
      </c>
      <c r="CJ55" s="353"/>
      <c r="CK55" s="355" t="str">
        <f ca="1">IFERROR(IF(MATCH(VLOOKUP(3,OFFSET('Dummy Table'!DY31:DZ34,0,CF51),2,FALSE),OFFSET('Dummy Table'!IU13:IU16,0,CF51),0),VLOOKUP(3,OFFSET('Dummy Table'!DY31:DZ34,0,CF51),2,FALSE),""),"")</f>
        <v/>
      </c>
      <c r="CL55" s="355"/>
      <c r="CM55" s="355"/>
      <c r="CN55" s="68"/>
      <c r="CO55" s="78" t="str">
        <f>IF(CH45&lt;&gt;"",IF(SUM(Matches!T27:T30)=12,IF(CG55=D55,Bonu1,0)+IF(CI55=G55,Bonu2,0)+IF(AND(CK55&lt;&gt;"",I55&lt;&gt;"",CK55=I55),Bonu3,0),0),"")</f>
        <v/>
      </c>
      <c r="CP55" s="126"/>
      <c r="CQ55" s="353" t="str">
        <f ca="1">VLOOKUP(1,OFFSET('Dummy Table'!DY31:DZ34,0,CP51),2,FALSE)</f>
        <v>Belgium</v>
      </c>
      <c r="CR55" s="353"/>
      <c r="CS55" s="353" t="str">
        <f ca="1">VLOOKUP(2,OFFSET('Dummy Table'!DY31:DZ34,0,CP51),2,FALSE)</f>
        <v>Romania</v>
      </c>
      <c r="CT55" s="353"/>
      <c r="CU55" s="355" t="str">
        <f ca="1">IFERROR(IF(MATCH(VLOOKUP(3,OFFSET('Dummy Table'!DY31:DZ34,0,CP51),2,FALSE),OFFSET('Dummy Table'!IU13:IU16,0,CP51),0),VLOOKUP(3,OFFSET('Dummy Table'!DY31:DZ34,0,CP51),2,FALSE),""),"")</f>
        <v/>
      </c>
      <c r="CV55" s="355"/>
      <c r="CW55" s="355"/>
      <c r="CX55" s="68"/>
      <c r="CY55" s="78" t="str">
        <f>IF(CR45&lt;&gt;"",IF(SUM(Matches!T27:T30)=12,IF(CQ55=D55,Bonu1,0)+IF(CS55=G55,Bonu2,0)+IF(AND(CU55&lt;&gt;"",I55&lt;&gt;"",CU55=I55),Bonu3,0),0),"")</f>
        <v/>
      </c>
      <c r="CZ55" s="126"/>
      <c r="DA55" s="353" t="str">
        <f ca="1">VLOOKUP(1,OFFSET('Dummy Table'!DY31:DZ34,0,CZ51),2,FALSE)</f>
        <v>Belgium</v>
      </c>
      <c r="DB55" s="353"/>
      <c r="DC55" s="353" t="str">
        <f ca="1">VLOOKUP(2,OFFSET('Dummy Table'!DY31:DZ34,0,CZ51),2,FALSE)</f>
        <v>Romania</v>
      </c>
      <c r="DD55" s="353"/>
      <c r="DE55" s="355" t="str">
        <f ca="1">IFERROR(IF(MATCH(VLOOKUP(3,OFFSET('Dummy Table'!DY31:DZ34,0,CZ51),2,FALSE),OFFSET('Dummy Table'!IU13:IU16,0,CZ51),0),VLOOKUP(3,OFFSET('Dummy Table'!DY31:DZ34,0,CZ51),2,FALSE),""),"")</f>
        <v/>
      </c>
      <c r="DF55" s="355"/>
      <c r="DG55" s="355"/>
      <c r="DH55" s="68"/>
      <c r="DI55" s="78" t="str">
        <f>IF(DB45&lt;&gt;"",IF(SUM(Matches!T27:T30)=12,IF(DA55=D55,Bonu1,0)+IF(DC55=G55,Bonu2,0)+IF(AND(DE55&lt;&gt;"",I55&lt;&gt;"",DE55=I55),Bonu3,0),0),"")</f>
        <v/>
      </c>
    </row>
    <row r="56" spans="1:113" s="43" customFormat="1" ht="15" customHeight="1" x14ac:dyDescent="0.25">
      <c r="A56" s="41"/>
      <c r="B56" s="65"/>
      <c r="C56" s="87" t="s">
        <v>102</v>
      </c>
      <c r="D56" s="363" t="str">
        <f>Matches!P32</f>
        <v>Portugal</v>
      </c>
      <c r="E56" s="363"/>
      <c r="F56" s="363"/>
      <c r="G56" s="363" t="str">
        <f>Matches!P33</f>
        <v>Türkiye</v>
      </c>
      <c r="H56" s="363"/>
      <c r="I56" s="376" t="str">
        <f>IF(ISNA(MATCH(Matches!P34,Qual3,0)),"",Matches!P34)</f>
        <v/>
      </c>
      <c r="J56" s="377"/>
      <c r="K56" s="66"/>
      <c r="L56" s="66"/>
      <c r="M56" s="67"/>
      <c r="N56" s="126"/>
      <c r="O56" s="353" t="str">
        <f ca="1">VLOOKUP(1,OFFSET('Dummy Table'!DY37:DZ40,0,N51),2,FALSE)</f>
        <v>Portugal</v>
      </c>
      <c r="P56" s="353"/>
      <c r="Q56" s="353" t="str">
        <f ca="1">VLOOKUP(2,OFFSET('Dummy Table'!DY37:DZ40,0,N51),2,FALSE)</f>
        <v>Türkiye</v>
      </c>
      <c r="R56" s="353"/>
      <c r="S56" s="355" t="str">
        <f ca="1">IFERROR(IF(MATCH(VLOOKUP(3,OFFSET('Dummy Table'!DY37:DZ40,0,N51),2,FALSE),OFFSET('Dummy Table'!IU13:IU16,0,N51),0),VLOOKUP(3,OFFSET('Dummy Table'!DY37:DZ40,0,N51),2,FALSE),""),"")</f>
        <v/>
      </c>
      <c r="T56" s="355"/>
      <c r="U56" s="355"/>
      <c r="V56" s="68"/>
      <c r="W56" s="78">
        <f>IF(P45&lt;&gt;"",IF(SUM(Matches!T32:T35)=12,IF(O56=D56,Bonu1,0)+IF(Q56=G56,Bonu2,0)+IF(AND(S56&lt;&gt;"",I56&lt;&gt;"",S56=I56),Bonu3,0),0),"")</f>
        <v>0</v>
      </c>
      <c r="X56" s="126"/>
      <c r="Y56" s="353" t="str">
        <f ca="1">VLOOKUP(1,OFFSET('Dummy Table'!DY37:DZ40,0,X51),2,FALSE)</f>
        <v>Portugal</v>
      </c>
      <c r="Z56" s="353"/>
      <c r="AA56" s="353" t="str">
        <f ca="1">VLOOKUP(2,OFFSET('Dummy Table'!DY37:DZ40,0,X51),2,FALSE)</f>
        <v>Türkiye</v>
      </c>
      <c r="AB56" s="353"/>
      <c r="AC56" s="355" t="str">
        <f ca="1">IFERROR(IF(MATCH(VLOOKUP(3,OFFSET('Dummy Table'!DY37:DZ40,0,X51),2,FALSE),OFFSET('Dummy Table'!IU13:IU16,0,X51),0),VLOOKUP(3,OFFSET('Dummy Table'!DY37:DZ40,0,X51),2,FALSE),""),"")</f>
        <v>Czechia</v>
      </c>
      <c r="AD56" s="355"/>
      <c r="AE56" s="355"/>
      <c r="AF56" s="68"/>
      <c r="AG56" s="78">
        <f>IF(Z45&lt;&gt;"",IF(SUM(Matches!T32:T35)=12,IF(Y56=D56,Bonu1,0)+IF(AA56=G56,Bonu2,0)+IF(AND(AC56&lt;&gt;"",I56&lt;&gt;"",AC56=I56),Bonu3,0),0),"")</f>
        <v>0</v>
      </c>
      <c r="AH56" s="126"/>
      <c r="AI56" s="353" t="str">
        <f ca="1">VLOOKUP(1,OFFSET('Dummy Table'!DY37:DZ40,0,AH51),2,FALSE)</f>
        <v>Portugal</v>
      </c>
      <c r="AJ56" s="353"/>
      <c r="AK56" s="353" t="str">
        <f ca="1">VLOOKUP(2,OFFSET('Dummy Table'!DY37:DZ40,0,AH51),2,FALSE)</f>
        <v>Türkiye</v>
      </c>
      <c r="AL56" s="353"/>
      <c r="AM56" s="355" t="str">
        <f ca="1">IFERROR(IF(MATCH(VLOOKUP(3,OFFSET('Dummy Table'!DY37:DZ40,0,AH51),2,FALSE),OFFSET('Dummy Table'!IU13:IU16,0,AH51),0),VLOOKUP(3,OFFSET('Dummy Table'!DY37:DZ40,0,AH51),2,FALSE),""),"")</f>
        <v/>
      </c>
      <c r="AN56" s="355"/>
      <c r="AO56" s="355"/>
      <c r="AP56" s="68"/>
      <c r="AQ56" s="78" t="str">
        <f>IF(AJ45&lt;&gt;"",IF(SUM(Matches!T32:T35)=12,IF(AI56=D56,Bonu1,0)+IF(AK56=G56,Bonu2,0)+IF(AND(AM56&lt;&gt;"",I56&lt;&gt;"",AM56=I56),Bonu3,0),0),"")</f>
        <v/>
      </c>
      <c r="AR56" s="126"/>
      <c r="AS56" s="353" t="str">
        <f ca="1">VLOOKUP(1,OFFSET('Dummy Table'!DY37:DZ40,0,AR51),2,FALSE)</f>
        <v>Portugal</v>
      </c>
      <c r="AT56" s="353"/>
      <c r="AU56" s="353" t="str">
        <f ca="1">VLOOKUP(2,OFFSET('Dummy Table'!DY37:DZ40,0,AR51),2,FALSE)</f>
        <v>Türkiye</v>
      </c>
      <c r="AV56" s="353"/>
      <c r="AW56" s="355" t="str">
        <f ca="1">IFERROR(IF(MATCH(VLOOKUP(3,OFFSET('Dummy Table'!DY37:DZ40,0,AR51),2,FALSE),OFFSET('Dummy Table'!IU13:IU16,0,AR51),0),VLOOKUP(3,OFFSET('Dummy Table'!DY37:DZ40,0,AR51),2,FALSE),""),"")</f>
        <v/>
      </c>
      <c r="AX56" s="355"/>
      <c r="AY56" s="355"/>
      <c r="AZ56" s="68"/>
      <c r="BA56" s="78" t="str">
        <f>IF(AT45&lt;&gt;"",IF(SUM(Matches!T32:T35)=12,IF(AS56=D56,Bonu1,0)+IF(AU56=G56,Bonu2,0)+IF(AND(AW56&lt;&gt;"",I56&lt;&gt;"",AW56=I56),Bonu3,0),0),"")</f>
        <v/>
      </c>
      <c r="BB56" s="126"/>
      <c r="BC56" s="353" t="str">
        <f ca="1">VLOOKUP(1,OFFSET('Dummy Table'!DY37:DZ40,0,BB51),2,FALSE)</f>
        <v>Türkiye</v>
      </c>
      <c r="BD56" s="353"/>
      <c r="BE56" s="353" t="str">
        <f ca="1">VLOOKUP(2,OFFSET('Dummy Table'!DY37:DZ40,0,BB51),2,FALSE)</f>
        <v>Portugal</v>
      </c>
      <c r="BF56" s="353"/>
      <c r="BG56" s="355" t="str">
        <f ca="1">IFERROR(IF(MATCH(VLOOKUP(3,OFFSET('Dummy Table'!DY37:DZ40,0,BB51),2,FALSE),OFFSET('Dummy Table'!IU13:IU16,0,BB51),0),VLOOKUP(3,OFFSET('Dummy Table'!DY37:DZ40,0,BB51),2,FALSE),""),"")</f>
        <v>Czechia</v>
      </c>
      <c r="BH56" s="355"/>
      <c r="BI56" s="355"/>
      <c r="BJ56" s="68"/>
      <c r="BK56" s="78">
        <f>IF(BD45&lt;&gt;"",IF(SUM(Matches!T32:T35)=12,IF(BC56=D56,Bonu1,0)+IF(BE56=G56,Bonu2,0)+IF(AND(BG56&lt;&gt;"",I56&lt;&gt;"",BG56=I56),Bonu3,0),0),"")</f>
        <v>0</v>
      </c>
      <c r="BL56" s="126"/>
      <c r="BM56" s="353" t="str">
        <f ca="1">VLOOKUP(1,OFFSET('Dummy Table'!DY37:DZ40,0,BL51),2,FALSE)</f>
        <v>Portugal</v>
      </c>
      <c r="BN56" s="353"/>
      <c r="BO56" s="353" t="str">
        <f ca="1">VLOOKUP(2,OFFSET('Dummy Table'!DY37:DZ40,0,BL51),2,FALSE)</f>
        <v>Türkiye</v>
      </c>
      <c r="BP56" s="353"/>
      <c r="BQ56" s="355" t="str">
        <f ca="1">IFERROR(IF(MATCH(VLOOKUP(3,OFFSET('Dummy Table'!DY37:DZ40,0,BL51),2,FALSE),OFFSET('Dummy Table'!IU13:IU16,0,BL51),0),VLOOKUP(3,OFFSET('Dummy Table'!DY37:DZ40,0,BL51),2,FALSE),""),"")</f>
        <v/>
      </c>
      <c r="BR56" s="355"/>
      <c r="BS56" s="355"/>
      <c r="BT56" s="68"/>
      <c r="BU56" s="78" t="str">
        <f>IF(BN45&lt;&gt;"",IF(SUM(Matches!T32:T35)=12,IF(BM56=D56,Bonu1,0)+IF(BO56=G56,Bonu2,0)+IF(AND(BQ56&lt;&gt;"",I56&lt;&gt;"",BQ56=I56),Bonu3,0),0),"")</f>
        <v/>
      </c>
      <c r="BV56" s="126"/>
      <c r="BW56" s="353" t="str">
        <f ca="1">VLOOKUP(1,OFFSET('Dummy Table'!DY37:DZ40,0,BV51),2,FALSE)</f>
        <v>Portugal</v>
      </c>
      <c r="BX56" s="353"/>
      <c r="BY56" s="353" t="str">
        <f ca="1">VLOOKUP(2,OFFSET('Dummy Table'!DY37:DZ40,0,BV51),2,FALSE)</f>
        <v>Türkiye</v>
      </c>
      <c r="BZ56" s="353"/>
      <c r="CA56" s="355" t="str">
        <f ca="1">IFERROR(IF(MATCH(VLOOKUP(3,OFFSET('Dummy Table'!DY37:DZ40,0,BV51),2,FALSE),OFFSET('Dummy Table'!IU13:IU16,0,BV51),0),VLOOKUP(3,OFFSET('Dummy Table'!DY37:DZ40,0,BV51),2,FALSE),""),"")</f>
        <v/>
      </c>
      <c r="CB56" s="355"/>
      <c r="CC56" s="355"/>
      <c r="CD56" s="68"/>
      <c r="CE56" s="78" t="str">
        <f>IF(BX45&lt;&gt;"",IF(SUM(Matches!T32:T35)=12,IF(BW56=D56,Bonu1,0)+IF(BY56=G56,Bonu2,0)+IF(AND(CA56&lt;&gt;"",I56&lt;&gt;"",CA56=I56),Bonu3,0),0),"")</f>
        <v/>
      </c>
      <c r="CF56" s="126"/>
      <c r="CG56" s="353" t="str">
        <f ca="1">VLOOKUP(1,OFFSET('Dummy Table'!DY37:DZ40,0,CF51),2,FALSE)</f>
        <v>Portugal</v>
      </c>
      <c r="CH56" s="353"/>
      <c r="CI56" s="353" t="str">
        <f ca="1">VLOOKUP(2,OFFSET('Dummy Table'!DY37:DZ40,0,CF51),2,FALSE)</f>
        <v>Türkiye</v>
      </c>
      <c r="CJ56" s="353"/>
      <c r="CK56" s="355" t="str">
        <f ca="1">IFERROR(IF(MATCH(VLOOKUP(3,OFFSET('Dummy Table'!DY37:DZ40,0,CF51),2,FALSE),OFFSET('Dummy Table'!IU13:IU16,0,CF51),0),VLOOKUP(3,OFFSET('Dummy Table'!DY37:DZ40,0,CF51),2,FALSE),""),"")</f>
        <v/>
      </c>
      <c r="CL56" s="355"/>
      <c r="CM56" s="355"/>
      <c r="CN56" s="68"/>
      <c r="CO56" s="78" t="str">
        <f>IF(CH45&lt;&gt;"",IF(SUM(Matches!T32:T35)=12,IF(CG56=D56,Bonu1,0)+IF(CI56=G56,Bonu2,0)+IF(AND(CK56&lt;&gt;"",I56&lt;&gt;"",CK56=I56),Bonu3,0),0),"")</f>
        <v/>
      </c>
      <c r="CP56" s="126"/>
      <c r="CQ56" s="353" t="str">
        <f ca="1">VLOOKUP(1,OFFSET('Dummy Table'!DY37:DZ40,0,CP51),2,FALSE)</f>
        <v>Portugal</v>
      </c>
      <c r="CR56" s="353"/>
      <c r="CS56" s="353" t="str">
        <f ca="1">VLOOKUP(2,OFFSET('Dummy Table'!DY37:DZ40,0,CP51),2,FALSE)</f>
        <v>Türkiye</v>
      </c>
      <c r="CT56" s="353"/>
      <c r="CU56" s="355" t="str">
        <f ca="1">IFERROR(IF(MATCH(VLOOKUP(3,OFFSET('Dummy Table'!DY37:DZ40,0,CP51),2,FALSE),OFFSET('Dummy Table'!IU13:IU16,0,CP51),0),VLOOKUP(3,OFFSET('Dummy Table'!DY37:DZ40,0,CP51),2,FALSE),""),"")</f>
        <v/>
      </c>
      <c r="CV56" s="355"/>
      <c r="CW56" s="355"/>
      <c r="CX56" s="68"/>
      <c r="CY56" s="78" t="str">
        <f>IF(CR45&lt;&gt;"",IF(SUM(Matches!T32:T35)=12,IF(CQ56=D56,Bonu1,0)+IF(CS56=G56,Bonu2,0)+IF(AND(CU56&lt;&gt;"",I56&lt;&gt;"",CU56=I56),Bonu3,0),0),"")</f>
        <v/>
      </c>
      <c r="CZ56" s="126"/>
      <c r="DA56" s="353" t="str">
        <f ca="1">VLOOKUP(1,OFFSET('Dummy Table'!DY37:DZ40,0,CZ51),2,FALSE)</f>
        <v>Portugal</v>
      </c>
      <c r="DB56" s="353"/>
      <c r="DC56" s="353" t="str">
        <f ca="1">VLOOKUP(2,OFFSET('Dummy Table'!DY37:DZ40,0,CZ51),2,FALSE)</f>
        <v>Türkiye</v>
      </c>
      <c r="DD56" s="353"/>
      <c r="DE56" s="355" t="str">
        <f ca="1">IFERROR(IF(MATCH(VLOOKUP(3,OFFSET('Dummy Table'!DY37:DZ40,0,CZ51),2,FALSE),OFFSET('Dummy Table'!IU13:IU16,0,CZ51),0),VLOOKUP(3,OFFSET('Dummy Table'!DY37:DZ40,0,CZ51),2,FALSE),""),"")</f>
        <v/>
      </c>
      <c r="DF56" s="355"/>
      <c r="DG56" s="355"/>
      <c r="DH56" s="68"/>
      <c r="DI56" s="78" t="str">
        <f>IF(DB45&lt;&gt;"",IF(SUM(Matches!T32:T35)=12,IF(DA56=D56,Bonu1,0)+IF(DC56=G56,Bonu2,0)+IF(AND(DE56&lt;&gt;"",I56&lt;&gt;"",DE56=I56),Bonu3,0),0),"")</f>
        <v/>
      </c>
    </row>
    <row r="57" spans="1:113" s="43" customFormat="1" ht="15" customHeight="1" x14ac:dyDescent="0.25">
      <c r="A57" s="41"/>
      <c r="B57" s="65"/>
      <c r="C57" s="88">
        <f>SUM(Matches!T7:T35)</f>
        <v>48</v>
      </c>
      <c r="D57" s="66"/>
      <c r="E57" s="66"/>
      <c r="F57" s="66"/>
      <c r="G57" s="66"/>
      <c r="H57" s="66"/>
      <c r="I57" s="66"/>
      <c r="J57" s="66"/>
      <c r="K57" s="66"/>
      <c r="L57" s="66"/>
      <c r="M57" s="67"/>
      <c r="N57" s="126"/>
      <c r="O57" s="364" t="s">
        <v>106</v>
      </c>
      <c r="P57" s="365"/>
      <c r="Q57" s="365"/>
      <c r="R57" s="366"/>
      <c r="S57" s="354">
        <f ca="1">IF(C57=72,OFFSET('Dummy Table'!IV34,0,N51),0)</f>
        <v>0</v>
      </c>
      <c r="T57" s="354"/>
      <c r="U57" s="354"/>
      <c r="V57" s="68"/>
      <c r="W57" s="78">
        <f ca="1">IF(P45&lt;&gt;"",IF(S57=16,Bonu4,IF(S57&gt;11,Bonu5,IF(S57&gt;7,Bonu7,0))),"")</f>
        <v>0</v>
      </c>
      <c r="X57" s="126"/>
      <c r="Y57" s="364" t="s">
        <v>106</v>
      </c>
      <c r="Z57" s="365"/>
      <c r="AA57" s="365"/>
      <c r="AB57" s="366"/>
      <c r="AC57" s="354">
        <f ca="1">IF(C57=72,OFFSET('Dummy Table'!IV34,0,X51),0)</f>
        <v>0</v>
      </c>
      <c r="AD57" s="354"/>
      <c r="AE57" s="354"/>
      <c r="AF57" s="68"/>
      <c r="AG57" s="78">
        <f ca="1">IF(Z45&lt;&gt;"",IF(AC57=16,Bonu4,IF(AC57&gt;11,Bonu5,IF(AC57&gt;7,Bonu7,0))),"")</f>
        <v>0</v>
      </c>
      <c r="AH57" s="126"/>
      <c r="AI57" s="364" t="s">
        <v>106</v>
      </c>
      <c r="AJ57" s="365"/>
      <c r="AK57" s="365"/>
      <c r="AL57" s="366"/>
      <c r="AM57" s="354">
        <f ca="1">IF(C57=72,OFFSET('Dummy Table'!IV34,0,AH51),0)</f>
        <v>0</v>
      </c>
      <c r="AN57" s="354"/>
      <c r="AO57" s="354"/>
      <c r="AP57" s="68"/>
      <c r="AQ57" s="78" t="str">
        <f>IF(AJ45&lt;&gt;"",IF(AM57=16,Bonu4,IF(AM57&gt;11,Bonu5,IF(AM57&gt;7,Bonu7,0))),"")</f>
        <v/>
      </c>
      <c r="AR57" s="126"/>
      <c r="AS57" s="364" t="s">
        <v>106</v>
      </c>
      <c r="AT57" s="365"/>
      <c r="AU57" s="365"/>
      <c r="AV57" s="366"/>
      <c r="AW57" s="354">
        <f ca="1">IF(C57=72,OFFSET('Dummy Table'!IV34,0,AR51),0)</f>
        <v>0</v>
      </c>
      <c r="AX57" s="354"/>
      <c r="AY57" s="354"/>
      <c r="AZ57" s="68"/>
      <c r="BA57" s="78" t="str">
        <f>IF(AT45&lt;&gt;"",IF(AW57=16,Bonu4,IF(AW57&gt;11,Bonu5,IF(AW57&gt;7,Bonu7,0))),"")</f>
        <v/>
      </c>
      <c r="BB57" s="126"/>
      <c r="BC57" s="364" t="s">
        <v>106</v>
      </c>
      <c r="BD57" s="365"/>
      <c r="BE57" s="365"/>
      <c r="BF57" s="366"/>
      <c r="BG57" s="354">
        <f ca="1">IF(C57=72,OFFSET('Dummy Table'!IV34,0,BB51),0)</f>
        <v>0</v>
      </c>
      <c r="BH57" s="354"/>
      <c r="BI57" s="354"/>
      <c r="BJ57" s="68"/>
      <c r="BK57" s="78">
        <f ca="1">IF(BD45&lt;&gt;"",IF(BG57=16,Bonu4,IF(BG57&gt;11,Bonu5,IF(BG57&gt;7,Bonu7,0))),"")</f>
        <v>0</v>
      </c>
      <c r="BL57" s="126"/>
      <c r="BM57" s="364" t="s">
        <v>106</v>
      </c>
      <c r="BN57" s="365"/>
      <c r="BO57" s="365"/>
      <c r="BP57" s="366"/>
      <c r="BQ57" s="354">
        <f ca="1">IF(C57=72,OFFSET('Dummy Table'!IV34,0,BL51),0)</f>
        <v>0</v>
      </c>
      <c r="BR57" s="354"/>
      <c r="BS57" s="354"/>
      <c r="BT57" s="68"/>
      <c r="BU57" s="78" t="str">
        <f>IF(BN45&lt;&gt;"",IF(BQ57=16,Bonu4,IF(BQ57&gt;11,Bonu5,IF(BQ57&gt;7,Bonu7,0))),"")</f>
        <v/>
      </c>
      <c r="BV57" s="126"/>
      <c r="BW57" s="364" t="s">
        <v>106</v>
      </c>
      <c r="BX57" s="365"/>
      <c r="BY57" s="365"/>
      <c r="BZ57" s="366"/>
      <c r="CA57" s="354">
        <f ca="1">IF(C57=72,OFFSET('Dummy Table'!IV34,0,BV51),0)</f>
        <v>0</v>
      </c>
      <c r="CB57" s="354"/>
      <c r="CC57" s="354"/>
      <c r="CD57" s="68"/>
      <c r="CE57" s="78" t="str">
        <f>IF(BX45&lt;&gt;"",IF(CA57=16,Bonu4,IF(CA57&gt;11,Bonu5,IF(CA57&gt;7,Bonu7,0))),"")</f>
        <v/>
      </c>
      <c r="CF57" s="126"/>
      <c r="CG57" s="364" t="s">
        <v>106</v>
      </c>
      <c r="CH57" s="365"/>
      <c r="CI57" s="365"/>
      <c r="CJ57" s="366"/>
      <c r="CK57" s="354">
        <f ca="1">IF(C57=72,OFFSET('Dummy Table'!IV34,0,CF51),0)</f>
        <v>0</v>
      </c>
      <c r="CL57" s="354"/>
      <c r="CM57" s="354"/>
      <c r="CN57" s="68"/>
      <c r="CO57" s="78" t="str">
        <f>IF(CH45&lt;&gt;"",IF(CK57=16,Bonu4,IF(CK57&gt;11,Bonu5,IF(CK57&gt;7,Bonu7,0))),"")</f>
        <v/>
      </c>
      <c r="CP57" s="126"/>
      <c r="CQ57" s="364" t="s">
        <v>106</v>
      </c>
      <c r="CR57" s="365"/>
      <c r="CS57" s="365"/>
      <c r="CT57" s="366"/>
      <c r="CU57" s="354">
        <f ca="1">IF(C57=72,OFFSET('Dummy Table'!IV34,0,CP51),0)</f>
        <v>0</v>
      </c>
      <c r="CV57" s="354"/>
      <c r="CW57" s="354"/>
      <c r="CX57" s="68"/>
      <c r="CY57" s="78" t="str">
        <f>IF(CR45&lt;&gt;"",IF(CU57=16,Bonu4,IF(CU57&gt;11,Bonu5,IF(CU57&gt;7,Bonu7,0))),"")</f>
        <v/>
      </c>
      <c r="CZ57" s="126"/>
      <c r="DA57" s="364" t="s">
        <v>106</v>
      </c>
      <c r="DB57" s="365"/>
      <c r="DC57" s="365"/>
      <c r="DD57" s="366"/>
      <c r="DE57" s="354">
        <f ca="1">IF(C57=72,OFFSET('Dummy Table'!IV34,0,CZ51),0)</f>
        <v>0</v>
      </c>
      <c r="DF57" s="354"/>
      <c r="DG57" s="354"/>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Croatia</v>
      </c>
      <c r="P59" s="68"/>
      <c r="Q59" s="68"/>
      <c r="U59" s="41"/>
      <c r="V59" s="68"/>
      <c r="W59" s="69"/>
      <c r="X59" s="126" t="str">
        <f t="shared" ref="X59:X63" ca="1" si="210">Y52</f>
        <v>Croatia</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68" t="str">
        <f>H7</f>
        <v>Score</v>
      </c>
      <c r="I60" s="368"/>
      <c r="J60" s="66"/>
      <c r="K60" s="368" t="s">
        <v>107</v>
      </c>
      <c r="L60" s="368"/>
      <c r="M60" s="89"/>
      <c r="N60" s="126" t="str">
        <f t="shared" ca="1" si="209"/>
        <v>England</v>
      </c>
      <c r="O60" s="129"/>
      <c r="P60" s="350" t="str">
        <f>H60</f>
        <v>Score</v>
      </c>
      <c r="Q60" s="350"/>
      <c r="R60" s="130" t="str">
        <f ca="1">IF(KOGameRule=0,Q56,J67)</f>
        <v>Türkiye</v>
      </c>
      <c r="S60" s="350" t="str">
        <f>K60</f>
        <v>PK</v>
      </c>
      <c r="T60" s="350"/>
      <c r="V60" s="90"/>
      <c r="W60" s="91"/>
      <c r="X60" s="126" t="str">
        <f t="shared" ca="1" si="210"/>
        <v>England</v>
      </c>
      <c r="Y60" s="129"/>
      <c r="Z60" s="350" t="str">
        <f>P60</f>
        <v>Score</v>
      </c>
      <c r="AA60" s="350"/>
      <c r="AB60" s="130"/>
      <c r="AC60" s="350" t="str">
        <f>S60</f>
        <v>PK</v>
      </c>
      <c r="AD60" s="350"/>
      <c r="AF60" s="90"/>
      <c r="AG60" s="91"/>
      <c r="AH60" s="126" t="str">
        <f t="shared" ca="1" si="201"/>
        <v>England</v>
      </c>
      <c r="AI60" s="129"/>
      <c r="AJ60" s="350" t="str">
        <f t="shared" ref="AJ60" si="211">Z60</f>
        <v>Score</v>
      </c>
      <c r="AK60" s="350"/>
      <c r="AL60" s="130"/>
      <c r="AM60" s="350" t="str">
        <f t="shared" ref="AM60" si="212">AC60</f>
        <v>PK</v>
      </c>
      <c r="AN60" s="350"/>
      <c r="AP60" s="90"/>
      <c r="AQ60" s="91"/>
      <c r="AR60" s="126" t="str">
        <f t="shared" ca="1" si="202"/>
        <v>England</v>
      </c>
      <c r="AS60" s="129"/>
      <c r="AT60" s="350" t="str">
        <f t="shared" ref="AT60" si="213">AJ60</f>
        <v>Score</v>
      </c>
      <c r="AU60" s="350"/>
      <c r="AV60" s="130"/>
      <c r="AW60" s="350" t="str">
        <f t="shared" ref="AW60" si="214">AM60</f>
        <v>PK</v>
      </c>
      <c r="AX60" s="350"/>
      <c r="AZ60" s="90"/>
      <c r="BA60" s="91"/>
      <c r="BB60" s="126" t="str">
        <f t="shared" ca="1" si="203"/>
        <v>England</v>
      </c>
      <c r="BC60" s="129"/>
      <c r="BD60" s="350" t="str">
        <f t="shared" ref="BD60" si="215">AT60</f>
        <v>Score</v>
      </c>
      <c r="BE60" s="350"/>
      <c r="BF60" s="130"/>
      <c r="BG60" s="350" t="str">
        <f t="shared" ref="BG60" si="216">AW60</f>
        <v>PK</v>
      </c>
      <c r="BH60" s="350"/>
      <c r="BJ60" s="90"/>
      <c r="BK60" s="91"/>
      <c r="BL60" s="126" t="str">
        <f t="shared" ca="1" si="204"/>
        <v>England</v>
      </c>
      <c r="BM60" s="129"/>
      <c r="BN60" s="350" t="str">
        <f t="shared" ref="BN60" si="217">BD60</f>
        <v>Score</v>
      </c>
      <c r="BO60" s="350"/>
      <c r="BP60" s="130"/>
      <c r="BQ60" s="350" t="str">
        <f t="shared" ref="BQ60" si="218">BG60</f>
        <v>PK</v>
      </c>
      <c r="BR60" s="350"/>
      <c r="BT60" s="90"/>
      <c r="BU60" s="91"/>
      <c r="BV60" s="126" t="str">
        <f t="shared" ca="1" si="205"/>
        <v>England</v>
      </c>
      <c r="BW60" s="129"/>
      <c r="BX60" s="350" t="str">
        <f t="shared" ref="BX60" si="219">BN60</f>
        <v>Score</v>
      </c>
      <c r="BY60" s="350"/>
      <c r="BZ60" s="130"/>
      <c r="CA60" s="350" t="str">
        <f t="shared" ref="CA60" si="220">BQ60</f>
        <v>PK</v>
      </c>
      <c r="CB60" s="350"/>
      <c r="CD60" s="90"/>
      <c r="CE60" s="91"/>
      <c r="CF60" s="126" t="str">
        <f t="shared" ca="1" si="206"/>
        <v>England</v>
      </c>
      <c r="CG60" s="129"/>
      <c r="CH60" s="350" t="str">
        <f t="shared" ref="CH60" si="221">BX60</f>
        <v>Score</v>
      </c>
      <c r="CI60" s="350"/>
      <c r="CJ60" s="130"/>
      <c r="CK60" s="350" t="str">
        <f t="shared" ref="CK60" si="222">CA60</f>
        <v>PK</v>
      </c>
      <c r="CL60" s="350"/>
      <c r="CN60" s="90"/>
      <c r="CO60" s="91"/>
      <c r="CP60" s="126" t="str">
        <f t="shared" ca="1" si="207"/>
        <v>England</v>
      </c>
      <c r="CQ60" s="129"/>
      <c r="CR60" s="350" t="str">
        <f t="shared" ref="CR60" si="223">CH60</f>
        <v>Score</v>
      </c>
      <c r="CS60" s="350"/>
      <c r="CT60" s="130"/>
      <c r="CU60" s="350" t="str">
        <f t="shared" ref="CU60" si="224">CK60</f>
        <v>PK</v>
      </c>
      <c r="CV60" s="350"/>
      <c r="CX60" s="90"/>
      <c r="CY60" s="91"/>
      <c r="CZ60" s="126" t="str">
        <f t="shared" ca="1" si="208"/>
        <v>England</v>
      </c>
      <c r="DA60" s="129"/>
      <c r="DB60" s="350" t="str">
        <f t="shared" ref="DB60" si="225">CR60</f>
        <v>Score</v>
      </c>
      <c r="DC60" s="350"/>
      <c r="DD60" s="130"/>
      <c r="DE60" s="350" t="str">
        <f t="shared" ref="DE60" si="226">CU60</f>
        <v>PK</v>
      </c>
      <c r="DF60" s="350"/>
      <c r="DH60" s="90"/>
      <c r="DI60" s="91"/>
    </row>
    <row r="61" spans="1:113" s="43" customFormat="1" ht="15" customHeight="1" x14ac:dyDescent="0.25">
      <c r="A61" s="41"/>
      <c r="B61" s="65"/>
      <c r="C61" s="92">
        <v>37</v>
      </c>
      <c r="D61" s="95" t="s">
        <v>108</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75"/>
      <c r="AA61" s="75"/>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c r="AK61" s="75"/>
      <c r="AL61" s="76" t="str">
        <f ca="1">IF(KOGameRule=0,AK53,J61)</f>
        <v>Denmark</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c r="BE61" s="75"/>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France</v>
      </c>
      <c r="BM61" s="74" t="str">
        <f ca="1">IF(KOGameRule=0,BM51,G61)</f>
        <v>Germany</v>
      </c>
      <c r="BN61" s="75"/>
      <c r="BO61" s="75"/>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108</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Scotland</v>
      </c>
      <c r="P62" s="75"/>
      <c r="Q62" s="75"/>
      <c r="R62" s="76" t="str">
        <f ca="1">IF(KOGameRule=0,Q52,J62)</f>
        <v>Spain</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Switzerland</v>
      </c>
      <c r="Z62" s="75"/>
      <c r="AA62" s="75"/>
      <c r="AB62" s="76" t="str">
        <f ca="1">IF(KOGameRule=0,AA52,J62)</f>
        <v>Spain</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Hungary</v>
      </c>
      <c r="AJ62" s="75"/>
      <c r="AK62" s="75"/>
      <c r="AL62" s="76" t="str">
        <f ca="1">IF(KOGameRule=0,AK52,J62)</f>
        <v>Albania</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Hungary</v>
      </c>
      <c r="AT62" s="75"/>
      <c r="AU62" s="75"/>
      <c r="AV62" s="76" t="str">
        <f ca="1">IF(KOGameRule=0,AU52,J62)</f>
        <v>Albania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c r="BE62" s="75"/>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Hungary</v>
      </c>
      <c r="BN62" s="75"/>
      <c r="BO62" s="75"/>
      <c r="BP62" s="76" t="str">
        <f ca="1">IF(KOGameRule=0,BO52,J62)</f>
        <v>Albania</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Hungary</v>
      </c>
      <c r="BX62" s="75"/>
      <c r="BY62" s="75"/>
      <c r="BZ62" s="76" t="str">
        <f ca="1">IF(KOGameRule=0,BY52,J62)</f>
        <v>Albania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108</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Croatia</v>
      </c>
      <c r="P63" s="75"/>
      <c r="Q63" s="75"/>
      <c r="R63" s="76" t="str">
        <f ca="1">IF(KOGameRule=0,OFFSET('Dummy Table'!IU18,0,N51),J63)</f>
        <v>Switzerland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Croatia</v>
      </c>
      <c r="Z63" s="75"/>
      <c r="AA63" s="75"/>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c r="AK63" s="75"/>
      <c r="AL63" s="76" t="str">
        <f ca="1">IF(KOGameRule=0,OFFSET('Dummy Table'!IU18,0,AH51),J63)</f>
        <v>Scotland</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Scotland</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c r="BE63" s="75"/>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c r="BO63" s="75"/>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Scotland</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108</v>
      </c>
      <c r="E64" s="151">
        <f t="shared" si="247"/>
        <v>45473.75</v>
      </c>
      <c r="F64" s="152">
        <v>45473.75</v>
      </c>
      <c r="G64" s="72" t="str">
        <f>Matches!G47</f>
        <v>Group C Winner</v>
      </c>
      <c r="H64" s="75"/>
      <c r="I64" s="75"/>
      <c r="J64" s="73" t="str">
        <f>Matches!J47</f>
        <v>Group D/E/F 3rd Place</v>
      </c>
      <c r="K64" s="20"/>
      <c r="L64" s="20"/>
      <c r="M64" s="89"/>
      <c r="N64" s="126" t="str">
        <f t="shared" ref="N64:N69" ca="1" si="248">Q51</f>
        <v>Scotland</v>
      </c>
      <c r="O64" s="74" t="str">
        <f ca="1">IF(KOGameRule=0,O53,G64)</f>
        <v>England</v>
      </c>
      <c r="P64" s="75"/>
      <c r="Q64" s="75"/>
      <c r="R64" s="76" t="str">
        <f ca="1">IF(KOGameRule=0,OFFSET('Dummy Table'!IU19,0,N51),J64)</f>
        <v>Romania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Switzerland</v>
      </c>
      <c r="Y64" s="74" t="str">
        <f ca="1">IF(KOGameRule=0,Y53,G64)</f>
        <v>England</v>
      </c>
      <c r="Z64" s="75"/>
      <c r="AA64" s="75"/>
      <c r="AB64" s="76" t="str">
        <f ca="1">IF(KOGameRule=0,OFFSET('Dummy Table'!IU19,0,X51),J64)</f>
        <v>Czechia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c r="AK64" s="75"/>
      <c r="AL64" s="76" t="str">
        <f ca="1">IF(KOGameRule=0,OFFSET('Dummy Table'!IU19,0,AH51),J64)</f>
        <v>Austria</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Hungary</v>
      </c>
      <c r="AS64" s="74" t="str">
        <f ca="1">IF(KOGameRule=0,AS53,G64)</f>
        <v>England</v>
      </c>
      <c r="AT64" s="75"/>
      <c r="AU64" s="75"/>
      <c r="AV64" s="76" t="str">
        <f ca="1">IF(KOGameRule=0,OFFSET('Dummy Table'!IU19,0,AR51),J64)</f>
        <v>Austria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c r="BE64" s="75"/>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Hungary</v>
      </c>
      <c r="BM64" s="74" t="str">
        <f ca="1">IF(KOGameRule=0,BM53,G64)</f>
        <v>England</v>
      </c>
      <c r="BN64" s="75"/>
      <c r="BO64" s="75"/>
      <c r="BP64" s="76" t="str">
        <f ca="1">IF(KOGameRule=0,OFFSET('Dummy Table'!IU19,0,BL51),J64)</f>
        <v>Austria</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Hungary</v>
      </c>
      <c r="BW64" s="74" t="str">
        <f ca="1">IF(KOGameRule=0,BW53,G64)</f>
        <v>England</v>
      </c>
      <c r="BX64" s="75"/>
      <c r="BY64" s="75"/>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108</v>
      </c>
      <c r="E65" s="151">
        <f t="shared" si="247"/>
        <v>45474.875</v>
      </c>
      <c r="F65" s="152">
        <v>45474.875</v>
      </c>
      <c r="G65" s="72" t="str">
        <f>Matches!G48</f>
        <v>Group F Winner</v>
      </c>
      <c r="H65" s="75"/>
      <c r="I65" s="75"/>
      <c r="J65" s="73" t="str">
        <f>Matches!J48</f>
        <v>Group A/B/C 3rd Place</v>
      </c>
      <c r="K65" s="20"/>
      <c r="L65" s="20"/>
      <c r="M65" s="89"/>
      <c r="N65" s="126" t="str">
        <f t="shared" ca="1" si="248"/>
        <v>Spain</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Spain</v>
      </c>
      <c r="Y65" s="74" t="str">
        <f ca="1">IF(KOGameRule=0,Y56,G65)</f>
        <v>Portugal</v>
      </c>
      <c r="Z65" s="75"/>
      <c r="AA65" s="75"/>
      <c r="AB65" s="76" t="str">
        <f ca="1">IF(KOGameRule=0,OFFSET('Dummy Table'!IU21,0,X51),J65)</f>
        <v>Italy</v>
      </c>
      <c r="AC65" s="79"/>
      <c r="AD65" s="79"/>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Albania</v>
      </c>
      <c r="AI65" s="74" t="str">
        <f ca="1">IF(KOGameRule=0,AI56,G65)</f>
        <v>Portugal</v>
      </c>
      <c r="AJ65" s="75"/>
      <c r="AK65" s="75"/>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Albania</v>
      </c>
      <c r="AS65" s="74" t="str">
        <f ca="1">IF(KOGameRule=0,AS56,G65)</f>
        <v>Portugal</v>
      </c>
      <c r="AT65" s="75"/>
      <c r="AU65" s="75"/>
      <c r="AV65" s="76" t="str">
        <f ca="1">IF(KOGameRule=0,OFFSET('Dummy Table'!IU21,0,AR51),J65)</f>
        <v>Slovenia</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c r="BE65" s="75"/>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Albania</v>
      </c>
      <c r="BM65" s="74" t="str">
        <f ca="1">IF(KOGameRule=0,BM56,G65)</f>
        <v>Portugal</v>
      </c>
      <c r="BN65" s="75"/>
      <c r="BO65" s="75"/>
      <c r="BP65" s="76" t="str">
        <f ca="1">IF(KOGameRule=0,OFFSET('Dummy Table'!IU21,0,BL51),J65)</f>
        <v>Slovenia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Albania</v>
      </c>
      <c r="BW65" s="74" t="str">
        <f ca="1">IF(KOGameRule=0,BW56,G65)</f>
        <v>Portugal</v>
      </c>
      <c r="BX65" s="75"/>
      <c r="BY65" s="75"/>
      <c r="BZ65" s="76" t="str">
        <f ca="1">IF(KOGameRule=0,OFFSET('Dummy Table'!IU21,0,BV51),J65)</f>
        <v>Slovenia</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108</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Ukraine</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Netherlands</v>
      </c>
      <c r="Z66" s="75"/>
      <c r="AA66" s="75"/>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Denmark</v>
      </c>
      <c r="AI66" s="74" t="str">
        <f ca="1">IF(KOGameRule=0,AK54,G66)</f>
        <v>Netherlands</v>
      </c>
      <c r="AJ66" s="75"/>
      <c r="AK66" s="75"/>
      <c r="AL66" s="76" t="str">
        <f ca="1">IF(KOGameRule=0,AK55,J66)</f>
        <v>Romania</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c r="BE66" s="75"/>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Netherlands</v>
      </c>
      <c r="BN66" s="75"/>
      <c r="BO66" s="75"/>
      <c r="BP66" s="76" t="str">
        <f ca="1">IF(KOGameRule=0,BO55,J66)</f>
        <v>Romania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108</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Italy</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Netherlands</v>
      </c>
      <c r="Y67" s="74" t="str">
        <f ca="1">IF(KOGameRule=0,Y55,G67)</f>
        <v>Belgium</v>
      </c>
      <c r="Z67" s="75"/>
      <c r="AA67" s="75"/>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c r="AK67" s="75"/>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c r="BE67" s="75"/>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Netherlands</v>
      </c>
      <c r="BM67" s="74" t="str">
        <f ca="1">IF(KOGameRule=0,BM55,G67)</f>
        <v>Belgium</v>
      </c>
      <c r="BN67" s="75"/>
      <c r="BO67" s="75"/>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Croatia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5">
      <c r="A68" s="41"/>
      <c r="B68" s="65"/>
      <c r="C68" s="96">
        <v>44</v>
      </c>
      <c r="D68" s="99" t="s">
        <v>108</v>
      </c>
      <c r="E68" s="153">
        <f t="shared" si="247"/>
        <v>45475.875</v>
      </c>
      <c r="F68" s="154">
        <v>45475.875</v>
      </c>
      <c r="G68" s="97" t="str">
        <f>Matches!G51</f>
        <v>Group D Winner</v>
      </c>
      <c r="H68" s="75"/>
      <c r="I68" s="75"/>
      <c r="J68" s="98" t="str">
        <f>Matches!J51</f>
        <v>Group F Runner Up</v>
      </c>
      <c r="K68" s="20"/>
      <c r="L68" s="20"/>
      <c r="M68" s="89"/>
      <c r="N68" s="126" t="str">
        <f t="shared" ca="1" si="248"/>
        <v>Ukraine</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75"/>
      <c r="AA68" s="75"/>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Romania</v>
      </c>
      <c r="AI68" s="113" t="str">
        <f ca="1">IF(KOGameRule=0,AI54,G68)</f>
        <v>France</v>
      </c>
      <c r="AJ68" s="75"/>
      <c r="AK68" s="75"/>
      <c r="AL68" s="114" t="str">
        <f ca="1">IF(KOGameRule=0,AK56,J68)</f>
        <v>Türkiye</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c r="BE68" s="75"/>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Romania</v>
      </c>
      <c r="BM68" s="113" t="str">
        <f ca="1">IF(KOGameRule=0,BM54,G68)</f>
        <v>France</v>
      </c>
      <c r="BN68" s="75"/>
      <c r="BO68" s="75"/>
      <c r="BP68" s="114" t="str">
        <f ca="1">IF(KOGameRule=0,BO56,J68)</f>
        <v>Türkiye</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109</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IF(KOGameRule=1,G69,IF(AND(Z63&lt;&gt;"",AA63&lt;&gt;""),IF((Z63+AC63)&gt;(AA63+AD63),Y63,IF((Z63+AC63)&lt;(AA63+AD63),AB63,Matches!G52)),Matches!G52))</f>
        <v>Match 39 Winner</v>
      </c>
      <c r="Z69" s="75"/>
      <c r="AA69" s="75"/>
      <c r="AB69" s="76" t="str">
        <f>IF(KOGameRule=1,J69,IF(AND(Z61&lt;&gt;"",AA61&lt;&gt;""),IF((Z61+AC61)&gt;(AA61+AD61),Y61,IF((Z61+AC61)&lt;(AA61+AD61),AB61,Matches!J52)),Matches!J52))</f>
        <v>Match 37 Winner</v>
      </c>
      <c r="AC69" s="79"/>
      <c r="AD69" s="79"/>
      <c r="AE69" s="131">
        <f>IF(KOMatchRule=1,IF(AND(H69&lt;&gt;"",I69&lt;&gt;"",H69=I69,AF69=Quar1+Pena1),1,IF(AF69=Quar1,1,0)),IF(AF69=Quar1,1,0))</f>
        <v>0</v>
      </c>
      <c r="AF69" s="78">
        <f>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IF(KOGameRule=0,IF(AND(Z45&lt;&gt;"",Y69=G69,AB69=J69),IF(OR(AND((H69+K69)&gt;(I69+L69),(Z69+AC69)&gt;(AA69+AD69)),AND((H69+K69)&lt;(I69+L69),(Z69+AC69)&lt;(AA69+AD69))),Bonu15+Bonu6,Bonu6),0),IF(OR(AND((H69+K69)&gt;(I69+L69),(Z69+AC69)&gt;(AA69+AD69)),AND((H69+K69)&lt;(I69+L69),(Z69+AC69)&lt;(AA69+AD69))),Bonu15,0))</f>
        <v>0</v>
      </c>
      <c r="AH69" s="126" t="str">
        <f t="shared" ca="1" si="250"/>
        <v>Türkiye</v>
      </c>
      <c r="AI69" s="74" t="str">
        <f>IF(KOGameRule=1,G69,IF(AND(AJ63&lt;&gt;"",AK63&lt;&gt;""),IF((AJ63+AM63)&gt;(AK63+AN63),AI63,IF((AJ63+AM63)&lt;(AK63+AN63),AL63,Matches!G52)),Matches!G52))</f>
        <v>Match 39 Winner</v>
      </c>
      <c r="AJ69" s="75"/>
      <c r="AK69" s="75"/>
      <c r="AL69" s="76" t="str">
        <f>IF(KOGameRule=1,J69,IF(AND(AJ61&lt;&gt;"",AK61&lt;&gt;""),IF((AJ61+AM61)&gt;(AK61+AN61),AI61,IF((AJ61+AM61)&lt;(AK61+AN61),AL61,Matches!J52)),Matches!J52))</f>
        <v>Match 37 Winner</v>
      </c>
      <c r="AM69" s="79"/>
      <c r="AN69" s="79"/>
      <c r="AO69" s="131">
        <f>IF(KOMatchRule=1,IF(AND(H69&lt;&gt;"",I69&lt;&gt;"",H69=I69,AP69=Quar1+Pena1),1,IF(AP69=Quar1,1,0)),IF(AP69=Quar1,1,0))</f>
        <v>0</v>
      </c>
      <c r="AP69" s="78">
        <f>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IF(KOGameRule=1,G69,IF(AND(BD63&lt;&gt;"",BE63&lt;&gt;""),IF((BD63+BG63)&gt;(BE63+BH63),BC63,IF((BD63+BG63)&lt;(BE63+BH63),BF63,Matches!G52)),Matches!G52))</f>
        <v>Match 39 Winner</v>
      </c>
      <c r="BD69" s="75"/>
      <c r="BE69" s="75"/>
      <c r="BF69" s="76" t="str">
        <f>IF(KOGameRule=1,J69,IF(AND(BD61&lt;&gt;"",BE61&lt;&gt;""),IF((BD61+BG61)&gt;(BE61+BH61),BC61,IF((BD61+BG61)&lt;(BE61+BH61),BF61,Matches!J52)),Matches!J52))</f>
        <v>Match 37 Winner</v>
      </c>
      <c r="BG69" s="79"/>
      <c r="BH69" s="79"/>
      <c r="BI69" s="131">
        <f>IF(KOMatchRule=1,IF(AND(H69&lt;&gt;"",I69&lt;&gt;"",H69=I69,BJ69=Quar1+Pena1),1,IF(BJ69=Quar1,1,0)),IF(BJ69=Quar1,1,0))</f>
        <v>0</v>
      </c>
      <c r="BJ69" s="78">
        <f>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IF(KOGameRule=0,IF(AND(BD45&lt;&gt;"",BC69=G69,BF69=J69),IF(OR(AND((H69+K69)&gt;(I69+L69),(BD69+BG69)&gt;(BE69+BH69)),AND((H69+K69)&lt;(I69+L69),(BD69+BG69)&lt;(BE69+BH69))),Bonu15+Bonu6,Bonu6),0),IF(OR(AND((H69+K69)&gt;(I69+L69),(BD69+BG69)&gt;(BE69+BH69)),AND((H69+K69)&lt;(I69+L69),(BD69+BG69)&lt;(BE69+BH69))),Bonu15,0))</f>
        <v>0</v>
      </c>
      <c r="BL69" s="126" t="str">
        <f t="shared" ca="1" si="253"/>
        <v>Türkiye</v>
      </c>
      <c r="BM69" s="74" t="str">
        <f>IF(KOGameRule=1,G69,IF(AND(BN63&lt;&gt;"",BO63&lt;&gt;""),IF((BN63+BQ63)&gt;(BO63+BR63),BM63,IF((BN63+BQ63)&lt;(BO63+BR63),BP63,Matches!G52)),Matches!G52))</f>
        <v>Match 39 Winner</v>
      </c>
      <c r="BN69" s="75"/>
      <c r="BO69" s="75"/>
      <c r="BP69" s="76" t="str">
        <f>IF(KOGameRule=1,J69,IF(AND(BN61&lt;&gt;"",BO61&lt;&gt;""),IF((BN61+BQ61)&gt;(BO61+BR61),BM61,IF((BN61+BQ61)&lt;(BO61+BR61),BP61,Matches!J52)),Matches!J52))</f>
        <v>Match 37 Winner</v>
      </c>
      <c r="BQ69" s="79"/>
      <c r="BR69" s="79"/>
      <c r="BS69" s="131">
        <f>IF(KOMatchRule=1,IF(AND(H69&lt;&gt;"",I69&lt;&gt;"",H69=I69,BT69=Quar1+Pena1),1,IF(BT69=Quar1,1,0)),IF(BT69=Quar1,1,0))</f>
        <v>0</v>
      </c>
      <c r="BT69" s="78">
        <f>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109</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Switzerland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IF(KOGameRule=1,G70,IF(AND(Z65&lt;&gt;"",AA65&lt;&gt;""),IF((Z65+AC65)&gt;(AA65+AD65),Y65,IF((Z65+AC65)&lt;(AA65+AD65),AB65,Matches!G53)),Matches!G53))</f>
        <v>Match 41 Winner</v>
      </c>
      <c r="Z70" s="75"/>
      <c r="AA70" s="75"/>
      <c r="AB70" s="76" t="str">
        <f>IF(KOGameRule=1,J70,IF(AND(Z66&lt;&gt;"",AA66&lt;&gt;""),IF((Z66+AC66)&gt;(AA66+AD66),Y66,IF((Z66+AC66)&lt;(AA66+AD66),AB66,Matches!J53)),Matches!J53))</f>
        <v>Match 42 Winner</v>
      </c>
      <c r="AC70" s="79"/>
      <c r="AD70" s="79"/>
      <c r="AE70" s="131">
        <f>IF(KOMatchRule=1,IF(AND(H70&lt;&gt;"",I70&lt;&gt;"",H70=I70,AF70=Quar1+Pena1),1,IF(AF70=Quar1,1,0)),IF(AF70=Quar1,1,0))</f>
        <v>0</v>
      </c>
      <c r="AF70" s="78">
        <f>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IF(KOGameRule=0,IF(AND(Z45&lt;&gt;"",Y70=G70,AB70=J70),IF(OR(AND((H70+K70)&gt;(I70+L70),(Z70+AC70)&gt;(AA70+AD70)),AND((H70+K70)&lt;(I70+L70),(Z70+AC70)&lt;(AA70+AD70))),Bonu15+Bonu6,Bonu6),0),IF(OR(AND((H70+K70)&gt;(I70+L70),(Z70+AC70)&gt;(AA70+AD70)),AND((H70+K70)&lt;(I70+L70),(Z70+AC70)&lt;(AA70+AD70))),Bonu15,0))</f>
        <v>0</v>
      </c>
      <c r="AH70" s="126" t="str">
        <f t="shared" ref="AH70:AH75" ca="1" si="258">AM51</f>
        <v>Scotland</v>
      </c>
      <c r="AI70" s="74" t="str">
        <f>IF(KOGameRule=1,G70,IF(AND(AJ65&lt;&gt;"",AK65&lt;&gt;""),IF((AJ65+AM65)&gt;(AK65+AN65),AI65,IF((AJ65+AM65)&lt;(AK65+AN65),AL65,Matches!G53)),Matches!G53))</f>
        <v>Match 41 Winner</v>
      </c>
      <c r="AJ70" s="75"/>
      <c r="AK70" s="75"/>
      <c r="AL70" s="76" t="str">
        <f>IF(KOGameRule=1,J70,IF(AND(AJ66&lt;&gt;"",AK66&lt;&gt;""),IF((AJ66+AM66)&gt;(AK66+AN66),AI66,IF((AJ66+AM66)&lt;(AK66+AN66),AL66,Matches!J53)),Matches!J53))</f>
        <v>Match 42 Winner</v>
      </c>
      <c r="AM70" s="79"/>
      <c r="AN70" s="79"/>
      <c r="AO70" s="131">
        <f>IF(KOMatchRule=1,IF(AND(H70&lt;&gt;"",I70&lt;&gt;"",H70=I70,AP70=Quar1+Pena1),1,IF(AP70=Quar1,1,0)),IF(AP70=Quar1,1,0))</f>
        <v>0</v>
      </c>
      <c r="AP70" s="78">
        <f>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IF(KOGameRule=1,G70,IF(AND(BD65&lt;&gt;"",BE65&lt;&gt;""),IF((BD65+BG65)&gt;(BE65+BH65),BC65,IF((BD65+BG65)&lt;(BE65+BH65),BF65,Matches!G53)),Matches!G53))</f>
        <v>Match 41 Winner</v>
      </c>
      <c r="BD70" s="75"/>
      <c r="BE70" s="75"/>
      <c r="BF70" s="76" t="str">
        <f>IF(KOGameRule=1,J70,IF(AND(BD66&lt;&gt;"",BE66&lt;&gt;""),IF((BD66+BG66)&gt;(BE66+BH66),BC66,IF((BD66+BG66)&lt;(BE66+BH66),BF66,Matches!J53)),Matches!J53))</f>
        <v>Match 42 Winner</v>
      </c>
      <c r="BG70" s="79"/>
      <c r="BH70" s="79"/>
      <c r="BI70" s="131">
        <f>IF(KOMatchRule=1,IF(AND(H70&lt;&gt;"",I70&lt;&gt;"",H70=I70,BJ70=Quar1+Pena1),1,IF(BJ70=Quar1,1,0)),IF(BJ70=Quar1,1,0))</f>
        <v>0</v>
      </c>
      <c r="BJ70" s="78">
        <f>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IF(KOGameRule=1,G70,IF(AND(BN65&lt;&gt;"",BO65&lt;&gt;""),IF((BN65+BQ65)&gt;(BO65+BR65),BM65,IF((BN65+BQ65)&lt;(BO65+BR65),BP65,Matches!G53)),Matches!G53))</f>
        <v>Match 41 Winner</v>
      </c>
      <c r="BN70" s="75"/>
      <c r="BO70" s="75"/>
      <c r="BP70" s="76" t="str">
        <f>IF(KOGameRule=1,J70,IF(AND(BN66&lt;&gt;"",BO66&lt;&gt;""),IF((BN66+BQ66)&gt;(BO66+BR66),BM66,IF((BN66+BQ66)&lt;(BO66+BR66),BP66,Matches!J53)),Matches!J53))</f>
        <v>Match 42 Winner</v>
      </c>
      <c r="BQ70" s="79"/>
      <c r="BR70" s="79"/>
      <c r="BS70" s="131">
        <f>IF(KOMatchRule=1,IF(AND(H70&lt;&gt;"",I70&lt;&gt;"",H70=I70,BT70=Quar1+Pena1),1,IF(BT70=Quar1,1,0)),IF(BT70=Quar1,1,0))</f>
        <v>0</v>
      </c>
      <c r="BT70" s="78">
        <f>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IF(KOGameRule=0,IF(AND(BN45&lt;&gt;"",BM70=G70,BP70=J70),IF(OR(AND((H70+K70)&gt;(I70+L70),(BN70+BQ70)&gt;(BO70+BR70)),AND((H70+K70)&lt;(I70+L70),(BN70+BQ70)&lt;(BO70+BR70))),Bonu15+Bonu6,Bonu6),0),IF(OR(AND((H70+K70)&gt;(I70+L70),(BN70+BQ70)&gt;(BO70+BR70)),AND((H70+K70)&lt;(I70+L70),(BN70+BQ70)&lt;(BO70+BR70))),Bonu15,0))</f>
        <v>0</v>
      </c>
      <c r="BV70" s="126" t="str">
        <f t="shared" ref="BV70:BV75" ca="1" si="262">CA51</f>
        <v>Scotland</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109</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Italy</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IF(KOGameRule=1,G71,IF(AND(Z67&lt;&gt;"",AA67&lt;&gt;""),IF((Z67+AC67)&gt;(AA67+AD67),Y67,IF((Z67+AC67)&lt;(AA67+AD67),AB67,Matches!G54)),Matches!G54))</f>
        <v>Match 43 Winner</v>
      </c>
      <c r="Z71" s="75"/>
      <c r="AA71" s="75"/>
      <c r="AB71" s="76" t="str">
        <f>IF(KOGameRule=1,J71,IF(AND(Z68&lt;&gt;"",AA68&lt;&gt;""),IF((Z68+AC68)&gt;(AA68+AD68),Y68,IF((Z68+AC68)&lt;(AA68+AD68),AB68,Matches!J54)),Matches!J54))</f>
        <v>Match 44 Winner</v>
      </c>
      <c r="AC71" s="79"/>
      <c r="AD71" s="79"/>
      <c r="AE71" s="131">
        <f>IF(KOMatchRule=1,IF(AND(H71&lt;&gt;"",I71&lt;&gt;"",H71=I71,AF71=Quar1+Pena1),1,IF(AF71=Quar1,1,0)),IF(AF71=Quar1,1,0))</f>
        <v>0</v>
      </c>
      <c r="AF71" s="78">
        <f>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IF(KOGameRule=1,G71,IF(AND(AJ67&lt;&gt;"",AK67&lt;&gt;""),IF((AJ67+AM67)&gt;(AK67+AN67),AI67,IF((AJ67+AM67)&lt;(AK67+AN67),AL67,Matches!G54)),Matches!G54))</f>
        <v>Match 43 Winner</v>
      </c>
      <c r="AJ71" s="75"/>
      <c r="AK71" s="75"/>
      <c r="AL71" s="76" t="str">
        <f>IF(KOGameRule=1,J71,IF(AND(AJ68&lt;&gt;"",AK68&lt;&gt;""),IF((AJ68+AM68)&gt;(AK68+AN68),AI68,IF((AJ68+AM68)&lt;(AK68+AN68),AL68,Matches!J54)),Matches!J54))</f>
        <v>Match 44 Winner</v>
      </c>
      <c r="AM71" s="79"/>
      <c r="AN71" s="79"/>
      <c r="AO71" s="131">
        <f>IF(KOMatchRule=1,IF(AND(H71&lt;&gt;"",I71&lt;&gt;"",H71=I71,AP71=Quar1+Pena1),1,IF(AP71=Quar1,1,0)),IF(AP71=Quar1,1,0))</f>
        <v>0</v>
      </c>
      <c r="AP71" s="78">
        <f>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IF(KOGameRule=1,G71,IF(AND(BD67&lt;&gt;"",BE67&lt;&gt;""),IF((BD67+BG67)&gt;(BE67+BH67),BC67,IF((BD67+BG67)&lt;(BE67+BH67),BF67,Matches!G54)),Matches!G54))</f>
        <v>Match 43 Winner</v>
      </c>
      <c r="BD71" s="75"/>
      <c r="BE71" s="75"/>
      <c r="BF71" s="76" t="str">
        <f>IF(KOGameRule=1,J71,IF(AND(BD68&lt;&gt;"",BE68&lt;&gt;""),IF((BD68+BG68)&gt;(BE68+BH68),BC68,IF((BD68+BG68)&lt;(BE68+BH68),BF68,Matches!J54)),Matches!J54))</f>
        <v>Match 44 Winner</v>
      </c>
      <c r="BG71" s="79"/>
      <c r="BH71" s="79"/>
      <c r="BI71" s="131">
        <f>IF(KOMatchRule=1,IF(AND(H71&lt;&gt;"",I71&lt;&gt;"",H71=I71,BJ71=Quar1+Pena1),1,IF(BJ71=Quar1,1,0)),IF(BJ71=Quar1,1,0))</f>
        <v>0</v>
      </c>
      <c r="BJ71" s="78">
        <f>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IF(KOGameRule=1,G71,IF(AND(BN67&lt;&gt;"",BO67&lt;&gt;""),IF((BN67+BQ67)&gt;(BO67+BR67),BM67,IF((BN67+BQ67)&lt;(BO67+BR67),BP67,Matches!G54)),Matches!G54))</f>
        <v>Match 43 Winner</v>
      </c>
      <c r="BN71" s="75"/>
      <c r="BO71" s="75"/>
      <c r="BP71" s="76" t="str">
        <f>IF(KOGameRule=1,J71,IF(AND(BN68&lt;&gt;"",BO68&lt;&gt;""),IF((BN68+BQ68)&gt;(BO68+BR68),BM68,IF((BN68+BQ68)&lt;(BO68+BR68),BP68,Matches!J54)),Matches!J54))</f>
        <v>Match 44 Winner</v>
      </c>
      <c r="BQ71" s="79"/>
      <c r="BR71" s="79"/>
      <c r="BS71" s="131">
        <f>IF(KOMatchRule=1,IF(AND(H71&lt;&gt;"",I71&lt;&gt;"",H71=I71,BT71=Quar1+Pena1),1,IF(BT71=Quar1,1,0)),IF(BT71=Quar1,1,0))</f>
        <v>0</v>
      </c>
      <c r="BT71" s="78">
        <f>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IF(KOGameRule=1,G72,IF(AND(Z64&lt;&gt;"",AA64&lt;&gt;""),IF((Z64+AC64)&gt;(AA64+AD64),Y64,IF((Z64+AC64)&lt;(AA64+AD64),AB64,Matches!G55)),Matches!G55))</f>
        <v>Match 40 Winner</v>
      </c>
      <c r="Z72" s="75"/>
      <c r="AA72" s="75"/>
      <c r="AB72" s="114" t="str">
        <f>IF(KOGameRule=1,J72,IF(AND(Z62&lt;&gt;"",AA62&lt;&gt;""),IF((Z62+AC62)&gt;(AA62+AD62),Y62,IF((Z62+AC62)&lt;(AA62+AD62),AB62,Matches!J55)),Matches!J55))</f>
        <v>Match 38 Winner</v>
      </c>
      <c r="AC72" s="100"/>
      <c r="AD72" s="100"/>
      <c r="AE72" s="131">
        <f>IF(KOMatchRule=1,IF(AND(H72&lt;&gt;"",I72&lt;&gt;"",H72=I72,AF72=Quar1+Pena1),1,IF(AF72=Quar1,1,0)),IF(AF72=Quar1,1,0))</f>
        <v>0</v>
      </c>
      <c r="AF72" s="78">
        <f>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IF(KOGameRule=1,G72,IF(AND(AJ64&lt;&gt;"",AK64&lt;&gt;""),IF((AJ64+AM64)&gt;(AK64+AN64),AI64,IF((AJ64+AM64)&lt;(AK64+AN64),AL64,Matches!G55)),Matches!G55))</f>
        <v>Match 40 Winner</v>
      </c>
      <c r="AJ72" s="75"/>
      <c r="AK72" s="75"/>
      <c r="AL72" s="114" t="str">
        <f>IF(KOGameRule=1,J72,IF(AND(AJ62&lt;&gt;"",AK62&lt;&gt;""),IF((AJ62+AM62)&gt;(AK62+AN62),AI62,IF((AJ62+AM62)&lt;(AK62+AN62),AL62,Matches!J55)),Matches!J55))</f>
        <v>Match 38 Winner</v>
      </c>
      <c r="AM72" s="100"/>
      <c r="AN72" s="100"/>
      <c r="AO72" s="131">
        <f>IF(KOMatchRule=1,IF(AND(H72&lt;&gt;"",I72&lt;&gt;"",H72=I72,AP72=Quar1+Pena1),1,IF(AP72=Quar1,1,0)),IF(AP72=Quar1,1,0))</f>
        <v>0</v>
      </c>
      <c r="AP72" s="78">
        <f>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IF(KOGameRule=0,IF(AND(AJ45&lt;&gt;"",AI72=G72,AL72=J72),IF(OR(AND((H72+K72)&gt;(I72+L72),(AJ72+AM72)&gt;(AK72+AN72)),AND((H72+K72)&lt;(I72+L72),(AJ72+AM72)&lt;(AK72+AN72))),Bonu15+Bonu6,Bonu6),0),IF(OR(AND((H72+K72)&gt;(I72+L72),(AJ72+AM72)&gt;(AK72+AN72)),AND((H72+K72)&lt;(I72+L72),(AJ72+AM72)&lt;(AK72+AN72))),Bonu15,0))</f>
        <v>0</v>
      </c>
      <c r="AR72" s="126" t="str">
        <f t="shared" ca="1" si="259"/>
        <v>Slovenia</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IF(KOGameRule=1,G72,IF(AND(BD64&lt;&gt;"",BE64&lt;&gt;""),IF((BD64+BG64)&gt;(BE64+BH64),BC64,IF((BD64+BG64)&lt;(BE64+BH64),BF64,Matches!G55)),Matches!G55))</f>
        <v>Match 40 Winner</v>
      </c>
      <c r="BD72" s="75"/>
      <c r="BE72" s="75"/>
      <c r="BF72" s="114" t="str">
        <f>IF(KOGameRule=1,J72,IF(AND(BD62&lt;&gt;"",BE62&lt;&gt;""),IF((BD62+BG62)&gt;(BE62+BH62),BC62,IF((BD62+BG62)&lt;(BE62+BH62),BF62,Matches!J55)),Matches!J55))</f>
        <v>Match 38 Winner</v>
      </c>
      <c r="BG72" s="100"/>
      <c r="BH72" s="100"/>
      <c r="BI72" s="131">
        <f>IF(KOMatchRule=1,IF(AND(H72&lt;&gt;"",I72&lt;&gt;"",H72=I72,BJ72=Quar1+Pena1),1,IF(BJ72=Quar1,1,0)),IF(BJ72=Quar1,1,0))</f>
        <v>0</v>
      </c>
      <c r="BJ72" s="78">
        <f>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IF(KOGameRule=1,G72,IF(AND(BN64&lt;&gt;"",BO64&lt;&gt;""),IF((BN64+BQ64)&gt;(BO64+BR64),BM64,IF((BN64+BQ64)&lt;(BO64+BR64),BP64,Matches!G55)),Matches!G55))</f>
        <v>Match 40 Winner</v>
      </c>
      <c r="BN72" s="75"/>
      <c r="BO72" s="75"/>
      <c r="BP72" s="114" t="str">
        <f>IF(KOGameRule=1,J72,IF(AND(BN62&lt;&gt;"",BO62&lt;&gt;""),IF((BN62+BQ62)&gt;(BO62+BR62),BM62,IF((BN62+BQ62)&lt;(BO62+BR62),BP62,Matches!J55)),Matches!J55))</f>
        <v>Match 38 Winner</v>
      </c>
      <c r="BQ72" s="100"/>
      <c r="BR72" s="100"/>
      <c r="BS72" s="131">
        <f>IF(KOMatchRule=1,IF(AND(H72&lt;&gt;"",I72&lt;&gt;"",H72=I72,BT72=Quar1+Pena1),1,IF(BT72=Quar1,1,0)),IF(BT72=Quar1,1,0))</f>
        <v>0</v>
      </c>
      <c r="BT72" s="78">
        <f>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110</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IF(KOGameRule=1,G73,IF(AND(Z69&lt;&gt;"",AA69&lt;&gt;""),IF((Z69+AC69)&gt;(AA69+AD69),Y69,IF((Z69+AC69)&lt;(AA69+AD69),AB69,Matches!G56)),Matches!G56))</f>
        <v>Match 45 Winner</v>
      </c>
      <c r="Z73" s="75"/>
      <c r="AA73" s="75"/>
      <c r="AB73" s="76" t="str">
        <f>IF(KOGameRule=1,J73,IF(AND(Z70&lt;&gt;"",AA70&lt;&gt;""),IF((Z70+AC70)&gt;(AA70+AD70),Y70,IF((Z70+AC70)&lt;(AA70+AD70),AB70,Matches!J56)),Matches!J56))</f>
        <v>Match 46 Winner</v>
      </c>
      <c r="AC73" s="79"/>
      <c r="AD73" s="79"/>
      <c r="AE73" s="131">
        <f>IF(KOMatchRule=1,IF(AND(H73&lt;&gt;"",I73&lt;&gt;"",H73=I73,AF73=Semi1+Pena1),1,IF(AF73=Semi1,1,0)),IF(AF73=Semi1,1,0))</f>
        <v>0</v>
      </c>
      <c r="AF73" s="78">
        <f>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IF(KOGameRule=1,G73,IF(AND(AJ69&lt;&gt;"",AK69&lt;&gt;""),IF((AJ69+AM69)&gt;(AK69+AN69),AI69,IF((AJ69+AM69)&lt;(AK69+AN69),AL69,Matches!G56)),Matches!G56))</f>
        <v>Match 45 Winner</v>
      </c>
      <c r="AJ73" s="75"/>
      <c r="AK73" s="75"/>
      <c r="AL73" s="76" t="str">
        <f>IF(KOGameRule=1,J73,IF(AND(AJ70&lt;&gt;"",AK70&lt;&gt;""),IF((AJ70+AM70)&gt;(AK70+AN70),AI70,IF((AJ70+AM70)&lt;(AK70+AN70),AL70,Matches!J56)),Matches!J56))</f>
        <v>Match 46 Winner</v>
      </c>
      <c r="AM73" s="79"/>
      <c r="AN73" s="79"/>
      <c r="AO73" s="131">
        <f>IF(KOMatchRule=1,IF(AND(H73&lt;&gt;"",I73&lt;&gt;"",H73=I73,AP73=Semi1+Pena1),1,IF(AP73=Semi1,1,0)),IF(AP73=Semi1,1,0))</f>
        <v>0</v>
      </c>
      <c r="AP73" s="78">
        <f>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IF(KOGameRule=0,IF(AND(AJ45&lt;&gt;"",AI73=G73,AL73=J73),IF(OR(AND((H73+K73)&gt;(I73+L73),(AJ73+AM73)&gt;(AK73+AN73)),AND((H73+K73)&lt;(I73+L73),(AJ73+AM73)&lt;(AK73+AN73))),Bonu15+Bonu6,Bonu6),0),IF(OR(AND((H73+K73)&gt;(I73+L73),(AJ73+AM73)&gt;(AK73+AN73)),AND((H73+K73)&lt;(I73+L73),(AJ73+AM73)&lt;(AK73+AN73))),Bonu15,0))</f>
        <v>0</v>
      </c>
      <c r="AR73" s="126" t="str">
        <f t="shared" ca="1" si="259"/>
        <v>Austria</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IF(KOGameRule=1,G73,IF(AND(BD69&lt;&gt;"",BE69&lt;&gt;""),IF((BD69+BG69)&gt;(BE69+BH69),BC69,IF((BD69+BG69)&lt;(BE69+BH69),BF69,Matches!G56)),Matches!G56))</f>
        <v>Match 45 Winner</v>
      </c>
      <c r="BD73" s="75"/>
      <c r="BE73" s="75"/>
      <c r="BF73" s="76" t="str">
        <f>IF(KOGameRule=1,J73,IF(AND(BD70&lt;&gt;"",BE70&lt;&gt;""),IF((BD70+BG70)&gt;(BE70+BH70),BC70,IF((BD70+BG70)&lt;(BE70+BH70),BF70,Matches!J56)),Matches!J56))</f>
        <v>Match 46 Winner</v>
      </c>
      <c r="BG73" s="79"/>
      <c r="BH73" s="79"/>
      <c r="BI73" s="131">
        <f>IF(KOMatchRule=1,IF(AND(H73&lt;&gt;"",I73&lt;&gt;"",H73=I73,BJ73=Semi1+Pena1),1,IF(BJ73=Semi1,1,0)),IF(BJ73=Semi1,1,0))</f>
        <v>0</v>
      </c>
      <c r="BJ73" s="78">
        <f>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IF(KOGameRule=0,IF(AND(BD45&lt;&gt;"",BC73=G73,BF73=J73),IF(OR(AND((H73+K73)&gt;(I73+L73),(BD73+BG73)&gt;(BE73+BH73)),AND((H73+K73)&lt;(I73+L73),(BD73+BG73)&lt;(BE73+BH73))),Bonu15+Bonu6,Bonu6),0),IF(OR(AND((H73+K73)&gt;(I73+L73),(BD73+BG73)&gt;(BE73+BH73)),AND((H73+K73)&lt;(I73+L73),(BD73+BG73)&lt;(BE73+BH73))),Bonu15,0))</f>
        <v>0</v>
      </c>
      <c r="BL73" s="126" t="str">
        <f t="shared" ca="1" si="261"/>
        <v>Austria</v>
      </c>
      <c r="BM73" s="74" t="str">
        <f>IF(KOGameRule=1,G73,IF(AND(BN69&lt;&gt;"",BO69&lt;&gt;""),IF((BN69+BQ69)&gt;(BO69+BR69),BM69,IF((BN69+BQ69)&lt;(BO69+BR69),BP69,Matches!G56)),Matches!G56))</f>
        <v>Match 45 Winner</v>
      </c>
      <c r="BN73" s="75"/>
      <c r="BO73" s="75"/>
      <c r="BP73" s="76" t="str">
        <f>IF(KOGameRule=1,J73,IF(AND(BN70&lt;&gt;"",BO70&lt;&gt;""),IF((BN70+BQ70)&gt;(BO70+BR70),BM70,IF((BN70+BQ70)&lt;(BO70+BR70),BP70,Matches!J56)),Matches!J56))</f>
        <v>Match 46 Winner</v>
      </c>
      <c r="BQ73" s="79"/>
      <c r="BR73" s="79"/>
      <c r="BS73" s="131">
        <f>IF(KOMatchRule=1,IF(AND(H73&lt;&gt;"",I73&lt;&gt;"",H73=I73,BT73=Semi1+Pena1),1,IF(BT73=Semi1,1,0)),IF(BT73=Semi1,1,0))</f>
        <v>0</v>
      </c>
      <c r="BT73" s="78">
        <f>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5">
      <c r="A74" s="41">
        <v>71</v>
      </c>
      <c r="B74" s="65"/>
      <c r="C74" s="96">
        <v>50</v>
      </c>
      <c r="D74" s="99" t="s">
        <v>110</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Romania</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
      </c>
      <c r="Y74" s="113" t="str">
        <f>IF(KOGameRule=1,G74,IF(AND(Z71&lt;&gt;"",AA71&lt;&gt;""),IF((Z71+AC71)&gt;(AA71+AD71),Y71,IF((Z71+AC71)&lt;(AA71+AD71),AB71,Matches!G57)),Matches!G57))</f>
        <v>Match 47 Winner</v>
      </c>
      <c r="Z74" s="75"/>
      <c r="AA74" s="75"/>
      <c r="AB74" s="114" t="str">
        <f>IF(KOGameRule=1,J74,IF(AND(Z72&lt;&gt;"",AA72&lt;&gt;""),IF((Z72+AC72)&gt;(AA72+AD72),Y72,IF((Z72+AC72)&lt;(AA72+AD72),AB72,Matches!J57)),Matches!J57))</f>
        <v>Match 48 Winner</v>
      </c>
      <c r="AC74" s="100"/>
      <c r="AD74" s="100"/>
      <c r="AE74" s="131">
        <f>IF(KOMatchRule=1,IF(AND(H74&lt;&gt;"",I74&lt;&gt;"",H74=I74,AF74=Semi1+Pena1),1,IF(AF74=Semi1,1,0)),IF(AF74=Semi1,1,0))</f>
        <v>0</v>
      </c>
      <c r="AF74" s="78">
        <f>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IF(KOGameRule=0,IF(AND(Z45&lt;&gt;"",Y74=G74,AB74=J74),IF(OR(AND((H74+K74)&gt;(I74+L74),(Z74+AC74)&gt;(AA74+AD74)),AND((H74+K74)&lt;(I74+L74),(Z74+AC74)&lt;(AA74+AD74))),Bonu15+Bonu6,Bonu6),0),IF(OR(AND((H74+K74)&gt;(I74+L74),(Z74+AC74)&gt;(AA74+AD74)),AND((H74+K74)&lt;(I74+L74),(Z74+AC74)&lt;(AA74+AD74))),Bonu15,0))</f>
        <v>0</v>
      </c>
      <c r="AH74" s="126" t="str">
        <f t="shared" ca="1" si="258"/>
        <v/>
      </c>
      <c r="AI74" s="113" t="str">
        <f>IF(KOGameRule=1,G74,IF(AND(AJ71&lt;&gt;"",AK71&lt;&gt;""),IF((AJ71+AM71)&gt;(AK71+AN71),AI71,IF((AJ71+AM71)&lt;(AK71+AN71),AL71,Matches!G57)),Matches!G57))</f>
        <v>Match 47 Winner</v>
      </c>
      <c r="AJ74" s="75"/>
      <c r="AK74" s="75"/>
      <c r="AL74" s="114" t="str">
        <f>IF(KOGameRule=1,J74,IF(AND(AJ72&lt;&gt;"",AK72&lt;&gt;""),IF((AJ72+AM72)&gt;(AK72+AN72),AI72,IF((AJ72+AM72)&lt;(AK72+AN72),AL72,Matches!J57)),Matches!J57))</f>
        <v>Match 48 Winner</v>
      </c>
      <c r="AM74" s="100"/>
      <c r="AN74" s="100"/>
      <c r="AO74" s="131">
        <f>IF(KOMatchRule=1,IF(AND(H74&lt;&gt;"",I74&lt;&gt;"",H74=I74,AP74=Semi1+Pena1),1,IF(AP74=Semi1,1,0)),IF(AP74=Semi1,1,0))</f>
        <v>0</v>
      </c>
      <c r="AP74" s="78">
        <f>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IF(KOGameRule=1,G74,IF(AND(BD71&lt;&gt;"",BE71&lt;&gt;""),IF((BD71+BG71)&gt;(BE71+BH71),BC71,IF((BD71+BG71)&lt;(BE71+BH71),BF71,Matches!G57)),Matches!G57))</f>
        <v>Match 47 Winner</v>
      </c>
      <c r="BD74" s="75"/>
      <c r="BE74" s="75"/>
      <c r="BF74" s="114" t="str">
        <f>IF(KOGameRule=1,J74,IF(AND(BD72&lt;&gt;"",BE72&lt;&gt;""),IF((BD72+BG72)&gt;(BE72+BH72),BC72,IF((BD72+BG72)&lt;(BE72+BH72),BF72,Matches!J57)),Matches!J57))</f>
        <v>Match 48 Winner</v>
      </c>
      <c r="BG74" s="100"/>
      <c r="BH74" s="100"/>
      <c r="BI74" s="131">
        <f>IF(KOMatchRule=1,IF(AND(H74&lt;&gt;"",I74&lt;&gt;"",H74=I74,BJ74=Semi1+Pena1),1,IF(BJ74=Semi1,1,0)),IF(BJ74=Semi1,1,0))</f>
        <v>0</v>
      </c>
      <c r="BJ74" s="78">
        <f>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IF(KOGameRule=1,G74,IF(AND(BN71&lt;&gt;"",BO71&lt;&gt;""),IF((BN71+BQ71)&gt;(BO71+BR71),BM71,IF((BN71+BQ71)&lt;(BO71+BR71),BP71,Matches!G57)),Matches!G57))</f>
        <v>Match 47 Winner</v>
      </c>
      <c r="BN74" s="75"/>
      <c r="BO74" s="75"/>
      <c r="BP74" s="114" t="str">
        <f>IF(KOGameRule=1,J74,IF(AND(BN72&lt;&gt;"",BO72&lt;&gt;""),IF((BN72+BQ72)&gt;(BO72+BR72),BM72,IF((BN72+BQ72)&lt;(BO72+BR72),BP72,Matches!J57)),Matches!J57))</f>
        <v>Match 48 Winner</v>
      </c>
      <c r="BQ74" s="100"/>
      <c r="BR74" s="100"/>
      <c r="BS74" s="131">
        <f>IF(KOMatchRule=1,IF(AND(H74&lt;&gt;"",I74&lt;&gt;"",H74=I74,BT74=Semi1+Pena1),1,IF(BT74=Semi1,1,0)),IF(BT74=Semi1,1,0))</f>
        <v>0</v>
      </c>
      <c r="BT74" s="78">
        <f>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IF(KOGameRule=0,IF(AND(BN45&lt;&gt;"",BM74=G74,BP74=J74),IF(OR(AND((H74+K74)&gt;(I74+L74),(BN74+BQ74)&gt;(BO74+BR74)),AND((H74+K74)&lt;(I74+L74),(BN74+BQ74)&lt;(BO74+BR74))),Bonu15+Bonu6,Bonu6),0),IF(OR(AND((H74+K74)&gt;(I74+L74),(BN74+BQ74)&gt;(BO74+BR74)),AND((H74+K74)&lt;(I74+L74),(BN74+BQ74)&lt;(BO74+BR74))),Bonu15,0))</f>
        <v>0</v>
      </c>
      <c r="BV74" s="126" t="str">
        <f t="shared" ca="1" si="262"/>
        <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102</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Czechia</v>
      </c>
      <c r="Y75" s="115" t="str">
        <f>IF(KOGameRule=1,G75,IF(AND(Z73&lt;&gt;"",AA73&lt;&gt;""),IF((Z73+AC73)&gt;(AA73+AD73),Y73,IF((Z73+AC73)&lt;(AA73+AD73),AB73,Matches!G58)),Matches!G58))</f>
        <v>Match 49 Winner</v>
      </c>
      <c r="Z75" s="75"/>
      <c r="AA75" s="75"/>
      <c r="AB75" s="116" t="str">
        <f>IF(KOGameRule=1,J75,IF(AND(Z74&lt;&gt;"",AA74&lt;&gt;""),IF((Z74+AC74)&gt;(AA74+AD74),Y74,IF((Z74+AC74)&lt;(AA74+AD74),AB74,Matches!J58)),Matches!J58))</f>
        <v>Match 50 Winner</v>
      </c>
      <c r="AC75" s="105"/>
      <c r="AD75" s="105"/>
      <c r="AE75" s="131">
        <f>IF(KOMatchRule=1,IF(AND(H75&lt;&gt;"",I75&lt;&gt;"",H75=I75,AF75=Fina1+Pena1),1,IF(AF75=Fina1,1,0)),IF(AF75=Fina1,1,0))</f>
        <v>0</v>
      </c>
      <c r="AF75" s="78">
        <f>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IF(KOGameRule=0,IF(AND(Z45&lt;&gt;"",Y75=G75,AB75=J75),IF(OR(AND((H75+K75)&gt;(I75+L75),(Z75+AC75)&gt;(AA75+AD75)),AND((H75+K75)&lt;(I75+L75),(Z75+AC75)&lt;(AA75+AD75))),Bonu15+Bonu6,Bonu6),0),IF(OR(AND((H75+K75)&gt;(I75+L75),(Z75+AC75)&gt;(AA75+AD75)),AND((H75+K75)&lt;(I75+L75),(Z75+AC75)&lt;(AA75+AD75))),Bonu15,0))</f>
        <v>0</v>
      </c>
      <c r="AH75" s="126" t="str">
        <f t="shared" ca="1" si="258"/>
        <v/>
      </c>
      <c r="AI75" s="115" t="str">
        <f>IF(KOGameRule=1,G75,IF(AND(AJ73&lt;&gt;"",AK73&lt;&gt;""),IF((AJ73+AM73)&gt;(AK73+AN73),AI73,IF((AJ73+AM73)&lt;(AK73+AN73),AL73,Matches!G58)),Matches!G58))</f>
        <v>Match 49 Winner</v>
      </c>
      <c r="AJ75" s="75"/>
      <c r="AK75" s="75"/>
      <c r="AL75" s="116" t="str">
        <f>IF(KOGameRule=1,J75,IF(AND(AJ74&lt;&gt;"",AK74&lt;&gt;""),IF((AJ74+AM74)&gt;(AK74+AN74),AI74,IF((AJ74+AM74)&lt;(AK74+AN74),AL74,Matches!J58)),Matches!J58))</f>
        <v>Match 50 Winner</v>
      </c>
      <c r="AM75" s="105"/>
      <c r="AN75" s="105"/>
      <c r="AO75" s="131">
        <f>IF(KOMatchRule=1,IF(AND(H75&lt;&gt;"",I75&lt;&gt;"",H75=I75,AP75=Fina1+Pena1),1,IF(AP75=Fina1,1,0)),IF(AP75=Fina1,1,0))</f>
        <v>0</v>
      </c>
      <c r="AP75" s="78">
        <f>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IF(KOGameRule=0,IF(AND(AJ45&lt;&gt;"",AI75=G75,AL75=J75),IF(OR(AND((H75+K75)&gt;(I75+L75),(AJ75+AM75)&gt;(AK75+AN75)),AND((H75+K75)&lt;(I75+L75),(AJ75+AM75)&lt;(AK75+AN75))),Bonu15+Bonu6,Bonu6),0),IF(OR(AND((H75+K75)&gt;(I75+L75),(AJ75+AM75)&gt;(AK75+AN75)),AND((H75+K75)&lt;(I75+L75),(AJ75+AM75)&lt;(AK75+AN75))),Bonu15,0))</f>
        <v>0</v>
      </c>
      <c r="AR75" s="126" t="str">
        <f t="shared" ca="1" si="259"/>
        <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IF(KOGameRule=1,G75,IF(AND(BD73&lt;&gt;"",BE73&lt;&gt;""),IF((BD73+BG73)&gt;(BE73+BH73),BC73,IF((BD73+BG73)&lt;(BE73+BH73),BF73,Matches!G58)),Matches!G58))</f>
        <v>Match 49 Winner</v>
      </c>
      <c r="BD75" s="75"/>
      <c r="BE75" s="75"/>
      <c r="BF75" s="116" t="str">
        <f>IF(KOGameRule=1,J75,IF(AND(BD74&lt;&gt;"",BE74&lt;&gt;""),IF((BD74+BG74)&gt;(BE74+BH74),BC74,IF((BD74+BG74)&lt;(BE74+BH74),BF74,Matches!J58)),Matches!J58))</f>
        <v>Match 50 Winner</v>
      </c>
      <c r="BG75" s="105"/>
      <c r="BH75" s="105"/>
      <c r="BI75" s="131">
        <f>IF(KOMatchRule=1,IF(AND(H75&lt;&gt;"",I75&lt;&gt;"",H75=I75,BJ75=Fina1+Pena1),1,IF(BJ75=Fina1,1,0)),IF(BJ75=Fina1,1,0))</f>
        <v>0</v>
      </c>
      <c r="BJ75" s="78">
        <f>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IF(KOGameRule=0,IF(AND(BD45&lt;&gt;"",BC75=G75,BF75=J75),IF(OR(AND((H75+K75)&gt;(I75+L75),(BD75+BG75)&gt;(BE75+BH75)),AND((H75+K75)&lt;(I75+L75),(BD75+BG75)&lt;(BE75+BH75))),Bonu15+Bonu6,Bonu6),0),IF(OR(AND((H75+K75)&gt;(I75+L75),(BD75+BG75)&gt;(BE75+BH75)),AND((H75+K75)&lt;(I75+L75),(BD75+BG75)&lt;(BE75+BH75))),Bonu15,0))</f>
        <v>0</v>
      </c>
      <c r="BL75" s="126" t="str">
        <f t="shared" ca="1" si="261"/>
        <v/>
      </c>
      <c r="BM75" s="115" t="str">
        <f>IF(KOGameRule=1,G75,IF(AND(BN73&lt;&gt;"",BO73&lt;&gt;""),IF((BN73+BQ73)&gt;(BO73+BR73),BM73,IF((BN73+BQ73)&lt;(BO73+BR73),BP73,Matches!G58)),Matches!G58))</f>
        <v>Match 49 Winner</v>
      </c>
      <c r="BN75" s="75"/>
      <c r="BO75" s="75"/>
      <c r="BP75" s="116" t="str">
        <f>IF(KOGameRule=1,J75,IF(AND(BN74&lt;&gt;"",BO74&lt;&gt;""),IF((BN74+BQ74)&gt;(BO74+BR74),BM74,IF((BN74+BQ74)&lt;(BO74+BR74),BP74,Matches!J58)),Matches!J58))</f>
        <v>Match 50 Winner</v>
      </c>
      <c r="BQ75" s="105"/>
      <c r="BR75" s="105"/>
      <c r="BS75" s="131">
        <f>IF(KOMatchRule=1,IF(AND(H75&lt;&gt;"",I75&lt;&gt;"",H75=I75,BT75=Fina1+Pena1),1,IF(BT75=Fina1,1,0)),IF(BT75=Fina1,1,0))</f>
        <v>0</v>
      </c>
      <c r="BT75" s="78">
        <f>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89" t="s">
        <v>111</v>
      </c>
      <c r="D78" s="390"/>
      <c r="E78" s="390"/>
      <c r="F78" s="390"/>
      <c r="G78" s="371" t="str">
        <f>UPPER(IF(AND(H75&lt;&gt;"",I75&lt;&gt;""),IF((H75+K75)&gt;(I75+L75),G75,IF((H75+K75)&lt;(I75+L75),J75,'Language Table'!C77)),'Language Table'!C77))</f>
        <v>MATCH 51 WINNER</v>
      </c>
      <c r="H78" s="371"/>
      <c r="I78" s="371"/>
      <c r="J78" s="371"/>
      <c r="K78" s="371"/>
      <c r="L78" s="372"/>
      <c r="M78" s="89"/>
      <c r="N78" s="193"/>
      <c r="O78" s="122" t="str">
        <f>C78</f>
        <v>CHAMPION</v>
      </c>
      <c r="P78" s="351" t="str">
        <f>UPPER(IF(KOGameRule=1,G78,IF(AND(P75&lt;&gt;"",Q75&lt;&gt;""),IF(P75&gt;Q75,O75,IF(P75&lt;Q75,R75,IF(S75&gt;T75,O75,IF(S75&lt;T75,R75,"Match 51 Winner")))),"Match 51 Winner")))</f>
        <v>MATCH 51 WINNER</v>
      </c>
      <c r="Q78" s="351"/>
      <c r="R78" s="351"/>
      <c r="S78" s="351"/>
      <c r="T78" s="351"/>
      <c r="U78" s="352"/>
      <c r="V78" s="356" t="s">
        <v>112</v>
      </c>
      <c r="W78" s="357"/>
      <c r="X78" s="273"/>
      <c r="Y78" s="122" t="str">
        <f>O78</f>
        <v>CHAMPION</v>
      </c>
      <c r="Z78" s="351" t="str">
        <f>UPPER(IF(KOGameRule=1,G78,IF(AND(Z75&lt;&gt;"",AA75&lt;&gt;""),IF(Z75&gt;AA75,Y75,IF(Z75&lt;AA75,AB75,IF(AC75&gt;AD75,Y75,IF(AC75&lt;AD75,AB75,"Match 51 Winner")))),"Match 51 Winner")))</f>
        <v>MATCH 51 WINNER</v>
      </c>
      <c r="AA78" s="351"/>
      <c r="AB78" s="351"/>
      <c r="AC78" s="351"/>
      <c r="AD78" s="351"/>
      <c r="AE78" s="351"/>
      <c r="AF78" s="356" t="s">
        <v>112</v>
      </c>
      <c r="AG78" s="357"/>
      <c r="AH78" s="193"/>
      <c r="AI78" s="122" t="str">
        <f t="shared" ref="AI78:AI81" si="269">Y78</f>
        <v>CHAMPION</v>
      </c>
      <c r="AJ78" s="351" t="str">
        <f>UPPER(IF(KOGameRule=1,G78,IF(AND(AJ75&lt;&gt;"",AK75&lt;&gt;""),IF(AJ75&gt;AK75,AI75,IF(AJ75&lt;AK75,AL75,IF(AM75&gt;AN75,AI75,IF(AM75&lt;AN75,AL75,"Match 51 Winner")))),"Match 51 Winner")))</f>
        <v>MATCH 51 WINNER</v>
      </c>
      <c r="AK78" s="351"/>
      <c r="AL78" s="351"/>
      <c r="AM78" s="351"/>
      <c r="AN78" s="351"/>
      <c r="AO78" s="351"/>
      <c r="AP78" s="356" t="s">
        <v>112</v>
      </c>
      <c r="AQ78" s="357"/>
      <c r="AR78" s="193"/>
      <c r="AS78" s="122" t="str">
        <f t="shared" ref="AS78:AS81" si="270">AI78</f>
        <v>CHAMPION</v>
      </c>
      <c r="AT78" s="351" t="str">
        <f>UPPER(IF(KOGameRule=1,G78,IF(AND(AT75&lt;&gt;"",AU75&lt;&gt;""),IF(AT75&gt;AU75,AS75,IF(AT75&lt;AU75,AV75,IF(AW75&gt;AX75,AS75,IF(AW75&lt;AX75,AV75,"Match 51 Winner")))),"Match 51 Winner")))</f>
        <v>MATCH 51 WINNER</v>
      </c>
      <c r="AU78" s="351"/>
      <c r="AV78" s="351"/>
      <c r="AW78" s="351"/>
      <c r="AX78" s="351"/>
      <c r="AY78" s="351"/>
      <c r="AZ78" s="356" t="s">
        <v>112</v>
      </c>
      <c r="BA78" s="357"/>
      <c r="BB78" s="193"/>
      <c r="BC78" s="122" t="str">
        <f t="shared" ref="BC78:BC81" si="271">AS78</f>
        <v>CHAMPION</v>
      </c>
      <c r="BD78" s="351" t="str">
        <f>UPPER(IF(KOGameRule=1,G78,IF(AND(BD75&lt;&gt;"",BE75&lt;&gt;""),IF(BD75&gt;BE75,BC75,IF(BD75&lt;BE75,BF75,IF(BG75&gt;BH75,BC75,IF(BG75&lt;BH75,BF75,"Match 51 Winner")))),"Match 51 Winner")))</f>
        <v>MATCH 51 WINNER</v>
      </c>
      <c r="BE78" s="351"/>
      <c r="BF78" s="351"/>
      <c r="BG78" s="351"/>
      <c r="BH78" s="351"/>
      <c r="BI78" s="351"/>
      <c r="BJ78" s="356" t="s">
        <v>112</v>
      </c>
      <c r="BK78" s="357"/>
      <c r="BL78" s="193"/>
      <c r="BM78" s="122" t="str">
        <f t="shared" ref="BM78:BM81" si="272">BC78</f>
        <v>CHAMPION</v>
      </c>
      <c r="BN78" s="351" t="str">
        <f>UPPER(IF(KOGameRule=1,G78,IF(AND(BN75&lt;&gt;"",BO75&lt;&gt;""),IF(BN75&gt;BO75,BM75,IF(BN75&lt;BO75,BP75,IF(BQ75&gt;BR75,BM75,IF(BQ75&lt;BR75,BP75,"Match 51 Winner")))),"Match 51 Winner")))</f>
        <v>MATCH 51 WINNER</v>
      </c>
      <c r="BO78" s="351"/>
      <c r="BP78" s="351"/>
      <c r="BQ78" s="351"/>
      <c r="BR78" s="351"/>
      <c r="BS78" s="351"/>
      <c r="BT78" s="356" t="s">
        <v>112</v>
      </c>
      <c r="BU78" s="357"/>
      <c r="BV78" s="193"/>
      <c r="BW78" s="122" t="str">
        <f t="shared" ref="BW78:BW81" si="273">BM78</f>
        <v>CHAMPION</v>
      </c>
      <c r="BX78" s="351" t="str">
        <f>UPPER(IF(KOGameRule=1,G78,IF(AND(BX75&lt;&gt;"",BY75&lt;&gt;""),IF(BX75&gt;BY75,BW75,IF(BX75&lt;BY75,BZ75,IF(CA75&gt;CB75,BW75,IF(CA75&lt;CB75,BZ75,"Match 51 Winner")))),"Match 51 Winner")))</f>
        <v>MATCH 51 WINNER</v>
      </c>
      <c r="BY78" s="351"/>
      <c r="BZ78" s="351"/>
      <c r="CA78" s="351"/>
      <c r="CB78" s="351"/>
      <c r="CC78" s="351"/>
      <c r="CD78" s="356" t="s">
        <v>112</v>
      </c>
      <c r="CE78" s="357"/>
      <c r="CF78" s="193"/>
      <c r="CG78" s="122" t="str">
        <f t="shared" ref="CG78:CG81" si="274">BW78</f>
        <v>CHAMPION</v>
      </c>
      <c r="CH78" s="351" t="str">
        <f>UPPER(IF(KOGameRule=1,G78,IF(AND(CH75&lt;&gt;"",CI75&lt;&gt;""),IF(CH75&gt;CI75,CG75,IF(CH75&lt;CI75,CJ75,IF(CK75&gt;CL75,CG75,IF(CK75&lt;CL75,CJ75,"Match 51 Winner")))),"Match 51 Winner")))</f>
        <v>MATCH 51 WINNER</v>
      </c>
      <c r="CI78" s="351"/>
      <c r="CJ78" s="351"/>
      <c r="CK78" s="351"/>
      <c r="CL78" s="351"/>
      <c r="CM78" s="351"/>
      <c r="CN78" s="356" t="s">
        <v>112</v>
      </c>
      <c r="CO78" s="357"/>
      <c r="CP78" s="193"/>
      <c r="CQ78" s="122" t="str">
        <f t="shared" ref="CQ78:CQ81" si="275">CG78</f>
        <v>CHAMPION</v>
      </c>
      <c r="CR78" s="351" t="str">
        <f>UPPER(IF(KOGameRule=1,G78,IF(AND(CR75&lt;&gt;"",CS75&lt;&gt;""),IF(CR75&gt;CS75,CQ75,IF(CR75&lt;CS75,CT75,IF(CU75&gt;CV75,CQ75,IF(CU75&lt;CV75,CT75,"Match 51 Winner")))),"Match 51 Winner")))</f>
        <v>MATCH 51 WINNER</v>
      </c>
      <c r="CS78" s="351"/>
      <c r="CT78" s="351"/>
      <c r="CU78" s="351"/>
      <c r="CV78" s="351"/>
      <c r="CW78" s="351"/>
      <c r="CX78" s="356" t="s">
        <v>112</v>
      </c>
      <c r="CY78" s="357"/>
      <c r="CZ78" s="193"/>
      <c r="DA78" s="122" t="str">
        <f t="shared" ref="DA78:DA81" si="276">CQ78</f>
        <v>CHAMPION</v>
      </c>
      <c r="DB78" s="351" t="str">
        <f>UPPER(IF(KOGameRule=1,G78,IF(AND(DB75&lt;&gt;"",DC75&lt;&gt;""),IF(DB75&gt;DC75,DA75,IF(DB75&lt;DC75,DD75,IF(DE75&gt;DF75,DA75,IF(DE75&lt;DF75,DD75,"Match 51 Winner")))),"Match 51 Winner")))</f>
        <v>MATCH 51 WINNER</v>
      </c>
      <c r="DC78" s="351"/>
      <c r="DD78" s="351"/>
      <c r="DE78" s="351"/>
      <c r="DF78" s="351"/>
      <c r="DG78" s="351"/>
      <c r="DH78" s="356" t="s">
        <v>112</v>
      </c>
      <c r="DI78" s="357"/>
    </row>
    <row r="79" spans="1:113" s="43" customFormat="1" ht="15" customHeight="1" x14ac:dyDescent="0.25">
      <c r="A79" s="41"/>
      <c r="B79" s="65"/>
      <c r="C79" s="380" t="s">
        <v>113</v>
      </c>
      <c r="D79" s="381"/>
      <c r="E79" s="381"/>
      <c r="F79" s="381"/>
      <c r="G79" s="371" t="str">
        <f>UPPER(IF(AND(H75&lt;&gt;"",I75&lt;&gt;""),IF((H75+K75)&gt;(I75+L75),J75,IF((H75+K75)&lt;(I75+L75),G75,"Match 51 Loser")),"Match 51 Loser"))</f>
        <v>MATCH 51 LOSER</v>
      </c>
      <c r="H79" s="371"/>
      <c r="I79" s="371"/>
      <c r="J79" s="371"/>
      <c r="K79" s="371"/>
      <c r="L79" s="372"/>
      <c r="M79" s="89"/>
      <c r="O79" s="122" t="str">
        <f t="shared" ref="O79:O81" si="277">C79</f>
        <v>RUNNER UP</v>
      </c>
      <c r="P79" s="362" t="str">
        <f>UPPER(IF(KOGameRule=1,G79,IF(AND(P75&lt;&gt;"",Q75&lt;&gt;""),IF(P75&gt;Q75,R75,IF(P75&lt;Q75,O75,IF(S75&gt;T75,R75,IF(S75&lt;T75,O75,"Match 51 Loser")))),"Match 51 Loser")))</f>
        <v>MATCH 51 LOSER</v>
      </c>
      <c r="Q79" s="362"/>
      <c r="R79" s="362"/>
      <c r="S79" s="362"/>
      <c r="T79" s="362"/>
      <c r="U79" s="388"/>
      <c r="V79" s="358"/>
      <c r="W79" s="359"/>
      <c r="Y79" s="122" t="str">
        <f t="shared" ref="Y79:Y81" si="278">O79</f>
        <v>RUNNER UP</v>
      </c>
      <c r="Z79" s="362" t="str">
        <f>UPPER(IF(KOGameRule=1,G79,IF(AND(Z75&lt;&gt;"",AA75&lt;&gt;""),IF(Z75&gt;AA75,AB75,IF(Z75&lt;AA75,Y75,IF(AC75&gt;AD75,AB75,IF(AC75&lt;AD75,Y75,"Match 51 Loser")))),"Match 51 Loser")))</f>
        <v>MATCH 51 LOSER</v>
      </c>
      <c r="AA79" s="362"/>
      <c r="AB79" s="362"/>
      <c r="AC79" s="362"/>
      <c r="AD79" s="362"/>
      <c r="AE79" s="362"/>
      <c r="AF79" s="358"/>
      <c r="AG79" s="359"/>
      <c r="AI79" s="122" t="str">
        <f t="shared" si="269"/>
        <v>RUNNER UP</v>
      </c>
      <c r="AJ79" s="362" t="str">
        <f>UPPER(IF(KOGameRule=1,G79,IF(AND(AJ75&lt;&gt;"",AK75&lt;&gt;""),IF(AJ75&gt;AK75,AL75,IF(AJ75&lt;AK75,AI75,IF(AM75&gt;AN75,AL75,IF(AM75&lt;AN75,AI75,"Match 51 Loser")))),"Match 51 Loser")))</f>
        <v>MATCH 51 LOSER</v>
      </c>
      <c r="AK79" s="362"/>
      <c r="AL79" s="362"/>
      <c r="AM79" s="362"/>
      <c r="AN79" s="362"/>
      <c r="AO79" s="362"/>
      <c r="AP79" s="358"/>
      <c r="AQ79" s="359"/>
      <c r="AS79" s="122" t="str">
        <f t="shared" si="270"/>
        <v>RUNNER UP</v>
      </c>
      <c r="AT79" s="362" t="str">
        <f>UPPER(IF(KOGameRule=1,G79,IF(AND(AT75&lt;&gt;"",AU75&lt;&gt;""),IF(AT75&gt;AU75,AV75,IF(AT75&lt;AU75,AS75,IF(AW75&gt;AX75,AV75,IF(AW75&lt;AX75,AS75,"Match 51 Loser")))),"Match 51 Loser")))</f>
        <v>MATCH 51 LOSER</v>
      </c>
      <c r="AU79" s="362"/>
      <c r="AV79" s="362"/>
      <c r="AW79" s="362"/>
      <c r="AX79" s="362"/>
      <c r="AY79" s="362"/>
      <c r="AZ79" s="358"/>
      <c r="BA79" s="359"/>
      <c r="BC79" s="122" t="str">
        <f t="shared" si="271"/>
        <v>RUNNER UP</v>
      </c>
      <c r="BD79" s="362" t="str">
        <f>UPPER(IF(KOGameRule=1,G79,IF(AND(BD75&lt;&gt;"",BE75&lt;&gt;""),IF(BD75&gt;BE75,BF75,IF(BD75&lt;BE75,BC75,IF(BG75&gt;BH75,BF75,IF(BG75&lt;BH75,BC75,"Match 51 Loser")))),"Match 51 Loser")))</f>
        <v>MATCH 51 LOSER</v>
      </c>
      <c r="BE79" s="362"/>
      <c r="BF79" s="362"/>
      <c r="BG79" s="362"/>
      <c r="BH79" s="362"/>
      <c r="BI79" s="362"/>
      <c r="BJ79" s="358"/>
      <c r="BK79" s="359"/>
      <c r="BM79" s="122" t="str">
        <f t="shared" si="272"/>
        <v>RUNNER UP</v>
      </c>
      <c r="BN79" s="362" t="str">
        <f>UPPER(IF(KOGameRule=1,G79,IF(AND(BN75&lt;&gt;"",BO75&lt;&gt;""),IF(BN75&gt;BO75,BP75,IF(BN75&lt;BO75,BM75,IF(BQ75&gt;BR75,BP75,IF(BQ75&lt;BR75,BM75,"Match 51 Loser")))),"Match 51 Loser")))</f>
        <v>MATCH 51 LOSER</v>
      </c>
      <c r="BO79" s="362"/>
      <c r="BP79" s="362"/>
      <c r="BQ79" s="362"/>
      <c r="BR79" s="362"/>
      <c r="BS79" s="362"/>
      <c r="BT79" s="358"/>
      <c r="BU79" s="359"/>
      <c r="BW79" s="122" t="str">
        <f t="shared" si="273"/>
        <v>RUNNER UP</v>
      </c>
      <c r="BX79" s="362" t="str">
        <f>UPPER(IF(KOGameRule=1,G79,IF(AND(BX75&lt;&gt;"",BY75&lt;&gt;""),IF(BX75&gt;BY75,BZ75,IF(BX75&lt;BY75,BW75,IF(CA75&gt;CB75,BZ75,IF(CA75&lt;CB75,BW75,"Match 51 Loser")))),"Match 51 Loser")))</f>
        <v>MATCH 51 LOSER</v>
      </c>
      <c r="BY79" s="362"/>
      <c r="BZ79" s="362"/>
      <c r="CA79" s="362"/>
      <c r="CB79" s="362"/>
      <c r="CC79" s="362"/>
      <c r="CD79" s="358"/>
      <c r="CE79" s="359"/>
      <c r="CG79" s="122" t="str">
        <f t="shared" si="274"/>
        <v>RUNNER UP</v>
      </c>
      <c r="CH79" s="362" t="str">
        <f>UPPER(IF(KOGameRule=1,G79,IF(AND(CH75&lt;&gt;"",CI75&lt;&gt;""),IF(CH75&gt;CI75,CJ75,IF(CH75&lt;CI75,CG75,IF(CK75&gt;CL75,CJ75,IF(CK75&lt;CL75,CG75,"Match 51 Loser")))),"Match 51 Loser")))</f>
        <v>MATCH 51 LOSER</v>
      </c>
      <c r="CI79" s="362"/>
      <c r="CJ79" s="362"/>
      <c r="CK79" s="362"/>
      <c r="CL79" s="362"/>
      <c r="CM79" s="362"/>
      <c r="CN79" s="358"/>
      <c r="CO79" s="359"/>
      <c r="CQ79" s="122" t="str">
        <f t="shared" si="275"/>
        <v>RUNNER UP</v>
      </c>
      <c r="CR79" s="362" t="str">
        <f>UPPER(IF(KOGameRule=1,G79,IF(AND(CR75&lt;&gt;"",CS75&lt;&gt;""),IF(CR75&gt;CS75,CT75,IF(CR75&lt;CS75,CQ75,IF(CU75&gt;CV75,CT75,IF(CU75&lt;CV75,CQ75,"Match 51 Loser")))),"Match 51 Loser")))</f>
        <v>MATCH 51 LOSER</v>
      </c>
      <c r="CS79" s="362"/>
      <c r="CT79" s="362"/>
      <c r="CU79" s="362"/>
      <c r="CV79" s="362"/>
      <c r="CW79" s="362"/>
      <c r="CX79" s="358"/>
      <c r="CY79" s="359"/>
      <c r="DA79" s="122" t="str">
        <f t="shared" si="276"/>
        <v>RUNNER UP</v>
      </c>
      <c r="DB79" s="362" t="str">
        <f>UPPER(IF(KOGameRule=1,G79,IF(AND(DB75&lt;&gt;"",DC75&lt;&gt;""),IF(DB75&gt;DC75,DD75,IF(DB75&lt;DC75,DA75,IF(DE75&gt;DF75,DD75,IF(DE75&lt;DF75,DA75,"Match 51 Loser")))),"Match 51 Loser")))</f>
        <v>MATCH 51 LOSER</v>
      </c>
      <c r="DC79" s="362"/>
      <c r="DD79" s="362"/>
      <c r="DE79" s="362"/>
      <c r="DF79" s="362"/>
      <c r="DG79" s="362"/>
      <c r="DH79" s="358"/>
      <c r="DI79" s="359"/>
    </row>
    <row r="80" spans="1:113" s="43" customFormat="1" ht="15" customHeight="1" x14ac:dyDescent="0.25">
      <c r="A80" s="41"/>
      <c r="B80" s="65"/>
      <c r="C80" s="380" t="s">
        <v>114</v>
      </c>
      <c r="D80" s="381"/>
      <c r="E80" s="381"/>
      <c r="F80" s="381"/>
      <c r="G80" s="371" t="str">
        <f>IF(AND(H73&lt;&gt;"",I73&lt;&gt;""),IF((H73+K73)&gt;(I73+L73),J73,IF((H73+K73)&lt;(I73+L73),G73,"Match 49 Loser")),"Match 49 Loser")</f>
        <v>Match 49 Loser</v>
      </c>
      <c r="H80" s="371"/>
      <c r="I80" s="371"/>
      <c r="J80" s="371"/>
      <c r="K80" s="371"/>
      <c r="L80" s="372"/>
      <c r="M80" s="89"/>
      <c r="O80" s="122" t="str">
        <f t="shared" si="277"/>
        <v>SEMIFINALIST 1</v>
      </c>
      <c r="P80" s="362" t="str">
        <f>IF(KOGameRule=1,G80,IF(AND(P73&lt;&gt;"",Q73&lt;&gt;""),IF((P73+S73)&gt;(Q73+T73),R73,IF((P73+S73)&lt;(Q73+T73),O73,"Match 49 Loser")),"Match 49 Loser"))</f>
        <v>Match 49 Loser</v>
      </c>
      <c r="Q80" s="362"/>
      <c r="R80" s="362"/>
      <c r="S80" s="362"/>
      <c r="T80" s="362"/>
      <c r="U80" s="388"/>
      <c r="V80" s="358"/>
      <c r="W80" s="359"/>
      <c r="Y80" s="122" t="str">
        <f t="shared" si="278"/>
        <v>SEMIFINALIST 1</v>
      </c>
      <c r="Z80" s="362" t="str">
        <f>IF(KOGameRule=1,G80,IF(AND(Z73&lt;&gt;"",AA73&lt;&gt;""),IF((Z73+AC73)&gt;(AA73+AD73),AB73,IF((Z73+AC73)&lt;(AA73+AD73),Y73,"Match 49 Loser")),"Match 49 Loser"))</f>
        <v>Match 49 Loser</v>
      </c>
      <c r="AA80" s="362"/>
      <c r="AB80" s="362"/>
      <c r="AC80" s="362"/>
      <c r="AD80" s="362"/>
      <c r="AE80" s="362"/>
      <c r="AF80" s="358"/>
      <c r="AG80" s="359"/>
      <c r="AI80" s="122" t="str">
        <f t="shared" si="269"/>
        <v>SEMIFINALIST 1</v>
      </c>
      <c r="AJ80" s="362" t="str">
        <f>IF(KOGameRule=1,G80,IF(AND(AJ73&lt;&gt;"",AK73&lt;&gt;""),IF((AJ73+AM73)&gt;(AK73+AN73),AL73,IF((AJ73+AM73)&lt;(AK73+AN73),AI73,"Match 49 Loser")),"Match 49 Loser"))</f>
        <v>Match 49 Loser</v>
      </c>
      <c r="AK80" s="362"/>
      <c r="AL80" s="362"/>
      <c r="AM80" s="362"/>
      <c r="AN80" s="362"/>
      <c r="AO80" s="362"/>
      <c r="AP80" s="358"/>
      <c r="AQ80" s="359"/>
      <c r="AS80" s="122" t="str">
        <f t="shared" si="270"/>
        <v>SEMIFINALIST 1</v>
      </c>
      <c r="AT80" s="362" t="str">
        <f>IF(KOGameRule=1,G80,IF(AND(AT73&lt;&gt;"",AU73&lt;&gt;""),IF((AT73+AW73)&gt;(AU73+AX73),AV73,IF((AT73+AW73)&lt;(AU73+AX73),AS73,"Match 49 Loser")),"Match 49 Loser"))</f>
        <v>Match 49 Loser</v>
      </c>
      <c r="AU80" s="362"/>
      <c r="AV80" s="362"/>
      <c r="AW80" s="362"/>
      <c r="AX80" s="362"/>
      <c r="AY80" s="362"/>
      <c r="AZ80" s="358"/>
      <c r="BA80" s="359"/>
      <c r="BC80" s="122" t="str">
        <f t="shared" si="271"/>
        <v>SEMIFINALIST 1</v>
      </c>
      <c r="BD80" s="362" t="str">
        <f>IF(KOGameRule=1,G80,IF(AND(BD73&lt;&gt;"",BE73&lt;&gt;""),IF((BD73+BG73)&gt;(BE73+BH73),BF73,IF((BD73+BG73)&lt;(BE73+BH73),BC73,"Match 49 Loser")),"Match 49 Loser"))</f>
        <v>Match 49 Loser</v>
      </c>
      <c r="BE80" s="362"/>
      <c r="BF80" s="362"/>
      <c r="BG80" s="362"/>
      <c r="BH80" s="362"/>
      <c r="BI80" s="362"/>
      <c r="BJ80" s="358"/>
      <c r="BK80" s="359"/>
      <c r="BM80" s="122" t="str">
        <f t="shared" si="272"/>
        <v>SEMIFINALIST 1</v>
      </c>
      <c r="BN80" s="362" t="str">
        <f>IF(KOGameRule=1,G80,IF(AND(BN73&lt;&gt;"",BO73&lt;&gt;""),IF((BN73+BQ73)&gt;(BO73+BR73),BP73,IF((BN73+BQ73)&lt;(BO73+BR73),BM73,"Match 49 Loser")),"Match 49 Loser"))</f>
        <v>Match 49 Loser</v>
      </c>
      <c r="BO80" s="362"/>
      <c r="BP80" s="362"/>
      <c r="BQ80" s="362"/>
      <c r="BR80" s="362"/>
      <c r="BS80" s="362"/>
      <c r="BT80" s="358"/>
      <c r="BU80" s="359"/>
      <c r="BW80" s="122" t="str">
        <f t="shared" si="273"/>
        <v>SEMIFINALIST 1</v>
      </c>
      <c r="BX80" s="362" t="str">
        <f>IF(KOGameRule=1,G80,IF(AND(BX73&lt;&gt;"",BY73&lt;&gt;""),IF((BX73+CA73)&gt;(BY73+CB73),BZ73,IF((BX73+CA73)&lt;(BY73+CB73),BW73,"Match 49 Loser")),"Match 49 Loser"))</f>
        <v>Match 49 Loser</v>
      </c>
      <c r="BY80" s="362"/>
      <c r="BZ80" s="362"/>
      <c r="CA80" s="362"/>
      <c r="CB80" s="362"/>
      <c r="CC80" s="362"/>
      <c r="CD80" s="358"/>
      <c r="CE80" s="359"/>
      <c r="CG80" s="122" t="str">
        <f t="shared" si="274"/>
        <v>SEMIFINALIST 1</v>
      </c>
      <c r="CH80" s="362" t="str">
        <f>IF(KOGameRule=1,G80,IF(AND(CH73&lt;&gt;"",CI73&lt;&gt;""),IF((CH73+CK73)&gt;(CI73+CL73),CJ73,IF((CH73+CK73)&lt;(CI73+CL73),CG73,"Match 49 Loser")),"Match 49 Loser"))</f>
        <v>Match 49 Loser</v>
      </c>
      <c r="CI80" s="362"/>
      <c r="CJ80" s="362"/>
      <c r="CK80" s="362"/>
      <c r="CL80" s="362"/>
      <c r="CM80" s="362"/>
      <c r="CN80" s="358"/>
      <c r="CO80" s="359"/>
      <c r="CQ80" s="122" t="str">
        <f t="shared" si="275"/>
        <v>SEMIFINALIST 1</v>
      </c>
      <c r="CR80" s="362" t="str">
        <f>IF(KOGameRule=1,G80,IF(AND(CR73&lt;&gt;"",CS73&lt;&gt;""),IF((CR73+CU73)&gt;(CS73+CV73),CT73,IF((CR73+CU73)&lt;(CS73+CV73),CQ73,"Match 49 Loser")),"Match 49 Loser"))</f>
        <v>Match 49 Loser</v>
      </c>
      <c r="CS80" s="362"/>
      <c r="CT80" s="362"/>
      <c r="CU80" s="362"/>
      <c r="CV80" s="362"/>
      <c r="CW80" s="362"/>
      <c r="CX80" s="358"/>
      <c r="CY80" s="359"/>
      <c r="DA80" s="122" t="str">
        <f t="shared" si="276"/>
        <v>SEMIFINALIST 1</v>
      </c>
      <c r="DB80" s="362" t="str">
        <f>IF(KOGameRule=1,G80,IF(AND(DB73&lt;&gt;"",DC73&lt;&gt;""),IF((DB73+DE73)&gt;(DC73+DF73),DD73,IF((DB73+DE73)&lt;(DC73+DF73),DA73,"Match 49 Loser")),"Match 49 Loser"))</f>
        <v>Match 49 Loser</v>
      </c>
      <c r="DC80" s="362"/>
      <c r="DD80" s="362"/>
      <c r="DE80" s="362"/>
      <c r="DF80" s="362"/>
      <c r="DG80" s="362"/>
      <c r="DH80" s="358"/>
      <c r="DI80" s="359"/>
    </row>
    <row r="81" spans="1:113" s="43" customFormat="1" ht="15" customHeight="1" x14ac:dyDescent="0.25">
      <c r="A81" s="41"/>
      <c r="B81" s="65"/>
      <c r="C81" s="380" t="s">
        <v>115</v>
      </c>
      <c r="D81" s="381"/>
      <c r="E81" s="381"/>
      <c r="F81" s="381"/>
      <c r="G81" s="371" t="str">
        <f>IF(AND(H74&lt;&gt;"",I74&lt;&gt;""),IF((H74+K74)&gt;(I74+L74),J74,IF((H74+K74)&lt;(I74+L74),G74,"Match 50 Loser")),"Match 50 Loser")</f>
        <v>Match 50 Loser</v>
      </c>
      <c r="H81" s="371"/>
      <c r="I81" s="371"/>
      <c r="J81" s="371"/>
      <c r="K81" s="371"/>
      <c r="L81" s="372"/>
      <c r="M81" s="89"/>
      <c r="O81" s="122" t="str">
        <f t="shared" si="277"/>
        <v>SEMIFINALIST 2</v>
      </c>
      <c r="P81" s="362" t="str">
        <f>IF(KOGameRule=1,G81,IF(AND(P74&lt;&gt;"",Q74&lt;&gt;""),IF((P74+S74)&gt;(Q74+T74),R74,IF((P74+S74)&lt;(Q74+T74),O74,"Match 50 Loser")),"Match 50 Loser"))</f>
        <v>Match 50 Loser</v>
      </c>
      <c r="Q81" s="362"/>
      <c r="R81" s="362"/>
      <c r="S81" s="362"/>
      <c r="T81" s="362"/>
      <c r="U81" s="388"/>
      <c r="V81" s="358"/>
      <c r="W81" s="359"/>
      <c r="Y81" s="122" t="str">
        <f t="shared" si="278"/>
        <v>SEMIFINALIST 2</v>
      </c>
      <c r="Z81" s="362" t="str">
        <f>IF(KOGameRule=1,G81,IF(AND(Z74&lt;&gt;"",AA74&lt;&gt;""),IF((Z74+AC74)&gt;(AA74+AD74),AB74,IF((Z74+AC74)&lt;(AA74+AD74),Y74,"Match 50 Loser")),"Match 50 Loser"))</f>
        <v>Match 50 Loser</v>
      </c>
      <c r="AA81" s="362"/>
      <c r="AB81" s="362"/>
      <c r="AC81" s="362"/>
      <c r="AD81" s="362"/>
      <c r="AE81" s="362"/>
      <c r="AF81" s="358"/>
      <c r="AG81" s="359"/>
      <c r="AI81" s="122" t="str">
        <f t="shared" si="269"/>
        <v>SEMIFINALIST 2</v>
      </c>
      <c r="AJ81" s="362" t="str">
        <f>IF(KOGameRule=1,G81,IF(AND(AJ74&lt;&gt;"",AK74&lt;&gt;""),IF((AJ74+AM74)&gt;(AK74+AN74),AL74,IF((AJ74+AM74)&lt;(AK74+AN74),AI74,"Match 50 Loser")),"Match 50 Loser"))</f>
        <v>Match 50 Loser</v>
      </c>
      <c r="AK81" s="362"/>
      <c r="AL81" s="362"/>
      <c r="AM81" s="362"/>
      <c r="AN81" s="362"/>
      <c r="AO81" s="362"/>
      <c r="AP81" s="358"/>
      <c r="AQ81" s="359"/>
      <c r="AS81" s="122" t="str">
        <f t="shared" si="270"/>
        <v>SEMIFINALIST 2</v>
      </c>
      <c r="AT81" s="362" t="str">
        <f>IF(KOGameRule=1,G81,IF(AND(AT74&lt;&gt;"",AU74&lt;&gt;""),IF((AT74+AW74)&gt;(AU74+AX74),AV74,IF((AT74+AW74)&lt;(AU74+AX74),AS74,"Match 50 Loser")),"Match 50 Loser"))</f>
        <v>Match 50 Loser</v>
      </c>
      <c r="AU81" s="362"/>
      <c r="AV81" s="362"/>
      <c r="AW81" s="362"/>
      <c r="AX81" s="362"/>
      <c r="AY81" s="362"/>
      <c r="AZ81" s="358"/>
      <c r="BA81" s="359"/>
      <c r="BC81" s="122" t="str">
        <f t="shared" si="271"/>
        <v>SEMIFINALIST 2</v>
      </c>
      <c r="BD81" s="362" t="str">
        <f>IF(KOGameRule=1,G81,IF(AND(BD74&lt;&gt;"",BE74&lt;&gt;""),IF((BD74+BG74)&gt;(BE74+BH74),BF74,IF((BD74+BG74)&lt;(BE74+BH74),BC74,"Match 50 Loser")),"Match 50 Loser"))</f>
        <v>Match 50 Loser</v>
      </c>
      <c r="BE81" s="362"/>
      <c r="BF81" s="362"/>
      <c r="BG81" s="362"/>
      <c r="BH81" s="362"/>
      <c r="BI81" s="362"/>
      <c r="BJ81" s="358"/>
      <c r="BK81" s="359"/>
      <c r="BM81" s="122" t="str">
        <f t="shared" si="272"/>
        <v>SEMIFINALIST 2</v>
      </c>
      <c r="BN81" s="362" t="str">
        <f>IF(KOGameRule=1,G81,IF(AND(BN74&lt;&gt;"",BO74&lt;&gt;""),IF((BN74+BQ74)&gt;(BO74+BR74),BP74,IF((BN74+BQ74)&lt;(BO74+BR74),BM74,"Match 50 Loser")),"Match 50 Loser"))</f>
        <v>Match 50 Loser</v>
      </c>
      <c r="BO81" s="362"/>
      <c r="BP81" s="362"/>
      <c r="BQ81" s="362"/>
      <c r="BR81" s="362"/>
      <c r="BS81" s="362"/>
      <c r="BT81" s="358"/>
      <c r="BU81" s="359"/>
      <c r="BW81" s="122" t="str">
        <f t="shared" si="273"/>
        <v>SEMIFINALIST 2</v>
      </c>
      <c r="BX81" s="362" t="str">
        <f>IF(KOGameRule=1,G81,IF(AND(BX74&lt;&gt;"",BY74&lt;&gt;""),IF((BX74+CA74)&gt;(BY74+CB74),BZ74,IF((BX74+CA74)&lt;(BY74+CB74),BW74,"Match 50 Loser")),"Match 50 Loser"))</f>
        <v>Match 50 Loser</v>
      </c>
      <c r="BY81" s="362"/>
      <c r="BZ81" s="362"/>
      <c r="CA81" s="362"/>
      <c r="CB81" s="362"/>
      <c r="CC81" s="362"/>
      <c r="CD81" s="358"/>
      <c r="CE81" s="359"/>
      <c r="CG81" s="122" t="str">
        <f t="shared" si="274"/>
        <v>SEMIFINALIST 2</v>
      </c>
      <c r="CH81" s="362" t="str">
        <f>IF(KOGameRule=1,G81,IF(AND(CH74&lt;&gt;"",CI74&lt;&gt;""),IF((CH74+CK74)&gt;(CI74+CL74),CJ74,IF((CH74+CK74)&lt;(CI74+CL74),CG74,"Match 50 Loser")),"Match 50 Loser"))</f>
        <v>Match 50 Loser</v>
      </c>
      <c r="CI81" s="362"/>
      <c r="CJ81" s="362"/>
      <c r="CK81" s="362"/>
      <c r="CL81" s="362"/>
      <c r="CM81" s="362"/>
      <c r="CN81" s="358"/>
      <c r="CO81" s="359"/>
      <c r="CQ81" s="122" t="str">
        <f t="shared" si="275"/>
        <v>SEMIFINALIST 2</v>
      </c>
      <c r="CR81" s="362" t="str">
        <f>IF(KOGameRule=1,G81,IF(AND(CR74&lt;&gt;"",CS74&lt;&gt;""),IF((CR74+CU74)&gt;(CS74+CV74),CT74,IF((CR74+CU74)&lt;(CS74+CV74),CQ74,"Match 50 Loser")),"Match 50 Loser"))</f>
        <v>Match 50 Loser</v>
      </c>
      <c r="CS81" s="362"/>
      <c r="CT81" s="362"/>
      <c r="CU81" s="362"/>
      <c r="CV81" s="362"/>
      <c r="CW81" s="362"/>
      <c r="CX81" s="358"/>
      <c r="CY81" s="359"/>
      <c r="DA81" s="122" t="str">
        <f t="shared" si="276"/>
        <v>SEMIFINALIST 2</v>
      </c>
      <c r="DB81" s="362" t="str">
        <f>IF(KOGameRule=1,G81,IF(AND(DB74&lt;&gt;"",DC74&lt;&gt;""),IF((DB74+DE74)&gt;(DC74+DF74),DD74,IF((DB74+DE74)&lt;(DC74+DF74),DA74,"Match 50 Loser")),"Match 50 Loser"))</f>
        <v>Match 50 Loser</v>
      </c>
      <c r="DC81" s="362"/>
      <c r="DD81" s="362"/>
      <c r="DE81" s="362"/>
      <c r="DF81" s="362"/>
      <c r="DG81" s="362"/>
      <c r="DH81" s="358"/>
      <c r="DI81" s="359"/>
    </row>
    <row r="82" spans="1:113" s="43" customFormat="1" ht="15" customHeight="1" x14ac:dyDescent="0.25">
      <c r="A82" s="41"/>
      <c r="B82" s="65"/>
      <c r="C82" s="66"/>
      <c r="D82" s="66"/>
      <c r="E82" s="66"/>
      <c r="F82" s="66"/>
      <c r="G82" s="66"/>
      <c r="H82" s="66"/>
      <c r="I82" s="66"/>
      <c r="J82" s="66"/>
      <c r="K82" s="66"/>
      <c r="L82" s="66"/>
      <c r="M82" s="89"/>
      <c r="V82" s="358"/>
      <c r="W82" s="359"/>
      <c r="AF82" s="358"/>
      <c r="AG82" s="359"/>
      <c r="AP82" s="358"/>
      <c r="AQ82" s="359"/>
      <c r="AZ82" s="358"/>
      <c r="BA82" s="359"/>
      <c r="BJ82" s="358"/>
      <c r="BK82" s="359"/>
      <c r="BT82" s="358"/>
      <c r="BU82" s="359"/>
      <c r="CD82" s="358"/>
      <c r="CE82" s="359"/>
      <c r="CN82" s="358"/>
      <c r="CO82" s="359"/>
      <c r="CX82" s="358"/>
      <c r="CY82" s="359"/>
      <c r="DH82" s="358"/>
      <c r="DI82" s="359"/>
    </row>
    <row r="83" spans="1:113" s="43" customFormat="1" ht="15" customHeight="1" x14ac:dyDescent="0.25">
      <c r="A83" s="41"/>
      <c r="B83" s="65"/>
      <c r="C83" s="66"/>
      <c r="D83" s="66"/>
      <c r="E83" s="66"/>
      <c r="F83" s="66"/>
      <c r="G83" s="66"/>
      <c r="H83" s="66"/>
      <c r="I83" s="66"/>
      <c r="J83" s="66"/>
      <c r="K83" s="66"/>
      <c r="L83" s="66"/>
      <c r="M83" s="89"/>
      <c r="O83" s="204" t="s">
        <v>116</v>
      </c>
      <c r="P83" s="44"/>
      <c r="Q83" s="44"/>
      <c r="R83" s="44"/>
      <c r="S83" s="384">
        <v>0</v>
      </c>
      <c r="T83" s="384"/>
      <c r="U83" s="385"/>
      <c r="V83" s="358"/>
      <c r="W83" s="359"/>
      <c r="Y83" s="204" t="s">
        <v>116</v>
      </c>
      <c r="Z83" s="44"/>
      <c r="AA83" s="44"/>
      <c r="AB83" s="44"/>
      <c r="AC83" s="384">
        <v>0</v>
      </c>
      <c r="AD83" s="384"/>
      <c r="AE83" s="385"/>
      <c r="AF83" s="358"/>
      <c r="AG83" s="359"/>
      <c r="AI83" s="204" t="s">
        <v>116</v>
      </c>
      <c r="AJ83" s="44"/>
      <c r="AK83" s="44"/>
      <c r="AL83" s="44"/>
      <c r="AM83" s="384">
        <v>0</v>
      </c>
      <c r="AN83" s="384"/>
      <c r="AO83" s="385"/>
      <c r="AP83" s="358"/>
      <c r="AQ83" s="359"/>
      <c r="AS83" s="204" t="s">
        <v>116</v>
      </c>
      <c r="AT83" s="44"/>
      <c r="AU83" s="44"/>
      <c r="AV83" s="44"/>
      <c r="AW83" s="384">
        <v>0</v>
      </c>
      <c r="AX83" s="384"/>
      <c r="AY83" s="385"/>
      <c r="AZ83" s="358"/>
      <c r="BA83" s="359"/>
      <c r="BC83" s="204" t="s">
        <v>116</v>
      </c>
      <c r="BD83" s="44"/>
      <c r="BE83" s="44"/>
      <c r="BF83" s="44"/>
      <c r="BG83" s="384">
        <v>0</v>
      </c>
      <c r="BH83" s="384"/>
      <c r="BI83" s="385"/>
      <c r="BJ83" s="358"/>
      <c r="BK83" s="359"/>
      <c r="BM83" s="204" t="s">
        <v>116</v>
      </c>
      <c r="BN83" s="44"/>
      <c r="BO83" s="44"/>
      <c r="BP83" s="44"/>
      <c r="BQ83" s="384">
        <v>0</v>
      </c>
      <c r="BR83" s="384"/>
      <c r="BS83" s="385"/>
      <c r="BT83" s="358"/>
      <c r="BU83" s="359"/>
      <c r="BW83" s="204" t="s">
        <v>116</v>
      </c>
      <c r="BX83" s="44"/>
      <c r="BY83" s="44"/>
      <c r="BZ83" s="44"/>
      <c r="CA83" s="384">
        <v>0</v>
      </c>
      <c r="CB83" s="384"/>
      <c r="CC83" s="385"/>
      <c r="CD83" s="358"/>
      <c r="CE83" s="359"/>
      <c r="CG83" s="204" t="s">
        <v>116</v>
      </c>
      <c r="CH83" s="44"/>
      <c r="CI83" s="44"/>
      <c r="CJ83" s="44"/>
      <c r="CK83" s="384">
        <v>0</v>
      </c>
      <c r="CL83" s="384"/>
      <c r="CM83" s="385"/>
      <c r="CN83" s="358"/>
      <c r="CO83" s="359"/>
      <c r="CQ83" s="204" t="s">
        <v>116</v>
      </c>
      <c r="CR83" s="44"/>
      <c r="CS83" s="44"/>
      <c r="CT83" s="44"/>
      <c r="CU83" s="384">
        <v>0</v>
      </c>
      <c r="CV83" s="384"/>
      <c r="CW83" s="385"/>
      <c r="CX83" s="358"/>
      <c r="CY83" s="359"/>
      <c r="DA83" s="204" t="s">
        <v>116</v>
      </c>
      <c r="DB83" s="44"/>
      <c r="DC83" s="44"/>
      <c r="DD83" s="44"/>
      <c r="DE83" s="384">
        <v>0</v>
      </c>
      <c r="DF83" s="384"/>
      <c r="DG83" s="385"/>
      <c r="DH83" s="358"/>
      <c r="DI83" s="359"/>
    </row>
    <row r="84" spans="1:113" s="43" customFormat="1" ht="15" customHeight="1" x14ac:dyDescent="0.25">
      <c r="A84" s="41"/>
      <c r="B84" s="65"/>
      <c r="C84" s="66"/>
      <c r="D84" s="66"/>
      <c r="E84" s="66"/>
      <c r="F84" s="66"/>
      <c r="G84" s="66"/>
      <c r="H84" s="66"/>
      <c r="I84" s="66"/>
      <c r="J84" s="66"/>
      <c r="K84" s="66"/>
      <c r="L84" s="66"/>
      <c r="M84" s="89"/>
      <c r="O84" s="204" t="s">
        <v>117</v>
      </c>
      <c r="P84" s="44"/>
      <c r="Q84" s="44"/>
      <c r="R84" s="44"/>
      <c r="S84" s="384">
        <v>0</v>
      </c>
      <c r="T84" s="384"/>
      <c r="U84" s="385"/>
      <c r="V84" s="358"/>
      <c r="W84" s="359"/>
      <c r="Y84" s="204" t="s">
        <v>117</v>
      </c>
      <c r="Z84" s="44"/>
      <c r="AA84" s="44"/>
      <c r="AB84" s="44"/>
      <c r="AC84" s="384">
        <v>0</v>
      </c>
      <c r="AD84" s="384"/>
      <c r="AE84" s="385"/>
      <c r="AF84" s="358"/>
      <c r="AG84" s="359"/>
      <c r="AI84" s="204" t="s">
        <v>117</v>
      </c>
      <c r="AJ84" s="44"/>
      <c r="AK84" s="44"/>
      <c r="AL84" s="44"/>
      <c r="AM84" s="384">
        <v>0</v>
      </c>
      <c r="AN84" s="384"/>
      <c r="AO84" s="385"/>
      <c r="AP84" s="358"/>
      <c r="AQ84" s="359"/>
      <c r="AS84" s="204" t="s">
        <v>117</v>
      </c>
      <c r="AT84" s="44"/>
      <c r="AU84" s="44"/>
      <c r="AV84" s="44"/>
      <c r="AW84" s="384">
        <v>0</v>
      </c>
      <c r="AX84" s="384"/>
      <c r="AY84" s="385"/>
      <c r="AZ84" s="358"/>
      <c r="BA84" s="359"/>
      <c r="BC84" s="204" t="s">
        <v>117</v>
      </c>
      <c r="BD84" s="44"/>
      <c r="BE84" s="44"/>
      <c r="BF84" s="44"/>
      <c r="BG84" s="384">
        <v>0</v>
      </c>
      <c r="BH84" s="384"/>
      <c r="BI84" s="385"/>
      <c r="BJ84" s="358"/>
      <c r="BK84" s="359"/>
      <c r="BM84" s="204" t="s">
        <v>117</v>
      </c>
      <c r="BN84" s="44"/>
      <c r="BO84" s="44"/>
      <c r="BP84" s="44"/>
      <c r="BQ84" s="384">
        <v>0</v>
      </c>
      <c r="BR84" s="384"/>
      <c r="BS84" s="385"/>
      <c r="BT84" s="358"/>
      <c r="BU84" s="359"/>
      <c r="BW84" s="204" t="s">
        <v>117</v>
      </c>
      <c r="BX84" s="44"/>
      <c r="BY84" s="44"/>
      <c r="BZ84" s="44"/>
      <c r="CA84" s="384">
        <v>0</v>
      </c>
      <c r="CB84" s="384"/>
      <c r="CC84" s="385"/>
      <c r="CD84" s="358"/>
      <c r="CE84" s="359"/>
      <c r="CG84" s="204" t="s">
        <v>117</v>
      </c>
      <c r="CH84" s="44"/>
      <c r="CI84" s="44"/>
      <c r="CJ84" s="44"/>
      <c r="CK84" s="384">
        <v>0</v>
      </c>
      <c r="CL84" s="384"/>
      <c r="CM84" s="385"/>
      <c r="CN84" s="358"/>
      <c r="CO84" s="359"/>
      <c r="CQ84" s="204" t="s">
        <v>117</v>
      </c>
      <c r="CR84" s="44"/>
      <c r="CS84" s="44"/>
      <c r="CT84" s="44"/>
      <c r="CU84" s="384">
        <v>0</v>
      </c>
      <c r="CV84" s="384"/>
      <c r="CW84" s="385"/>
      <c r="CX84" s="358"/>
      <c r="CY84" s="359"/>
      <c r="DA84" s="204" t="s">
        <v>117</v>
      </c>
      <c r="DB84" s="44"/>
      <c r="DC84" s="44"/>
      <c r="DD84" s="44"/>
      <c r="DE84" s="384">
        <v>0</v>
      </c>
      <c r="DF84" s="384"/>
      <c r="DG84" s="385"/>
      <c r="DH84" s="358"/>
      <c r="DI84" s="359"/>
    </row>
    <row r="85" spans="1:113" s="43" customFormat="1" ht="15" customHeight="1" x14ac:dyDescent="0.25">
      <c r="A85" s="41"/>
      <c r="B85" s="65"/>
      <c r="C85" s="66"/>
      <c r="D85" s="66"/>
      <c r="E85" s="66"/>
      <c r="F85" s="66"/>
      <c r="G85" s="66"/>
      <c r="H85" s="66"/>
      <c r="I85" s="66"/>
      <c r="J85" s="66"/>
      <c r="K85" s="66"/>
      <c r="L85" s="66"/>
      <c r="M85" s="89"/>
      <c r="O85" s="204" t="s">
        <v>118</v>
      </c>
      <c r="P85" s="44"/>
      <c r="Q85" s="44"/>
      <c r="R85" s="44"/>
      <c r="S85" s="384">
        <v>0</v>
      </c>
      <c r="T85" s="384"/>
      <c r="U85" s="385"/>
      <c r="V85" s="358"/>
      <c r="W85" s="359"/>
      <c r="Y85" s="204" t="s">
        <v>118</v>
      </c>
      <c r="Z85" s="44"/>
      <c r="AA85" s="44"/>
      <c r="AB85" s="44"/>
      <c r="AC85" s="384">
        <v>0</v>
      </c>
      <c r="AD85" s="384"/>
      <c r="AE85" s="385"/>
      <c r="AF85" s="358"/>
      <c r="AG85" s="359"/>
      <c r="AI85" s="204" t="s">
        <v>118</v>
      </c>
      <c r="AJ85" s="44"/>
      <c r="AK85" s="44"/>
      <c r="AL85" s="44"/>
      <c r="AM85" s="384">
        <v>0</v>
      </c>
      <c r="AN85" s="384"/>
      <c r="AO85" s="385"/>
      <c r="AP85" s="358"/>
      <c r="AQ85" s="359"/>
      <c r="AS85" s="204" t="s">
        <v>118</v>
      </c>
      <c r="AT85" s="44"/>
      <c r="AU85" s="44"/>
      <c r="AV85" s="44"/>
      <c r="AW85" s="384">
        <v>0</v>
      </c>
      <c r="AX85" s="384"/>
      <c r="AY85" s="385"/>
      <c r="AZ85" s="358"/>
      <c r="BA85" s="359"/>
      <c r="BC85" s="204" t="s">
        <v>118</v>
      </c>
      <c r="BD85" s="44"/>
      <c r="BE85" s="44"/>
      <c r="BF85" s="44"/>
      <c r="BG85" s="384">
        <v>0</v>
      </c>
      <c r="BH85" s="384"/>
      <c r="BI85" s="385"/>
      <c r="BJ85" s="358"/>
      <c r="BK85" s="359"/>
      <c r="BM85" s="204" t="s">
        <v>118</v>
      </c>
      <c r="BN85" s="44"/>
      <c r="BO85" s="44"/>
      <c r="BP85" s="44"/>
      <c r="BQ85" s="384">
        <v>0</v>
      </c>
      <c r="BR85" s="384"/>
      <c r="BS85" s="385"/>
      <c r="BT85" s="358"/>
      <c r="BU85" s="359"/>
      <c r="BW85" s="204" t="s">
        <v>118</v>
      </c>
      <c r="BX85" s="44"/>
      <c r="BY85" s="44"/>
      <c r="BZ85" s="44"/>
      <c r="CA85" s="384">
        <v>0</v>
      </c>
      <c r="CB85" s="384"/>
      <c r="CC85" s="385"/>
      <c r="CD85" s="358"/>
      <c r="CE85" s="359"/>
      <c r="CG85" s="204" t="s">
        <v>118</v>
      </c>
      <c r="CH85" s="44"/>
      <c r="CI85" s="44"/>
      <c r="CJ85" s="44"/>
      <c r="CK85" s="384">
        <v>0</v>
      </c>
      <c r="CL85" s="384"/>
      <c r="CM85" s="385"/>
      <c r="CN85" s="358"/>
      <c r="CO85" s="359"/>
      <c r="CQ85" s="204" t="s">
        <v>118</v>
      </c>
      <c r="CR85" s="44"/>
      <c r="CS85" s="44"/>
      <c r="CT85" s="44"/>
      <c r="CU85" s="384">
        <v>0</v>
      </c>
      <c r="CV85" s="384"/>
      <c r="CW85" s="385"/>
      <c r="CX85" s="358"/>
      <c r="CY85" s="359"/>
      <c r="DA85" s="204" t="s">
        <v>118</v>
      </c>
      <c r="DB85" s="44"/>
      <c r="DC85" s="44"/>
      <c r="DD85" s="44"/>
      <c r="DE85" s="384">
        <v>0</v>
      </c>
      <c r="DF85" s="384"/>
      <c r="DG85" s="385"/>
      <c r="DH85" s="358"/>
      <c r="DI85" s="359"/>
    </row>
    <row r="86" spans="1:113" s="43" customFormat="1" ht="15" customHeight="1" x14ac:dyDescent="0.25">
      <c r="A86" s="41"/>
      <c r="B86" s="65"/>
      <c r="C86" s="66"/>
      <c r="D86" s="66"/>
      <c r="E86" s="66"/>
      <c r="F86" s="66"/>
      <c r="G86" s="66"/>
      <c r="H86" s="66"/>
      <c r="I86" s="66"/>
      <c r="J86" s="66"/>
      <c r="K86" s="66"/>
      <c r="L86" s="66"/>
      <c r="M86" s="89"/>
      <c r="V86" s="358"/>
      <c r="W86" s="359"/>
      <c r="AF86" s="358"/>
      <c r="AG86" s="359"/>
      <c r="AP86" s="358"/>
      <c r="AQ86" s="359"/>
      <c r="AZ86" s="358"/>
      <c r="BA86" s="359"/>
      <c r="BJ86" s="358"/>
      <c r="BK86" s="359"/>
      <c r="BT86" s="358"/>
      <c r="BU86" s="359"/>
      <c r="CD86" s="358"/>
      <c r="CE86" s="359"/>
      <c r="CN86" s="358"/>
      <c r="CO86" s="359"/>
      <c r="CX86" s="358"/>
      <c r="CY86" s="359"/>
      <c r="DH86" s="358"/>
      <c r="DI86" s="359"/>
    </row>
    <row r="87" spans="1:113" s="43" customFormat="1" ht="15" customHeight="1" x14ac:dyDescent="0.25">
      <c r="A87" s="41"/>
      <c r="B87" s="65"/>
      <c r="C87" s="389" t="s">
        <v>119</v>
      </c>
      <c r="D87" s="390"/>
      <c r="E87" s="390"/>
      <c r="F87" s="390"/>
      <c r="G87" s="391"/>
      <c r="H87" s="391"/>
      <c r="I87" s="391"/>
      <c r="J87" s="391"/>
      <c r="K87" s="391"/>
      <c r="L87" s="392"/>
      <c r="M87" s="89"/>
      <c r="N87" s="41"/>
      <c r="O87" s="122" t="str">
        <f t="shared" ref="O87:O88" si="279">C87</f>
        <v>BEST PLAYER</v>
      </c>
      <c r="P87" s="348"/>
      <c r="Q87" s="348"/>
      <c r="R87" s="348"/>
      <c r="S87" s="348"/>
      <c r="T87" s="348"/>
      <c r="U87" s="349"/>
      <c r="V87" s="358"/>
      <c r="W87" s="359"/>
      <c r="X87" s="41"/>
      <c r="Y87" s="122" t="str">
        <f>O87</f>
        <v>BEST PLAYER</v>
      </c>
      <c r="Z87" s="348"/>
      <c r="AA87" s="348"/>
      <c r="AB87" s="348"/>
      <c r="AC87" s="348"/>
      <c r="AD87" s="348"/>
      <c r="AE87" s="349"/>
      <c r="AF87" s="358"/>
      <c r="AG87" s="359"/>
      <c r="AH87" s="41"/>
      <c r="AI87" s="122" t="str">
        <f t="shared" ref="AI87:AI88" si="280">Y87</f>
        <v>BEST PLAYER</v>
      </c>
      <c r="AJ87" s="348"/>
      <c r="AK87" s="348"/>
      <c r="AL87" s="348"/>
      <c r="AM87" s="348"/>
      <c r="AN87" s="348"/>
      <c r="AO87" s="349"/>
      <c r="AP87" s="358"/>
      <c r="AQ87" s="359"/>
      <c r="AR87" s="41"/>
      <c r="AS87" s="122" t="str">
        <f t="shared" ref="AS87:AS88" si="281">AI87</f>
        <v>BEST PLAYER</v>
      </c>
      <c r="AT87" s="348"/>
      <c r="AU87" s="348"/>
      <c r="AV87" s="348"/>
      <c r="AW87" s="348"/>
      <c r="AX87" s="348"/>
      <c r="AY87" s="349"/>
      <c r="AZ87" s="358"/>
      <c r="BA87" s="359"/>
      <c r="BB87" s="41"/>
      <c r="BC87" s="122" t="str">
        <f t="shared" ref="BC87:BC88" si="282">AS87</f>
        <v>BEST PLAYER</v>
      </c>
      <c r="BD87" s="348"/>
      <c r="BE87" s="348"/>
      <c r="BF87" s="348"/>
      <c r="BG87" s="348"/>
      <c r="BH87" s="348"/>
      <c r="BI87" s="349"/>
      <c r="BJ87" s="358"/>
      <c r="BK87" s="359"/>
      <c r="BL87" s="41"/>
      <c r="BM87" s="122" t="str">
        <f t="shared" ref="BM87:BM88" si="283">BC87</f>
        <v>BEST PLAYER</v>
      </c>
      <c r="BN87" s="348"/>
      <c r="BO87" s="348"/>
      <c r="BP87" s="348"/>
      <c r="BQ87" s="348"/>
      <c r="BR87" s="348"/>
      <c r="BS87" s="349"/>
      <c r="BT87" s="358"/>
      <c r="BU87" s="359"/>
      <c r="BV87" s="41"/>
      <c r="BW87" s="122" t="str">
        <f t="shared" ref="BW87:BW88" si="284">BM87</f>
        <v>BEST PLAYER</v>
      </c>
      <c r="BX87" s="348"/>
      <c r="BY87" s="348"/>
      <c r="BZ87" s="348"/>
      <c r="CA87" s="348"/>
      <c r="CB87" s="348"/>
      <c r="CC87" s="349"/>
      <c r="CD87" s="358"/>
      <c r="CE87" s="359"/>
      <c r="CF87" s="41"/>
      <c r="CG87" s="122" t="str">
        <f t="shared" ref="CG87:CG88" si="285">BW87</f>
        <v>BEST PLAYER</v>
      </c>
      <c r="CH87" s="348"/>
      <c r="CI87" s="348"/>
      <c r="CJ87" s="348"/>
      <c r="CK87" s="348"/>
      <c r="CL87" s="348"/>
      <c r="CM87" s="349"/>
      <c r="CN87" s="358"/>
      <c r="CO87" s="359"/>
      <c r="CP87" s="41"/>
      <c r="CQ87" s="122" t="str">
        <f t="shared" ref="CQ87:CQ88" si="286">CG87</f>
        <v>BEST PLAYER</v>
      </c>
      <c r="CR87" s="348"/>
      <c r="CS87" s="348"/>
      <c r="CT87" s="348"/>
      <c r="CU87" s="348"/>
      <c r="CV87" s="348"/>
      <c r="CW87" s="349"/>
      <c r="CX87" s="358"/>
      <c r="CY87" s="359"/>
      <c r="CZ87" s="41"/>
      <c r="DA87" s="122" t="str">
        <f t="shared" ref="DA87:DA88" si="287">CQ87</f>
        <v>BEST PLAYER</v>
      </c>
      <c r="DB87" s="348"/>
      <c r="DC87" s="348"/>
      <c r="DD87" s="348"/>
      <c r="DE87" s="348"/>
      <c r="DF87" s="348"/>
      <c r="DG87" s="349"/>
      <c r="DH87" s="358"/>
      <c r="DI87" s="359"/>
    </row>
    <row r="88" spans="1:113" s="43" customFormat="1" ht="15" customHeight="1" x14ac:dyDescent="0.25">
      <c r="A88" s="41"/>
      <c r="B88" s="65"/>
      <c r="C88" s="374" t="s">
        <v>120</v>
      </c>
      <c r="D88" s="375"/>
      <c r="E88" s="375"/>
      <c r="F88" s="375"/>
      <c r="G88" s="369"/>
      <c r="H88" s="369"/>
      <c r="I88" s="369"/>
      <c r="J88" s="369"/>
      <c r="K88" s="369"/>
      <c r="L88" s="370"/>
      <c r="M88" s="89"/>
      <c r="N88" s="41"/>
      <c r="O88" s="122" t="str">
        <f t="shared" si="279"/>
        <v>TOP SCORER</v>
      </c>
      <c r="P88" s="348"/>
      <c r="Q88" s="348"/>
      <c r="R88" s="348"/>
      <c r="S88" s="348"/>
      <c r="T88" s="348"/>
      <c r="U88" s="349"/>
      <c r="V88" s="360"/>
      <c r="W88" s="361"/>
      <c r="X88" s="41"/>
      <c r="Y88" s="122" t="str">
        <f>O88</f>
        <v>TOP SCORER</v>
      </c>
      <c r="Z88" s="348"/>
      <c r="AA88" s="348"/>
      <c r="AB88" s="348"/>
      <c r="AC88" s="348"/>
      <c r="AD88" s="348"/>
      <c r="AE88" s="349"/>
      <c r="AF88" s="360"/>
      <c r="AG88" s="361"/>
      <c r="AH88" s="41"/>
      <c r="AI88" s="122" t="str">
        <f t="shared" si="280"/>
        <v>TOP SCORER</v>
      </c>
      <c r="AJ88" s="348"/>
      <c r="AK88" s="348"/>
      <c r="AL88" s="348"/>
      <c r="AM88" s="348"/>
      <c r="AN88" s="348"/>
      <c r="AO88" s="349"/>
      <c r="AP88" s="360"/>
      <c r="AQ88" s="361"/>
      <c r="AR88" s="41"/>
      <c r="AS88" s="122" t="str">
        <f t="shared" si="281"/>
        <v>TOP SCORER</v>
      </c>
      <c r="AT88" s="348"/>
      <c r="AU88" s="348"/>
      <c r="AV88" s="348"/>
      <c r="AW88" s="348"/>
      <c r="AX88" s="348"/>
      <c r="AY88" s="349"/>
      <c r="AZ88" s="360"/>
      <c r="BA88" s="361"/>
      <c r="BB88" s="41"/>
      <c r="BC88" s="122" t="str">
        <f t="shared" si="282"/>
        <v>TOP SCORER</v>
      </c>
      <c r="BD88" s="348"/>
      <c r="BE88" s="348"/>
      <c r="BF88" s="348"/>
      <c r="BG88" s="348"/>
      <c r="BH88" s="348"/>
      <c r="BI88" s="349"/>
      <c r="BJ88" s="360"/>
      <c r="BK88" s="361"/>
      <c r="BL88" s="41"/>
      <c r="BM88" s="122" t="str">
        <f t="shared" si="283"/>
        <v>TOP SCORER</v>
      </c>
      <c r="BN88" s="348"/>
      <c r="BO88" s="348"/>
      <c r="BP88" s="348"/>
      <c r="BQ88" s="348"/>
      <c r="BR88" s="348"/>
      <c r="BS88" s="349"/>
      <c r="BT88" s="360"/>
      <c r="BU88" s="361"/>
      <c r="BV88" s="41"/>
      <c r="BW88" s="122" t="str">
        <f t="shared" si="284"/>
        <v>TOP SCORER</v>
      </c>
      <c r="BX88" s="348"/>
      <c r="BY88" s="348"/>
      <c r="BZ88" s="348"/>
      <c r="CA88" s="348"/>
      <c r="CB88" s="348"/>
      <c r="CC88" s="349"/>
      <c r="CD88" s="360"/>
      <c r="CE88" s="361"/>
      <c r="CF88" s="41"/>
      <c r="CG88" s="122" t="str">
        <f t="shared" si="285"/>
        <v>TOP SCORER</v>
      </c>
      <c r="CH88" s="348"/>
      <c r="CI88" s="348"/>
      <c r="CJ88" s="348"/>
      <c r="CK88" s="348"/>
      <c r="CL88" s="348"/>
      <c r="CM88" s="349"/>
      <c r="CN88" s="360"/>
      <c r="CO88" s="361"/>
      <c r="CP88" s="41"/>
      <c r="CQ88" s="122" t="str">
        <f t="shared" si="286"/>
        <v>TOP SCORER</v>
      </c>
      <c r="CR88" s="348"/>
      <c r="CS88" s="348"/>
      <c r="CT88" s="348"/>
      <c r="CU88" s="348"/>
      <c r="CV88" s="348"/>
      <c r="CW88" s="349"/>
      <c r="CX88" s="360"/>
      <c r="CY88" s="361"/>
      <c r="CZ88" s="41"/>
      <c r="DA88" s="122" t="str">
        <f t="shared" si="287"/>
        <v>TOP SCORER</v>
      </c>
      <c r="DB88" s="348"/>
      <c r="DC88" s="348"/>
      <c r="DD88" s="348"/>
      <c r="DE88" s="348"/>
      <c r="DF88" s="348"/>
      <c r="DG88" s="349"/>
      <c r="DH88" s="360"/>
      <c r="DI88" s="361"/>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121</v>
      </c>
      <c r="N91" s="84" t="s">
        <v>122</v>
      </c>
      <c r="W91" s="41"/>
      <c r="AG91" s="41"/>
      <c r="AQ91" s="41"/>
      <c r="BA91" s="41"/>
      <c r="BK91" s="41"/>
      <c r="BU91" s="41"/>
      <c r="CE91" s="41"/>
      <c r="CO91" s="41"/>
      <c r="CY91" s="41"/>
      <c r="DI91" s="41"/>
    </row>
    <row r="92" spans="1:113" s="43" customFormat="1" ht="15" customHeight="1" x14ac:dyDescent="0.25">
      <c r="A92" s="41"/>
      <c r="B92" s="199" t="s">
        <v>123</v>
      </c>
      <c r="C92" s="43" t="s">
        <v>124</v>
      </c>
      <c r="N92" s="60" t="s">
        <v>125</v>
      </c>
      <c r="O92" s="125"/>
      <c r="P92" s="125"/>
      <c r="Q92" s="125"/>
      <c r="R92" s="125"/>
      <c r="W92" s="41"/>
      <c r="AG92" s="41"/>
      <c r="AQ92" s="41"/>
      <c r="BA92" s="41"/>
      <c r="BK92" s="41"/>
      <c r="BU92" s="41"/>
      <c r="CE92" s="41"/>
      <c r="CO92" s="41"/>
      <c r="CY92" s="41"/>
      <c r="DI92" s="41"/>
    </row>
    <row r="93" spans="1:113" s="43" customFormat="1" ht="15" customHeight="1" x14ac:dyDescent="0.25">
      <c r="A93" s="41"/>
      <c r="B93" s="199" t="s">
        <v>123</v>
      </c>
      <c r="C93" s="43" t="s">
        <v>126</v>
      </c>
      <c r="N93" s="199" t="s">
        <v>123</v>
      </c>
      <c r="O93" s="43" t="s">
        <v>127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123</v>
      </c>
      <c r="C94" s="43" t="s">
        <v>128</v>
      </c>
      <c r="N94" s="199" t="s">
        <v>123</v>
      </c>
      <c r="O94" s="387" t="s">
        <v>129</v>
      </c>
      <c r="P94" s="387"/>
      <c r="Q94" s="387"/>
      <c r="R94" s="387"/>
      <c r="S94" s="387"/>
      <c r="T94" s="387"/>
      <c r="U94" s="387"/>
      <c r="V94" s="387"/>
      <c r="W94" s="387"/>
      <c r="AG94" s="41"/>
      <c r="AQ94" s="41"/>
      <c r="BA94" s="41"/>
      <c r="BK94" s="41"/>
      <c r="BU94" s="41"/>
      <c r="CE94" s="41"/>
      <c r="CO94" s="41"/>
      <c r="CY94" s="41"/>
      <c r="DI94" s="41"/>
    </row>
    <row r="95" spans="1:113" s="43" customFormat="1" ht="15" customHeight="1" x14ac:dyDescent="0.25">
      <c r="A95" s="41"/>
      <c r="C95" s="198"/>
      <c r="O95" s="387"/>
      <c r="P95" s="387"/>
      <c r="Q95" s="387"/>
      <c r="R95" s="387"/>
      <c r="S95" s="387"/>
      <c r="T95" s="387"/>
      <c r="U95" s="387"/>
      <c r="V95" s="387"/>
      <c r="W95" s="387"/>
      <c r="AG95" s="41"/>
      <c r="AQ95" s="41"/>
      <c r="BA95" s="41"/>
      <c r="BK95" s="41"/>
      <c r="BU95" s="41"/>
      <c r="CE95" s="41"/>
      <c r="CO95" s="41"/>
      <c r="CY95" s="41"/>
      <c r="DI95" s="41"/>
    </row>
    <row r="96" spans="1:113" s="43" customFormat="1" ht="15" customHeight="1" x14ac:dyDescent="0.25">
      <c r="A96" s="41"/>
      <c r="N96" s="199" t="s">
        <v>123</v>
      </c>
      <c r="O96" s="43" t="s">
        <v>130</v>
      </c>
      <c r="W96" s="41"/>
      <c r="AG96" s="41"/>
      <c r="AQ96" s="41"/>
      <c r="BA96" s="41"/>
      <c r="BK96" s="41"/>
      <c r="BU96" s="41"/>
      <c r="CE96" s="41"/>
      <c r="CO96" s="41"/>
      <c r="CY96" s="41"/>
      <c r="DI96" s="41"/>
    </row>
    <row r="97" spans="1:113" s="43" customFormat="1" ht="15" customHeight="1" x14ac:dyDescent="0.25">
      <c r="A97" s="41"/>
      <c r="B97" s="199" t="s">
        <v>123</v>
      </c>
      <c r="C97" s="386" t="s">
        <v>131</v>
      </c>
      <c r="D97" s="386"/>
      <c r="E97" s="386"/>
      <c r="F97" s="386"/>
      <c r="G97" s="386"/>
      <c r="H97" s="386"/>
      <c r="I97" s="386"/>
      <c r="J97" s="386"/>
      <c r="K97" s="386"/>
      <c r="L97" s="386"/>
      <c r="N97" s="199" t="s">
        <v>123</v>
      </c>
      <c r="O97" s="43" t="s">
        <v>132</v>
      </c>
      <c r="W97" s="41"/>
      <c r="AG97" s="41"/>
      <c r="AQ97" s="41"/>
      <c r="BA97" s="41"/>
      <c r="BK97" s="41"/>
      <c r="BU97" s="41"/>
      <c r="CE97" s="41"/>
      <c r="CO97" s="41"/>
      <c r="CY97" s="41"/>
      <c r="DI97" s="41"/>
    </row>
    <row r="98" spans="1:113" s="43" customFormat="1" ht="15" customHeight="1" x14ac:dyDescent="0.25">
      <c r="A98" s="41"/>
      <c r="C98" s="386"/>
      <c r="D98" s="386"/>
      <c r="E98" s="386"/>
      <c r="F98" s="386"/>
      <c r="G98" s="386"/>
      <c r="H98" s="386"/>
      <c r="I98" s="386"/>
      <c r="J98" s="386"/>
      <c r="K98" s="386"/>
      <c r="L98" s="386"/>
      <c r="N98" s="204" t="s">
        <v>133</v>
      </c>
      <c r="O98" s="44"/>
      <c r="P98" s="44"/>
      <c r="Q98" s="44"/>
      <c r="R98" s="44"/>
      <c r="W98" s="41"/>
      <c r="AG98" s="41"/>
      <c r="AQ98" s="41"/>
      <c r="BA98" s="41"/>
      <c r="BK98" s="41"/>
      <c r="BU98" s="41"/>
      <c r="CE98" s="41"/>
      <c r="CO98" s="41"/>
      <c r="CY98" s="41"/>
      <c r="DI98" s="41"/>
    </row>
    <row r="99" spans="1:113" s="43" customFormat="1" ht="15" customHeight="1" x14ac:dyDescent="0.25">
      <c r="A99" s="41"/>
      <c r="N99" s="199" t="s">
        <v>123</v>
      </c>
      <c r="O99" s="43" t="s">
        <v>134</v>
      </c>
      <c r="W99" s="41"/>
      <c r="AG99" s="41"/>
      <c r="AQ99" s="41"/>
      <c r="BA99" s="41"/>
      <c r="BK99" s="41"/>
      <c r="BU99" s="41"/>
      <c r="CE99" s="41"/>
      <c r="CO99" s="41"/>
      <c r="CY99" s="41"/>
      <c r="DI99" s="41"/>
    </row>
    <row r="100" spans="1:113" s="43" customFormat="1" ht="15" customHeight="1" x14ac:dyDescent="0.25">
      <c r="A100" s="41"/>
      <c r="N100" s="199" t="s">
        <v>123</v>
      </c>
      <c r="O100" s="387" t="s">
        <v>135</v>
      </c>
      <c r="P100" s="387"/>
      <c r="Q100" s="387"/>
      <c r="R100" s="387"/>
      <c r="S100" s="387"/>
      <c r="T100" s="387"/>
      <c r="U100" s="387"/>
      <c r="V100" s="387"/>
      <c r="W100" s="387"/>
      <c r="AG100" s="41"/>
      <c r="AQ100" s="41"/>
      <c r="BA100" s="41"/>
      <c r="BK100" s="41"/>
      <c r="BU100" s="41"/>
      <c r="CE100" s="41"/>
      <c r="CO100" s="41"/>
      <c r="CY100" s="41"/>
      <c r="DI100" s="41"/>
    </row>
    <row r="101" spans="1:113" s="43" customFormat="1" ht="15" customHeight="1" x14ac:dyDescent="0.25">
      <c r="A101" s="41"/>
      <c r="O101" s="387"/>
      <c r="P101" s="387"/>
      <c r="Q101" s="387"/>
      <c r="R101" s="387"/>
      <c r="S101" s="387"/>
      <c r="T101" s="387"/>
      <c r="U101" s="387"/>
      <c r="V101" s="387"/>
      <c r="W101" s="387"/>
      <c r="AG101" s="41"/>
      <c r="AQ101" s="41"/>
      <c r="BA101" s="41"/>
      <c r="BK101" s="41"/>
      <c r="BU101" s="41"/>
      <c r="CE101" s="41"/>
      <c r="CO101" s="41"/>
      <c r="CY101" s="41"/>
      <c r="DI101" s="41"/>
    </row>
    <row r="102" spans="1:113" s="43" customFormat="1" ht="15" customHeight="1" x14ac:dyDescent="0.25">
      <c r="A102" s="41"/>
      <c r="N102" s="199" t="s">
        <v>123</v>
      </c>
      <c r="O102" s="43" t="s">
        <v>136</v>
      </c>
      <c r="W102" s="41"/>
      <c r="AG102" s="41"/>
      <c r="AQ102" s="41"/>
      <c r="BA102" s="41"/>
      <c r="BK102" s="41"/>
      <c r="BU102" s="41"/>
      <c r="CE102" s="41"/>
      <c r="CO102" s="41"/>
      <c r="CY102" s="41"/>
      <c r="DI102" s="41"/>
    </row>
    <row r="103" spans="1:113" s="43" customFormat="1" ht="15" customHeight="1" x14ac:dyDescent="0.25">
      <c r="A103" s="41"/>
      <c r="N103" s="199" t="s">
        <v>123</v>
      </c>
      <c r="O103" s="43" t="s">
        <v>137</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138</v>
      </c>
      <c r="N105" s="201" t="s">
        <v>138</v>
      </c>
      <c r="W105" s="41"/>
      <c r="AG105" s="41"/>
      <c r="AQ105" s="41"/>
      <c r="BA105" s="41"/>
      <c r="BK105" s="41"/>
      <c r="BU105" s="41"/>
      <c r="CE105" s="41"/>
      <c r="CO105" s="41"/>
      <c r="CY105" s="41"/>
      <c r="DI105" s="41"/>
    </row>
    <row r="106" spans="1:113" s="43" customFormat="1" ht="15" customHeight="1" x14ac:dyDescent="0.25">
      <c r="A106" s="41"/>
      <c r="B106" s="200" t="s">
        <v>139</v>
      </c>
      <c r="C106" s="43" t="s">
        <v>140</v>
      </c>
      <c r="N106" s="202" t="s">
        <v>139</v>
      </c>
      <c r="O106" s="43" t="s">
        <v>140</v>
      </c>
      <c r="W106" s="41"/>
      <c r="AG106" s="41"/>
      <c r="AQ106" s="41"/>
      <c r="BA106" s="41"/>
      <c r="BK106" s="41"/>
      <c r="BU106" s="41"/>
      <c r="CE106" s="41"/>
      <c r="CO106" s="41"/>
      <c r="CY106" s="41"/>
      <c r="DI106" s="41"/>
    </row>
    <row r="107" spans="1:113" s="43" customFormat="1" ht="15" customHeight="1" x14ac:dyDescent="0.25">
      <c r="A107" s="41"/>
      <c r="N107" s="170" t="s">
        <v>141</v>
      </c>
      <c r="O107" s="43" t="s">
        <v>142</v>
      </c>
      <c r="W107" s="41"/>
      <c r="AG107" s="41"/>
      <c r="AQ107" s="41"/>
      <c r="BA107" s="41"/>
      <c r="BK107" s="41"/>
      <c r="BU107" s="41"/>
      <c r="CE107" s="41"/>
      <c r="CO107" s="41"/>
      <c r="CY107" s="41"/>
      <c r="DI107" s="41"/>
    </row>
    <row r="108" spans="1:113" s="43" customFormat="1" ht="15" customHeight="1" x14ac:dyDescent="0.25">
      <c r="A108" s="41"/>
      <c r="N108" s="203" t="s">
        <v>141</v>
      </c>
      <c r="O108" s="43" t="s">
        <v>143</v>
      </c>
      <c r="W108" s="41"/>
      <c r="AG108" s="41"/>
      <c r="AQ108" s="41"/>
      <c r="BA108" s="41"/>
      <c r="BK108" s="41"/>
      <c r="BU108" s="41"/>
      <c r="CE108" s="41"/>
      <c r="CO108" s="41"/>
      <c r="CY108" s="41"/>
      <c r="DI108" s="41"/>
    </row>
    <row r="109" spans="1:113" s="43" customFormat="1" ht="15" customHeight="1" x14ac:dyDescent="0.25">
      <c r="A109" s="41"/>
      <c r="N109" s="170" t="s">
        <v>144</v>
      </c>
      <c r="O109" s="43" t="s">
        <v>145</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146</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147</v>
      </c>
      <c r="U6" s="307" t="s">
        <v>148</v>
      </c>
      <c r="V6" s="307" t="s">
        <v>100</v>
      </c>
      <c r="W6" s="307" t="s">
        <v>149</v>
      </c>
      <c r="X6" s="307" t="s">
        <v>102</v>
      </c>
      <c r="Y6" s="307"/>
      <c r="Z6" s="307" t="s">
        <v>97</v>
      </c>
      <c r="AA6" s="313" t="s">
        <v>150</v>
      </c>
      <c r="AB6" s="307" t="s">
        <v>151</v>
      </c>
      <c r="AE6" s="302"/>
      <c r="AH6" s="314" t="str">
        <f>Matches!G8</f>
        <v>Germany</v>
      </c>
      <c r="CY6" s="302"/>
    </row>
    <row r="7" spans="1:103" s="300" customFormat="1" ht="14.4"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152</v>
      </c>
      <c r="Z7" s="307">
        <f>VLOOKUP(P7,'Dummy Table'!B4:G40,6,FALSE)</f>
        <v>1</v>
      </c>
      <c r="AA7" s="307">
        <f>X7-Z7</f>
        <v>6</v>
      </c>
      <c r="AB7" s="307">
        <f>U7*3+V7*1</f>
        <v>6</v>
      </c>
      <c r="AE7" s="302"/>
      <c r="AH7" s="314" t="str">
        <f>Matches!J8</f>
        <v>Scotland</v>
      </c>
      <c r="CY7" s="302"/>
    </row>
    <row r="8" spans="1:103" s="300" customFormat="1" ht="14.4" customHeight="1" x14ac:dyDescent="0.3">
      <c r="B8" s="300">
        <v>1</v>
      </c>
      <c r="C8" s="307">
        <v>1</v>
      </c>
      <c r="D8" s="307" t="s">
        <v>97</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152</v>
      </c>
      <c r="Z8" s="307">
        <f>VLOOKUP(P8,'Dummy Table'!B4:G40,6,FALSE)</f>
        <v>2</v>
      </c>
      <c r="AA8" s="307">
        <f t="shared" ref="AA8:AA10" si="1">X8-Z8</f>
        <v>2</v>
      </c>
      <c r="AB8" s="307">
        <f>U8*3+V8*1</f>
        <v>4</v>
      </c>
      <c r="AE8" s="302"/>
      <c r="AH8" s="314" t="str">
        <f>Matches!G9</f>
        <v>Hungary</v>
      </c>
      <c r="CY8" s="302"/>
    </row>
    <row r="9" spans="1:103" s="300" customFormat="1" ht="14.4" customHeight="1" x14ac:dyDescent="0.3">
      <c r="B9" s="300">
        <v>2</v>
      </c>
      <c r="C9" s="307">
        <v>2</v>
      </c>
      <c r="D9" s="307" t="s">
        <v>97</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152</v>
      </c>
      <c r="Z9" s="307">
        <f>VLOOKUP(P9,'Dummy Table'!B4:G40,6,FALSE)</f>
        <v>6</v>
      </c>
      <c r="AA9" s="307">
        <f t="shared" si="1"/>
        <v>-4</v>
      </c>
      <c r="AB9" s="307">
        <f>U9*3+V9*1</f>
        <v>1</v>
      </c>
      <c r="AE9" s="302"/>
      <c r="AH9" s="314" t="str">
        <f>Matches!J9</f>
        <v>Switzerland</v>
      </c>
      <c r="CY9" s="302"/>
    </row>
    <row r="10" spans="1:103" s="300" customFormat="1" ht="14.4" customHeight="1" x14ac:dyDescent="0.3">
      <c r="B10" s="300">
        <v>3</v>
      </c>
      <c r="C10" s="307">
        <v>3</v>
      </c>
      <c r="D10" s="307" t="s">
        <v>98</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152</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98</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147</v>
      </c>
      <c r="U11" s="307" t="s">
        <v>148</v>
      </c>
      <c r="V11" s="307" t="s">
        <v>100</v>
      </c>
      <c r="W11" s="307" t="s">
        <v>149</v>
      </c>
      <c r="X11" s="307" t="s">
        <v>102</v>
      </c>
      <c r="Y11" s="307"/>
      <c r="Z11" s="307" t="s">
        <v>97</v>
      </c>
      <c r="AA11" s="307" t="s">
        <v>150</v>
      </c>
      <c r="AB11" s="307" t="s">
        <v>151</v>
      </c>
      <c r="AE11" s="302"/>
      <c r="AH11" s="314" t="str">
        <f>Matches!J11</f>
        <v>Albania</v>
      </c>
      <c r="CY11" s="302"/>
    </row>
    <row r="12" spans="1:103" s="300" customFormat="1" ht="14.4" customHeight="1" x14ac:dyDescent="0.3">
      <c r="B12" s="300">
        <v>5</v>
      </c>
      <c r="C12" s="307">
        <v>5</v>
      </c>
      <c r="D12" s="307" t="s">
        <v>100</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152</v>
      </c>
      <c r="Z12" s="307">
        <f>VLOOKUP(P12,'Dummy Table'!B4:G40,6,FALSE)</f>
        <v>0</v>
      </c>
      <c r="AA12" s="307">
        <f>X12-Z12</f>
        <v>4</v>
      </c>
      <c r="AB12" s="307">
        <f>U12*3+V12*1</f>
        <v>6</v>
      </c>
      <c r="AE12" s="302"/>
      <c r="AH12" s="314" t="str">
        <f>Matches!G10</f>
        <v>Spain</v>
      </c>
      <c r="CY12" s="302"/>
    </row>
    <row r="13" spans="1:103" s="300" customFormat="1" ht="14.4" customHeight="1" x14ac:dyDescent="0.3">
      <c r="B13" s="300">
        <v>6</v>
      </c>
      <c r="C13" s="307">
        <v>6</v>
      </c>
      <c r="D13" s="307" t="s">
        <v>99</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152</v>
      </c>
      <c r="Z13" s="307">
        <f>VLOOKUP(P13,'Dummy Table'!B4:G40,6,FALSE)</f>
        <v>2</v>
      </c>
      <c r="AA13" s="307">
        <f t="shared" ref="AA13:AA15" si="4">X13-Z13</f>
        <v>0</v>
      </c>
      <c r="AB13" s="307">
        <f>U13*3+V13*1</f>
        <v>3</v>
      </c>
      <c r="AE13" s="302"/>
      <c r="AH13" s="314" t="str">
        <f>Matches!J10</f>
        <v>Croatia</v>
      </c>
      <c r="CY13" s="302"/>
    </row>
    <row r="14" spans="1:103" s="300" customFormat="1" ht="14.4" customHeight="1" x14ac:dyDescent="0.3">
      <c r="B14" s="300">
        <v>7</v>
      </c>
      <c r="C14" s="307">
        <v>7</v>
      </c>
      <c r="D14" s="307" t="s">
        <v>99</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152</v>
      </c>
      <c r="Z14" s="307">
        <f>VLOOKUP(P14,'Dummy Table'!B4:G40,6,FALSE)</f>
        <v>4</v>
      </c>
      <c r="AA14" s="307">
        <f t="shared" si="4"/>
        <v>-1</v>
      </c>
      <c r="AB14" s="307">
        <f>U14*3+V14*1</f>
        <v>1</v>
      </c>
      <c r="AE14" s="302"/>
      <c r="AH14" s="314" t="str">
        <f>Matches!G14</f>
        <v>Poland</v>
      </c>
      <c r="CY14" s="302"/>
    </row>
    <row r="15" spans="1:103" s="300" customFormat="1" ht="14.4" customHeight="1" x14ac:dyDescent="0.3">
      <c r="B15" s="300">
        <v>8</v>
      </c>
      <c r="C15" s="307">
        <v>8</v>
      </c>
      <c r="D15" s="307" t="s">
        <v>100</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152</v>
      </c>
      <c r="Z15" s="307">
        <f>VLOOKUP(P15,'Dummy Table'!B4:G40,6,FALSE)</f>
        <v>5</v>
      </c>
      <c r="AA15" s="307">
        <f t="shared" si="4"/>
        <v>-3</v>
      </c>
      <c r="AB15" s="307">
        <f>U15*3+V15*1</f>
        <v>1</v>
      </c>
      <c r="AE15" s="302"/>
      <c r="AH15" s="314" t="str">
        <f>Matches!J14</f>
        <v>Netherlands</v>
      </c>
      <c r="CY15" s="302"/>
    </row>
    <row r="16" spans="1:103" s="300" customFormat="1" ht="14.4" customHeight="1" x14ac:dyDescent="0.3">
      <c r="B16" s="300">
        <v>9</v>
      </c>
      <c r="C16" s="307">
        <v>9</v>
      </c>
      <c r="D16" s="307" t="s">
        <v>101</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147</v>
      </c>
      <c r="U16" s="307" t="s">
        <v>148</v>
      </c>
      <c r="V16" s="307" t="s">
        <v>100</v>
      </c>
      <c r="W16" s="307" t="s">
        <v>149</v>
      </c>
      <c r="X16" s="307" t="s">
        <v>102</v>
      </c>
      <c r="Y16" s="307"/>
      <c r="Z16" s="307" t="s">
        <v>97</v>
      </c>
      <c r="AA16" s="307" t="s">
        <v>150</v>
      </c>
      <c r="AB16" s="307" t="s">
        <v>151</v>
      </c>
      <c r="AE16" s="302"/>
      <c r="AH16" s="314" t="str">
        <f>Matches!G13</f>
        <v>Slovenia</v>
      </c>
      <c r="CY16" s="302"/>
    </row>
    <row r="17" spans="2:103" s="300" customFormat="1" ht="14.4" customHeight="1" x14ac:dyDescent="0.3">
      <c r="B17" s="300">
        <v>10</v>
      </c>
      <c r="C17" s="307">
        <v>10</v>
      </c>
      <c r="D17" s="307" t="s">
        <v>101</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152</v>
      </c>
      <c r="Z17" s="307">
        <f>VLOOKUP(P17,'Dummy Table'!B4:G40,6,FALSE)</f>
        <v>1</v>
      </c>
      <c r="AA17" s="307">
        <f>X17-Z17</f>
        <v>1</v>
      </c>
      <c r="AB17" s="307">
        <f>U17*3+V17*1</f>
        <v>4</v>
      </c>
      <c r="AE17" s="302"/>
      <c r="AH17" s="314" t="str">
        <f>Matches!J13</f>
        <v>Denmark</v>
      </c>
      <c r="CY17" s="302"/>
    </row>
    <row r="18" spans="2:103" s="300" customFormat="1" ht="14.4" customHeight="1" x14ac:dyDescent="0.3">
      <c r="B18" s="300">
        <v>11</v>
      </c>
      <c r="C18" s="307">
        <v>11</v>
      </c>
      <c r="D18" s="307" t="s">
        <v>102</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152</v>
      </c>
      <c r="Z18" s="307">
        <f>VLOOKUP(P18,'Dummy Table'!B4:G40,6,FALSE)</f>
        <v>2</v>
      </c>
      <c r="AA18" s="307">
        <f t="shared" ref="AA18:AA20" si="6">X18-Z18</f>
        <v>0</v>
      </c>
      <c r="AB18" s="307">
        <f>U18*3+V18*1</f>
        <v>2</v>
      </c>
      <c r="AE18" s="302"/>
      <c r="AH18" s="314" t="str">
        <f>Matches!G15</f>
        <v>Austria</v>
      </c>
      <c r="CY18" s="302"/>
    </row>
    <row r="19" spans="2:103" s="300" customFormat="1" ht="14.4" customHeight="1" x14ac:dyDescent="0.3">
      <c r="B19" s="300">
        <v>12</v>
      </c>
      <c r="C19" s="307">
        <v>12</v>
      </c>
      <c r="D19" s="307" t="s">
        <v>102</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152</v>
      </c>
      <c r="Z19" s="307">
        <f>VLOOKUP(P19,'Dummy Table'!B4:G40,6,FALSE)</f>
        <v>2</v>
      </c>
      <c r="AA19" s="307">
        <f t="shared" si="6"/>
        <v>0</v>
      </c>
      <c r="AB19" s="307">
        <f>U19*3+V19*1</f>
        <v>2</v>
      </c>
      <c r="AE19" s="302"/>
      <c r="AH19" s="314" t="str">
        <f>Matches!J15</f>
        <v>France</v>
      </c>
      <c r="CY19" s="302"/>
    </row>
    <row r="20" spans="2:103" s="300" customFormat="1" ht="14.4" customHeight="1" x14ac:dyDescent="0.3">
      <c r="B20" s="300">
        <v>13</v>
      </c>
      <c r="C20" s="307">
        <v>13</v>
      </c>
      <c r="D20" s="307" t="s">
        <v>98</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152</v>
      </c>
      <c r="Z20" s="307">
        <f>VLOOKUP(P20,'Dummy Table'!B4:G40,6,FALSE)</f>
        <v>2</v>
      </c>
      <c r="AA20" s="307">
        <f t="shared" si="6"/>
        <v>-1</v>
      </c>
      <c r="AB20" s="307">
        <f>U20*3+V20*1</f>
        <v>1</v>
      </c>
      <c r="AE20" s="302"/>
      <c r="AH20" s="314" t="str">
        <f>Matches!G12</f>
        <v>Serbia</v>
      </c>
      <c r="CY20" s="302"/>
    </row>
    <row r="21" spans="2:103" s="300" customFormat="1" ht="14.4" customHeight="1" x14ac:dyDescent="0.3">
      <c r="B21" s="300">
        <v>14</v>
      </c>
      <c r="C21" s="307">
        <v>14</v>
      </c>
      <c r="D21" s="307" t="s">
        <v>97</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147</v>
      </c>
      <c r="U21" s="307" t="s">
        <v>148</v>
      </c>
      <c r="V21" s="307" t="s">
        <v>100</v>
      </c>
      <c r="W21" s="307" t="s">
        <v>149</v>
      </c>
      <c r="X21" s="307" t="s">
        <v>102</v>
      </c>
      <c r="Y21" s="307"/>
      <c r="Z21" s="307" t="s">
        <v>97</v>
      </c>
      <c r="AA21" s="307" t="s">
        <v>150</v>
      </c>
      <c r="AB21" s="307" t="s">
        <v>151</v>
      </c>
      <c r="AE21" s="302"/>
      <c r="AH21" s="314" t="str">
        <f>Matches!J12</f>
        <v>England</v>
      </c>
      <c r="CY21" s="302"/>
    </row>
    <row r="22" spans="2:103" s="300" customFormat="1" ht="14.4" customHeight="1" x14ac:dyDescent="0.3">
      <c r="B22" s="300">
        <v>15</v>
      </c>
      <c r="C22" s="307">
        <v>15</v>
      </c>
      <c r="D22" s="307" t="s">
        <v>97</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2</v>
      </c>
      <c r="U22" s="307">
        <f>VLOOKUP(P22,'Dummy Table'!B4:C40,2,FALSE)</f>
        <v>1</v>
      </c>
      <c r="V22" s="307">
        <f>VLOOKUP(P22,'Dummy Table'!B4:D40,3,FALSE)</f>
        <v>1</v>
      </c>
      <c r="W22" s="307">
        <f>VLOOKUP(P22,'Dummy Table'!B4:E40,4,FALSE)</f>
        <v>0</v>
      </c>
      <c r="X22" s="307">
        <f>VLOOKUP(P22,'Dummy Table'!B4:F40,5,FALSE)</f>
        <v>2</v>
      </c>
      <c r="Y22" s="307" t="s">
        <v>152</v>
      </c>
      <c r="Z22" s="307">
        <f>VLOOKUP(P22,'Dummy Table'!B4:G40,6,FALSE)</f>
        <v>1</v>
      </c>
      <c r="AA22" s="307">
        <f>X22-Z22</f>
        <v>1</v>
      </c>
      <c r="AB22" s="307">
        <f>U22*3+V22*1</f>
        <v>4</v>
      </c>
      <c r="AE22" s="302"/>
      <c r="AH22" s="314" t="str">
        <f>Matches!G17</f>
        <v>Romania</v>
      </c>
      <c r="CY22" s="302"/>
    </row>
    <row r="23" spans="2:103" s="300" customFormat="1" ht="14.4" customHeight="1" x14ac:dyDescent="0.3">
      <c r="B23" s="300">
        <v>16</v>
      </c>
      <c r="C23" s="307">
        <v>16</v>
      </c>
      <c r="D23" s="307" t="s">
        <v>99</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2</v>
      </c>
      <c r="U23" s="307">
        <f>VLOOKUP(P23,'Dummy Table'!B4:C40,2,FALSE)</f>
        <v>1</v>
      </c>
      <c r="V23" s="307">
        <f>VLOOKUP(P23,'Dummy Table'!B4:D40,3,FALSE)</f>
        <v>1</v>
      </c>
      <c r="W23" s="307">
        <f>VLOOKUP(P23,'Dummy Table'!B4:E40,4,FALSE)</f>
        <v>0</v>
      </c>
      <c r="X23" s="307">
        <f>VLOOKUP(P23,'Dummy Table'!B4:F40,5,FALSE)</f>
        <v>1</v>
      </c>
      <c r="Y23" s="307" t="s">
        <v>152</v>
      </c>
      <c r="Z23" s="307">
        <f>VLOOKUP(P23,'Dummy Table'!B4:G40,6,FALSE)</f>
        <v>0</v>
      </c>
      <c r="AA23" s="307">
        <f t="shared" ref="AA23:AA25" si="8">X23-Z23</f>
        <v>1</v>
      </c>
      <c r="AB23" s="307">
        <f>U23*3+V23*1</f>
        <v>4</v>
      </c>
      <c r="AE23" s="302"/>
      <c r="AH23" s="314" t="str">
        <f>Matches!J17</f>
        <v>Ukraine</v>
      </c>
      <c r="CY23" s="302"/>
    </row>
    <row r="24" spans="2:103" s="300" customFormat="1" ht="14.4" customHeight="1" x14ac:dyDescent="0.3">
      <c r="B24" s="300">
        <v>17</v>
      </c>
      <c r="C24" s="307">
        <v>17</v>
      </c>
      <c r="D24" s="307" t="s">
        <v>98</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Austria</v>
      </c>
      <c r="T24" s="307">
        <f t="shared" si="7"/>
        <v>2</v>
      </c>
      <c r="U24" s="307">
        <f>VLOOKUP(P24,'Dummy Table'!B4:C40,2,FALSE)</f>
        <v>1</v>
      </c>
      <c r="V24" s="307">
        <f>VLOOKUP(P24,'Dummy Table'!B4:D40,3,FALSE)</f>
        <v>0</v>
      </c>
      <c r="W24" s="307">
        <f>VLOOKUP(P24,'Dummy Table'!B4:E40,4,FALSE)</f>
        <v>1</v>
      </c>
      <c r="X24" s="307">
        <f>VLOOKUP(P24,'Dummy Table'!B4:F40,5,FALSE)</f>
        <v>3</v>
      </c>
      <c r="Y24" s="307" t="s">
        <v>152</v>
      </c>
      <c r="Z24" s="307">
        <f>VLOOKUP(P24,'Dummy Table'!B4:G40,6,FALSE)</f>
        <v>2</v>
      </c>
      <c r="AA24" s="307">
        <f t="shared" si="8"/>
        <v>1</v>
      </c>
      <c r="AB24" s="307">
        <f>U24*3+V24*1</f>
        <v>3</v>
      </c>
      <c r="AE24" s="302"/>
      <c r="AH24" s="314" t="str">
        <f>Matches!G16</f>
        <v>Belgium</v>
      </c>
      <c r="CY24" s="302"/>
    </row>
    <row r="25" spans="2:103" s="300" customFormat="1" ht="14.4" customHeight="1" x14ac:dyDescent="0.3">
      <c r="B25" s="300">
        <v>18</v>
      </c>
      <c r="C25" s="307">
        <v>18</v>
      </c>
      <c r="D25" s="307" t="s">
        <v>99</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2</v>
      </c>
      <c r="U25" s="307">
        <f>VLOOKUP(P25,'Dummy Table'!B4:C40,2,FALSE)</f>
        <v>0</v>
      </c>
      <c r="V25" s="307">
        <f>VLOOKUP(P25,'Dummy Table'!B4:D40,3,FALSE)</f>
        <v>0</v>
      </c>
      <c r="W25" s="307">
        <f>VLOOKUP(P25,'Dummy Table'!B4:E40,4,FALSE)</f>
        <v>2</v>
      </c>
      <c r="X25" s="307">
        <f>VLOOKUP(P25,'Dummy Table'!B4:F40,5,FALSE)</f>
        <v>2</v>
      </c>
      <c r="Y25" s="307" t="s">
        <v>152</v>
      </c>
      <c r="Z25" s="307">
        <f>VLOOKUP(P25,'Dummy Table'!B4:G40,6,FALSE)</f>
        <v>5</v>
      </c>
      <c r="AA25" s="307">
        <f t="shared" si="8"/>
        <v>-3</v>
      </c>
      <c r="AB25" s="307">
        <f>U25*3+V25*1</f>
        <v>0</v>
      </c>
      <c r="AE25" s="302"/>
      <c r="AH25" s="314" t="str">
        <f>Matches!J16</f>
        <v>Slovakia</v>
      </c>
      <c r="CY25" s="302"/>
    </row>
    <row r="26" spans="2:103" s="300" customFormat="1" ht="14.4" customHeight="1" x14ac:dyDescent="0.3">
      <c r="B26" s="300">
        <v>19</v>
      </c>
      <c r="C26" s="307">
        <v>19</v>
      </c>
      <c r="D26" s="307" t="s">
        <v>101</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147</v>
      </c>
      <c r="U26" s="307" t="s">
        <v>148</v>
      </c>
      <c r="V26" s="307" t="s">
        <v>100</v>
      </c>
      <c r="W26" s="307" t="s">
        <v>149</v>
      </c>
      <c r="X26" s="307" t="s">
        <v>102</v>
      </c>
      <c r="Y26" s="307"/>
      <c r="Z26" s="307" t="s">
        <v>97</v>
      </c>
      <c r="AA26" s="307" t="s">
        <v>150</v>
      </c>
      <c r="AB26" s="307" t="s">
        <v>151</v>
      </c>
      <c r="AE26" s="302"/>
      <c r="AH26" s="314" t="str">
        <f>Matches!G19</f>
        <v>Portugal</v>
      </c>
      <c r="CY26" s="302"/>
    </row>
    <row r="27" spans="2:103" s="300" customFormat="1" ht="14.4" customHeight="1" x14ac:dyDescent="0.3">
      <c r="B27" s="300">
        <v>20</v>
      </c>
      <c r="C27" s="307">
        <v>20</v>
      </c>
      <c r="D27" s="307" t="s">
        <v>100</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2</v>
      </c>
      <c r="U27" s="307">
        <f>VLOOKUP(P27,'Dummy Table'!B4:C40,2,FALSE)</f>
        <v>1</v>
      </c>
      <c r="V27" s="307">
        <f>VLOOKUP(P27,'Dummy Table'!B4:D40,3,FALSE)</f>
        <v>0</v>
      </c>
      <c r="W27" s="307">
        <f>VLOOKUP(P27,'Dummy Table'!B4:E40,4,FALSE)</f>
        <v>1</v>
      </c>
      <c r="X27" s="307">
        <f>VLOOKUP(P27,'Dummy Table'!B4:F40,5,FALSE)</f>
        <v>3</v>
      </c>
      <c r="Y27" s="307" t="s">
        <v>152</v>
      </c>
      <c r="Z27" s="307">
        <f>VLOOKUP(P27,'Dummy Table'!B4:G40,6,FALSE)</f>
        <v>2</v>
      </c>
      <c r="AA27" s="307">
        <f>X27-Z27</f>
        <v>1</v>
      </c>
      <c r="AB27" s="307">
        <f>U27*3+V27*1</f>
        <v>3</v>
      </c>
      <c r="AE27" s="302"/>
      <c r="AH27" s="314" t="str">
        <f>Matches!J19</f>
        <v>Czechia</v>
      </c>
      <c r="CY27" s="302"/>
    </row>
    <row r="28" spans="2:103" s="300" customFormat="1" ht="14.4" customHeight="1" x14ac:dyDescent="0.3">
      <c r="B28" s="300">
        <v>21</v>
      </c>
      <c r="C28" s="307">
        <v>21</v>
      </c>
      <c r="D28" s="307" t="s">
        <v>100</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Belgium</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152</v>
      </c>
      <c r="Z28" s="307">
        <f>VLOOKUP(P28,'Dummy Table'!B4:G40,6,FALSE)</f>
        <v>1</v>
      </c>
      <c r="AA28" s="307">
        <f t="shared" ref="AA28:AA30" si="10">X28-Z28</f>
        <v>1</v>
      </c>
      <c r="AB28" s="307">
        <f>U28*3+V28*1</f>
        <v>3</v>
      </c>
      <c r="AE28" s="302"/>
      <c r="AH28" s="314" t="str">
        <f>Matches!G18</f>
        <v>Türkiye</v>
      </c>
      <c r="CY28" s="302"/>
    </row>
    <row r="29" spans="2:103" s="300" customFormat="1" ht="14.4" customHeight="1" x14ac:dyDescent="0.3">
      <c r="B29" s="300">
        <v>22</v>
      </c>
      <c r="C29" s="307">
        <v>22</v>
      </c>
      <c r="D29" s="307" t="s">
        <v>102</v>
      </c>
      <c r="E29" s="317">
        <f t="shared" si="2"/>
        <v>44366.625</v>
      </c>
      <c r="F29" s="316">
        <v>44366.625</v>
      </c>
      <c r="G29" s="311" t="str">
        <f>G16</f>
        <v>Belgium</v>
      </c>
      <c r="H29" s="307">
        <f>IF('Player Game Board'!H31&lt;&gt;"",'Player Game Board'!H31,"")</f>
        <v>2</v>
      </c>
      <c r="I29" s="307">
        <f>IF('Player Game Board'!I31&lt;&gt;"",'Player Game Board'!I31,"")</f>
        <v>0</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152</v>
      </c>
      <c r="Z29" s="307">
        <f>VLOOKUP(P29,'Dummy Table'!B4:G40,6,FALSE)</f>
        <v>2</v>
      </c>
      <c r="AA29" s="307">
        <f t="shared" si="10"/>
        <v>0</v>
      </c>
      <c r="AB29" s="307">
        <f>U29*3+V29*1</f>
        <v>3</v>
      </c>
      <c r="AE29" s="302"/>
      <c r="AH29" s="314" t="str">
        <f>Matches!J18</f>
        <v>Georgia</v>
      </c>
      <c r="CY29" s="302"/>
    </row>
    <row r="30" spans="2:103" s="300" customFormat="1" ht="14.4" customHeight="1" x14ac:dyDescent="0.3">
      <c r="B30" s="300">
        <v>23</v>
      </c>
      <c r="C30" s="307">
        <v>23</v>
      </c>
      <c r="D30" s="307" t="s">
        <v>102</v>
      </c>
      <c r="E30" s="317">
        <f t="shared" si="2"/>
        <v>44366.75</v>
      </c>
      <c r="F30" s="316">
        <v>44366.75</v>
      </c>
      <c r="G30" s="311" t="str">
        <f>G18</f>
        <v>Türkiye</v>
      </c>
      <c r="H30" s="307">
        <f>IF('Player Game Board'!H32&lt;&gt;"",'Player Game Board'!H32,"")</f>
        <v>0</v>
      </c>
      <c r="I30" s="307">
        <f>IF('Player Game Board'!I32&lt;&gt;"",'Player Game Board'!I32,"")</f>
        <v>3</v>
      </c>
      <c r="J30" s="300" t="str">
        <f>G19</f>
        <v>Portugal</v>
      </c>
      <c r="P30" s="300" t="str">
        <f>VLOOKUP(4,'Dummy Table'!A31:B35,2,FALSE)</f>
        <v>Ukraine</v>
      </c>
      <c r="T30" s="307">
        <f t="shared" si="9"/>
        <v>2</v>
      </c>
      <c r="U30" s="307">
        <f>VLOOKUP(P30,'Dummy Table'!B4:C40,2,FALSE)</f>
        <v>1</v>
      </c>
      <c r="V30" s="307">
        <f>VLOOKUP(P30,'Dummy Table'!B4:D40,3,FALSE)</f>
        <v>0</v>
      </c>
      <c r="W30" s="307">
        <f>VLOOKUP(P30,'Dummy Table'!B4:E40,4,FALSE)</f>
        <v>1</v>
      </c>
      <c r="X30" s="307">
        <f>VLOOKUP(P30,'Dummy Table'!B4:F40,5,FALSE)</f>
        <v>2</v>
      </c>
      <c r="Y30" s="307" t="s">
        <v>152</v>
      </c>
      <c r="Z30" s="307">
        <f>VLOOKUP(P30,'Dummy Table'!B4:G40,6,FALSE)</f>
        <v>4</v>
      </c>
      <c r="AA30" s="307">
        <f t="shared" si="10"/>
        <v>-2</v>
      </c>
      <c r="AB30" s="307">
        <f>U30*3+V30*1</f>
        <v>3</v>
      </c>
      <c r="AE30" s="302"/>
      <c r="CY30" s="302"/>
    </row>
    <row r="31" spans="2:103" s="300" customFormat="1" ht="14.4" customHeight="1" x14ac:dyDescent="0.3">
      <c r="B31" s="300">
        <v>24</v>
      </c>
      <c r="C31" s="307">
        <v>24</v>
      </c>
      <c r="D31" s="307" t="s">
        <v>101</v>
      </c>
      <c r="E31" s="317">
        <f t="shared" si="2"/>
        <v>44366.875</v>
      </c>
      <c r="F31" s="316">
        <v>44366.875</v>
      </c>
      <c r="G31" s="311" t="str">
        <f>J18</f>
        <v>Georgia</v>
      </c>
      <c r="H31" s="307">
        <f>IF('Player Game Board'!H33&lt;&gt;"",'Player Game Board'!H33,"")</f>
        <v>1</v>
      </c>
      <c r="I31" s="307">
        <f>IF('Player Game Board'!I33&lt;&gt;"",'Player Game Board'!I33,"")</f>
        <v>1</v>
      </c>
      <c r="J31" s="300" t="str">
        <f>J19</f>
        <v>Czechia</v>
      </c>
      <c r="T31" s="307" t="s">
        <v>147</v>
      </c>
      <c r="U31" s="307" t="s">
        <v>148</v>
      </c>
      <c r="V31" s="307" t="s">
        <v>100</v>
      </c>
      <c r="W31" s="307" t="s">
        <v>149</v>
      </c>
      <c r="X31" s="307" t="s">
        <v>102</v>
      </c>
      <c r="Y31" s="307"/>
      <c r="Z31" s="307" t="s">
        <v>97</v>
      </c>
      <c r="AA31" s="307" t="s">
        <v>150</v>
      </c>
      <c r="AB31" s="307" t="s">
        <v>151</v>
      </c>
      <c r="AE31" s="302"/>
      <c r="CY31" s="302"/>
    </row>
    <row r="32" spans="2:103" s="300" customFormat="1" ht="14.4" customHeight="1" x14ac:dyDescent="0.3">
      <c r="B32" s="300">
        <v>25</v>
      </c>
      <c r="C32" s="307">
        <v>25</v>
      </c>
      <c r="D32" s="307" t="s">
        <v>97</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Portugal</v>
      </c>
      <c r="T32" s="307">
        <f>SUM(U32:W32)</f>
        <v>2</v>
      </c>
      <c r="U32" s="307">
        <f>VLOOKUP(P32,'Dummy Table'!B4:C40,2,FALSE)</f>
        <v>2</v>
      </c>
      <c r="V32" s="307">
        <f>VLOOKUP(P32,'Dummy Table'!B4:D40,3,FALSE)</f>
        <v>0</v>
      </c>
      <c r="W32" s="307">
        <f>VLOOKUP(P32,'Dummy Table'!B4:E40,4,FALSE)</f>
        <v>0</v>
      </c>
      <c r="X32" s="307">
        <f>VLOOKUP(P32,'Dummy Table'!B4:F40,5,FALSE)</f>
        <v>5</v>
      </c>
      <c r="Y32" s="307" t="s">
        <v>152</v>
      </c>
      <c r="Z32" s="307">
        <f>VLOOKUP(P32,'Dummy Table'!B4:G40,6,FALSE)</f>
        <v>1</v>
      </c>
      <c r="AA32" s="307">
        <f>X32-Z32</f>
        <v>4</v>
      </c>
      <c r="AB32" s="307">
        <f>U32*3+V32*1</f>
        <v>6</v>
      </c>
      <c r="AE32" s="302"/>
      <c r="CY32" s="302"/>
    </row>
    <row r="33" spans="2:103" s="300" customFormat="1" ht="14.4" customHeight="1" x14ac:dyDescent="0.3">
      <c r="B33" s="300">
        <v>26</v>
      </c>
      <c r="C33" s="307">
        <v>26</v>
      </c>
      <c r="D33" s="307" t="s">
        <v>97</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Türkiye</v>
      </c>
      <c r="T33" s="307">
        <f t="shared" ref="T33:T35" si="11">SUM(U33:W33)</f>
        <v>2</v>
      </c>
      <c r="U33" s="307">
        <f>VLOOKUP(P33,'Dummy Table'!B4:C40,2,FALSE)</f>
        <v>1</v>
      </c>
      <c r="V33" s="307">
        <f>VLOOKUP(P33,'Dummy Table'!B4:D40,3,FALSE)</f>
        <v>0</v>
      </c>
      <c r="W33" s="307">
        <f>VLOOKUP(P33,'Dummy Table'!B4:E40,4,FALSE)</f>
        <v>1</v>
      </c>
      <c r="X33" s="307">
        <f>VLOOKUP(P33,'Dummy Table'!B4:F40,5,FALSE)</f>
        <v>3</v>
      </c>
      <c r="Y33" s="307" t="s">
        <v>152</v>
      </c>
      <c r="Z33" s="307">
        <f>VLOOKUP(P33,'Dummy Table'!B4:G40,6,FALSE)</f>
        <v>4</v>
      </c>
      <c r="AA33" s="307">
        <f t="shared" ref="AA33:AA35" si="12">X33-Z33</f>
        <v>-1</v>
      </c>
      <c r="AB33" s="307">
        <f>U33*3+V33*1</f>
        <v>3</v>
      </c>
      <c r="AE33" s="302"/>
      <c r="CY33" s="302"/>
    </row>
    <row r="34" spans="2:103" s="300" customFormat="1" ht="14.4" customHeight="1" x14ac:dyDescent="0.3">
      <c r="B34" s="300">
        <v>27</v>
      </c>
      <c r="C34" s="307">
        <v>27</v>
      </c>
      <c r="D34" s="307" t="s">
        <v>99</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2</v>
      </c>
      <c r="U34" s="307">
        <f>VLOOKUP(P34,'Dummy Table'!B4:C40,2,FALSE)</f>
        <v>0</v>
      </c>
      <c r="V34" s="307">
        <f>VLOOKUP(P34,'Dummy Table'!B4:D40,3,FALSE)</f>
        <v>1</v>
      </c>
      <c r="W34" s="307">
        <f>VLOOKUP(P34,'Dummy Table'!B4:E40,4,FALSE)</f>
        <v>1</v>
      </c>
      <c r="X34" s="307">
        <f>VLOOKUP(P34,'Dummy Table'!B4:F40,5,FALSE)</f>
        <v>2</v>
      </c>
      <c r="Y34" s="307" t="s">
        <v>152</v>
      </c>
      <c r="Z34" s="307">
        <f>VLOOKUP(P34,'Dummy Table'!B4:G40,6,FALSE)</f>
        <v>3</v>
      </c>
      <c r="AA34" s="307">
        <f t="shared" si="12"/>
        <v>-1</v>
      </c>
      <c r="AB34" s="307">
        <f>U34*3+V34*1</f>
        <v>1</v>
      </c>
      <c r="AE34" s="302"/>
      <c r="CY34" s="302"/>
    </row>
    <row r="35" spans="2:103" s="300" customFormat="1" ht="14.4" customHeight="1" x14ac:dyDescent="0.3">
      <c r="B35" s="300">
        <v>28</v>
      </c>
      <c r="C35" s="307">
        <v>28</v>
      </c>
      <c r="D35" s="307" t="s">
        <v>99</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2</v>
      </c>
      <c r="U35" s="307">
        <f>VLOOKUP(P35,'Dummy Table'!B4:C40,2,FALSE)</f>
        <v>0</v>
      </c>
      <c r="V35" s="307">
        <f>VLOOKUP(P35,'Dummy Table'!B4:D40,3,FALSE)</f>
        <v>1</v>
      </c>
      <c r="W35" s="307">
        <f>VLOOKUP(P35,'Dummy Table'!B4:E40,4,FALSE)</f>
        <v>1</v>
      </c>
      <c r="X35" s="307">
        <f>VLOOKUP(P35,'Dummy Table'!B4:F40,5,FALSE)</f>
        <v>2</v>
      </c>
      <c r="Y35" s="307" t="s">
        <v>152</v>
      </c>
      <c r="Z35" s="307">
        <f>VLOOKUP(P35,'Dummy Table'!B4:G40,6,FALSE)</f>
        <v>4</v>
      </c>
      <c r="AA35" s="307">
        <f t="shared" si="12"/>
        <v>-2</v>
      </c>
      <c r="AB35" s="307">
        <f>U35*3+V35*1</f>
        <v>1</v>
      </c>
      <c r="AE35" s="302"/>
      <c r="CY35" s="302"/>
    </row>
    <row r="36" spans="2:103" s="300" customFormat="1" ht="14.4" customHeight="1" x14ac:dyDescent="0.3">
      <c r="B36" s="300">
        <v>29</v>
      </c>
      <c r="C36" s="307">
        <v>29</v>
      </c>
      <c r="D36" s="307" t="s">
        <v>98</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98</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100</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147</v>
      </c>
      <c r="U38" s="307" t="s">
        <v>148</v>
      </c>
      <c r="V38" s="307" t="s">
        <v>100</v>
      </c>
      <c r="W38" s="307" t="s">
        <v>149</v>
      </c>
      <c r="X38" s="307" t="s">
        <v>102</v>
      </c>
      <c r="Y38" s="307"/>
      <c r="Z38" s="307" t="s">
        <v>97</v>
      </c>
      <c r="AA38" s="307" t="s">
        <v>150</v>
      </c>
      <c r="AB38" s="307" t="s">
        <v>151</v>
      </c>
      <c r="AC38" s="307" t="s">
        <v>153</v>
      </c>
      <c r="AE38" s="302"/>
      <c r="CY38" s="302"/>
    </row>
    <row r="39" spans="2:103" s="300" customFormat="1" ht="14.4" customHeight="1" x14ac:dyDescent="0.3">
      <c r="B39" s="300">
        <v>32</v>
      </c>
      <c r="C39" s="307">
        <v>32</v>
      </c>
      <c r="D39" s="307" t="s">
        <v>100</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Austria</v>
      </c>
      <c r="Q39" s="312"/>
      <c r="R39" s="312"/>
      <c r="S39" s="312"/>
      <c r="T39" s="307">
        <f>VLOOKUP(P39,P7:AB35,5,FALSE)</f>
        <v>2</v>
      </c>
      <c r="U39" s="307">
        <f>VLOOKUP(P39,P7:AB35,6,FALSE)</f>
        <v>1</v>
      </c>
      <c r="V39" s="307">
        <f>VLOOKUP(P39,P7:AB35,7,FALSE)</f>
        <v>0</v>
      </c>
      <c r="W39" s="307">
        <f>VLOOKUP(P39,P7:AB35,8,FALSE)</f>
        <v>1</v>
      </c>
      <c r="X39" s="307">
        <f>VLOOKUP(P39,P7:AB35,9,FALSE)</f>
        <v>3</v>
      </c>
      <c r="Y39" s="307" t="s">
        <v>152</v>
      </c>
      <c r="Z39" s="307">
        <f>VLOOKUP(P39,P7:AB35,11,FALSE)</f>
        <v>2</v>
      </c>
      <c r="AA39" s="307">
        <f>VLOOKUP(P39,P7:AB35,12,FALSE)</f>
        <v>1</v>
      </c>
      <c r="AB39" s="307">
        <f>VLOOKUP(P39,P7:AB35,13,FALSE)</f>
        <v>3</v>
      </c>
      <c r="AC39" s="307" t="str">
        <f>INDEX('Dummy Table'!DV3:DV8,MATCH(Matches!O39,'Dummy Table'!DU3:DU8,0),0)</f>
        <v>D</v>
      </c>
      <c r="AE39" s="302"/>
      <c r="CY39" s="302"/>
    </row>
    <row r="40" spans="2:103" s="300" customFormat="1" ht="14.4" customHeight="1" x14ac:dyDescent="0.3">
      <c r="B40" s="300">
        <v>33</v>
      </c>
      <c r="C40" s="307">
        <v>33</v>
      </c>
      <c r="D40" s="307" t="s">
        <v>101</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Slovakia</v>
      </c>
      <c r="Q40" s="312"/>
      <c r="R40" s="312"/>
      <c r="S40" s="312"/>
      <c r="T40" s="307">
        <f>VLOOKUP(P40,P7:AB35,5,FALSE)</f>
        <v>2</v>
      </c>
      <c r="U40" s="307">
        <f>VLOOKUP(P40,P7:AB35,6,FALSE)</f>
        <v>1</v>
      </c>
      <c r="V40" s="307">
        <f>VLOOKUP(P40,P7:AB35,7,FALSE)</f>
        <v>0</v>
      </c>
      <c r="W40" s="307">
        <f>VLOOKUP(P40,P7:AB35,8,FALSE)</f>
        <v>1</v>
      </c>
      <c r="X40" s="307">
        <f>VLOOKUP(P40,P7:AB35,9,FALSE)</f>
        <v>2</v>
      </c>
      <c r="Y40" s="307" t="s">
        <v>152</v>
      </c>
      <c r="Z40" s="307">
        <f>VLOOKUP(P40,P7:AB35,11,FALSE)</f>
        <v>2</v>
      </c>
      <c r="AA40" s="307">
        <f>VLOOKUP(P40,P7:AB35,12,FALSE)</f>
        <v>0</v>
      </c>
      <c r="AB40" s="307">
        <f>VLOOKUP(P40,P7:AB35,13,FALSE)</f>
        <v>3</v>
      </c>
      <c r="AC40" s="307" t="str">
        <f>INDEX('Dummy Table'!DV3:DV8,MATCH(Matches!O40,'Dummy Table'!DU3:DU8,0),0)</f>
        <v>E</v>
      </c>
      <c r="AE40" s="302"/>
      <c r="CY40" s="302"/>
    </row>
    <row r="41" spans="2:103" s="300" customFormat="1" ht="14.4" customHeight="1" x14ac:dyDescent="0.3">
      <c r="B41" s="300">
        <v>34</v>
      </c>
      <c r="C41" s="307">
        <v>34</v>
      </c>
      <c r="D41" s="307" t="s">
        <v>101</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Slovenia</v>
      </c>
      <c r="Q41" s="312"/>
      <c r="R41" s="312"/>
      <c r="S41" s="312"/>
      <c r="T41" s="307">
        <f>VLOOKUP(P41,P7:AB35,5,FALSE)</f>
        <v>2</v>
      </c>
      <c r="U41" s="307">
        <f>VLOOKUP(P41,P7:AB35,6,FALSE)</f>
        <v>0</v>
      </c>
      <c r="V41" s="307">
        <f>VLOOKUP(P41,P7:AB35,7,FALSE)</f>
        <v>2</v>
      </c>
      <c r="W41" s="307">
        <f>VLOOKUP(P41,P7:AB35,8,FALSE)</f>
        <v>0</v>
      </c>
      <c r="X41" s="307">
        <f>VLOOKUP(P41,P7:AB35,9,FALSE)</f>
        <v>2</v>
      </c>
      <c r="Y41" s="307" t="s">
        <v>152</v>
      </c>
      <c r="Z41" s="307">
        <f>VLOOKUP(P41,P7:AB35,11,FALSE)</f>
        <v>2</v>
      </c>
      <c r="AA41" s="307">
        <f>VLOOKUP(P41,P7:AB35,12,FALSE)</f>
        <v>0</v>
      </c>
      <c r="AB41" s="307">
        <f>VLOOKUP(P41,P7:AB35,13,FALSE)</f>
        <v>2</v>
      </c>
      <c r="AC41" s="307" t="str">
        <f>INDEX('Dummy Table'!DV3:DV8,MATCH(Matches!O41,'Dummy Table'!DU3:DU8,0),0)</f>
        <v>C</v>
      </c>
      <c r="AE41" s="302"/>
      <c r="CY41" s="302"/>
    </row>
    <row r="42" spans="2:103" s="300" customFormat="1" ht="14.4" customHeight="1" x14ac:dyDescent="0.3">
      <c r="B42" s="300">
        <v>35</v>
      </c>
      <c r="C42" s="307">
        <v>35</v>
      </c>
      <c r="D42" s="307" t="s">
        <v>102</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Albania</v>
      </c>
      <c r="Q42" s="312"/>
      <c r="R42" s="312"/>
      <c r="S42" s="312"/>
      <c r="T42" s="307">
        <f>VLOOKUP(P42,P7:AB35,5,FALSE)</f>
        <v>2</v>
      </c>
      <c r="U42" s="307">
        <f>VLOOKUP(P42,P7:AB35,6,FALSE)</f>
        <v>0</v>
      </c>
      <c r="V42" s="307">
        <f>VLOOKUP(P42,P7:AB35,7,FALSE)</f>
        <v>1</v>
      </c>
      <c r="W42" s="307">
        <f>VLOOKUP(P42,P7:AB35,8,FALSE)</f>
        <v>1</v>
      </c>
      <c r="X42" s="307">
        <f>VLOOKUP(P42,P7:AB35,9,FALSE)</f>
        <v>3</v>
      </c>
      <c r="Y42" s="307" t="s">
        <v>152</v>
      </c>
      <c r="Z42" s="307">
        <f>VLOOKUP(P42,P7:AB35,11,FALSE)</f>
        <v>4</v>
      </c>
      <c r="AA42" s="307">
        <f>VLOOKUP(P42,P7:AB35,12,FALSE)</f>
        <v>-1</v>
      </c>
      <c r="AB42" s="307">
        <f>VLOOKUP(P42,P7:AB35,13,FALSE)</f>
        <v>1</v>
      </c>
      <c r="AC42" s="307" t="str">
        <f>INDEX('Dummy Table'!DV3:DV8,MATCH(Matches!O42,'Dummy Table'!DU3:DU8,0),0)</f>
        <v>B</v>
      </c>
      <c r="AE42" s="302"/>
      <c r="CY42" s="302"/>
    </row>
    <row r="43" spans="2:103" s="300" customFormat="1" ht="14.4" customHeight="1" x14ac:dyDescent="0.3">
      <c r="B43" s="300">
        <v>36</v>
      </c>
      <c r="C43" s="307">
        <v>36</v>
      </c>
      <c r="D43" s="307" t="s">
        <v>102</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Czechia</v>
      </c>
      <c r="Q43" s="312"/>
      <c r="R43" s="312"/>
      <c r="S43" s="312"/>
      <c r="T43" s="307">
        <f>VLOOKUP(P43,P7:AB35,5,FALSE)</f>
        <v>2</v>
      </c>
      <c r="U43" s="307">
        <f>VLOOKUP(P43,P7:AB35,6,FALSE)</f>
        <v>0</v>
      </c>
      <c r="V43" s="307">
        <f>VLOOKUP(P43,P7:AB35,7,FALSE)</f>
        <v>1</v>
      </c>
      <c r="W43" s="307">
        <f>VLOOKUP(P43,P7:AB35,8,FALSE)</f>
        <v>1</v>
      </c>
      <c r="X43" s="307">
        <f>VLOOKUP(P43,P7:AB35,9,FALSE)</f>
        <v>2</v>
      </c>
      <c r="Y43" s="307" t="s">
        <v>152</v>
      </c>
      <c r="Z43" s="307">
        <f>VLOOKUP(P43,P7:AB35,11,FALSE)</f>
        <v>3</v>
      </c>
      <c r="AA43" s="307">
        <f>VLOOKUP(P43,P7:AB35,12,FALSE)</f>
        <v>-1</v>
      </c>
      <c r="AB43" s="307">
        <f>VLOOKUP(P43,P7:AB35,13,FALSE)</f>
        <v>1</v>
      </c>
      <c r="AC43" s="307" t="str">
        <f>INDEX('Dummy Table'!DV3:DV8,MATCH(Matches!O43,'Dummy Table'!DU3:DU8,0),0)</f>
        <v>F</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Scotland</v>
      </c>
      <c r="T44" s="307">
        <f>VLOOKUP(P44,P7:AB35,5,FALSE)</f>
        <v>2</v>
      </c>
      <c r="U44" s="307">
        <f>VLOOKUP(P44,P7:AB35,6,FALSE)</f>
        <v>0</v>
      </c>
      <c r="V44" s="307">
        <f>VLOOKUP(P44,P7:AB35,7,FALSE)</f>
        <v>1</v>
      </c>
      <c r="W44" s="307">
        <f>VLOOKUP(P44,P7:AB35,8,FALSE)</f>
        <v>1</v>
      </c>
      <c r="X44" s="307">
        <f>VLOOKUP(P44,P7:AB35,9,FALSE)</f>
        <v>2</v>
      </c>
      <c r="Y44" s="307" t="s">
        <v>152</v>
      </c>
      <c r="Z44" s="307">
        <f>VLOOKUP(P44,P7:AB35,11,FALSE)</f>
        <v>6</v>
      </c>
      <c r="AA44" s="307">
        <f>VLOOKUP(P44,P7:AB35,12,FALSE)</f>
        <v>-4</v>
      </c>
      <c r="AB44" s="307">
        <f>VLOOKUP(P44,P7:AB35,13,FALSE)</f>
        <v>1</v>
      </c>
      <c r="AC44" s="307" t="str">
        <f>INDEX('Dummy Table'!DV3:DV8,MATCH(Matches!O44,'Dummy Table'!DU3:DU8,0),0)</f>
        <v>A</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5"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C19" sqref="C19"/>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154</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399" t="s">
        <v>155</v>
      </c>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9"/>
      <c r="AR5" s="399"/>
      <c r="AS5" s="399"/>
      <c r="AT5" s="399"/>
      <c r="AU5" s="399"/>
      <c r="AV5" s="399"/>
      <c r="AW5" s="399"/>
      <c r="AX5" s="399"/>
      <c r="AY5" s="393" t="s">
        <v>156</v>
      </c>
      <c r="AZ5" s="393"/>
      <c r="BA5" s="393"/>
      <c r="BB5" s="393"/>
      <c r="BC5" s="393"/>
      <c r="BD5" s="393"/>
      <c r="BE5" s="393"/>
      <c r="BF5" s="393"/>
      <c r="BG5" s="393" t="s">
        <v>157</v>
      </c>
      <c r="BH5" s="393"/>
      <c r="BI5" s="393"/>
      <c r="BJ5" s="393"/>
      <c r="BK5" s="393" t="s">
        <v>158</v>
      </c>
      <c r="BL5" s="393"/>
      <c r="BM5" s="120" t="s">
        <v>24</v>
      </c>
    </row>
    <row r="6" spans="1:65" ht="15" customHeight="1" x14ac:dyDescent="0.3">
      <c r="B6" s="395" t="s">
        <v>67</v>
      </c>
      <c r="C6" s="396" t="s">
        <v>68</v>
      </c>
      <c r="D6" s="394" t="s">
        <v>159</v>
      </c>
      <c r="E6" s="394" t="s">
        <v>160</v>
      </c>
      <c r="F6" s="394" t="s">
        <v>161</v>
      </c>
      <c r="G6" s="394" t="s">
        <v>69</v>
      </c>
      <c r="H6" s="394" t="s">
        <v>162</v>
      </c>
      <c r="I6" s="395" t="s">
        <v>163</v>
      </c>
      <c r="J6" s="395"/>
      <c r="K6" s="394" t="s">
        <v>164</v>
      </c>
      <c r="L6" s="395" t="s">
        <v>165</v>
      </c>
      <c r="M6" s="395"/>
      <c r="N6" s="395"/>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395"/>
      <c r="C7" s="396"/>
      <c r="D7" s="394"/>
      <c r="E7" s="394"/>
      <c r="F7" s="394"/>
      <c r="G7" s="394"/>
      <c r="H7" s="394"/>
      <c r="I7" s="394" t="s">
        <v>160</v>
      </c>
      <c r="J7" s="398" t="s">
        <v>162</v>
      </c>
      <c r="K7" s="394"/>
      <c r="L7" s="394" t="s">
        <v>160</v>
      </c>
      <c r="M7" s="394" t="s">
        <v>166</v>
      </c>
      <c r="N7" s="394" t="s">
        <v>162</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395"/>
      <c r="C8" s="396"/>
      <c r="D8" s="394"/>
      <c r="E8" s="394"/>
      <c r="F8" s="394"/>
      <c r="G8" s="394"/>
      <c r="H8" s="394"/>
      <c r="I8" s="394"/>
      <c r="J8" s="398"/>
      <c r="K8" s="394"/>
      <c r="L8" s="394"/>
      <c r="M8" s="394"/>
      <c r="N8" s="394"/>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395"/>
      <c r="C9" s="397"/>
      <c r="D9" s="394"/>
      <c r="E9" s="394"/>
      <c r="F9" s="394"/>
      <c r="G9" s="394"/>
      <c r="H9" s="394"/>
      <c r="I9" s="394"/>
      <c r="J9" s="398"/>
      <c r="K9" s="394"/>
      <c r="L9" s="394"/>
      <c r="M9" s="394"/>
      <c r="N9" s="394"/>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Ena</v>
      </c>
      <c r="D10" s="30">
        <f ca="1">IFERROR(E10+F10+G10,"")</f>
        <v>44</v>
      </c>
      <c r="E10" s="23">
        <f t="shared" ref="E10" ca="1" si="3">IFERROR(I10+L10,"")</f>
        <v>44</v>
      </c>
      <c r="F10" s="23">
        <f ca="1">IFERROR(K10+M10,"")</f>
        <v>0</v>
      </c>
      <c r="G10" s="23">
        <f>IF(C10&lt;&gt;"",IF('Player Setup'!D6&lt;&gt;"",'Player Setup'!D6,0),"")</f>
        <v>0</v>
      </c>
      <c r="H10" s="23">
        <f t="shared" ref="H10" ca="1" si="4">IFERROR(J10+N10,"")</f>
        <v>2</v>
      </c>
      <c r="I10" s="24">
        <f ca="1">SUM(O10:AX10)</f>
        <v>44</v>
      </c>
      <c r="J10" s="22">
        <f ca="1">IF(C10&lt;&gt;"",OFFSET('Player Game Board'!N9,O6-1,A10),0)</f>
        <v>2</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4</v>
      </c>
      <c r="Q10" s="24">
        <f ca="1">IF(C10&lt;&gt;"",OFFSET('Player Game Board'!V10,Q6-1,A10),"")</f>
        <v>0</v>
      </c>
      <c r="R10" s="24">
        <f ca="1">IF(C10&lt;&gt;"",OFFSET('Player Game Board'!V10,R6-1,A10),"")</f>
        <v>4</v>
      </c>
      <c r="S10" s="24">
        <f ca="1">IF(C10&lt;&gt;"",OFFSET('Player Game Board'!V10,S6-1,A10),"")</f>
        <v>6</v>
      </c>
      <c r="T10" s="24">
        <f ca="1">IF(C10&lt;&gt;"",OFFSET('Player Game Board'!V10,T6-1,A10),"")</f>
        <v>0</v>
      </c>
      <c r="U10" s="24">
        <f ca="1">IF(C10&lt;&gt;"",OFFSET('Player Game Board'!V10,U6-1,A10),"")</f>
        <v>0</v>
      </c>
      <c r="V10" s="24">
        <f ca="1">IF(C10&lt;&gt;"",OFFSET('Player Game Board'!V10,V6-1,A10),"")</f>
        <v>2</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0</v>
      </c>
      <c r="AB10" s="24">
        <f ca="1">IF(C10&lt;&gt;"",OFFSET('Player Game Board'!V10,AB6-1,A10),"")</f>
        <v>6</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4</v>
      </c>
      <c r="AI10" s="24">
        <f ca="1">IF(C10&lt;&gt;"",OFFSET('Player Game Board'!V10,AI6-1,A10),"")</f>
        <v>4</v>
      </c>
      <c r="AJ10" s="24">
        <f ca="1">IF(C10&lt;&gt;"",OFFSET('Player Game Board'!V10,AJ6-1,A10),"")</f>
        <v>2</v>
      </c>
      <c r="AK10" s="24">
        <f ca="1">IF(C10&lt;&gt;"",OFFSET('Player Game Board'!V10,AK6-1,A10),"")</f>
        <v>2</v>
      </c>
      <c r="AL10" s="24">
        <f ca="1">IF(C10&lt;&gt;"",OFFSET('Player Game Board'!V10,AL6-1,A10),"")</f>
        <v>4</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Pavlo</v>
      </c>
      <c r="D11" s="30">
        <f t="shared" ref="D11:D19" ca="1" si="5">IFERROR(E11+F11+G11,"")</f>
        <v>42</v>
      </c>
      <c r="E11" s="23">
        <f t="shared" ref="E11:E19" ca="1" si="6">IFERROR(I11+L11,"")</f>
        <v>42</v>
      </c>
      <c r="F11" s="23">
        <f t="shared" ref="F11:F19" ca="1" si="7">IFERROR(K11+M11,"")</f>
        <v>0</v>
      </c>
      <c r="G11" s="23">
        <f>IF(C11&lt;&gt;"",IF('Player Setup'!D7&lt;&gt;"",'Player Setup'!D7,0),"")</f>
        <v>0</v>
      </c>
      <c r="H11" s="22">
        <f t="shared" ref="H11:H19" ca="1" si="8">IFERROR(J11+N11,"")</f>
        <v>3</v>
      </c>
      <c r="I11" s="23">
        <f t="shared" ref="I11:I19" ca="1" si="9">SUM(O11:AX11)</f>
        <v>42</v>
      </c>
      <c r="J11" s="22">
        <f ca="1">IF(C11&lt;&gt;"",OFFSET('Player Game Board'!N9,O6-1,A11),0)</f>
        <v>3</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6</v>
      </c>
      <c r="T11" s="22">
        <f ca="1">IF(C11&lt;&gt;"",OFFSET('Player Game Board'!V10,T6-1,A11),"")</f>
        <v>0</v>
      </c>
      <c r="U11" s="22">
        <f ca="1">IF(C11&lt;&gt;"",OFFSET('Player Game Board'!V10,U6-1,A11),"")</f>
        <v>6</v>
      </c>
      <c r="V11" s="22">
        <f ca="1">IF(C11&lt;&gt;"",OFFSET('Player Game Board'!V10,V6-1,A11),"")</f>
        <v>4</v>
      </c>
      <c r="W11" s="22">
        <f ca="1">IF(C11&lt;&gt;"",OFFSET('Player Game Board'!V10,W6-1,A11),"")</f>
        <v>0</v>
      </c>
      <c r="X11" s="22">
        <f ca="1">IF(C11&lt;&gt;"",OFFSET('Player Game Board'!V10,X6-1,A11),"")</f>
        <v>0</v>
      </c>
      <c r="Y11" s="22">
        <f ca="1">IF(C11&lt;&gt;"",OFFSET('Player Game Board'!V10,Y6-1,A11),"")</f>
        <v>2</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6</v>
      </c>
      <c r="AJ11" s="22">
        <f ca="1">IF(C11&lt;&gt;"",OFFSET('Player Game Board'!V10,AJ6-1,A11),"")</f>
        <v>4</v>
      </c>
      <c r="AK11" s="22">
        <f ca="1">IF(C11&lt;&gt;"",OFFSET('Player Game Board'!V10,AK6-1,A11),"")</f>
        <v>2</v>
      </c>
      <c r="AL11" s="22">
        <f ca="1">IF(C11&lt;&gt;"",OFFSET('Player Game Board'!V10,AL6-1,A11),"")</f>
        <v>0</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Player</v>
      </c>
      <c r="D12" s="30">
        <f t="shared" ca="1" si="5"/>
        <v>0</v>
      </c>
      <c r="E12" s="23">
        <f t="shared" ca="1" si="6"/>
        <v>0</v>
      </c>
      <c r="F12" s="23">
        <f t="shared" ca="1" si="7"/>
        <v>0</v>
      </c>
      <c r="G12" s="23">
        <f>IF(C12&lt;&gt;"",IF('Player Setup'!D8&lt;&gt;"",'Player Setup'!D8,0),"")</f>
        <v>0</v>
      </c>
      <c r="H12" s="22">
        <f t="shared" ca="1" si="8"/>
        <v>0</v>
      </c>
      <c r="I12" s="23">
        <f t="shared" ca="1" si="9"/>
        <v>0</v>
      </c>
      <c r="J12" s="22">
        <f ca="1">IF(C12&lt;&gt;"",OFFSET('Player Game Board'!N9,O6-1,A12),0)</f>
        <v>0</v>
      </c>
      <c r="K12" s="23">
        <f ca="1">IF(C12&lt;&gt;"",OFFSET('Player Game Board'!N50,O6-1,A12),0)</f>
        <v>0</v>
      </c>
      <c r="L12" s="22">
        <f t="shared" ca="1" si="10"/>
        <v>0</v>
      </c>
      <c r="M12" s="23">
        <f ca="1">IF(C12&lt;&gt;"",OFFSET('Player Game Board'!N53,O6-1,A12),0)</f>
        <v>0</v>
      </c>
      <c r="N12" s="22">
        <f ca="1">IF(C12&lt;&gt;"",OFFSET('Player Game Board'!N52,O6-1,A12),0)</f>
        <v>0</v>
      </c>
      <c r="O12" s="22" t="str">
        <f ca="1">IF(C12&lt;&gt;"",OFFSET('Player Game Board'!V10,O6-1,A12),"")</f>
        <v/>
      </c>
      <c r="P12" s="22" t="str">
        <f ca="1">IF(C12&lt;&gt;"",OFFSET('Player Game Board'!V10,P6-1,A12),"")</f>
        <v/>
      </c>
      <c r="Q12" s="22" t="str">
        <f ca="1">IF(C12&lt;&gt;"",OFFSET('Player Game Board'!V10,Q6-1,A12),"")</f>
        <v/>
      </c>
      <c r="R12" s="22" t="str">
        <f ca="1">IF(C12&lt;&gt;"",OFFSET('Player Game Board'!V10,R6-1,A12),"")</f>
        <v/>
      </c>
      <c r="S12" s="22" t="str">
        <f ca="1">IF(C12&lt;&gt;"",OFFSET('Player Game Board'!V10,S6-1,A12),"")</f>
        <v/>
      </c>
      <c r="T12" s="22" t="str">
        <f ca="1">IF(C12&lt;&gt;"",OFFSET('Player Game Board'!V10,T6-1,A12),"")</f>
        <v/>
      </c>
      <c r="U12" s="22" t="str">
        <f ca="1">IF(C12&lt;&gt;"",OFFSET('Player Game Board'!V10,U6-1,A12),"")</f>
        <v/>
      </c>
      <c r="V12" s="22" t="str">
        <f ca="1">IF(C12&lt;&gt;"",OFFSET('Player Game Board'!V10,V6-1,A12),"")</f>
        <v/>
      </c>
      <c r="W12" s="22" t="str">
        <f ca="1">IF(C12&lt;&gt;"",OFFSET('Player Game Board'!V10,W6-1,A12),"")</f>
        <v/>
      </c>
      <c r="X12" s="22" t="str">
        <f ca="1">IF(C12&lt;&gt;"",OFFSET('Player Game Board'!V10,X6-1,A12),"")</f>
        <v/>
      </c>
      <c r="Y12" s="22" t="str">
        <f ca="1">IF(C12&lt;&gt;"",OFFSET('Player Game Board'!V10,Y6-1,A12),"")</f>
        <v/>
      </c>
      <c r="Z12" s="22" t="str">
        <f ca="1">IF(C12&lt;&gt;"",OFFSET('Player Game Board'!V10,Z6-1,A12),"")</f>
        <v/>
      </c>
      <c r="AA12" s="22" t="str">
        <f ca="1">IF(C12&lt;&gt;"",OFFSET('Player Game Board'!V10,AA6-1,A12),"")</f>
        <v/>
      </c>
      <c r="AB12" s="22" t="str">
        <f ca="1">IF(C12&lt;&gt;"",OFFSET('Player Game Board'!V10,AB6-1,A12),"")</f>
        <v/>
      </c>
      <c r="AC12" s="22" t="str">
        <f ca="1">IF(C12&lt;&gt;"",OFFSET('Player Game Board'!V10,AC6-1,A12),"")</f>
        <v/>
      </c>
      <c r="AD12" s="22" t="str">
        <f ca="1">IF(C12&lt;&gt;"",OFFSET('Player Game Board'!V10,AD6-1,A12),"")</f>
        <v/>
      </c>
      <c r="AE12" s="22" t="str">
        <f ca="1">IF(C12&lt;&gt;"",OFFSET('Player Game Board'!V10,AE6-1,A12),"")</f>
        <v/>
      </c>
      <c r="AF12" s="22" t="str">
        <f ca="1">IF(C12&lt;&gt;"",OFFSET('Player Game Board'!V10,AF6-1,A12),"")</f>
        <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Player</v>
      </c>
      <c r="D13" s="30">
        <f t="shared" ca="1" si="5"/>
        <v>0</v>
      </c>
      <c r="E13" s="23">
        <f t="shared" ca="1" si="6"/>
        <v>0</v>
      </c>
      <c r="F13" s="23">
        <f t="shared" ca="1" si="7"/>
        <v>0</v>
      </c>
      <c r="G13" s="23">
        <f>IF(C13&lt;&gt;"",IF('Player Setup'!D9&lt;&gt;"",'Player Setup'!D9,0),"")</f>
        <v>0</v>
      </c>
      <c r="H13" s="22">
        <f t="shared" ca="1" si="8"/>
        <v>0</v>
      </c>
      <c r="I13" s="23">
        <f t="shared" ca="1" si="9"/>
        <v>0</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t="str">
        <f ca="1">IF(C13&lt;&gt;"",OFFSET('Player Game Board'!V10,O6-1,A13),"")</f>
        <v/>
      </c>
      <c r="P13" s="22" t="str">
        <f ca="1">IF(C13&lt;&gt;"",OFFSET('Player Game Board'!V10,P6-1,A13),"")</f>
        <v/>
      </c>
      <c r="Q13" s="22" t="str">
        <f ca="1">IF(C13&lt;&gt;"",OFFSET('Player Game Board'!V10,Q6-1,A13),"")</f>
        <v/>
      </c>
      <c r="R13" s="22" t="str">
        <f ca="1">IF(C13&lt;&gt;"",OFFSET('Player Game Board'!V10,R6-1,A13),"")</f>
        <v/>
      </c>
      <c r="S13" s="22" t="str">
        <f ca="1">IF(C13&lt;&gt;"",OFFSET('Player Game Board'!V10,S6-1,A13),"")</f>
        <v/>
      </c>
      <c r="T13" s="22" t="str">
        <f ca="1">IF(C13&lt;&gt;"",OFFSET('Player Game Board'!V10,T6-1,A13),"")</f>
        <v/>
      </c>
      <c r="U13" s="22" t="str">
        <f ca="1">IF(C13&lt;&gt;"",OFFSET('Player Game Board'!V10,U6-1,A13),"")</f>
        <v/>
      </c>
      <c r="V13" s="22" t="str">
        <f ca="1">IF(C13&lt;&gt;"",OFFSET('Player Game Board'!V10,V6-1,A13),"")</f>
        <v/>
      </c>
      <c r="W13" s="22" t="str">
        <f ca="1">IF(C13&lt;&gt;"",OFFSET('Player Game Board'!V10,W6-1,A13),"")</f>
        <v/>
      </c>
      <c r="X13" s="22" t="str">
        <f ca="1">IF(C13&lt;&gt;"",OFFSET('Player Game Board'!V10,X6-1,A13),"")</f>
        <v/>
      </c>
      <c r="Y13" s="22" t="str">
        <f ca="1">IF(C13&lt;&gt;"",OFFSET('Player Game Board'!V10,Y6-1,A13),"")</f>
        <v/>
      </c>
      <c r="Z13" s="22" t="str">
        <f ca="1">IF(C13&lt;&gt;"",OFFSET('Player Game Board'!V10,Z6-1,A13),"")</f>
        <v/>
      </c>
      <c r="AA13" s="22" t="str">
        <f ca="1">IF(C13&lt;&gt;"",OFFSET('Player Game Board'!V10,AA6-1,A13),"")</f>
        <v/>
      </c>
      <c r="AB13" s="22" t="str">
        <f ca="1">IF(C13&lt;&gt;"",OFFSET('Player Game Board'!V10,AB6-1,A13),"")</f>
        <v/>
      </c>
      <c r="AC13" s="22" t="str">
        <f ca="1">IF(C13&lt;&gt;"",OFFSET('Player Game Board'!V10,AC6-1,A13),"")</f>
        <v/>
      </c>
      <c r="AD13" s="22" t="str">
        <f ca="1">IF(C13&lt;&gt;"",OFFSET('Player Game Board'!V10,AD6-1,A13),"")</f>
        <v/>
      </c>
      <c r="AE13" s="22" t="str">
        <f ca="1">IF(C13&lt;&gt;"",OFFSET('Player Game Board'!V10,AE6-1,A13),"")</f>
        <v/>
      </c>
      <c r="AF13" s="22" t="str">
        <f ca="1">IF(C13&lt;&gt;"",OFFSET('Player Game Board'!V10,AF6-1,A13),"")</f>
        <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Player</v>
      </c>
      <c r="D14" s="30">
        <f t="shared" ca="1" si="5"/>
        <v>36</v>
      </c>
      <c r="E14" s="23">
        <f t="shared" ca="1" si="6"/>
        <v>36</v>
      </c>
      <c r="F14" s="23">
        <f t="shared" ca="1" si="7"/>
        <v>0</v>
      </c>
      <c r="G14" s="23">
        <f>IF(C14&lt;&gt;"",IF('Player Setup'!D10&lt;&gt;"",'Player Setup'!D10,0),"")</f>
        <v>0</v>
      </c>
      <c r="H14" s="22">
        <f t="shared" ca="1" si="8"/>
        <v>4</v>
      </c>
      <c r="I14" s="23">
        <f t="shared" ca="1" si="9"/>
        <v>36</v>
      </c>
      <c r="J14" s="22">
        <f ca="1">IF(C14&lt;&gt;"",OFFSET('Player Game Board'!N9,O6-1,A14),0)</f>
        <v>4</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Player</v>
      </c>
      <c r="D15" s="30">
        <f t="shared" ca="1" si="5"/>
        <v>0</v>
      </c>
      <c r="E15" s="23">
        <f t="shared" ca="1" si="6"/>
        <v>0</v>
      </c>
      <c r="F15" s="23">
        <f t="shared" ca="1" si="7"/>
        <v>0</v>
      </c>
      <c r="G15" s="23">
        <f>IF(C15&lt;&gt;"",IF('Player Setup'!D11&lt;&gt;"",'Player Setup'!D11,0),"")</f>
        <v>0</v>
      </c>
      <c r="H15" s="22">
        <f t="shared" ca="1" si="8"/>
        <v>0</v>
      </c>
      <c r="I15" s="23">
        <f t="shared" ca="1" si="9"/>
        <v>0</v>
      </c>
      <c r="J15" s="22">
        <f ca="1">IF(C15&lt;&gt;"",OFFSET('Player Game Board'!N9,O6-1,A15),0)</f>
        <v>0</v>
      </c>
      <c r="K15" s="23">
        <f ca="1">IF(C15&lt;&gt;"",OFFSET('Player Game Board'!N50,O6-1,A15),0)</f>
        <v>0</v>
      </c>
      <c r="L15" s="22">
        <f t="shared" ca="1" si="10"/>
        <v>0</v>
      </c>
      <c r="M15" s="23">
        <f ca="1">IF(C15&lt;&gt;"",OFFSET('Player Game Board'!N53,O6-1,A15),0)</f>
        <v>0</v>
      </c>
      <c r="N15" s="22">
        <f ca="1">IF(C15&lt;&gt;"",OFFSET('Player Game Board'!N52,O6-1,A15),0)</f>
        <v>0</v>
      </c>
      <c r="O15" s="22" t="str">
        <f ca="1">IF(C15&lt;&gt;"",OFFSET('Player Game Board'!V10,O6-1,A15),"")</f>
        <v/>
      </c>
      <c r="P15" s="22" t="str">
        <f ca="1">IF(C15&lt;&gt;"",OFFSET('Player Game Board'!V10,P6-1,A15),"")</f>
        <v/>
      </c>
      <c r="Q15" s="22" t="str">
        <f ca="1">IF(C15&lt;&gt;"",OFFSET('Player Game Board'!V10,Q6-1,A15),"")</f>
        <v/>
      </c>
      <c r="R15" s="22" t="str">
        <f ca="1">IF(C15&lt;&gt;"",OFFSET('Player Game Board'!V10,R6-1,A15),"")</f>
        <v/>
      </c>
      <c r="S15" s="22" t="str">
        <f ca="1">IF(C15&lt;&gt;"",OFFSET('Player Game Board'!V10,S6-1,A15),"")</f>
        <v/>
      </c>
      <c r="T15" s="22" t="str">
        <f ca="1">IF(C15&lt;&gt;"",OFFSET('Player Game Board'!V10,T6-1,A15),"")</f>
        <v/>
      </c>
      <c r="U15" s="22" t="str">
        <f ca="1">IF(C15&lt;&gt;"",OFFSET('Player Game Board'!V10,U6-1,A15),"")</f>
        <v/>
      </c>
      <c r="V15" s="22" t="str">
        <f ca="1">IF(C15&lt;&gt;"",OFFSET('Player Game Board'!V10,V6-1,A15),"")</f>
        <v/>
      </c>
      <c r="W15" s="22" t="str">
        <f ca="1">IF(C15&lt;&gt;"",OFFSET('Player Game Board'!V10,W6-1,A15),"")</f>
        <v/>
      </c>
      <c r="X15" s="22" t="str">
        <f ca="1">IF(C15&lt;&gt;"",OFFSET('Player Game Board'!V10,X6-1,A15),"")</f>
        <v/>
      </c>
      <c r="Y15" s="22" t="str">
        <f ca="1">IF(C15&lt;&gt;"",OFFSET('Player Game Board'!V10,Y6-1,A15),"")</f>
        <v/>
      </c>
      <c r="Z15" s="22" t="str">
        <f ca="1">IF(C15&lt;&gt;"",OFFSET('Player Game Board'!V10,Z6-1,A15),"")</f>
        <v/>
      </c>
      <c r="AA15" s="22" t="str">
        <f ca="1">IF(C15&lt;&gt;"",OFFSET('Player Game Board'!V10,AA6-1,A15),"")</f>
        <v/>
      </c>
      <c r="AB15" s="22" t="str">
        <f ca="1">IF(C15&lt;&gt;"",OFFSET('Player Game Board'!V10,AB6-1,A15),"")</f>
        <v/>
      </c>
      <c r="AC15" s="22" t="str">
        <f ca="1">IF(C15&lt;&gt;"",OFFSET('Player Game Board'!V10,AC6-1,A15),"")</f>
        <v/>
      </c>
      <c r="AD15" s="22" t="str">
        <f ca="1">IF(C15&lt;&gt;"",OFFSET('Player Game Board'!V10,AD6-1,A15),"")</f>
        <v/>
      </c>
      <c r="AE15" s="22" t="str">
        <f ca="1">IF(C15&lt;&gt;"",OFFSET('Player Game Board'!V10,AE6-1,A15),"")</f>
        <v/>
      </c>
      <c r="AF15" s="22" t="str">
        <f ca="1">IF(C15&lt;&gt;"",OFFSET('Player Game Board'!V10,AF6-1,A15),"")</f>
        <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Player</v>
      </c>
      <c r="D16" s="30">
        <f t="shared" ca="1" si="5"/>
        <v>0</v>
      </c>
      <c r="E16" s="23">
        <f t="shared" ca="1" si="6"/>
        <v>0</v>
      </c>
      <c r="F16" s="23">
        <f t="shared" ca="1" si="7"/>
        <v>0</v>
      </c>
      <c r="G16" s="23">
        <f>IF(C16&lt;&gt;"",IF('Player Setup'!D12&lt;&gt;"",'Player Setup'!D12,0),"")</f>
        <v>0</v>
      </c>
      <c r="H16" s="22">
        <f t="shared" ca="1" si="8"/>
        <v>0</v>
      </c>
      <c r="I16" s="23">
        <f t="shared" ca="1" si="9"/>
        <v>0</v>
      </c>
      <c r="J16" s="22">
        <f ca="1">IF(C16&lt;&gt;"",OFFSET('Player Game Board'!N9,O6-1,A16),0)</f>
        <v>0</v>
      </c>
      <c r="K16" s="23">
        <f ca="1">IF(C16&lt;&gt;"",OFFSET('Player Game Board'!N50,O6-1,A16),0)</f>
        <v>0</v>
      </c>
      <c r="L16" s="22">
        <f t="shared" ca="1" si="10"/>
        <v>0</v>
      </c>
      <c r="M16" s="23">
        <f ca="1">IF(C16&lt;&gt;"",OFFSET('Player Game Board'!N53,O6-1,A16),0)</f>
        <v>0</v>
      </c>
      <c r="N16" s="22">
        <f ca="1">IF(C16&lt;&gt;"",OFFSET('Player Game Board'!N52,O6-1,A16),0)</f>
        <v>0</v>
      </c>
      <c r="O16" s="22" t="str">
        <f ca="1">IF(C16&lt;&gt;"",OFFSET('Player Game Board'!V10,O6-1,A16),"")</f>
        <v/>
      </c>
      <c r="P16" s="22" t="str">
        <f ca="1">IF(C16&lt;&gt;"",OFFSET('Player Game Board'!V10,P6-1,A16),"")</f>
        <v/>
      </c>
      <c r="Q16" s="22" t="str">
        <f ca="1">IF(C16&lt;&gt;"",OFFSET('Player Game Board'!V10,Q6-1,A16),"")</f>
        <v/>
      </c>
      <c r="R16" s="22" t="str">
        <f ca="1">IF(C16&lt;&gt;"",OFFSET('Player Game Board'!V10,R6-1,A16),"")</f>
        <v/>
      </c>
      <c r="S16" s="22" t="str">
        <f ca="1">IF(C16&lt;&gt;"",OFFSET('Player Game Board'!V10,S6-1,A16),"")</f>
        <v/>
      </c>
      <c r="T16" s="22" t="str">
        <f ca="1">IF(C16&lt;&gt;"",OFFSET('Player Game Board'!V10,T6-1,A16),"")</f>
        <v/>
      </c>
      <c r="U16" s="22" t="str">
        <f ca="1">IF(C16&lt;&gt;"",OFFSET('Player Game Board'!V10,U6-1,A16),"")</f>
        <v/>
      </c>
      <c r="V16" s="22" t="str">
        <f ca="1">IF(C16&lt;&gt;"",OFFSET('Player Game Board'!V10,V6-1,A16),"")</f>
        <v/>
      </c>
      <c r="W16" s="22" t="str">
        <f ca="1">IF(C16&lt;&gt;"",OFFSET('Player Game Board'!V10,W6-1,A16),"")</f>
        <v/>
      </c>
      <c r="X16" s="22" t="str">
        <f ca="1">IF(C16&lt;&gt;"",OFFSET('Player Game Board'!V10,X6-1,A16),"")</f>
        <v/>
      </c>
      <c r="Y16" s="22" t="str">
        <f ca="1">IF(C16&lt;&gt;"",OFFSET('Player Game Board'!V10,Y6-1,A16),"")</f>
        <v/>
      </c>
      <c r="Z16" s="22" t="str">
        <f ca="1">IF(C16&lt;&gt;"",OFFSET('Player Game Board'!V10,Z6-1,A16),"")</f>
        <v/>
      </c>
      <c r="AA16" s="22" t="str">
        <f ca="1">IF(C16&lt;&gt;"",OFFSET('Player Game Board'!V10,AA6-1,A16),"")</f>
        <v/>
      </c>
      <c r="AB16" s="22" t="str">
        <f ca="1">IF(C16&lt;&gt;"",OFFSET('Player Game Board'!V10,AB6-1,A16),"")</f>
        <v/>
      </c>
      <c r="AC16" s="22" t="str">
        <f ca="1">IF(C16&lt;&gt;"",OFFSET('Player Game Board'!V10,AC6-1,A16),"")</f>
        <v/>
      </c>
      <c r="AD16" s="22" t="str">
        <f ca="1">IF(C16&lt;&gt;"",OFFSET('Player Game Board'!V10,AD6-1,A16),"")</f>
        <v/>
      </c>
      <c r="AE16" s="22" t="str">
        <f ca="1">IF(C16&lt;&gt;"",OFFSET('Player Game Board'!V10,AE6-1,A16),"")</f>
        <v/>
      </c>
      <c r="AF16" s="22" t="str">
        <f ca="1">IF(C16&lt;&gt;"",OFFSET('Player Game Board'!V10,AF6-1,A16),"")</f>
        <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Player</v>
      </c>
      <c r="D17" s="30">
        <f t="shared" ca="1" si="5"/>
        <v>0</v>
      </c>
      <c r="E17" s="23">
        <f t="shared" ca="1" si="6"/>
        <v>0</v>
      </c>
      <c r="F17" s="23">
        <f t="shared" ca="1" si="7"/>
        <v>0</v>
      </c>
      <c r="G17" s="23">
        <f>IF(C17&lt;&gt;"",IF('Player Setup'!D13&lt;&gt;"",'Player Setup'!D13,0),"")</f>
        <v>0</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2" t="str">
        <f>IF('Player Setup'!C14&lt;&gt;"",'Player Setup'!C14,"")</f>
        <v>Player</v>
      </c>
      <c r="D18" s="30">
        <f t="shared" ca="1" si="5"/>
        <v>0</v>
      </c>
      <c r="E18" s="23">
        <f t="shared" ca="1" si="6"/>
        <v>0</v>
      </c>
      <c r="F18" s="23">
        <f t="shared" ca="1" si="7"/>
        <v>0</v>
      </c>
      <c r="G18" s="23">
        <f>IF(C18&lt;&gt;"",IF('Player Setup'!D14&lt;&gt;"",'Player Setup'!D14,0),"")</f>
        <v>0</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2" t="str">
        <f>IF('Player Setup'!C15&lt;&gt;"",'Player Setup'!C15,"")</f>
        <v>Player</v>
      </c>
      <c r="D19" s="30">
        <f t="shared" ca="1" si="5"/>
        <v>0</v>
      </c>
      <c r="E19" s="23">
        <f t="shared" ca="1" si="6"/>
        <v>0</v>
      </c>
      <c r="F19" s="23">
        <f t="shared" ca="1" si="7"/>
        <v>0</v>
      </c>
      <c r="G19" s="23">
        <f>IF(C19&lt;&gt;"",IF('Player Setup'!D15&lt;&gt;"",'Player Setup'!D15,0),"")</f>
        <v>0</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M7:M9"/>
    <mergeCell ref="N7:N9"/>
    <mergeCell ref="O5:AX5"/>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167</v>
      </c>
      <c r="C3" s="33"/>
      <c r="D3" s="33"/>
      <c r="E3" s="33"/>
      <c r="F3" s="33"/>
      <c r="G3" s="33"/>
      <c r="H3" s="33"/>
      <c r="I3" s="33"/>
      <c r="J3" s="33"/>
      <c r="K3" s="33"/>
      <c r="L3" s="33"/>
      <c r="M3" s="33"/>
    </row>
    <row r="4" spans="2:13" ht="5.0999999999999996" customHeight="1" x14ac:dyDescent="0.2">
      <c r="I4" s="34"/>
    </row>
    <row r="5" spans="2:13" ht="15" customHeight="1" x14ac:dyDescent="0.2">
      <c r="B5" s="395" t="s">
        <v>67</v>
      </c>
      <c r="C5" s="395" t="s">
        <v>68</v>
      </c>
      <c r="D5" s="394" t="s">
        <v>159</v>
      </c>
      <c r="E5" s="394" t="s">
        <v>160</v>
      </c>
      <c r="F5" s="394" t="s">
        <v>161</v>
      </c>
      <c r="G5" s="394" t="s">
        <v>162</v>
      </c>
      <c r="H5" s="395" t="s">
        <v>163</v>
      </c>
      <c r="I5" s="395"/>
      <c r="J5" s="394" t="s">
        <v>168</v>
      </c>
      <c r="K5" s="395" t="s">
        <v>165</v>
      </c>
      <c r="L5" s="395"/>
      <c r="M5" s="395"/>
    </row>
    <row r="6" spans="2:13" ht="15" customHeight="1" x14ac:dyDescent="0.2">
      <c r="B6" s="395"/>
      <c r="C6" s="395"/>
      <c r="D6" s="394"/>
      <c r="E6" s="394"/>
      <c r="F6" s="394"/>
      <c r="G6" s="394"/>
      <c r="H6" s="394" t="s">
        <v>160</v>
      </c>
      <c r="I6" s="398" t="s">
        <v>162</v>
      </c>
      <c r="J6" s="394"/>
      <c r="K6" s="394" t="s">
        <v>160</v>
      </c>
      <c r="L6" s="394" t="s">
        <v>169</v>
      </c>
      <c r="M6" s="394" t="s">
        <v>162</v>
      </c>
    </row>
    <row r="7" spans="2:13" ht="15" customHeight="1" x14ac:dyDescent="0.2">
      <c r="B7" s="395"/>
      <c r="C7" s="395"/>
      <c r="D7" s="394"/>
      <c r="E7" s="394"/>
      <c r="F7" s="394"/>
      <c r="G7" s="394"/>
      <c r="H7" s="394"/>
      <c r="I7" s="398"/>
      <c r="J7" s="394"/>
      <c r="K7" s="394"/>
      <c r="L7" s="394"/>
      <c r="M7" s="394"/>
    </row>
    <row r="8" spans="2:13" ht="15" customHeight="1" x14ac:dyDescent="0.2">
      <c r="B8" s="395"/>
      <c r="C8" s="395"/>
      <c r="D8" s="394"/>
      <c r="E8" s="394"/>
      <c r="F8" s="394"/>
      <c r="G8" s="394"/>
      <c r="H8" s="394"/>
      <c r="I8" s="398"/>
      <c r="J8" s="394"/>
      <c r="K8" s="394"/>
      <c r="L8" s="394"/>
      <c r="M8" s="394"/>
    </row>
    <row r="9" spans="2:13" ht="15" customHeight="1" x14ac:dyDescent="0.2">
      <c r="B9" s="22">
        <v>1</v>
      </c>
      <c r="C9" s="35" t="str">
        <f ca="1">IFERROR(INDEX('Dummy Rank'!F7:F16,MATCH('Player Leaderboard'!B9,'Dummy Rank'!E7:E16,0),0),"")</f>
        <v>Ena</v>
      </c>
      <c r="D9" s="23">
        <f ca="1">IFERROR(VLOOKUP(C9,'Player Scoreboard'!C10:N19,2,FALSE),"")</f>
        <v>44</v>
      </c>
      <c r="E9" s="23">
        <f ca="1">IFERROR(VLOOKUP(C9,'Player Scoreboard'!C10:N19,3,FALSE),"")</f>
        <v>44</v>
      </c>
      <c r="F9" s="23">
        <f ca="1">IFERROR(VLOOKUP(C9,'Player Scoreboard'!C10:N19,4,FALSE),"")</f>
        <v>0</v>
      </c>
      <c r="G9" s="23">
        <f ca="1">IFERROR(VLOOKUP(C9,'Player Scoreboard'!C$10:N$19,6,FALSE),"")</f>
        <v>2</v>
      </c>
      <c r="H9" s="23">
        <f ca="1">IFERROR(VLOOKUP(C9,'Player Scoreboard'!C$10:N$19,7,FALSE),"")</f>
        <v>44</v>
      </c>
      <c r="I9" s="23">
        <f ca="1">IFERROR(VLOOKUP(C9,'Player Scoreboard'!C$10:N$19,8,FALSE),"")</f>
        <v>2</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Pavlo</v>
      </c>
      <c r="D10" s="23">
        <f ca="1">IFERROR(VLOOKUP(C10,'Player Scoreboard'!C10:N19,2,FALSE),"")</f>
        <v>42</v>
      </c>
      <c r="E10" s="23">
        <f ca="1">IFERROR(VLOOKUP(C10,'Player Scoreboard'!C10:N19,3,FALSE),"")</f>
        <v>42</v>
      </c>
      <c r="F10" s="23">
        <f ca="1">IFERROR(VLOOKUP(C10,'Player Scoreboard'!C10:N19,4,FALSE),"")</f>
        <v>0</v>
      </c>
      <c r="G10" s="22">
        <f ca="1">IFERROR(VLOOKUP(C10,'Player Scoreboard'!C$10:N$19,6,FALSE),"")</f>
        <v>3</v>
      </c>
      <c r="H10" s="23">
        <f ca="1">IFERROR(VLOOKUP(C10,'Player Scoreboard'!C$10:N$19,7,FALSE),"")</f>
        <v>42</v>
      </c>
      <c r="I10" s="23">
        <f ca="1">IFERROR(VLOOKUP(C10,'Player Scoreboard'!C$10:N$19,8,FALSE),"")</f>
        <v>3</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Player</v>
      </c>
      <c r="D11" s="23">
        <f ca="1">IFERROR(VLOOKUP(C11,'Player Scoreboard'!C10:N19,2,FALSE),"")</f>
        <v>0</v>
      </c>
      <c r="E11" s="23">
        <f ca="1">IFERROR(VLOOKUP(C11,'Player Scoreboard'!C10:N19,3,FALSE),"")</f>
        <v>0</v>
      </c>
      <c r="F11" s="23">
        <f ca="1">IFERROR(VLOOKUP(C11,'Player Scoreboard'!C10:N19,4,FALSE),"")</f>
        <v>0</v>
      </c>
      <c r="G11" s="23">
        <f ca="1">IFERROR(VLOOKUP(C11,'Player Scoreboard'!C$10:N$19,6,FALSE),"")</f>
        <v>0</v>
      </c>
      <c r="H11" s="23">
        <f ca="1">IFERROR(VLOOKUP(C11,'Player Scoreboard'!C$10:N$19,7,FALSE),"")</f>
        <v>0</v>
      </c>
      <c r="I11" s="23">
        <f ca="1">IFERROR(VLOOKUP(C11,'Player Scoreboard'!C$10:N$19,8,FALSE),"")</f>
        <v>0</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Player</v>
      </c>
      <c r="D12" s="23">
        <f ca="1">IFERROR(VLOOKUP(C12,'Player Scoreboard'!C10:N19,2,FALSE),"")</f>
        <v>0</v>
      </c>
      <c r="E12" s="23">
        <f ca="1">IFERROR(VLOOKUP(C12,'Player Scoreboard'!C10:N19,3,FALSE),"")</f>
        <v>0</v>
      </c>
      <c r="F12" s="23">
        <f ca="1">IFERROR(VLOOKUP(C12,'Player Scoreboard'!C10:N19,4,FALSE),"")</f>
        <v>0</v>
      </c>
      <c r="G12" s="22">
        <f ca="1">IFERROR(VLOOKUP(C12,'Player Scoreboard'!C$10:N$19,6,FALSE),"")</f>
        <v>0</v>
      </c>
      <c r="H12" s="23">
        <f ca="1">IFERROR(VLOOKUP(C12,'Player Scoreboard'!C$10:N$19,7,FALSE),"")</f>
        <v>0</v>
      </c>
      <c r="I12" s="23">
        <f ca="1">IFERROR(VLOOKUP(C12,'Player Scoreboard'!C$10:N$19,8,FALSE),"")</f>
        <v>0</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Player</v>
      </c>
      <c r="D13" s="23">
        <f ca="1">IFERROR(VLOOKUP(C13,'Player Scoreboard'!C10:N19,2,FALSE),"")</f>
        <v>0</v>
      </c>
      <c r="E13" s="23">
        <f ca="1">IFERROR(VLOOKUP(C13,'Player Scoreboard'!C10:N19,3,FALSE),"")</f>
        <v>0</v>
      </c>
      <c r="F13" s="23">
        <f ca="1">IFERROR(VLOOKUP(C13,'Player Scoreboard'!C10:N19,4,FALSE),"")</f>
        <v>0</v>
      </c>
      <c r="G13" s="23">
        <f ca="1">IFERROR(VLOOKUP(C13,'Player Scoreboard'!C$10:N$19,6,FALSE),"")</f>
        <v>0</v>
      </c>
      <c r="H13" s="23">
        <f ca="1">IFERROR(VLOOKUP(C13,'Player Scoreboard'!C$10:N$19,7,FALSE),"")</f>
        <v>0</v>
      </c>
      <c r="I13" s="23">
        <f ca="1">IFERROR(VLOOKUP(C13,'Player Scoreboard'!C$10:N$19,8,FALSE),"")</f>
        <v>0</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Player</v>
      </c>
      <c r="D14" s="23">
        <f ca="1">IFERROR(VLOOKUP(C14,'Player Scoreboard'!C10:N19,2,FALSE),"")</f>
        <v>0</v>
      </c>
      <c r="E14" s="23">
        <f ca="1">IFERROR(VLOOKUP(C14,'Player Scoreboard'!C10:N19,3,FALSE),"")</f>
        <v>0</v>
      </c>
      <c r="F14" s="23">
        <f ca="1">IFERROR(VLOOKUP(C14,'Player Scoreboard'!C10:N19,4,FALSE),"")</f>
        <v>0</v>
      </c>
      <c r="G14" s="22">
        <f ca="1">IFERROR(VLOOKUP(C14,'Player Scoreboard'!C$10:N$19,6,FALSE),"")</f>
        <v>0</v>
      </c>
      <c r="H14" s="23">
        <f ca="1">IFERROR(VLOOKUP(C14,'Player Scoreboard'!C$10:N$19,7,FALSE),"")</f>
        <v>0</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Player</v>
      </c>
      <c r="D15" s="23">
        <f ca="1">IFERROR(VLOOKUP(C15,'Player Scoreboard'!C10:N19,2,FALSE),"")</f>
        <v>0</v>
      </c>
      <c r="E15" s="23">
        <f ca="1">IFERROR(VLOOKUP(C15,'Player Scoreboard'!C10:N19,3,FALSE),"")</f>
        <v>0</v>
      </c>
      <c r="F15" s="23">
        <f ca="1">IFERROR(VLOOKUP(C15,'Player Scoreboard'!C10:N19,4,FALSE),"")</f>
        <v>0</v>
      </c>
      <c r="G15" s="23">
        <f ca="1">IFERROR(VLOOKUP(C15,'Player Scoreboard'!C$10:N$19,6,FALSE),"")</f>
        <v>0</v>
      </c>
      <c r="H15" s="23">
        <f ca="1">IFERROR(VLOOKUP(C15,'Player Scoreboard'!C$10:N$19,7,FALSE),"")</f>
        <v>0</v>
      </c>
      <c r="I15" s="23">
        <f ca="1">IFERROR(VLOOKUP(C15,'Player Scoreboard'!C$10:N$19,8,FALSE),"")</f>
        <v>0</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Player</v>
      </c>
      <c r="D16" s="23">
        <f ca="1">IFERROR(VLOOKUP(C16,'Player Scoreboard'!C10:N19,2,FALSE),"")</f>
        <v>0</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Player</v>
      </c>
      <c r="D17" s="23">
        <f ca="1">IFERROR(VLOOKUP(C17,'Player Scoreboard'!C10:N19,2,FALSE),"")</f>
        <v>0</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Player</v>
      </c>
      <c r="D18" s="23">
        <f ca="1">IFERROR(VLOOKUP(C18,'Player Scoreboard'!C10:N19,2,FALSE),"")</f>
        <v>0</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88671875"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170</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399" t="s">
        <v>155</v>
      </c>
      <c r="H5" s="399"/>
      <c r="I5" s="399"/>
      <c r="J5" s="399"/>
      <c r="K5" s="399"/>
      <c r="L5" s="399"/>
      <c r="M5" s="399"/>
      <c r="N5" s="399"/>
      <c r="O5" s="399"/>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3" t="s">
        <v>156</v>
      </c>
      <c r="AR5" s="393"/>
      <c r="AS5" s="393"/>
      <c r="AT5" s="393"/>
      <c r="AU5" s="393"/>
      <c r="AV5" s="393"/>
      <c r="AW5" s="393"/>
      <c r="AX5" s="393"/>
      <c r="AY5" s="393" t="s">
        <v>157</v>
      </c>
      <c r="AZ5" s="393"/>
      <c r="BA5" s="393"/>
      <c r="BB5" s="393"/>
      <c r="BC5" s="393" t="s">
        <v>158</v>
      </c>
      <c r="BD5" s="393"/>
      <c r="BE5" s="120" t="s">
        <v>24</v>
      </c>
    </row>
    <row r="6" spans="1:57" s="7" customFormat="1" ht="15" customHeight="1" x14ac:dyDescent="0.3">
      <c r="A6" s="133"/>
      <c r="B6" s="395" t="s">
        <v>67</v>
      </c>
      <c r="C6" s="396" t="s">
        <v>68</v>
      </c>
      <c r="D6" s="395" t="s">
        <v>171</v>
      </c>
      <c r="E6" s="395"/>
      <c r="F6" s="395"/>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395"/>
      <c r="C7" s="396"/>
      <c r="D7" s="394" t="s">
        <v>172</v>
      </c>
      <c r="E7" s="394" t="s">
        <v>173</v>
      </c>
      <c r="F7" s="394" t="s">
        <v>174</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395"/>
      <c r="C8" s="396"/>
      <c r="D8" s="394"/>
      <c r="E8" s="394"/>
      <c r="F8" s="394"/>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395"/>
      <c r="C9" s="397"/>
      <c r="D9" s="394"/>
      <c r="E9" s="394"/>
      <c r="F9" s="394"/>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Ena</v>
      </c>
      <c r="D10" s="24">
        <f ca="1">SUM(E10:F10)</f>
        <v>2</v>
      </c>
      <c r="E10" s="22">
        <f ca="1">IF(C10&lt;&gt;"",OFFSET('Player Game Board'!N9,G6-1,A10),0)</f>
        <v>2</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0 - 2</v>
      </c>
      <c r="I10" s="24" t="str">
        <f ca="1">IF(C10&lt;&gt;"",OFFSET('Player Game Board'!P10,I6-1,A10)&amp;" - "&amp;OFFSET('Player Game Board'!Q10,I6-1,A10),"")</f>
        <v>1 - 2</v>
      </c>
      <c r="J10" s="24" t="str">
        <f ca="1">IF(C10&lt;&gt;"",OFFSET('Player Game Board'!P10,J6-1,A10)&amp;" - "&amp;OFFSET('Player Game Board'!Q10,J6-1,A10),"")</f>
        <v>1 - 0</v>
      </c>
      <c r="K10" s="24" t="str">
        <f ca="1">IF(C10&lt;&gt;"",OFFSET('Player Game Board'!P10,K6-1,A10)&amp;" - "&amp;OFFSET('Player Game Board'!Q10,K6-1,A10),"")</f>
        <v>0 - 1</v>
      </c>
      <c r="L10" s="24" t="str">
        <f ca="1">IF(C10&lt;&gt;"",OFFSET('Player Game Board'!P10,L6-1,A10)&amp;" - "&amp;OFFSET('Player Game Board'!Q10,L6-1,A10),"")</f>
        <v>0 - 1</v>
      </c>
      <c r="M10" s="24" t="str">
        <f ca="1">IF(C10&lt;&gt;"",OFFSET('Player Game Board'!P10,M6-1,A10)&amp;" - "&amp;OFFSET('Player Game Board'!Q10,M6-1,A10),"")</f>
        <v>1 - 1</v>
      </c>
      <c r="N10" s="24" t="str">
        <f ca="1">IF(C10&lt;&gt;"",OFFSET('Player Game Board'!P10,N6-1,A10)&amp;" - "&amp;OFFSET('Player Game Board'!Q10,N6-1,A10),"")</f>
        <v>0 - 2</v>
      </c>
      <c r="O10" s="24" t="str">
        <f ca="1">IF(C10&lt;&gt;"",OFFSET('Player Game Board'!P10,O6-1,A10)&amp;" - "&amp;OFFSET('Player Game Board'!Q10,O6-1,A10),"")</f>
        <v>1 - 0</v>
      </c>
      <c r="P10" s="24" t="str">
        <f ca="1">IF(C10&lt;&gt;"",OFFSET('Player Game Board'!P10,P6-1,A10)&amp;" - "&amp;OFFSET('Player Game Board'!Q10,P6-1,A10),"")</f>
        <v>0 - 0</v>
      </c>
      <c r="Q10" s="24" t="str">
        <f ca="1">IF(C10&lt;&gt;"",OFFSET('Player Game Board'!P10,Q6-1,A10)&amp;" - "&amp;OFFSET('Player Game Board'!Q10,Q6-1,A10),"")</f>
        <v>1 - 0</v>
      </c>
      <c r="R10" s="24" t="str">
        <f ca="1">IF(C10&lt;&gt;"",OFFSET('Player Game Board'!P10,R6-1,A10)&amp;" - "&amp;OFFSET('Player Game Board'!Q10,R6-1,A10),"")</f>
        <v>3 - 0</v>
      </c>
      <c r="S10" s="24" t="str">
        <f ca="1">IF(C10&lt;&gt;"",OFFSET('Player Game Board'!P10,S6-1,A10)&amp;" - "&amp;OFFSET('Player Game Board'!Q10,S6-1,A10),"")</f>
        <v>2 - 1</v>
      </c>
      <c r="T10" s="24" t="str">
        <f ca="1">IF(C10&lt;&gt;"",OFFSET('Player Game Board'!P10,T6-1,A10)&amp;" - "&amp;OFFSET('Player Game Board'!Q10,T6-1,A10),"")</f>
        <v>2 - 0</v>
      </c>
      <c r="U10" s="24" t="str">
        <f ca="1">IF(C10&lt;&gt;"",OFFSET('Player Game Board'!P10,U6-1,A10)&amp;" - "&amp;OFFSET('Player Game Board'!Q10,U6-1,A10),"")</f>
        <v>3 - 0</v>
      </c>
      <c r="V10" s="24" t="str">
        <f ca="1">IF(C10&lt;&gt;"",OFFSET('Player Game Board'!P10,V6-1,A10)&amp;" - "&amp;OFFSET('Player Game Board'!Q10,V6-1,A10),"")</f>
        <v>2 - 2</v>
      </c>
      <c r="W10" s="24" t="str">
        <f ca="1">IF(C10&lt;&gt;"",OFFSET('Player Game Board'!P10,W6-1,A10)&amp;" - "&amp;OFFSET('Player Game Board'!Q10,W6-1,A10),"")</f>
        <v>1 - 2</v>
      </c>
      <c r="X10" s="24" t="str">
        <f ca="1">IF(C10&lt;&gt;"",OFFSET('Player Game Board'!P10,X6-1,A10)&amp;" - "&amp;OFFSET('Player Game Board'!Q10,X6-1,A10),"")</f>
        <v>1 - 4</v>
      </c>
      <c r="Y10" s="24" t="str">
        <f ca="1">IF(C10&lt;&gt;"",OFFSET('Player Game Board'!P10,Y6-1,A10)&amp;" - "&amp;OFFSET('Player Game Board'!Q10,Y6-1,A10),"")</f>
        <v>1 - 1</v>
      </c>
      <c r="Z10" s="24" t="str">
        <f ca="1">IF(C10&lt;&gt;"",OFFSET('Player Game Board'!P10,Z6-1,A10)&amp;" - "&amp;OFFSET('Player Game Board'!Q10,Z6-1,A10),"")</f>
        <v>1 - 1</v>
      </c>
      <c r="AA10" s="24" t="str">
        <f ca="1">IF(C10&lt;&gt;"",OFFSET('Player Game Board'!P10,AA6-1,A10)&amp;" - "&amp;OFFSET('Player Game Board'!Q10,AA6-1,A10),"")</f>
        <v>0 - 1</v>
      </c>
      <c r="AB10" s="24" t="str">
        <f ca="1">IF(C10&lt;&gt;"",OFFSET('Player Game Board'!P10,AB6-1,A10)&amp;" - "&amp;OFFSET('Player Game Board'!Q10,AB6-1,A10),"")</f>
        <v>1 - 0</v>
      </c>
      <c r="AC10" s="24" t="str">
        <f ca="1">IF(C10&lt;&gt;"",OFFSET('Player Game Board'!P10,AC6-1,A10)&amp;" - "&amp;OFFSET('Player Game Board'!Q10,AC6-1,A10),"")</f>
        <v>0 - 2</v>
      </c>
      <c r="AD10" s="24" t="str">
        <f ca="1">IF(C10&lt;&gt;"",OFFSET('Player Game Board'!P10,AD6-1,A10)&amp;" - "&amp;OFFSET('Player Game Board'!Q10,AD6-1,A10),"")</f>
        <v>0 - 0</v>
      </c>
      <c r="AE10" s="24" t="str">
        <f ca="1">IF(C10&lt;&gt;"",OFFSET('Player Game Board'!P10,AE6-1,A10)&amp;" - "&amp;OFFSET('Player Game Board'!Q10,AE6-1,A10),"")</f>
        <v>1 - 2</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3 - 2</v>
      </c>
      <c r="AI10" s="24" t="str">
        <f ca="1">IF(C10&lt;&gt;"",OFFSET('Player Game Board'!P10,AI6-1,A10)&amp;" - "&amp;OFFSET('Player Game Board'!Q10,AI6-1,A10),"")</f>
        <v>2 - 1</v>
      </c>
      <c r="AJ10" s="24" t="str">
        <f ca="1">IF(C10&lt;&gt;"",OFFSET('Player Game Board'!P10,AJ6-1,A10)&amp;" - "&amp;OFFSET('Player Game Board'!Q10,AJ6-1,A10),"")</f>
        <v>1 - 0</v>
      </c>
      <c r="AK10" s="24" t="str">
        <f ca="1">IF(C10&lt;&gt;"",OFFSET('Player Game Board'!P10,AK6-1,A10)&amp;" - "&amp;OFFSET('Player Game Board'!Q10,AK6-1,A10),"")</f>
        <v>1 - 0</v>
      </c>
      <c r="AL10" s="24" t="str">
        <f ca="1">IF(C10&lt;&gt;"",OFFSET('Player Game Board'!P10,AL6-1,A10)&amp;" - "&amp;OFFSET('Player Game Board'!Q10,AL6-1,A10),"")</f>
        <v>2 - 0</v>
      </c>
      <c r="AM10" s="24" t="str">
        <f ca="1">IF(C10&lt;&gt;"",OFFSET('Player Game Board'!P10,AM6-1,A10)&amp;" - "&amp;OFFSET('Player Game Board'!Q10,AM6-1,A10),"")</f>
        <v>1 - 1</v>
      </c>
      <c r="AN10" s="24" t="str">
        <f ca="1">IF(C10&lt;&gt;"",OFFSET('Player Game Board'!P10,AN6-1,A10)&amp;" - "&amp;OFFSET('Player Game Board'!Q10,AN6-1,A10),"")</f>
        <v>1 - 2</v>
      </c>
      <c r="AO10" s="24" t="str">
        <f ca="1">IF(C10&lt;&gt;"",OFFSET('Player Game Board'!P10,AO6-1,A10)&amp;" - "&amp;OFFSET('Player Game Board'!Q10,AO6-1,A10),"")</f>
        <v>0 - 2</v>
      </c>
      <c r="AP10" s="24" t="str">
        <f ca="1">IF(C10&lt;&gt;"",OFFSET('Player Game Board'!P10,AP6-1,A10)&amp;" - "&amp;OFFSET('Player Game Board'!Q10,AP6-1,A10),"")</f>
        <v>3 - 3</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4.4" x14ac:dyDescent="0.3">
      <c r="A11" s="133">
        <f>A10+10</f>
        <v>10</v>
      </c>
      <c r="B11" s="29">
        <v>2</v>
      </c>
      <c r="C11" s="272" t="str">
        <f>IF('Player Setup'!C7&lt;&gt;"",'Player Setup'!C7,"")</f>
        <v>Pavlo</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1 - 1</v>
      </c>
      <c r="I11" s="22" t="str">
        <f ca="1">IF(C11&lt;&gt;"",OFFSET('Player Game Board'!P10,I6-1,A11)&amp;" - "&amp;OFFSET('Player Game Board'!Q10,I6-1,A11),"")</f>
        <v>2 - 2</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1 - 3</v>
      </c>
      <c r="M11" s="22" t="str">
        <f ca="1">IF(C11&lt;&gt;"",OFFSET('Player Game Board'!P10,M6-1,A11)&amp;" - "&amp;OFFSET('Player Game Board'!Q10,M6-1,A11),"")</f>
        <v>1 - 2</v>
      </c>
      <c r="N11" s="22" t="str">
        <f ca="1">IF(C11&lt;&gt;"",OFFSET('Player Game Board'!P10,N6-1,A11)&amp;" - "&amp;OFFSET('Player Game Board'!Q10,N6-1,A11),"")</f>
        <v>2 - 3</v>
      </c>
      <c r="O11" s="22" t="str">
        <f ca="1">IF(C11&lt;&gt;"",OFFSET('Player Game Board'!P10,O6-1,A11)&amp;" - "&amp;OFFSET('Player Game Board'!Q10,O6-1,A11),"")</f>
        <v>1 - 0</v>
      </c>
      <c r="P11" s="22" t="str">
        <f ca="1">IF(C11&lt;&gt;"",OFFSET('Player Game Board'!P10,P6-1,A11)&amp;" - "&amp;OFFSET('Player Game Board'!Q10,P6-1,A11),"")</f>
        <v>0 - 1</v>
      </c>
      <c r="Q11" s="22" t="str">
        <f ca="1">IF(C11&lt;&gt;"",OFFSET('Player Game Board'!P10,Q6-1,A11)&amp;" - "&amp;OFFSET('Player Game Board'!Q10,Q6-1,A11),"")</f>
        <v>2 - 1</v>
      </c>
      <c r="R11" s="22" t="str">
        <f ca="1">IF(C11&lt;&gt;"",OFFSET('Player Game Board'!P10,R6-1,A11)&amp;" - "&amp;OFFSET('Player Game Board'!Q10,R6-1,A11),"")</f>
        <v>2 - 2</v>
      </c>
      <c r="S11" s="22" t="str">
        <f ca="1">IF(C11&lt;&gt;"",OFFSET('Player Game Board'!P10,S6-1,A11)&amp;" - "&amp;OFFSET('Player Game Board'!Q10,S6-1,A11),"")</f>
        <v>0 - 1</v>
      </c>
      <c r="T11" s="22" t="str">
        <f ca="1">IF(C11&lt;&gt;"",OFFSET('Player Game Board'!P10,T6-1,A11)&amp;" - "&amp;OFFSET('Player Game Board'!Q10,T6-1,A11),"")</f>
        <v>0 - 1</v>
      </c>
      <c r="U11" s="22" t="str">
        <f ca="1">IF(C11&lt;&gt;"",OFFSET('Player Game Board'!P10,U6-1,A11)&amp;" - "&amp;OFFSET('Player Game Board'!Q10,U6-1,A11),"")</f>
        <v>3 - 1</v>
      </c>
      <c r="V11" s="22" t="str">
        <f ca="1">IF(C11&lt;&gt;"",OFFSET('Player Game Board'!P10,V6-1,A11)&amp;" - "&amp;OFFSET('Player Game Board'!Q10,V6-1,A11),"")</f>
        <v>1 - 1</v>
      </c>
      <c r="W11" s="22" t="str">
        <f ca="1">IF(C11&lt;&gt;"",OFFSET('Player Game Board'!P10,W6-1,A11)&amp;" - "&amp;OFFSET('Player Game Board'!Q10,W6-1,A11),"")</f>
        <v>1 - 2</v>
      </c>
      <c r="X11" s="22" t="str">
        <f ca="1">IF(C11&lt;&gt;"",OFFSET('Player Game Board'!P10,X6-1,A11)&amp;" - "&amp;OFFSET('Player Game Board'!Q10,X6-1,A11),"")</f>
        <v>0 - 0</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1 - 2</v>
      </c>
      <c r="AB11" s="22" t="str">
        <f ca="1">IF(C11&lt;&gt;"",OFFSET('Player Game Board'!P10,AB6-1,A11)&amp;" - "&amp;OFFSET('Player Game Board'!Q10,AB6-1,A11),"")</f>
        <v>3 - 1</v>
      </c>
      <c r="AC11" s="22" t="str">
        <f ca="1">IF(C11&lt;&gt;"",OFFSET('Player Game Board'!P10,AC6-1,A11)&amp;" - "&amp;OFFSET('Player Game Board'!Q10,AC6-1,A11),"")</f>
        <v>2 - 3</v>
      </c>
      <c r="AD11" s="22" t="str">
        <f ca="1">IF(C11&lt;&gt;"",OFFSET('Player Game Board'!P10,AD6-1,A11)&amp;" - "&amp;OFFSET('Player Game Board'!Q10,AD6-1,A11),"")</f>
        <v>0 - 1</v>
      </c>
      <c r="AE11" s="22" t="str">
        <f ca="1">IF(C11&lt;&gt;"",OFFSET('Player Game Board'!P10,AE6-1,A11)&amp;" - "&amp;OFFSET('Player Game Board'!Q10,AE6-1,A11),"")</f>
        <v>2 - 3</v>
      </c>
      <c r="AF11" s="22" t="str">
        <f ca="1">IF(C11&lt;&gt;"",OFFSET('Player Game Board'!P10,AF6-1,A11)&amp;" - "&amp;OFFSET('Player Game Board'!Q10,AF6-1,A11),"")</f>
        <v>1 - 0</v>
      </c>
      <c r="AG11" s="22" t="str">
        <f ca="1">IF(C11&lt;&gt;"",OFFSET('Player Game Board'!P10,AG6-1,A11)&amp;" - "&amp;OFFSET('Player Game Board'!Q10,AG6-1,A11),"")</f>
        <v>0 - 4</v>
      </c>
      <c r="AH11" s="22" t="str">
        <f ca="1">IF(C11&lt;&gt;"",OFFSET('Player Game Board'!P10,AH6-1,A11)&amp;" - "&amp;OFFSET('Player Game Board'!Q10,AH6-1,A11),"")</f>
        <v>1 - 0</v>
      </c>
      <c r="AI11" s="22" t="str">
        <f ca="1">IF(C11&lt;&gt;"",OFFSET('Player Game Board'!P10,AI6-1,A11)&amp;" - "&amp;OFFSET('Player Game Board'!Q10,AI6-1,A11),"")</f>
        <v>2 - 1</v>
      </c>
      <c r="AJ11" s="22" t="str">
        <f ca="1">IF(C11&lt;&gt;"",OFFSET('Player Game Board'!P10,AJ6-1,A11)&amp;" - "&amp;OFFSET('Player Game Board'!Q10,AJ6-1,A11),"")</f>
        <v>2 - 0</v>
      </c>
      <c r="AK11" s="22" t="str">
        <f ca="1">IF(C11&lt;&gt;"",OFFSET('Player Game Board'!P10,AK6-1,A11)&amp;" - "&amp;OFFSET('Player Game Board'!Q10,AK6-1,A11),"")</f>
        <v>2 - 1</v>
      </c>
      <c r="AL11" s="22" t="str">
        <f ca="1">IF(C11&lt;&gt;"",OFFSET('Player Game Board'!P10,AL6-1,A11)&amp;" - "&amp;OFFSET('Player Game Board'!Q10,AL6-1,A11),"")</f>
        <v>3 - 1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0 - 3</v>
      </c>
      <c r="AP11" s="22" t="str">
        <f ca="1">IF(C11&lt;&gt;"",OFFSET('Player Game Board'!P10,AP6-1,A11)&amp;" - "&amp;OFFSET('Player Game Board'!Q10,AP6-1,A11),"")</f>
        <v>1 - 2</v>
      </c>
      <c r="AQ11" s="22" t="str">
        <f ca="1">IF(C11&lt;&gt;"",OFFSET('Player Game Board'!P10,AQ6+14,A11)&amp;" - "&amp;OFFSET('Player Game Board'!Q10,AQ6+14,A11),"")</f>
        <v xml:space="preserve"> - </v>
      </c>
      <c r="AR11" s="22" t="str">
        <f ca="1">IF(C11&lt;&gt;"",OFFSET('Player Game Board'!P10,AR6+14,A11)&amp;" - "&amp;OFFSET('Player Game Board'!Q10,AR6+14,A11),"")</f>
        <v xml:space="preserve"> - </v>
      </c>
      <c r="AS11" s="22" t="str">
        <f ca="1">IF(C11&lt;&gt;"",OFFSET('Player Game Board'!P10,AS6+14,A11)&amp;" - "&amp;OFFSET('Player Game Board'!Q10,AS6+14,A11),"")</f>
        <v xml:space="preserve"> - </v>
      </c>
      <c r="AT11" s="22" t="str">
        <f ca="1">IF(C11&lt;&gt;"",OFFSET('Player Game Board'!P10,AT6+14,A11)&amp;" - "&amp;OFFSET('Player Game Board'!Q10,AT6+14,A11),"")</f>
        <v xml:space="preserve"> - </v>
      </c>
      <c r="AU11" s="22" t="str">
        <f ca="1">IF(C11&lt;&gt;"",OFFSET('Player Game Board'!P10,AU6+14,A11)&amp;" - "&amp;OFFSET('Player Game Board'!Q10,AU6+14,A11),"")</f>
        <v xml:space="preserve"> - </v>
      </c>
      <c r="AV11" s="22" t="str">
        <f ca="1">IF(C11&lt;&gt;"",OFFSET('Player Game Board'!P10,AV6+14,A11)&amp;" - "&amp;OFFSET('Player Game Board'!Q10,AV6+14,A11),"")</f>
        <v xml:space="preserve"> - </v>
      </c>
      <c r="AW11" s="22" t="str">
        <f ca="1">IF(C11&lt;&gt;"",OFFSET('Player Game Board'!P10,AW6+14,A11)&amp;" - "&amp;OFFSET('Player Game Board'!Q10,AW6+14,A11),"")</f>
        <v xml:space="preserve"> - </v>
      </c>
      <c r="AX11" s="22" t="str">
        <f ca="1">IF(C11&lt;&gt;"",OFFSET('Player Game Board'!P10,AX6+14,A11)&amp;" - "&amp;OFFSET('Player Game Board'!Q10,AX6+14,A11),"")</f>
        <v xml:space="preserve"> - </v>
      </c>
      <c r="AY11" s="22" t="str">
        <f ca="1">IF(C11&lt;&gt;"",OFFSET('Player Game Board'!P10,AY6+14,A11)&amp;" - "&amp;OFFSET('Player Game Board'!Q10,AY6+14,A11),"")</f>
        <v xml:space="preserve"> - </v>
      </c>
      <c r="AZ11" s="22" t="str">
        <f ca="1">IF(C11&lt;&gt;"",OFFSET('Player Game Board'!P10,AZ6+14,A11)&amp;" - "&amp;OFFSET('Player Game Board'!Q10,AZ6+14,A11),"")</f>
        <v xml:space="preserve"> - </v>
      </c>
      <c r="BA11" s="22" t="str">
        <f ca="1">IF(C11&lt;&gt;"",OFFSET('Player Game Board'!P10,BA6+14,A11)&amp;" - "&amp;OFFSET('Player Game Board'!Q10,BA6+14,A11),"")</f>
        <v xml:space="preserve"> - </v>
      </c>
      <c r="BB11" s="22" t="str">
        <f ca="1">IF(C11&lt;&gt;"",OFFSET('Player Game Board'!P10,BB6+14,A11)&amp;" - "&amp;OFFSET('Player Game Board'!Q10,BB6+14,A11),"")</f>
        <v xml:space="preserve"> - </v>
      </c>
      <c r="BC11" s="22" t="str">
        <f ca="1">IF(C11&lt;&gt;"",OFFSET('Player Game Board'!P10,BC6+14,A11)&amp;" - "&amp;OFFSET('Player Game Board'!Q10,BC6+14,A11),"")</f>
        <v xml:space="preserve"> - </v>
      </c>
      <c r="BD11" s="22" t="str">
        <f ca="1">IF(C11&lt;&gt;"",OFFSET('Player Game Board'!P10,BD6+14,A11)&amp;" - "&amp;OFFSET('Player Game Board'!Q10,BD6+14,A11),"")</f>
        <v xml:space="preserve"> - </v>
      </c>
      <c r="BE11" s="22" t="str">
        <f ca="1">IF(C11&lt;&gt;"",OFFSET('Player Game Board'!P10,BE6+14,A11)&amp;" - "&amp;OFFSET('Player Game Board'!Q10,BE6+14,A11),"")</f>
        <v xml:space="preserve"> - </v>
      </c>
    </row>
    <row r="12" spans="1:57" ht="14.4" x14ac:dyDescent="0.3">
      <c r="A12" s="133">
        <f t="shared" ref="A12:A19" si="4">A11+10</f>
        <v>20</v>
      </c>
      <c r="B12" s="29">
        <v>3</v>
      </c>
      <c r="C12" s="272" t="str">
        <f>IF('Player Setup'!C8&lt;&gt;"",'Player Setup'!C8,"")</f>
        <v>Player</v>
      </c>
      <c r="D12" s="22">
        <f t="shared" ca="1" si="3"/>
        <v>0</v>
      </c>
      <c r="E12" s="23">
        <f ca="1">IF(C12&lt;&gt;"",OFFSET('Player Game Board'!N9,G6-1,A12),0)</f>
        <v>0</v>
      </c>
      <c r="F12" s="22">
        <f ca="1">IF(C12&lt;&gt;"",OFFSET('Player Game Board'!N52,G6-1,A12),0)</f>
        <v>0</v>
      </c>
      <c r="G12" s="22" t="str">
        <f ca="1">IF(C12&lt;&gt;"",OFFSET('Player Game Board'!P10,G6-1,A12)&amp;" - "&amp;OFFSET('Player Game Board'!Q10,G6-1,A12),"")</f>
        <v xml:space="preserve"> - </v>
      </c>
      <c r="H12" s="22" t="str">
        <f ca="1">IF(C12&lt;&gt;"",OFFSET('Player Game Board'!P10,H6-1,A12)&amp;" - "&amp;OFFSET('Player Game Board'!Q10,H6-1,A12),"")</f>
        <v xml:space="preserve"> - </v>
      </c>
      <c r="I12" s="22" t="str">
        <f ca="1">IF(C12&lt;&gt;"",OFFSET('Player Game Board'!P10,I6-1,A12)&amp;" - "&amp;OFFSET('Player Game Board'!Q10,I6-1,A12),"")</f>
        <v xml:space="preserve"> - </v>
      </c>
      <c r="J12" s="22" t="str">
        <f ca="1">IF(C12&lt;&gt;"",OFFSET('Player Game Board'!P10,J6-1,A12)&amp;" - "&amp;OFFSET('Player Game Board'!Q10,J6-1,A12),"")</f>
        <v xml:space="preserve"> - </v>
      </c>
      <c r="K12" s="22" t="str">
        <f ca="1">IF(C12&lt;&gt;"",OFFSET('Player Game Board'!P10,K6-1,A12)&amp;" - "&amp;OFFSET('Player Game Board'!Q10,K6-1,A12),"")</f>
        <v xml:space="preserve"> - </v>
      </c>
      <c r="L12" s="22" t="str">
        <f ca="1">IF(C12&lt;&gt;"",OFFSET('Player Game Board'!P10,L6-1,A12)&amp;" - "&amp;OFFSET('Player Game Board'!Q10,L6-1,A12),"")</f>
        <v xml:space="preserve"> - </v>
      </c>
      <c r="M12" s="22" t="str">
        <f ca="1">IF(C12&lt;&gt;"",OFFSET('Player Game Board'!P10,M6-1,A12)&amp;" - "&amp;OFFSET('Player Game Board'!Q10,M6-1,A12),"")</f>
        <v xml:space="preserve"> - </v>
      </c>
      <c r="N12" s="22" t="str">
        <f ca="1">IF(C12&lt;&gt;"",OFFSET('Player Game Board'!P10,N6-1,A12)&amp;" - "&amp;OFFSET('Player Game Board'!Q10,N6-1,A12),"")</f>
        <v xml:space="preserve"> - </v>
      </c>
      <c r="O12" s="22" t="str">
        <f ca="1">IF(C12&lt;&gt;"",OFFSET('Player Game Board'!P10,O6-1,A12)&amp;" - "&amp;OFFSET('Player Game Board'!Q10,O6-1,A12),"")</f>
        <v xml:space="preserve"> - </v>
      </c>
      <c r="P12" s="22" t="str">
        <f ca="1">IF(C12&lt;&gt;"",OFFSET('Player Game Board'!P10,P6-1,A12)&amp;" - "&amp;OFFSET('Player Game Board'!Q10,P6-1,A12),"")</f>
        <v xml:space="preserve"> - </v>
      </c>
      <c r="Q12" s="22" t="str">
        <f ca="1">IF(C12&lt;&gt;"",OFFSET('Player Game Board'!P10,Q6-1,A12)&amp;" - "&amp;OFFSET('Player Game Board'!Q10,Q6-1,A12),"")</f>
        <v xml:space="preserve"> - </v>
      </c>
      <c r="R12" s="22" t="str">
        <f ca="1">IF(C12&lt;&gt;"",OFFSET('Player Game Board'!P10,R6-1,A12)&amp;" - "&amp;OFFSET('Player Game Board'!Q10,R6-1,A12),"")</f>
        <v xml:space="preserve"> - </v>
      </c>
      <c r="S12" s="22" t="str">
        <f ca="1">IF(C12&lt;&gt;"",OFFSET('Player Game Board'!P10,S6-1,A12)&amp;" - "&amp;OFFSET('Player Game Board'!Q10,S6-1,A12),"")</f>
        <v xml:space="preserve"> - </v>
      </c>
      <c r="T12" s="22" t="str">
        <f ca="1">IF(C12&lt;&gt;"",OFFSET('Player Game Board'!P10,T6-1,A12)&amp;" - "&amp;OFFSET('Player Game Board'!Q10,T6-1,A12),"")</f>
        <v xml:space="preserve"> - </v>
      </c>
      <c r="U12" s="22" t="str">
        <f ca="1">IF(C12&lt;&gt;"",OFFSET('Player Game Board'!P10,U6-1,A12)&amp;" - "&amp;OFFSET('Player Game Board'!Q10,U6-1,A12),"")</f>
        <v xml:space="preserve"> - </v>
      </c>
      <c r="V12" s="22" t="str">
        <f ca="1">IF(C12&lt;&gt;"",OFFSET('Player Game Board'!P10,V6-1,A12)&amp;" - "&amp;OFFSET('Player Game Board'!Q10,V6-1,A12),"")</f>
        <v xml:space="preserve"> - </v>
      </c>
      <c r="W12" s="22" t="str">
        <f ca="1">IF(C12&lt;&gt;"",OFFSET('Player Game Board'!P10,W6-1,A12)&amp;" - "&amp;OFFSET('Player Game Board'!Q10,W6-1,A12),"")</f>
        <v xml:space="preserve"> - </v>
      </c>
      <c r="X12" s="22" t="str">
        <f ca="1">IF(C12&lt;&gt;"",OFFSET('Player Game Board'!P10,X6-1,A12)&amp;" - "&amp;OFFSET('Player Game Board'!Q10,X6-1,A12),"")</f>
        <v xml:space="preserve"> - </v>
      </c>
      <c r="Y12" s="22" t="str">
        <f ca="1">IF(C12&lt;&gt;"",OFFSET('Player Game Board'!P10,Y6-1,A12)&amp;" - "&amp;OFFSET('Player Game Board'!Q10,Y6-1,A12),"")</f>
        <v xml:space="preserve"> - </v>
      </c>
      <c r="Z12" s="22" t="str">
        <f ca="1">IF(C12&lt;&gt;"",OFFSET('Player Game Board'!P10,Z6-1,A12)&amp;" - "&amp;OFFSET('Player Game Board'!Q10,Z6-1,A12),"")</f>
        <v xml:space="preserve"> - </v>
      </c>
      <c r="AA12" s="22" t="str">
        <f ca="1">IF(C12&lt;&gt;"",OFFSET('Player Game Board'!P10,AA6-1,A12)&amp;" - "&amp;OFFSET('Player Game Board'!Q10,AA6-1,A12),"")</f>
        <v xml:space="preserve"> - </v>
      </c>
      <c r="AB12" s="22" t="str">
        <f ca="1">IF(C12&lt;&gt;"",OFFSET('Player Game Board'!P10,AB6-1,A12)&amp;" - "&amp;OFFSET('Player Game Board'!Q10,AB6-1,A12),"")</f>
        <v xml:space="preserve"> - </v>
      </c>
      <c r="AC12" s="22" t="str">
        <f ca="1">IF(C12&lt;&gt;"",OFFSET('Player Game Board'!P10,AC6-1,A12)&amp;" - "&amp;OFFSET('Player Game Board'!Q10,AC6-1,A12),"")</f>
        <v xml:space="preserve"> - </v>
      </c>
      <c r="AD12" s="22" t="str">
        <f ca="1">IF(C12&lt;&gt;"",OFFSET('Player Game Board'!P10,AD6-1,A12)&amp;" - "&amp;OFFSET('Player Game Board'!Q10,AD6-1,A12),"")</f>
        <v xml:space="preserve"> - </v>
      </c>
      <c r="AE12" s="22" t="str">
        <f ca="1">IF(C12&lt;&gt;"",OFFSET('Player Game Board'!P10,AE6-1,A12)&amp;" - "&amp;OFFSET('Player Game Board'!Q10,AE6-1,A12),"")</f>
        <v xml:space="preserve"> - </v>
      </c>
      <c r="AF12" s="22" t="str">
        <f ca="1">IF(C12&lt;&gt;"",OFFSET('Player Game Board'!P10,AF6-1,A12)&amp;" - "&amp;OFFSET('Player Game Board'!Q10,AF6-1,A12),"")</f>
        <v xml:space="preserve"> - </v>
      </c>
      <c r="AG12" s="22" t="str">
        <f ca="1">IF(C12&lt;&gt;"",OFFSET('Player Game Board'!P10,AG6-1,A12)&amp;" - "&amp;OFFSET('Player Game Board'!Q10,AG6-1,A12),"")</f>
        <v xml:space="preserve"> - </v>
      </c>
      <c r="AH12" s="22" t="str">
        <f ca="1">IF(C12&lt;&gt;"",OFFSET('Player Game Board'!P10,AH6-1,A12)&amp;" - "&amp;OFFSET('Player Game Board'!Q10,AH6-1,A12),"")</f>
        <v xml:space="preserve"> - </v>
      </c>
      <c r="AI12" s="22" t="str">
        <f ca="1">IF(C12&lt;&gt;"",OFFSET('Player Game Board'!P10,AI6-1,A12)&amp;" - "&amp;OFFSET('Player Game Board'!Q10,AI6-1,A12),"")</f>
        <v xml:space="preserve"> - </v>
      </c>
      <c r="AJ12" s="22" t="str">
        <f ca="1">IF(C12&lt;&gt;"",OFFSET('Player Game Board'!P10,AJ6-1,A12)&amp;" - "&amp;OFFSET('Player Game Board'!Q10,AJ6-1,A12),"")</f>
        <v xml:space="preserve"> - </v>
      </c>
      <c r="AK12" s="22" t="str">
        <f ca="1">IF(C12&lt;&gt;"",OFFSET('Player Game Board'!P10,AK6-1,A12)&amp;" - "&amp;OFFSET('Player Game Board'!Q10,AK6-1,A12),"")</f>
        <v xml:space="preserve"> - </v>
      </c>
      <c r="AL12" s="22" t="str">
        <f ca="1">IF(C12&lt;&gt;"",OFFSET('Player Game Board'!P10,AL6-1,A12)&amp;" - "&amp;OFFSET('Player Game Board'!Q10,AL6-1,A12),"")</f>
        <v xml:space="preserve"> - </v>
      </c>
      <c r="AM12" s="22" t="str">
        <f ca="1">IF(C12&lt;&gt;"",OFFSET('Player Game Board'!P10,AM6-1,A12)&amp;" - "&amp;OFFSET('Player Game Board'!Q10,AM6-1,A12),"")</f>
        <v xml:space="preserve"> - </v>
      </c>
      <c r="AN12" s="22" t="str">
        <f ca="1">IF(C12&lt;&gt;"",OFFSET('Player Game Board'!P10,AN6-1,A12)&amp;" - "&amp;OFFSET('Player Game Board'!Q10,AN6-1,A12),"")</f>
        <v xml:space="preserve"> - </v>
      </c>
      <c r="AO12" s="22" t="str">
        <f ca="1">IF(C12&lt;&gt;"",OFFSET('Player Game Board'!P10,AO6-1,A12)&amp;" - "&amp;OFFSET('Player Game Board'!Q10,AO6-1,A12),"")</f>
        <v xml:space="preserve"> - </v>
      </c>
      <c r="AP12" s="22" t="str">
        <f ca="1">IF(C12&lt;&gt;"",OFFSET('Player Game Board'!P10,AP6-1,A12)&amp;" - "&amp;OFFSET('Player Game Board'!Q10,AP6-1,A12),"")</f>
        <v xml:space="preserve"> - </v>
      </c>
      <c r="AQ12" s="22" t="str">
        <f ca="1">IF(C12&lt;&gt;"",OFFSET('Player Game Board'!P10,AQ6+14,A12)&amp;" - "&amp;OFFSET('Player Game Board'!Q10,AQ6+14,A12),"")</f>
        <v xml:space="preserve"> - </v>
      </c>
      <c r="AR12" s="22" t="str">
        <f ca="1">IF(C12&lt;&gt;"",OFFSET('Player Game Board'!P10,AR6+14,A12)&amp;" - "&amp;OFFSET('Player Game Board'!Q10,AR6+14,A12),"")</f>
        <v xml:space="preserve"> - </v>
      </c>
      <c r="AS12" s="22" t="str">
        <f ca="1">IF(C12&lt;&gt;"",OFFSET('Player Game Board'!P10,AS6+14,A12)&amp;" - "&amp;OFFSET('Player Game Board'!Q10,AS6+14,A12),"")</f>
        <v xml:space="preserve"> - </v>
      </c>
      <c r="AT12" s="22" t="str">
        <f ca="1">IF(C12&lt;&gt;"",OFFSET('Player Game Board'!P10,AT6+14,A12)&amp;" - "&amp;OFFSET('Player Game Board'!Q10,AT6+14,A12),"")</f>
        <v xml:space="preserve"> - </v>
      </c>
      <c r="AU12" s="22" t="str">
        <f ca="1">IF(C12&lt;&gt;"",OFFSET('Player Game Board'!P10,AU6+14,A12)&amp;" - "&amp;OFFSET('Player Game Board'!Q10,AU6+14,A12),"")</f>
        <v xml:space="preserve"> - </v>
      </c>
      <c r="AV12" s="22" t="str">
        <f ca="1">IF(C12&lt;&gt;"",OFFSET('Player Game Board'!P10,AV6+14,A12)&amp;" - "&amp;OFFSET('Player Game Board'!Q10,AV6+14,A12),"")</f>
        <v xml:space="preserve"> - </v>
      </c>
      <c r="AW12" s="22" t="str">
        <f ca="1">IF(C12&lt;&gt;"",OFFSET('Player Game Board'!P10,AW6+14,A12)&amp;" - "&amp;OFFSET('Player Game Board'!Q10,AW6+14,A12),"")</f>
        <v xml:space="preserve"> - </v>
      </c>
      <c r="AX12" s="22" t="str">
        <f ca="1">IF(C12&lt;&gt;"",OFFSET('Player Game Board'!P10,AX6+14,A12)&amp;" - "&amp;OFFSET('Player Game Board'!Q10,AX6+14,A12),"")</f>
        <v xml:space="preserve"> - </v>
      </c>
      <c r="AY12" s="22" t="str">
        <f ca="1">IF(C12&lt;&gt;"",OFFSET('Player Game Board'!P10,AY6+14,A12)&amp;" - "&amp;OFFSET('Player Game Board'!Q10,AY6+14,A12),"")</f>
        <v xml:space="preserve"> - </v>
      </c>
      <c r="AZ12" s="22" t="str">
        <f ca="1">IF(C12&lt;&gt;"",OFFSET('Player Game Board'!P10,AZ6+14,A12)&amp;" - "&amp;OFFSET('Player Game Board'!Q10,AZ6+14,A12),"")</f>
        <v xml:space="preserve"> - </v>
      </c>
      <c r="BA12" s="22" t="str">
        <f ca="1">IF(C12&lt;&gt;"",OFFSET('Player Game Board'!P10,BA6+14,A12)&amp;" - "&amp;OFFSET('Player Game Board'!Q10,BA6+14,A12),"")</f>
        <v xml:space="preserve"> - </v>
      </c>
      <c r="BB12" s="22" t="str">
        <f ca="1">IF(C12&lt;&gt;"",OFFSET('Player Game Board'!P10,BB6+14,A12)&amp;" - "&amp;OFFSET('Player Game Board'!Q10,BB6+14,A12),"")</f>
        <v xml:space="preserve"> - </v>
      </c>
      <c r="BC12" s="22" t="str">
        <f ca="1">IF(C12&lt;&gt;"",OFFSET('Player Game Board'!P10,BC6+14,A12)&amp;" - "&amp;OFFSET('Player Game Board'!Q10,BC6+14,A12),"")</f>
        <v xml:space="preserve"> - </v>
      </c>
      <c r="BD12" s="22" t="str">
        <f ca="1">IF(C12&lt;&gt;"",OFFSET('Player Game Board'!P10,BD6+14,A12)&amp;" - "&amp;OFFSET('Player Game Board'!Q10,BD6+14,A12),"")</f>
        <v xml:space="preserve"> - </v>
      </c>
      <c r="BE12" s="22" t="str">
        <f ca="1">IF(C12&lt;&gt;"",OFFSET('Player Game Board'!P10,BE6+14,A12)&amp;" - "&amp;OFFSET('Player Game Board'!Q10,BE6+14,A12),"")</f>
        <v xml:space="preserve"> - </v>
      </c>
    </row>
    <row r="13" spans="1:57" ht="14.4" x14ac:dyDescent="0.3">
      <c r="A13" s="133">
        <f t="shared" si="4"/>
        <v>30</v>
      </c>
      <c r="B13" s="29">
        <v>4</v>
      </c>
      <c r="C13" s="272" t="str">
        <f>IF('Player Setup'!C9&lt;&gt;"",'Player Setup'!C9,"")</f>
        <v>Player</v>
      </c>
      <c r="D13" s="22">
        <f t="shared" ca="1" si="3"/>
        <v>0</v>
      </c>
      <c r="E13" s="23">
        <f ca="1">IF(C13&lt;&gt;"",OFFSET('Player Game Board'!N9,G6-1,A13),0)</f>
        <v>0</v>
      </c>
      <c r="F13" s="22">
        <f ca="1">IF(C13&lt;&gt;"",OFFSET('Player Game Board'!N52,G6-1,A13),0)</f>
        <v>0</v>
      </c>
      <c r="G13" s="22" t="str">
        <f ca="1">IF(C13&lt;&gt;"",OFFSET('Player Game Board'!P10,G6-1,A13)&amp;" - "&amp;OFFSET('Player Game Board'!Q10,G6-1,A13),"")</f>
        <v xml:space="preserve"> - </v>
      </c>
      <c r="H13" s="22" t="str">
        <f ca="1">IF(C13&lt;&gt;"",OFFSET('Player Game Board'!P10,H6-1,A13)&amp;" - "&amp;OFFSET('Player Game Board'!Q10,H6-1,A13),"")</f>
        <v xml:space="preserve"> - </v>
      </c>
      <c r="I13" s="22" t="str">
        <f ca="1">IF(C13&lt;&gt;"",OFFSET('Player Game Board'!P10,I6-1,A13)&amp;" - "&amp;OFFSET('Player Game Board'!Q10,I6-1,A13),"")</f>
        <v xml:space="preserve"> - </v>
      </c>
      <c r="J13" s="22" t="str">
        <f ca="1">IF(C13&lt;&gt;"",OFFSET('Player Game Board'!P10,J6-1,A13)&amp;" - "&amp;OFFSET('Player Game Board'!Q10,J6-1,A13),"")</f>
        <v xml:space="preserve"> - </v>
      </c>
      <c r="K13" s="22" t="str">
        <f ca="1">IF(C13&lt;&gt;"",OFFSET('Player Game Board'!P10,K6-1,A13)&amp;" - "&amp;OFFSET('Player Game Board'!Q10,K6-1,A13),"")</f>
        <v xml:space="preserve"> - </v>
      </c>
      <c r="L13" s="22" t="str">
        <f ca="1">IF(C13&lt;&gt;"",OFFSET('Player Game Board'!P10,L6-1,A13)&amp;" - "&amp;OFFSET('Player Game Board'!Q10,L6-1,A13),"")</f>
        <v xml:space="preserve"> - </v>
      </c>
      <c r="M13" s="22" t="str">
        <f ca="1">IF(C13&lt;&gt;"",OFFSET('Player Game Board'!P10,M6-1,A13)&amp;" - "&amp;OFFSET('Player Game Board'!Q10,M6-1,A13),"")</f>
        <v xml:space="preserve"> - </v>
      </c>
      <c r="N13" s="22" t="str">
        <f ca="1">IF(C13&lt;&gt;"",OFFSET('Player Game Board'!P10,N6-1,A13)&amp;" - "&amp;OFFSET('Player Game Board'!Q10,N6-1,A13),"")</f>
        <v xml:space="preserve"> - </v>
      </c>
      <c r="O13" s="22" t="str">
        <f ca="1">IF(C13&lt;&gt;"",OFFSET('Player Game Board'!P10,O6-1,A13)&amp;" - "&amp;OFFSET('Player Game Board'!Q10,O6-1,A13),"")</f>
        <v xml:space="preserve"> - </v>
      </c>
      <c r="P13" s="22" t="str">
        <f ca="1">IF(C13&lt;&gt;"",OFFSET('Player Game Board'!P10,P6-1,A13)&amp;" - "&amp;OFFSET('Player Game Board'!Q10,P6-1,A13),"")</f>
        <v xml:space="preserve"> - </v>
      </c>
      <c r="Q13" s="22" t="str">
        <f ca="1">IF(C13&lt;&gt;"",OFFSET('Player Game Board'!P10,Q6-1,A13)&amp;" - "&amp;OFFSET('Player Game Board'!Q10,Q6-1,A13),"")</f>
        <v xml:space="preserve"> - </v>
      </c>
      <c r="R13" s="22" t="str">
        <f ca="1">IF(C13&lt;&gt;"",OFFSET('Player Game Board'!P10,R6-1,A13)&amp;" - "&amp;OFFSET('Player Game Board'!Q10,R6-1,A13),"")</f>
        <v xml:space="preserve"> - </v>
      </c>
      <c r="S13" s="22" t="str">
        <f ca="1">IF(C13&lt;&gt;"",OFFSET('Player Game Board'!P10,S6-1,A13)&amp;" - "&amp;OFFSET('Player Game Board'!Q10,S6-1,A13),"")</f>
        <v xml:space="preserve"> - </v>
      </c>
      <c r="T13" s="22" t="str">
        <f ca="1">IF(C13&lt;&gt;"",OFFSET('Player Game Board'!P10,T6-1,A13)&amp;" - "&amp;OFFSET('Player Game Board'!Q10,T6-1,A13),"")</f>
        <v xml:space="preserve"> - </v>
      </c>
      <c r="U13" s="22" t="str">
        <f ca="1">IF(C13&lt;&gt;"",OFFSET('Player Game Board'!P10,U6-1,A13)&amp;" - "&amp;OFFSET('Player Game Board'!Q10,U6-1,A13),"")</f>
        <v xml:space="preserve"> - </v>
      </c>
      <c r="V13" s="22" t="str">
        <f ca="1">IF(C13&lt;&gt;"",OFFSET('Player Game Board'!P10,V6-1,A13)&amp;" - "&amp;OFFSET('Player Game Board'!Q10,V6-1,A13),"")</f>
        <v xml:space="preserve"> - </v>
      </c>
      <c r="W13" s="22" t="str">
        <f ca="1">IF(C13&lt;&gt;"",OFFSET('Player Game Board'!P10,W6-1,A13)&amp;" - "&amp;OFFSET('Player Game Board'!Q10,W6-1,A13),"")</f>
        <v xml:space="preserve"> - </v>
      </c>
      <c r="X13" s="22" t="str">
        <f ca="1">IF(C13&lt;&gt;"",OFFSET('Player Game Board'!P10,X6-1,A13)&amp;" - "&amp;OFFSET('Player Game Board'!Q10,X6-1,A13),"")</f>
        <v xml:space="preserve"> - </v>
      </c>
      <c r="Y13" s="22" t="str">
        <f ca="1">IF(C13&lt;&gt;"",OFFSET('Player Game Board'!P10,Y6-1,A13)&amp;" - "&amp;OFFSET('Player Game Board'!Q10,Y6-1,A13),"")</f>
        <v xml:space="preserve"> - </v>
      </c>
      <c r="Z13" s="22" t="str">
        <f ca="1">IF(C13&lt;&gt;"",OFFSET('Player Game Board'!P10,Z6-1,A13)&amp;" - "&amp;OFFSET('Player Game Board'!Q10,Z6-1,A13),"")</f>
        <v xml:space="preserve"> - </v>
      </c>
      <c r="AA13" s="22" t="str">
        <f ca="1">IF(C13&lt;&gt;"",OFFSET('Player Game Board'!P10,AA6-1,A13)&amp;" - "&amp;OFFSET('Player Game Board'!Q10,AA6-1,A13),"")</f>
        <v xml:space="preserve"> - </v>
      </c>
      <c r="AB13" s="22" t="str">
        <f ca="1">IF(C13&lt;&gt;"",OFFSET('Player Game Board'!P10,AB6-1,A13)&amp;" - "&amp;OFFSET('Player Game Board'!Q10,AB6-1,A13),"")</f>
        <v xml:space="preserve"> - </v>
      </c>
      <c r="AC13" s="22" t="str">
        <f ca="1">IF(C13&lt;&gt;"",OFFSET('Player Game Board'!P10,AC6-1,A13)&amp;" - "&amp;OFFSET('Player Game Board'!Q10,AC6-1,A13),"")</f>
        <v xml:space="preserve"> - </v>
      </c>
      <c r="AD13" s="22" t="str">
        <f ca="1">IF(C13&lt;&gt;"",OFFSET('Player Game Board'!P10,AD6-1,A13)&amp;" - "&amp;OFFSET('Player Game Board'!Q10,AD6-1,A13),"")</f>
        <v xml:space="preserve"> - </v>
      </c>
      <c r="AE13" s="22" t="str">
        <f ca="1">IF(C13&lt;&gt;"",OFFSET('Player Game Board'!P10,AE6-1,A13)&amp;" - "&amp;OFFSET('Player Game Board'!Q10,AE6-1,A13),"")</f>
        <v xml:space="preserve"> - </v>
      </c>
      <c r="AF13" s="22" t="str">
        <f ca="1">IF(C13&lt;&gt;"",OFFSET('Player Game Board'!P10,AF6-1,A13)&amp;" - "&amp;OFFSET('Player Game Board'!Q10,AF6-1,A13),"")</f>
        <v xml:space="preserve"> - </v>
      </c>
      <c r="AG13" s="22" t="str">
        <f ca="1">IF(C13&lt;&gt;"",OFFSET('Player Game Board'!P10,AG6-1,A13)&amp;" - "&amp;OFFSET('Player Game Board'!Q10,AG6-1,A13),"")</f>
        <v xml:space="preserve"> - </v>
      </c>
      <c r="AH13" s="22" t="str">
        <f ca="1">IF(C13&lt;&gt;"",OFFSET('Player Game Board'!P10,AH6-1,A13)&amp;" - "&amp;OFFSET('Player Game Board'!Q10,AH6-1,A13),"")</f>
        <v xml:space="preserve"> - </v>
      </c>
      <c r="AI13" s="22" t="str">
        <f ca="1">IF(C13&lt;&gt;"",OFFSET('Player Game Board'!P10,AI6-1,A13)&amp;" - "&amp;OFFSET('Player Game Board'!Q10,AI6-1,A13),"")</f>
        <v xml:space="preserve"> - </v>
      </c>
      <c r="AJ13" s="22" t="str">
        <f ca="1">IF(C13&lt;&gt;"",OFFSET('Player Game Board'!P10,AJ6-1,A13)&amp;" - "&amp;OFFSET('Player Game Board'!Q10,AJ6-1,A13),"")</f>
        <v xml:space="preserve"> - </v>
      </c>
      <c r="AK13" s="22" t="str">
        <f ca="1">IF(C13&lt;&gt;"",OFFSET('Player Game Board'!P10,AK6-1,A13)&amp;" - "&amp;OFFSET('Player Game Board'!Q10,AK6-1,A13),"")</f>
        <v xml:space="preserve"> - </v>
      </c>
      <c r="AL13" s="22" t="str">
        <f ca="1">IF(C13&lt;&gt;"",OFFSET('Player Game Board'!P10,AL6-1,A13)&amp;" - "&amp;OFFSET('Player Game Board'!Q10,AL6-1,A13),"")</f>
        <v xml:space="preserve"> - </v>
      </c>
      <c r="AM13" s="22" t="str">
        <f ca="1">IF(C13&lt;&gt;"",OFFSET('Player Game Board'!P10,AM6-1,A13)&amp;" - "&amp;OFFSET('Player Game Board'!Q10,AM6-1,A13),"")</f>
        <v xml:space="preserve"> - </v>
      </c>
      <c r="AN13" s="22" t="str">
        <f ca="1">IF(C13&lt;&gt;"",OFFSET('Player Game Board'!P10,AN6-1,A13)&amp;" - "&amp;OFFSET('Player Game Board'!Q10,AN6-1,A13),"")</f>
        <v xml:space="preserve"> - </v>
      </c>
      <c r="AO13" s="22" t="str">
        <f ca="1">IF(C13&lt;&gt;"",OFFSET('Player Game Board'!P10,AO6-1,A13)&amp;" - "&amp;OFFSET('Player Game Board'!Q10,AO6-1,A13),"")</f>
        <v xml:space="preserve"> - </v>
      </c>
      <c r="AP13" s="22" t="str">
        <f ca="1">IF(C13&lt;&gt;"",OFFSET('Player Game Board'!P10,AP6-1,A13)&amp;" - "&amp;OFFSET('Player Game Board'!Q10,AP6-1,A13),"")</f>
        <v xml:space="preserve"> - </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4.4" x14ac:dyDescent="0.3">
      <c r="A14" s="133">
        <f t="shared" si="4"/>
        <v>40</v>
      </c>
      <c r="B14" s="29">
        <v>5</v>
      </c>
      <c r="C14" s="272" t="str">
        <f>IF('Player Setup'!C10&lt;&gt;"",'Player Setup'!C10,"")</f>
        <v>Player</v>
      </c>
      <c r="D14" s="22">
        <f t="shared" ca="1" si="3"/>
        <v>4</v>
      </c>
      <c r="E14" s="23">
        <f ca="1">IF(C14&lt;&gt;"",OFFSET('Player Game Board'!N9,G6-1,A14),0)</f>
        <v>4</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 xml:space="preserve"> - </v>
      </c>
      <c r="AR14" s="22" t="str">
        <f ca="1">IF(C14&lt;&gt;"",OFFSET('Player Game Board'!P10,AR6+14,A14)&amp;" - "&amp;OFFSET('Player Game Board'!Q10,AR6+14,A14),"")</f>
        <v xml:space="preserve"> - </v>
      </c>
      <c r="AS14" s="22" t="str">
        <f ca="1">IF(C14&lt;&gt;"",OFFSET('Player Game Board'!P10,AS6+14,A14)&amp;" - "&amp;OFFSET('Player Game Board'!Q10,AS6+14,A14),"")</f>
        <v xml:space="preserve"> - </v>
      </c>
      <c r="AT14" s="22" t="str">
        <f ca="1">IF(C14&lt;&gt;"",OFFSET('Player Game Board'!P10,AT6+14,A14)&amp;" - "&amp;OFFSET('Player Game Board'!Q10,AT6+14,A14),"")</f>
        <v xml:space="preserve"> - </v>
      </c>
      <c r="AU14" s="22" t="str">
        <f ca="1">IF(C14&lt;&gt;"",OFFSET('Player Game Board'!P10,AU6+14,A14)&amp;" - "&amp;OFFSET('Player Game Board'!Q10,AU6+14,A14),"")</f>
        <v xml:space="preserve"> - </v>
      </c>
      <c r="AV14" s="22" t="str">
        <f ca="1">IF(C14&lt;&gt;"",OFFSET('Player Game Board'!P10,AV6+14,A14)&amp;" - "&amp;OFFSET('Player Game Board'!Q10,AV6+14,A14),"")</f>
        <v xml:space="preserve"> - </v>
      </c>
      <c r="AW14" s="22" t="str">
        <f ca="1">IF(C14&lt;&gt;"",OFFSET('Player Game Board'!P10,AW6+14,A14)&amp;" - "&amp;OFFSET('Player Game Board'!Q10,AW6+14,A14),"")</f>
        <v xml:space="preserve"> - </v>
      </c>
      <c r="AX14" s="22" t="str">
        <f ca="1">IF(C14&lt;&gt;"",OFFSET('Player Game Board'!P10,AX6+14,A14)&amp;" - "&amp;OFFSET('Player Game Board'!Q10,AX6+14,A14),"")</f>
        <v xml:space="preserve"> - </v>
      </c>
      <c r="AY14" s="22" t="str">
        <f ca="1">IF(C14&lt;&gt;"",OFFSET('Player Game Board'!P10,AY6+14,A14)&amp;" - "&amp;OFFSET('Player Game Board'!Q10,AY6+14,A14),"")</f>
        <v xml:space="preserve"> - </v>
      </c>
      <c r="AZ14" s="22" t="str">
        <f ca="1">IF(C14&lt;&gt;"",OFFSET('Player Game Board'!P10,AZ6+14,A14)&amp;" - "&amp;OFFSET('Player Game Board'!Q10,AZ6+14,A14),"")</f>
        <v xml:space="preserve"> - </v>
      </c>
      <c r="BA14" s="22" t="str">
        <f ca="1">IF(C14&lt;&gt;"",OFFSET('Player Game Board'!P10,BA6+14,A14)&amp;" - "&amp;OFFSET('Player Game Board'!Q10,BA6+14,A14),"")</f>
        <v xml:space="preserve"> - </v>
      </c>
      <c r="BB14" s="22" t="str">
        <f ca="1">IF(C14&lt;&gt;"",OFFSET('Player Game Board'!P10,BB6+14,A14)&amp;" - "&amp;OFFSET('Player Game Board'!Q10,BB6+14,A14),"")</f>
        <v xml:space="preserve"> - </v>
      </c>
      <c r="BC14" s="22" t="str">
        <f ca="1">IF(C14&lt;&gt;"",OFFSET('Player Game Board'!P10,BC6+14,A14)&amp;" - "&amp;OFFSET('Player Game Board'!Q10,BC6+14,A14),"")</f>
        <v xml:space="preserve"> - </v>
      </c>
      <c r="BD14" s="22" t="str">
        <f ca="1">IF(C14&lt;&gt;"",OFFSET('Player Game Board'!P10,BD6+14,A14)&amp;" - "&amp;OFFSET('Player Game Board'!Q10,BD6+14,A14),"")</f>
        <v xml:space="preserve"> - </v>
      </c>
      <c r="BE14" s="22" t="str">
        <f ca="1">IF(C14&lt;&gt;"",OFFSET('Player Game Board'!P10,BE6+14,A14)&amp;" - "&amp;OFFSET('Player Game Board'!Q10,BE6+14,A14),"")</f>
        <v xml:space="preserve"> - </v>
      </c>
    </row>
    <row r="15" spans="1:57" ht="14.4" x14ac:dyDescent="0.3">
      <c r="A15" s="133">
        <f t="shared" si="4"/>
        <v>50</v>
      </c>
      <c r="B15" s="29">
        <v>6</v>
      </c>
      <c r="C15" s="272" t="str">
        <f>IF('Player Setup'!C11&lt;&gt;"",'Player Setup'!C11,"")</f>
        <v>Player</v>
      </c>
      <c r="D15" s="22">
        <f t="shared" ca="1" si="3"/>
        <v>0</v>
      </c>
      <c r="E15" s="23">
        <f ca="1">IF(C15&lt;&gt;"",OFFSET('Player Game Board'!N9,G6-1,A15),0)</f>
        <v>0</v>
      </c>
      <c r="F15" s="22">
        <f ca="1">IF(C15&lt;&gt;"",OFFSET('Player Game Board'!N52,G6-1,A15),0)</f>
        <v>0</v>
      </c>
      <c r="G15" s="22" t="str">
        <f ca="1">IF(C15&lt;&gt;"",OFFSET('Player Game Board'!P10,G6-1,A15)&amp;" - "&amp;OFFSET('Player Game Board'!Q10,G6-1,A15),"")</f>
        <v xml:space="preserve"> - </v>
      </c>
      <c r="H15" s="22" t="str">
        <f ca="1">IF(C15&lt;&gt;"",OFFSET('Player Game Board'!P10,H6-1,A15)&amp;" - "&amp;OFFSET('Player Game Board'!Q10,H6-1,A15),"")</f>
        <v xml:space="preserve"> - </v>
      </c>
      <c r="I15" s="22" t="str">
        <f ca="1">IF(C15&lt;&gt;"",OFFSET('Player Game Board'!P10,I6-1,A15)&amp;" - "&amp;OFFSET('Player Game Board'!Q10,I6-1,A15),"")</f>
        <v xml:space="preserve"> - </v>
      </c>
      <c r="J15" s="22" t="str">
        <f ca="1">IF(C15&lt;&gt;"",OFFSET('Player Game Board'!P10,J6-1,A15)&amp;" - "&amp;OFFSET('Player Game Board'!Q10,J6-1,A15),"")</f>
        <v xml:space="preserve"> - </v>
      </c>
      <c r="K15" s="22" t="str">
        <f ca="1">IF(C15&lt;&gt;"",OFFSET('Player Game Board'!P10,K6-1,A15)&amp;" - "&amp;OFFSET('Player Game Board'!Q10,K6-1,A15),"")</f>
        <v xml:space="preserve"> - </v>
      </c>
      <c r="L15" s="22" t="str">
        <f ca="1">IF(C15&lt;&gt;"",OFFSET('Player Game Board'!P10,L6-1,A15)&amp;" - "&amp;OFFSET('Player Game Board'!Q10,L6-1,A15),"")</f>
        <v xml:space="preserve"> - </v>
      </c>
      <c r="M15" s="22" t="str">
        <f ca="1">IF(C15&lt;&gt;"",OFFSET('Player Game Board'!P10,M6-1,A15)&amp;" - "&amp;OFFSET('Player Game Board'!Q10,M6-1,A15),"")</f>
        <v xml:space="preserve"> - </v>
      </c>
      <c r="N15" s="22" t="str">
        <f ca="1">IF(C15&lt;&gt;"",OFFSET('Player Game Board'!P10,N6-1,A15)&amp;" - "&amp;OFFSET('Player Game Board'!Q10,N6-1,A15),"")</f>
        <v xml:space="preserve"> - </v>
      </c>
      <c r="O15" s="22" t="str">
        <f ca="1">IF(C15&lt;&gt;"",OFFSET('Player Game Board'!P10,O6-1,A15)&amp;" - "&amp;OFFSET('Player Game Board'!Q10,O6-1,A15),"")</f>
        <v xml:space="preserve"> - </v>
      </c>
      <c r="P15" s="22" t="str">
        <f ca="1">IF(C15&lt;&gt;"",OFFSET('Player Game Board'!P10,P6-1,A15)&amp;" - "&amp;OFFSET('Player Game Board'!Q10,P6-1,A15),"")</f>
        <v xml:space="preserve"> - </v>
      </c>
      <c r="Q15" s="22" t="str">
        <f ca="1">IF(C15&lt;&gt;"",OFFSET('Player Game Board'!P10,Q6-1,A15)&amp;" - "&amp;OFFSET('Player Game Board'!Q10,Q6-1,A15),"")</f>
        <v xml:space="preserve"> - </v>
      </c>
      <c r="R15" s="22" t="str">
        <f ca="1">IF(C15&lt;&gt;"",OFFSET('Player Game Board'!P10,R6-1,A15)&amp;" - "&amp;OFFSET('Player Game Board'!Q10,R6-1,A15),"")</f>
        <v xml:space="preserve"> - </v>
      </c>
      <c r="S15" s="22" t="str">
        <f ca="1">IF(C15&lt;&gt;"",OFFSET('Player Game Board'!P10,S6-1,A15)&amp;" - "&amp;OFFSET('Player Game Board'!Q10,S6-1,A15),"")</f>
        <v xml:space="preserve"> - </v>
      </c>
      <c r="T15" s="22" t="str">
        <f ca="1">IF(C15&lt;&gt;"",OFFSET('Player Game Board'!P10,T6-1,A15)&amp;" - "&amp;OFFSET('Player Game Board'!Q10,T6-1,A15),"")</f>
        <v xml:space="preserve"> - </v>
      </c>
      <c r="U15" s="22" t="str">
        <f ca="1">IF(C15&lt;&gt;"",OFFSET('Player Game Board'!P10,U6-1,A15)&amp;" - "&amp;OFFSET('Player Game Board'!Q10,U6-1,A15),"")</f>
        <v xml:space="preserve"> - </v>
      </c>
      <c r="V15" s="22" t="str">
        <f ca="1">IF(C15&lt;&gt;"",OFFSET('Player Game Board'!P10,V6-1,A15)&amp;" - "&amp;OFFSET('Player Game Board'!Q10,V6-1,A15),"")</f>
        <v xml:space="preserve"> - </v>
      </c>
      <c r="W15" s="22" t="str">
        <f ca="1">IF(C15&lt;&gt;"",OFFSET('Player Game Board'!P10,W6-1,A15)&amp;" - "&amp;OFFSET('Player Game Board'!Q10,W6-1,A15),"")</f>
        <v xml:space="preserve"> - </v>
      </c>
      <c r="X15" s="22" t="str">
        <f ca="1">IF(C15&lt;&gt;"",OFFSET('Player Game Board'!P10,X6-1,A15)&amp;" - "&amp;OFFSET('Player Game Board'!Q10,X6-1,A15),"")</f>
        <v xml:space="preserve"> - </v>
      </c>
      <c r="Y15" s="22" t="str">
        <f ca="1">IF(C15&lt;&gt;"",OFFSET('Player Game Board'!P10,Y6-1,A15)&amp;" - "&amp;OFFSET('Player Game Board'!Q10,Y6-1,A15),"")</f>
        <v xml:space="preserve"> - </v>
      </c>
      <c r="Z15" s="22" t="str">
        <f ca="1">IF(C15&lt;&gt;"",OFFSET('Player Game Board'!P10,Z6-1,A15)&amp;" - "&amp;OFFSET('Player Game Board'!Q10,Z6-1,A15),"")</f>
        <v xml:space="preserve"> - </v>
      </c>
      <c r="AA15" s="22" t="str">
        <f ca="1">IF(C15&lt;&gt;"",OFFSET('Player Game Board'!P10,AA6-1,A15)&amp;" - "&amp;OFFSET('Player Game Board'!Q10,AA6-1,A15),"")</f>
        <v xml:space="preserve"> - </v>
      </c>
      <c r="AB15" s="22" t="str">
        <f ca="1">IF(C15&lt;&gt;"",OFFSET('Player Game Board'!P10,AB6-1,A15)&amp;" - "&amp;OFFSET('Player Game Board'!Q10,AB6-1,A15),"")</f>
        <v xml:space="preserve"> - </v>
      </c>
      <c r="AC15" s="22" t="str">
        <f ca="1">IF(C15&lt;&gt;"",OFFSET('Player Game Board'!P10,AC6-1,A15)&amp;" - "&amp;OFFSET('Player Game Board'!Q10,AC6-1,A15),"")</f>
        <v xml:space="preserve"> - </v>
      </c>
      <c r="AD15" s="22" t="str">
        <f ca="1">IF(C15&lt;&gt;"",OFFSET('Player Game Board'!P10,AD6-1,A15)&amp;" - "&amp;OFFSET('Player Game Board'!Q10,AD6-1,A15),"")</f>
        <v xml:space="preserve"> - </v>
      </c>
      <c r="AE15" s="22" t="str">
        <f ca="1">IF(C15&lt;&gt;"",OFFSET('Player Game Board'!P10,AE6-1,A15)&amp;" - "&amp;OFFSET('Player Game Board'!Q10,AE6-1,A15),"")</f>
        <v xml:space="preserve"> - </v>
      </c>
      <c r="AF15" s="22" t="str">
        <f ca="1">IF(C15&lt;&gt;"",OFFSET('Player Game Board'!P10,AF6-1,A15)&amp;" - "&amp;OFFSET('Player Game Board'!Q10,AF6-1,A15),"")</f>
        <v xml:space="preserve"> - </v>
      </c>
      <c r="AG15" s="22" t="str">
        <f ca="1">IF(C15&lt;&gt;"",OFFSET('Player Game Board'!P10,AG6-1,A15)&amp;" - "&amp;OFFSET('Player Game Board'!Q10,AG6-1,A15),"")</f>
        <v xml:space="preserve"> - </v>
      </c>
      <c r="AH15" s="22" t="str">
        <f ca="1">IF(C15&lt;&gt;"",OFFSET('Player Game Board'!P10,AH6-1,A15)&amp;" - "&amp;OFFSET('Player Game Board'!Q10,AH6-1,A15),"")</f>
        <v xml:space="preserve"> - </v>
      </c>
      <c r="AI15" s="22" t="str">
        <f ca="1">IF(C15&lt;&gt;"",OFFSET('Player Game Board'!P10,AI6-1,A15)&amp;" - "&amp;OFFSET('Player Game Board'!Q10,AI6-1,A15),"")</f>
        <v xml:space="preserve"> - </v>
      </c>
      <c r="AJ15" s="22" t="str">
        <f ca="1">IF(C15&lt;&gt;"",OFFSET('Player Game Board'!P10,AJ6-1,A15)&amp;" - "&amp;OFFSET('Player Game Board'!Q10,AJ6-1,A15),"")</f>
        <v xml:space="preserve"> - </v>
      </c>
      <c r="AK15" s="22" t="str">
        <f ca="1">IF(C15&lt;&gt;"",OFFSET('Player Game Board'!P10,AK6-1,A15)&amp;" - "&amp;OFFSET('Player Game Board'!Q10,AK6-1,A15),"")</f>
        <v xml:space="preserve"> - </v>
      </c>
      <c r="AL15" s="22" t="str">
        <f ca="1">IF(C15&lt;&gt;"",OFFSET('Player Game Board'!P10,AL6-1,A15)&amp;" - "&amp;OFFSET('Player Game Board'!Q10,AL6-1,A15),"")</f>
        <v xml:space="preserve"> - </v>
      </c>
      <c r="AM15" s="22" t="str">
        <f ca="1">IF(C15&lt;&gt;"",OFFSET('Player Game Board'!P10,AM6-1,A15)&amp;" - "&amp;OFFSET('Player Game Board'!Q10,AM6-1,A15),"")</f>
        <v xml:space="preserve"> - </v>
      </c>
      <c r="AN15" s="22" t="str">
        <f ca="1">IF(C15&lt;&gt;"",OFFSET('Player Game Board'!P10,AN6-1,A15)&amp;" - "&amp;OFFSET('Player Game Board'!Q10,AN6-1,A15),"")</f>
        <v xml:space="preserve"> - </v>
      </c>
      <c r="AO15" s="22" t="str">
        <f ca="1">IF(C15&lt;&gt;"",OFFSET('Player Game Board'!P10,AO6-1,A15)&amp;" - "&amp;OFFSET('Player Game Board'!Q10,AO6-1,A15),"")</f>
        <v xml:space="preserve"> - </v>
      </c>
      <c r="AP15" s="22" t="str">
        <f ca="1">IF(C15&lt;&gt;"",OFFSET('Player Game Board'!P10,AP6-1,A15)&amp;" - "&amp;OFFSET('Player Game Board'!Q10,AP6-1,A15),"")</f>
        <v xml:space="preserve"> - </v>
      </c>
      <c r="AQ15" s="22" t="str">
        <f ca="1">IF(C15&lt;&gt;"",OFFSET('Player Game Board'!P10,AQ6+14,A15)&amp;" - "&amp;OFFSET('Player Game Board'!Q10,AQ6+14,A15),"")</f>
        <v xml:space="preserve"> - </v>
      </c>
      <c r="AR15" s="22" t="str">
        <f ca="1">IF(C15&lt;&gt;"",OFFSET('Player Game Board'!P10,AR6+14,A15)&amp;" - "&amp;OFFSET('Player Game Board'!Q10,AR6+14,A15),"")</f>
        <v xml:space="preserve"> - </v>
      </c>
      <c r="AS15" s="22" t="str">
        <f ca="1">IF(C15&lt;&gt;"",OFFSET('Player Game Board'!P10,AS6+14,A15)&amp;" - "&amp;OFFSET('Player Game Board'!Q10,AS6+14,A15),"")</f>
        <v xml:space="preserve"> - </v>
      </c>
      <c r="AT15" s="22" t="str">
        <f ca="1">IF(C15&lt;&gt;"",OFFSET('Player Game Board'!P10,AT6+14,A15)&amp;" - "&amp;OFFSET('Player Game Board'!Q10,AT6+14,A15),"")</f>
        <v xml:space="preserve"> - </v>
      </c>
      <c r="AU15" s="22" t="str">
        <f ca="1">IF(C15&lt;&gt;"",OFFSET('Player Game Board'!P10,AU6+14,A15)&amp;" - "&amp;OFFSET('Player Game Board'!Q10,AU6+14,A15),"")</f>
        <v xml:space="preserve"> - </v>
      </c>
      <c r="AV15" s="22" t="str">
        <f ca="1">IF(C15&lt;&gt;"",OFFSET('Player Game Board'!P10,AV6+14,A15)&amp;" - "&amp;OFFSET('Player Game Board'!Q10,AV6+14,A15),"")</f>
        <v xml:space="preserve"> - </v>
      </c>
      <c r="AW15" s="22" t="str">
        <f ca="1">IF(C15&lt;&gt;"",OFFSET('Player Game Board'!P10,AW6+14,A15)&amp;" - "&amp;OFFSET('Player Game Board'!Q10,AW6+14,A15),"")</f>
        <v xml:space="preserve"> - </v>
      </c>
      <c r="AX15" s="22" t="str">
        <f ca="1">IF(C15&lt;&gt;"",OFFSET('Player Game Board'!P10,AX6+14,A15)&amp;" - "&amp;OFFSET('Player Game Board'!Q10,AX6+14,A15),"")</f>
        <v xml:space="preserve"> - </v>
      </c>
      <c r="AY15" s="22" t="str">
        <f ca="1">IF(C15&lt;&gt;"",OFFSET('Player Game Board'!P10,AY6+14,A15)&amp;" - "&amp;OFFSET('Player Game Board'!Q10,AY6+14,A15),"")</f>
        <v xml:space="preserve"> - </v>
      </c>
      <c r="AZ15" s="22" t="str">
        <f ca="1">IF(C15&lt;&gt;"",OFFSET('Player Game Board'!P10,AZ6+14,A15)&amp;" - "&amp;OFFSET('Player Game Board'!Q10,AZ6+14,A15),"")</f>
        <v xml:space="preserve"> - </v>
      </c>
      <c r="BA15" s="22" t="str">
        <f ca="1">IF(C15&lt;&gt;"",OFFSET('Player Game Board'!P10,BA6+14,A15)&amp;" - "&amp;OFFSET('Player Game Board'!Q10,BA6+14,A15),"")</f>
        <v xml:space="preserve"> - </v>
      </c>
      <c r="BB15" s="22" t="str">
        <f ca="1">IF(C15&lt;&gt;"",OFFSET('Player Game Board'!P10,BB6+14,A15)&amp;" - "&amp;OFFSET('Player Game Board'!Q10,BB6+14,A15),"")</f>
        <v xml:space="preserve"> - </v>
      </c>
      <c r="BC15" s="22" t="str">
        <f ca="1">IF(C15&lt;&gt;"",OFFSET('Player Game Board'!P10,BC6+14,A15)&amp;" - "&amp;OFFSET('Player Game Board'!Q10,BC6+14,A15),"")</f>
        <v xml:space="preserve"> - </v>
      </c>
      <c r="BD15" s="22" t="str">
        <f ca="1">IF(C15&lt;&gt;"",OFFSET('Player Game Board'!P10,BD6+14,A15)&amp;" - "&amp;OFFSET('Player Game Board'!Q10,BD6+14,A15),"")</f>
        <v xml:space="preserve"> - </v>
      </c>
      <c r="BE15" s="22" t="str">
        <f ca="1">IF(C15&lt;&gt;"",OFFSET('Player Game Board'!P10,BE6+14,A15)&amp;" - "&amp;OFFSET('Player Game Board'!Q10,BE6+14,A15),"")</f>
        <v xml:space="preserve"> - </v>
      </c>
    </row>
    <row r="16" spans="1:57" ht="14.4" x14ac:dyDescent="0.3">
      <c r="A16" s="133">
        <f t="shared" si="4"/>
        <v>60</v>
      </c>
      <c r="B16" s="29">
        <v>7</v>
      </c>
      <c r="C16" s="272" t="str">
        <f>IF('Player Setup'!C12&lt;&gt;"",'Player Setup'!C12,"")</f>
        <v>Player</v>
      </c>
      <c r="D16" s="22">
        <f t="shared" ca="1" si="3"/>
        <v>0</v>
      </c>
      <c r="E16" s="23">
        <f ca="1">IF(C16&lt;&gt;"",OFFSET('Player Game Board'!N9,G6-1,A16),0)</f>
        <v>0</v>
      </c>
      <c r="F16" s="22">
        <f ca="1">IF(C16&lt;&gt;"",OFFSET('Player Game Board'!N52,G6-1,A16),0)</f>
        <v>0</v>
      </c>
      <c r="G16" s="22" t="str">
        <f ca="1">IF(C16&lt;&gt;"",OFFSET('Player Game Board'!P10,G6-1,A16)&amp;" - "&amp;OFFSET('Player Game Board'!Q10,G6-1,A16),"")</f>
        <v xml:space="preserve"> - </v>
      </c>
      <c r="H16" s="22" t="str">
        <f ca="1">IF(C16&lt;&gt;"",OFFSET('Player Game Board'!P10,H6-1,A16)&amp;" - "&amp;OFFSET('Player Game Board'!Q10,H6-1,A16),"")</f>
        <v xml:space="preserve"> - </v>
      </c>
      <c r="I16" s="22" t="str">
        <f ca="1">IF(C16&lt;&gt;"",OFFSET('Player Game Board'!P10,I6-1,A16)&amp;" - "&amp;OFFSET('Player Game Board'!Q10,I6-1,A16),"")</f>
        <v xml:space="preserve"> - </v>
      </c>
      <c r="J16" s="22" t="str">
        <f ca="1">IF(C16&lt;&gt;"",OFFSET('Player Game Board'!P10,J6-1,A16)&amp;" - "&amp;OFFSET('Player Game Board'!Q10,J6-1,A16),"")</f>
        <v xml:space="preserve"> - </v>
      </c>
      <c r="K16" s="22" t="str">
        <f ca="1">IF(C16&lt;&gt;"",OFFSET('Player Game Board'!P10,K6-1,A16)&amp;" - "&amp;OFFSET('Player Game Board'!Q10,K6-1,A16),"")</f>
        <v xml:space="preserve"> - </v>
      </c>
      <c r="L16" s="22" t="str">
        <f ca="1">IF(C16&lt;&gt;"",OFFSET('Player Game Board'!P10,L6-1,A16)&amp;" - "&amp;OFFSET('Player Game Board'!Q10,L6-1,A16),"")</f>
        <v xml:space="preserve"> - </v>
      </c>
      <c r="M16" s="22" t="str">
        <f ca="1">IF(C16&lt;&gt;"",OFFSET('Player Game Board'!P10,M6-1,A16)&amp;" - "&amp;OFFSET('Player Game Board'!Q10,M6-1,A16),"")</f>
        <v xml:space="preserve"> - </v>
      </c>
      <c r="N16" s="22" t="str">
        <f ca="1">IF(C16&lt;&gt;"",OFFSET('Player Game Board'!P10,N6-1,A16)&amp;" - "&amp;OFFSET('Player Game Board'!Q10,N6-1,A16),"")</f>
        <v xml:space="preserve"> - </v>
      </c>
      <c r="O16" s="22" t="str">
        <f ca="1">IF(C16&lt;&gt;"",OFFSET('Player Game Board'!P10,O6-1,A16)&amp;" - "&amp;OFFSET('Player Game Board'!Q10,O6-1,A16),"")</f>
        <v xml:space="preserve"> - </v>
      </c>
      <c r="P16" s="22" t="str">
        <f ca="1">IF(C16&lt;&gt;"",OFFSET('Player Game Board'!P10,P6-1,A16)&amp;" - "&amp;OFFSET('Player Game Board'!Q10,P6-1,A16),"")</f>
        <v xml:space="preserve"> - </v>
      </c>
      <c r="Q16" s="22" t="str">
        <f ca="1">IF(C16&lt;&gt;"",OFFSET('Player Game Board'!P10,Q6-1,A16)&amp;" - "&amp;OFFSET('Player Game Board'!Q10,Q6-1,A16),"")</f>
        <v xml:space="preserve"> - </v>
      </c>
      <c r="R16" s="22" t="str">
        <f ca="1">IF(C16&lt;&gt;"",OFFSET('Player Game Board'!P10,R6-1,A16)&amp;" - "&amp;OFFSET('Player Game Board'!Q10,R6-1,A16),"")</f>
        <v xml:space="preserve"> - </v>
      </c>
      <c r="S16" s="22" t="str">
        <f ca="1">IF(C16&lt;&gt;"",OFFSET('Player Game Board'!P10,S6-1,A16)&amp;" - "&amp;OFFSET('Player Game Board'!Q10,S6-1,A16),"")</f>
        <v xml:space="preserve"> - </v>
      </c>
      <c r="T16" s="22" t="str">
        <f ca="1">IF(C16&lt;&gt;"",OFFSET('Player Game Board'!P10,T6-1,A16)&amp;" - "&amp;OFFSET('Player Game Board'!Q10,T6-1,A16),"")</f>
        <v xml:space="preserve"> - </v>
      </c>
      <c r="U16" s="22" t="str">
        <f ca="1">IF(C16&lt;&gt;"",OFFSET('Player Game Board'!P10,U6-1,A16)&amp;" - "&amp;OFFSET('Player Game Board'!Q10,U6-1,A16),"")</f>
        <v xml:space="preserve"> - </v>
      </c>
      <c r="V16" s="22" t="str">
        <f ca="1">IF(C16&lt;&gt;"",OFFSET('Player Game Board'!P10,V6-1,A16)&amp;" - "&amp;OFFSET('Player Game Board'!Q10,V6-1,A16),"")</f>
        <v xml:space="preserve"> - </v>
      </c>
      <c r="W16" s="22" t="str">
        <f ca="1">IF(C16&lt;&gt;"",OFFSET('Player Game Board'!P10,W6-1,A16)&amp;" - "&amp;OFFSET('Player Game Board'!Q10,W6-1,A16),"")</f>
        <v xml:space="preserve"> - </v>
      </c>
      <c r="X16" s="22" t="str">
        <f ca="1">IF(C16&lt;&gt;"",OFFSET('Player Game Board'!P10,X6-1,A16)&amp;" - "&amp;OFFSET('Player Game Board'!Q10,X6-1,A16),"")</f>
        <v xml:space="preserve"> - </v>
      </c>
      <c r="Y16" s="22" t="str">
        <f ca="1">IF(C16&lt;&gt;"",OFFSET('Player Game Board'!P10,Y6-1,A16)&amp;" - "&amp;OFFSET('Player Game Board'!Q10,Y6-1,A16),"")</f>
        <v xml:space="preserve"> - </v>
      </c>
      <c r="Z16" s="22" t="str">
        <f ca="1">IF(C16&lt;&gt;"",OFFSET('Player Game Board'!P10,Z6-1,A16)&amp;" - "&amp;OFFSET('Player Game Board'!Q10,Z6-1,A16),"")</f>
        <v xml:space="preserve"> - </v>
      </c>
      <c r="AA16" s="22" t="str">
        <f ca="1">IF(C16&lt;&gt;"",OFFSET('Player Game Board'!P10,AA6-1,A16)&amp;" - "&amp;OFFSET('Player Game Board'!Q10,AA6-1,A16),"")</f>
        <v xml:space="preserve"> - </v>
      </c>
      <c r="AB16" s="22" t="str">
        <f ca="1">IF(C16&lt;&gt;"",OFFSET('Player Game Board'!P10,AB6-1,A16)&amp;" - "&amp;OFFSET('Player Game Board'!Q10,AB6-1,A16),"")</f>
        <v xml:space="preserve"> - </v>
      </c>
      <c r="AC16" s="22" t="str">
        <f ca="1">IF(C16&lt;&gt;"",OFFSET('Player Game Board'!P10,AC6-1,A16)&amp;" - "&amp;OFFSET('Player Game Board'!Q10,AC6-1,A16),"")</f>
        <v xml:space="preserve"> - </v>
      </c>
      <c r="AD16" s="22" t="str">
        <f ca="1">IF(C16&lt;&gt;"",OFFSET('Player Game Board'!P10,AD6-1,A16)&amp;" - "&amp;OFFSET('Player Game Board'!Q10,AD6-1,A16),"")</f>
        <v xml:space="preserve"> - </v>
      </c>
      <c r="AE16" s="22" t="str">
        <f ca="1">IF(C16&lt;&gt;"",OFFSET('Player Game Board'!P10,AE6-1,A16)&amp;" - "&amp;OFFSET('Player Game Board'!Q10,AE6-1,A16),"")</f>
        <v xml:space="preserve"> - </v>
      </c>
      <c r="AF16" s="22" t="str">
        <f ca="1">IF(C16&lt;&gt;"",OFFSET('Player Game Board'!P10,AF6-1,A16)&amp;" - "&amp;OFFSET('Player Game Board'!Q10,AF6-1,A16),"")</f>
        <v xml:space="preserve"> - </v>
      </c>
      <c r="AG16" s="22" t="str">
        <f ca="1">IF(C16&lt;&gt;"",OFFSET('Player Game Board'!P10,AG6-1,A16)&amp;" - "&amp;OFFSET('Player Game Board'!Q10,AG6-1,A16),"")</f>
        <v xml:space="preserve"> - </v>
      </c>
      <c r="AH16" s="22" t="str">
        <f ca="1">IF(C16&lt;&gt;"",OFFSET('Player Game Board'!P10,AH6-1,A16)&amp;" - "&amp;OFFSET('Player Game Board'!Q10,AH6-1,A16),"")</f>
        <v xml:space="preserve"> - </v>
      </c>
      <c r="AI16" s="22" t="str">
        <f ca="1">IF(C16&lt;&gt;"",OFFSET('Player Game Board'!P10,AI6-1,A16)&amp;" - "&amp;OFFSET('Player Game Board'!Q10,AI6-1,A16),"")</f>
        <v xml:space="preserve"> - </v>
      </c>
      <c r="AJ16" s="22" t="str">
        <f ca="1">IF(C16&lt;&gt;"",OFFSET('Player Game Board'!P10,AJ6-1,A16)&amp;" - "&amp;OFFSET('Player Game Board'!Q10,AJ6-1,A16),"")</f>
        <v xml:space="preserve"> - </v>
      </c>
      <c r="AK16" s="22" t="str">
        <f ca="1">IF(C16&lt;&gt;"",OFFSET('Player Game Board'!P10,AK6-1,A16)&amp;" - "&amp;OFFSET('Player Game Board'!Q10,AK6-1,A16),"")</f>
        <v xml:space="preserve"> - </v>
      </c>
      <c r="AL16" s="22" t="str">
        <f ca="1">IF(C16&lt;&gt;"",OFFSET('Player Game Board'!P10,AL6-1,A16)&amp;" - "&amp;OFFSET('Player Game Board'!Q10,AL6-1,A16),"")</f>
        <v xml:space="preserve"> - </v>
      </c>
      <c r="AM16" s="22" t="str">
        <f ca="1">IF(C16&lt;&gt;"",OFFSET('Player Game Board'!P10,AM6-1,A16)&amp;" - "&amp;OFFSET('Player Game Board'!Q10,AM6-1,A16),"")</f>
        <v xml:space="preserve"> - </v>
      </c>
      <c r="AN16" s="22" t="str">
        <f ca="1">IF(C16&lt;&gt;"",OFFSET('Player Game Board'!P10,AN6-1,A16)&amp;" - "&amp;OFFSET('Player Game Board'!Q10,AN6-1,A16),"")</f>
        <v xml:space="preserve"> - </v>
      </c>
      <c r="AO16" s="22" t="str">
        <f ca="1">IF(C16&lt;&gt;"",OFFSET('Player Game Board'!P10,AO6-1,A16)&amp;" - "&amp;OFFSET('Player Game Board'!Q10,AO6-1,A16),"")</f>
        <v xml:space="preserve"> - </v>
      </c>
      <c r="AP16" s="22" t="str">
        <f ca="1">IF(C16&lt;&gt;"",OFFSET('Player Game Board'!P10,AP6-1,A16)&amp;" - "&amp;OFFSET('Player Game Board'!Q10,AP6-1,A16),"")</f>
        <v xml:space="preserve"> - </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4.4" x14ac:dyDescent="0.3">
      <c r="A17" s="133">
        <f t="shared" si="4"/>
        <v>70</v>
      </c>
      <c r="B17" s="29">
        <v>8</v>
      </c>
      <c r="C17" s="272" t="str">
        <f>IF('Player Setup'!C13&lt;&gt;"",'Player Setup'!C13,"")</f>
        <v>Player</v>
      </c>
      <c r="D17" s="22">
        <f t="shared" ca="1" si="3"/>
        <v>0</v>
      </c>
      <c r="E17" s="23">
        <f ca="1">IF(C17&lt;&gt;"",OFFSET('Player Game Board'!N9,G6-1,A17),0)</f>
        <v>0</v>
      </c>
      <c r="F17" s="22">
        <f ca="1">IF(C17&lt;&gt;"",OFFSET('Player Game Board'!N52,G6-1,A17),0)</f>
        <v>0</v>
      </c>
      <c r="G17" s="22" t="str">
        <f ca="1">IF(C17&lt;&gt;"",OFFSET('Player Game Board'!P10,G6-1,A17)&amp;" - "&amp;OFFSET('Player Game Board'!Q10,G6-1,A17),"")</f>
        <v xml:space="preserve"> - </v>
      </c>
      <c r="H17" s="22" t="str">
        <f ca="1">IF(C17&lt;&gt;"",OFFSET('Player Game Board'!P10,H6-1,A17)&amp;" - "&amp;OFFSET('Player Game Board'!Q10,H6-1,A17),"")</f>
        <v xml:space="preserve"> - </v>
      </c>
      <c r="I17" s="22" t="str">
        <f ca="1">IF(C17&lt;&gt;"",OFFSET('Player Game Board'!P10,I6-1,A17)&amp;" - "&amp;OFFSET('Player Game Board'!Q10,I6-1,A17),"")</f>
        <v xml:space="preserve"> - </v>
      </c>
      <c r="J17" s="22" t="str">
        <f ca="1">IF(C17&lt;&gt;"",OFFSET('Player Game Board'!P10,J6-1,A17)&amp;" - "&amp;OFFSET('Player Game Board'!Q10,J6-1,A17),"")</f>
        <v xml:space="preserve"> - </v>
      </c>
      <c r="K17" s="22" t="str">
        <f ca="1">IF(C17&lt;&gt;"",OFFSET('Player Game Board'!P10,K6-1,A17)&amp;" - "&amp;OFFSET('Player Game Board'!Q10,K6-1,A17),"")</f>
        <v xml:space="preserve"> - </v>
      </c>
      <c r="L17" s="22" t="str">
        <f ca="1">IF(C17&lt;&gt;"",OFFSET('Player Game Board'!P10,L6-1,A17)&amp;" - "&amp;OFFSET('Player Game Board'!Q10,L6-1,A17),"")</f>
        <v xml:space="preserve"> - </v>
      </c>
      <c r="M17" s="22" t="str">
        <f ca="1">IF(C17&lt;&gt;"",OFFSET('Player Game Board'!P10,M6-1,A17)&amp;" - "&amp;OFFSET('Player Game Board'!Q10,M6-1,A17),"")</f>
        <v xml:space="preserve"> - </v>
      </c>
      <c r="N17" s="22" t="str">
        <f ca="1">IF(C17&lt;&gt;"",OFFSET('Player Game Board'!P10,N6-1,A17)&amp;" - "&amp;OFFSET('Player Game Board'!Q10,N6-1,A17),"")</f>
        <v xml:space="preserve"> - </v>
      </c>
      <c r="O17" s="22" t="str">
        <f ca="1">IF(C17&lt;&gt;"",OFFSET('Player Game Board'!P10,O6-1,A17)&amp;" - "&amp;OFFSET('Player Game Board'!Q10,O6-1,A17),"")</f>
        <v xml:space="preserve"> - </v>
      </c>
      <c r="P17" s="22" t="str">
        <f ca="1">IF(C17&lt;&gt;"",OFFSET('Player Game Board'!P10,P6-1,A17)&amp;" - "&amp;OFFSET('Player Game Board'!Q10,P6-1,A17),"")</f>
        <v xml:space="preserve"> - </v>
      </c>
      <c r="Q17" s="22" t="str">
        <f ca="1">IF(C17&lt;&gt;"",OFFSET('Player Game Board'!P10,Q6-1,A17)&amp;" - "&amp;OFFSET('Player Game Board'!Q10,Q6-1,A17),"")</f>
        <v xml:space="preserve"> - </v>
      </c>
      <c r="R17" s="22" t="str">
        <f ca="1">IF(C17&lt;&gt;"",OFFSET('Player Game Board'!P10,R6-1,A17)&amp;" - "&amp;OFFSET('Player Game Board'!Q10,R6-1,A17),"")</f>
        <v xml:space="preserve"> - </v>
      </c>
      <c r="S17" s="22" t="str">
        <f ca="1">IF(C17&lt;&gt;"",OFFSET('Player Game Board'!P10,S6-1,A17)&amp;" - "&amp;OFFSET('Player Game Board'!Q10,S6-1,A17),"")</f>
        <v xml:space="preserve"> - </v>
      </c>
      <c r="T17" s="22" t="str">
        <f ca="1">IF(C17&lt;&gt;"",OFFSET('Player Game Board'!P10,T6-1,A17)&amp;" - "&amp;OFFSET('Player Game Board'!Q10,T6-1,A17),"")</f>
        <v xml:space="preserve"> - </v>
      </c>
      <c r="U17" s="22" t="str">
        <f ca="1">IF(C17&lt;&gt;"",OFFSET('Player Game Board'!P10,U6-1,A17)&amp;" - "&amp;OFFSET('Player Game Board'!Q10,U6-1,A17),"")</f>
        <v xml:space="preserve"> - </v>
      </c>
      <c r="V17" s="22" t="str">
        <f ca="1">IF(C17&lt;&gt;"",OFFSET('Player Game Board'!P10,V6-1,A17)&amp;" - "&amp;OFFSET('Player Game Board'!Q10,V6-1,A17),"")</f>
        <v xml:space="preserve"> - </v>
      </c>
      <c r="W17" s="22" t="str">
        <f ca="1">IF(C17&lt;&gt;"",OFFSET('Player Game Board'!P10,W6-1,A17)&amp;" - "&amp;OFFSET('Player Game Board'!Q10,W6-1,A17),"")</f>
        <v xml:space="preserve"> - </v>
      </c>
      <c r="X17" s="22" t="str">
        <f ca="1">IF(C17&lt;&gt;"",OFFSET('Player Game Board'!P10,X6-1,A17)&amp;" - "&amp;OFFSET('Player Game Board'!Q10,X6-1,A17),"")</f>
        <v xml:space="preserve"> - </v>
      </c>
      <c r="Y17" s="22" t="str">
        <f ca="1">IF(C17&lt;&gt;"",OFFSET('Player Game Board'!P10,Y6-1,A17)&amp;" - "&amp;OFFSET('Player Game Board'!Q10,Y6-1,A17),"")</f>
        <v xml:space="preserve"> - </v>
      </c>
      <c r="Z17" s="22" t="str">
        <f ca="1">IF(C17&lt;&gt;"",OFFSET('Player Game Board'!P10,Z6-1,A17)&amp;" - "&amp;OFFSET('Player Game Board'!Q10,Z6-1,A17),"")</f>
        <v xml:space="preserve"> - </v>
      </c>
      <c r="AA17" s="22" t="str">
        <f ca="1">IF(C17&lt;&gt;"",OFFSET('Player Game Board'!P10,AA6-1,A17)&amp;" - "&amp;OFFSET('Player Game Board'!Q10,AA6-1,A17),"")</f>
        <v xml:space="preserve"> - </v>
      </c>
      <c r="AB17" s="22" t="str">
        <f ca="1">IF(C17&lt;&gt;"",OFFSET('Player Game Board'!P10,AB6-1,A17)&amp;" - "&amp;OFFSET('Player Game Board'!Q10,AB6-1,A17),"")</f>
        <v xml:space="preserve"> - </v>
      </c>
      <c r="AC17" s="22" t="str">
        <f ca="1">IF(C17&lt;&gt;"",OFFSET('Player Game Board'!P10,AC6-1,A17)&amp;" - "&amp;OFFSET('Player Game Board'!Q10,AC6-1,A17),"")</f>
        <v xml:space="preserve"> - </v>
      </c>
      <c r="AD17" s="22" t="str">
        <f ca="1">IF(C17&lt;&gt;"",OFFSET('Player Game Board'!P10,AD6-1,A17)&amp;" - "&amp;OFFSET('Player Game Board'!Q10,AD6-1,A17),"")</f>
        <v xml:space="preserve"> - </v>
      </c>
      <c r="AE17" s="22" t="str">
        <f ca="1">IF(C17&lt;&gt;"",OFFSET('Player Game Board'!P10,AE6-1,A17)&amp;" - "&amp;OFFSET('Player Game Board'!Q10,AE6-1,A17),"")</f>
        <v xml:space="preserve"> - </v>
      </c>
      <c r="AF17" s="22" t="str">
        <f ca="1">IF(C17&lt;&gt;"",OFFSET('Player Game Board'!P10,AF6-1,A17)&amp;" - "&amp;OFFSET('Player Game Board'!Q10,AF6-1,A17),"")</f>
        <v xml:space="preserve"> - </v>
      </c>
      <c r="AG17" s="22" t="str">
        <f ca="1">IF(C17&lt;&gt;"",OFFSET('Player Game Board'!P10,AG6-1,A17)&amp;" - "&amp;OFFSET('Player Game Board'!Q10,AG6-1,A17),"")</f>
        <v xml:space="preserve"> - </v>
      </c>
      <c r="AH17" s="22" t="str">
        <f ca="1">IF(C17&lt;&gt;"",OFFSET('Player Game Board'!P10,AH6-1,A17)&amp;" - "&amp;OFFSET('Player Game Board'!Q10,AH6-1,A17),"")</f>
        <v xml:space="preserve"> - </v>
      </c>
      <c r="AI17" s="22" t="str">
        <f ca="1">IF(C17&lt;&gt;"",OFFSET('Player Game Board'!P10,AI6-1,A17)&amp;" - "&amp;OFFSET('Player Game Board'!Q10,AI6-1,A17),"")</f>
        <v xml:space="preserve"> - </v>
      </c>
      <c r="AJ17" s="22" t="str">
        <f ca="1">IF(C17&lt;&gt;"",OFFSET('Player Game Board'!P10,AJ6-1,A17)&amp;" - "&amp;OFFSET('Player Game Board'!Q10,AJ6-1,A17),"")</f>
        <v xml:space="preserve"> - </v>
      </c>
      <c r="AK17" s="22" t="str">
        <f ca="1">IF(C17&lt;&gt;"",OFFSET('Player Game Board'!P10,AK6-1,A17)&amp;" - "&amp;OFFSET('Player Game Board'!Q10,AK6-1,A17),"")</f>
        <v xml:space="preserve"> - </v>
      </c>
      <c r="AL17" s="22" t="str">
        <f ca="1">IF(C17&lt;&gt;"",OFFSET('Player Game Board'!P10,AL6-1,A17)&amp;" - "&amp;OFFSET('Player Game Board'!Q10,AL6-1,A17),"")</f>
        <v xml:space="preserve"> - </v>
      </c>
      <c r="AM17" s="22" t="str">
        <f ca="1">IF(C17&lt;&gt;"",OFFSET('Player Game Board'!P10,AM6-1,A17)&amp;" - "&amp;OFFSET('Player Game Board'!Q10,AM6-1,A17),"")</f>
        <v xml:space="preserve"> - </v>
      </c>
      <c r="AN17" s="22" t="str">
        <f ca="1">IF(C17&lt;&gt;"",OFFSET('Player Game Board'!P10,AN6-1,A17)&amp;" - "&amp;OFFSET('Player Game Board'!Q10,AN6-1,A17),"")</f>
        <v xml:space="preserve"> - </v>
      </c>
      <c r="AO17" s="22" t="str">
        <f ca="1">IF(C17&lt;&gt;"",OFFSET('Player Game Board'!P10,AO6-1,A17)&amp;" - "&amp;OFFSET('Player Game Board'!Q10,AO6-1,A17),"")</f>
        <v xml:space="preserve"> - </v>
      </c>
      <c r="AP17" s="22" t="str">
        <f ca="1">IF(C17&lt;&gt;"",OFFSET('Player Game Board'!P10,AP6-1,A17)&amp;" - "&amp;OFFSET('Player Game Board'!Q10,AP6-1,A17),"")</f>
        <v xml:space="preserve"> - </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4.4" x14ac:dyDescent="0.3">
      <c r="A18" s="133">
        <f t="shared" si="4"/>
        <v>80</v>
      </c>
      <c r="B18" s="29">
        <v>9</v>
      </c>
      <c r="C18" s="272" t="str">
        <f>IF('Player Setup'!C14&lt;&gt;"",'Player Setup'!C14,"")</f>
        <v>Player</v>
      </c>
      <c r="D18" s="22">
        <f t="shared" ca="1" si="3"/>
        <v>0</v>
      </c>
      <c r="E18" s="23">
        <f ca="1">IF(C18&lt;&gt;"",OFFSET('Player Game Board'!N9,G6-1,A18),0)</f>
        <v>0</v>
      </c>
      <c r="F18" s="22">
        <f ca="1">IF(C18&lt;&gt;"",OFFSET('Player Game Board'!N52,G6-1,A18),0)</f>
        <v>0</v>
      </c>
      <c r="G18" s="22" t="str">
        <f ca="1">IF(C18&lt;&gt;"",OFFSET('Player Game Board'!P10,G6-1,A18)&amp;" - "&amp;OFFSET('Player Game Board'!Q10,G6-1,A18),"")</f>
        <v xml:space="preserve"> - </v>
      </c>
      <c r="H18" s="22" t="str">
        <f ca="1">IF(C18&lt;&gt;"",OFFSET('Player Game Board'!P10,H6-1,A18)&amp;" - "&amp;OFFSET('Player Game Board'!Q10,H6-1,A18),"")</f>
        <v xml:space="preserve"> - </v>
      </c>
      <c r="I18" s="22" t="str">
        <f ca="1">IF(C18&lt;&gt;"",OFFSET('Player Game Board'!P10,I6-1,A18)&amp;" - "&amp;OFFSET('Player Game Board'!Q10,I6-1,A18),"")</f>
        <v xml:space="preserve"> - </v>
      </c>
      <c r="J18" s="22" t="str">
        <f ca="1">IF(C18&lt;&gt;"",OFFSET('Player Game Board'!P10,J6-1,A18)&amp;" - "&amp;OFFSET('Player Game Board'!Q10,J6-1,A18),"")</f>
        <v xml:space="preserve"> - </v>
      </c>
      <c r="K18" s="22" t="str">
        <f ca="1">IF(C18&lt;&gt;"",OFFSET('Player Game Board'!P10,K6-1,A18)&amp;" - "&amp;OFFSET('Player Game Board'!Q10,K6-1,A18),"")</f>
        <v xml:space="preserve"> - </v>
      </c>
      <c r="L18" s="22" t="str">
        <f ca="1">IF(C18&lt;&gt;"",OFFSET('Player Game Board'!P10,L6-1,A18)&amp;" - "&amp;OFFSET('Player Game Board'!Q10,L6-1,A18),"")</f>
        <v xml:space="preserve"> - </v>
      </c>
      <c r="M18" s="22" t="str">
        <f ca="1">IF(C18&lt;&gt;"",OFFSET('Player Game Board'!P10,M6-1,A18)&amp;" - "&amp;OFFSET('Player Game Board'!Q10,M6-1,A18),"")</f>
        <v xml:space="preserve"> - </v>
      </c>
      <c r="N18" s="22" t="str">
        <f ca="1">IF(C18&lt;&gt;"",OFFSET('Player Game Board'!P10,N6-1,A18)&amp;" - "&amp;OFFSET('Player Game Board'!Q10,N6-1,A18),"")</f>
        <v xml:space="preserve"> - </v>
      </c>
      <c r="O18" s="22" t="str">
        <f ca="1">IF(C18&lt;&gt;"",OFFSET('Player Game Board'!P10,O6-1,A18)&amp;" - "&amp;OFFSET('Player Game Board'!Q10,O6-1,A18),"")</f>
        <v xml:space="preserve"> - </v>
      </c>
      <c r="P18" s="22" t="str">
        <f ca="1">IF(C18&lt;&gt;"",OFFSET('Player Game Board'!P10,P6-1,A18)&amp;" - "&amp;OFFSET('Player Game Board'!Q10,P6-1,A18),"")</f>
        <v xml:space="preserve"> - </v>
      </c>
      <c r="Q18" s="22" t="str">
        <f ca="1">IF(C18&lt;&gt;"",OFFSET('Player Game Board'!P10,Q6-1,A18)&amp;" - "&amp;OFFSET('Player Game Board'!Q10,Q6-1,A18),"")</f>
        <v xml:space="preserve"> - </v>
      </c>
      <c r="R18" s="22" t="str">
        <f ca="1">IF(C18&lt;&gt;"",OFFSET('Player Game Board'!P10,R6-1,A18)&amp;" - "&amp;OFFSET('Player Game Board'!Q10,R6-1,A18),"")</f>
        <v xml:space="preserve"> - </v>
      </c>
      <c r="S18" s="22" t="str">
        <f ca="1">IF(C18&lt;&gt;"",OFFSET('Player Game Board'!P10,S6-1,A18)&amp;" - "&amp;OFFSET('Player Game Board'!Q10,S6-1,A18),"")</f>
        <v xml:space="preserve"> - </v>
      </c>
      <c r="T18" s="22" t="str">
        <f ca="1">IF(C18&lt;&gt;"",OFFSET('Player Game Board'!P10,T6-1,A18)&amp;" - "&amp;OFFSET('Player Game Board'!Q10,T6-1,A18),"")</f>
        <v xml:space="preserve"> - </v>
      </c>
      <c r="U18" s="22" t="str">
        <f ca="1">IF(C18&lt;&gt;"",OFFSET('Player Game Board'!P10,U6-1,A18)&amp;" - "&amp;OFFSET('Player Game Board'!Q10,U6-1,A18),"")</f>
        <v xml:space="preserve"> - </v>
      </c>
      <c r="V18" s="22" t="str">
        <f ca="1">IF(C18&lt;&gt;"",OFFSET('Player Game Board'!P10,V6-1,A18)&amp;" - "&amp;OFFSET('Player Game Board'!Q10,V6-1,A18),"")</f>
        <v xml:space="preserve"> - </v>
      </c>
      <c r="W18" s="22" t="str">
        <f ca="1">IF(C18&lt;&gt;"",OFFSET('Player Game Board'!P10,W6-1,A18)&amp;" - "&amp;OFFSET('Player Game Board'!Q10,W6-1,A18),"")</f>
        <v xml:space="preserve"> - </v>
      </c>
      <c r="X18" s="22" t="str">
        <f ca="1">IF(C18&lt;&gt;"",OFFSET('Player Game Board'!P10,X6-1,A18)&amp;" - "&amp;OFFSET('Player Game Board'!Q10,X6-1,A18),"")</f>
        <v xml:space="preserve"> - </v>
      </c>
      <c r="Y18" s="22" t="str">
        <f ca="1">IF(C18&lt;&gt;"",OFFSET('Player Game Board'!P10,Y6-1,A18)&amp;" - "&amp;OFFSET('Player Game Board'!Q10,Y6-1,A18),"")</f>
        <v xml:space="preserve"> - </v>
      </c>
      <c r="Z18" s="22" t="str">
        <f ca="1">IF(C18&lt;&gt;"",OFFSET('Player Game Board'!P10,Z6-1,A18)&amp;" - "&amp;OFFSET('Player Game Board'!Q10,Z6-1,A18),"")</f>
        <v xml:space="preserve"> - </v>
      </c>
      <c r="AA18" s="22" t="str">
        <f ca="1">IF(C18&lt;&gt;"",OFFSET('Player Game Board'!P10,AA6-1,A18)&amp;" - "&amp;OFFSET('Player Game Board'!Q10,AA6-1,A18),"")</f>
        <v xml:space="preserve"> - </v>
      </c>
      <c r="AB18" s="22" t="str">
        <f ca="1">IF(C18&lt;&gt;"",OFFSET('Player Game Board'!P10,AB6-1,A18)&amp;" - "&amp;OFFSET('Player Game Board'!Q10,AB6-1,A18),"")</f>
        <v xml:space="preserve"> - </v>
      </c>
      <c r="AC18" s="22" t="str">
        <f ca="1">IF(C18&lt;&gt;"",OFFSET('Player Game Board'!P10,AC6-1,A18)&amp;" - "&amp;OFFSET('Player Game Board'!Q10,AC6-1,A18),"")</f>
        <v xml:space="preserve"> - </v>
      </c>
      <c r="AD18" s="22" t="str">
        <f ca="1">IF(C18&lt;&gt;"",OFFSET('Player Game Board'!P10,AD6-1,A18)&amp;" - "&amp;OFFSET('Player Game Board'!Q10,AD6-1,A18),"")</f>
        <v xml:space="preserve"> - </v>
      </c>
      <c r="AE18" s="22" t="str">
        <f ca="1">IF(C18&lt;&gt;"",OFFSET('Player Game Board'!P10,AE6-1,A18)&amp;" - "&amp;OFFSET('Player Game Board'!Q10,AE6-1,A18),"")</f>
        <v xml:space="preserve"> - </v>
      </c>
      <c r="AF18" s="22" t="str">
        <f ca="1">IF(C18&lt;&gt;"",OFFSET('Player Game Board'!P10,AF6-1,A18)&amp;" - "&amp;OFFSET('Player Game Board'!Q10,AF6-1,A18),"")</f>
        <v xml:space="preserve"> - </v>
      </c>
      <c r="AG18" s="22" t="str">
        <f ca="1">IF(C18&lt;&gt;"",OFFSET('Player Game Board'!P10,AG6-1,A18)&amp;" - "&amp;OFFSET('Player Game Board'!Q10,AG6-1,A18),"")</f>
        <v xml:space="preserve"> - </v>
      </c>
      <c r="AH18" s="22" t="str">
        <f ca="1">IF(C18&lt;&gt;"",OFFSET('Player Game Board'!P10,AH6-1,A18)&amp;" - "&amp;OFFSET('Player Game Board'!Q10,AH6-1,A18),"")</f>
        <v xml:space="preserve"> - </v>
      </c>
      <c r="AI18" s="22" t="str">
        <f ca="1">IF(C18&lt;&gt;"",OFFSET('Player Game Board'!P10,AI6-1,A18)&amp;" - "&amp;OFFSET('Player Game Board'!Q10,AI6-1,A18),"")</f>
        <v xml:space="preserve"> - </v>
      </c>
      <c r="AJ18" s="22" t="str">
        <f ca="1">IF(C18&lt;&gt;"",OFFSET('Player Game Board'!P10,AJ6-1,A18)&amp;" - "&amp;OFFSET('Player Game Board'!Q10,AJ6-1,A18),"")</f>
        <v xml:space="preserve"> - </v>
      </c>
      <c r="AK18" s="22" t="str">
        <f ca="1">IF(C18&lt;&gt;"",OFFSET('Player Game Board'!P10,AK6-1,A18)&amp;" - "&amp;OFFSET('Player Game Board'!Q10,AK6-1,A18),"")</f>
        <v xml:space="preserve"> - </v>
      </c>
      <c r="AL18" s="22" t="str">
        <f ca="1">IF(C18&lt;&gt;"",OFFSET('Player Game Board'!P10,AL6-1,A18)&amp;" - "&amp;OFFSET('Player Game Board'!Q10,AL6-1,A18),"")</f>
        <v xml:space="preserve"> - </v>
      </c>
      <c r="AM18" s="22" t="str">
        <f ca="1">IF(C18&lt;&gt;"",OFFSET('Player Game Board'!P10,AM6-1,A18)&amp;" - "&amp;OFFSET('Player Game Board'!Q10,AM6-1,A18),"")</f>
        <v xml:space="preserve"> - </v>
      </c>
      <c r="AN18" s="22" t="str">
        <f ca="1">IF(C18&lt;&gt;"",OFFSET('Player Game Board'!P10,AN6-1,A18)&amp;" - "&amp;OFFSET('Player Game Board'!Q10,AN6-1,A18),"")</f>
        <v xml:space="preserve"> - </v>
      </c>
      <c r="AO18" s="22" t="str">
        <f ca="1">IF(C18&lt;&gt;"",OFFSET('Player Game Board'!P10,AO6-1,A18)&amp;" - "&amp;OFFSET('Player Game Board'!Q10,AO6-1,A18),"")</f>
        <v xml:space="preserve"> - </v>
      </c>
      <c r="AP18" s="22" t="str">
        <f ca="1">IF(C18&lt;&gt;"",OFFSET('Player Game Board'!P10,AP6-1,A18)&amp;" - "&amp;OFFSET('Player Game Board'!Q10,AP6-1,A18),"")</f>
        <v xml:space="preserve"> - </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2" t="str">
        <f>IF('Player Setup'!C15&lt;&gt;"",'Player Setup'!C15,"")</f>
        <v>Player</v>
      </c>
      <c r="D19" s="22">
        <f t="shared" ca="1" si="3"/>
        <v>0</v>
      </c>
      <c r="E19" s="23">
        <f ca="1">IF(C19&lt;&gt;"",OFFSET('Player Game Board'!N9,G6-1,A19),0)</f>
        <v>0</v>
      </c>
      <c r="F19" s="22">
        <f ca="1">IF(C19&lt;&gt;"",OFFSET('Player Game Board'!N52,G6-1,A19),0)</f>
        <v>0</v>
      </c>
      <c r="G19" s="22" t="str">
        <f ca="1">IF(C19&lt;&gt;"",OFFSET('Player Game Board'!P10,G6-1,A19)&amp;" - "&amp;OFFSET('Player Game Board'!Q10,G6-1,A19),"")</f>
        <v xml:space="preserve"> - </v>
      </c>
      <c r="H19" s="22" t="str">
        <f ca="1">IF(C19&lt;&gt;"",OFFSET('Player Game Board'!P10,H6-1,A19)&amp;" - "&amp;OFFSET('Player Game Board'!Q10,H6-1,A19),"")</f>
        <v xml:space="preserve"> - </v>
      </c>
      <c r="I19" s="22" t="str">
        <f ca="1">IF(C19&lt;&gt;"",OFFSET('Player Game Board'!P10,I6-1,A19)&amp;" - "&amp;OFFSET('Player Game Board'!Q10,I6-1,A19),"")</f>
        <v xml:space="preserve"> - </v>
      </c>
      <c r="J19" s="22" t="str">
        <f ca="1">IF(C19&lt;&gt;"",OFFSET('Player Game Board'!P10,J6-1,A19)&amp;" - "&amp;OFFSET('Player Game Board'!Q10,J6-1,A19),"")</f>
        <v xml:space="preserve"> - </v>
      </c>
      <c r="K19" s="22" t="str">
        <f ca="1">IF(C19&lt;&gt;"",OFFSET('Player Game Board'!P10,K6-1,A19)&amp;" - "&amp;OFFSET('Player Game Board'!Q10,K6-1,A19),"")</f>
        <v xml:space="preserve"> - </v>
      </c>
      <c r="L19" s="22" t="str">
        <f ca="1">IF(C19&lt;&gt;"",OFFSET('Player Game Board'!P10,L6-1,A19)&amp;" - "&amp;OFFSET('Player Game Board'!Q10,L6-1,A19),"")</f>
        <v xml:space="preserve"> - </v>
      </c>
      <c r="M19" s="22" t="str">
        <f ca="1">IF(C19&lt;&gt;"",OFFSET('Player Game Board'!P10,M6-1,A19)&amp;" - "&amp;OFFSET('Player Game Board'!Q10,M6-1,A19),"")</f>
        <v xml:space="preserve"> - </v>
      </c>
      <c r="N19" s="22" t="str">
        <f ca="1">IF(C19&lt;&gt;"",OFFSET('Player Game Board'!P10,N6-1,A19)&amp;" - "&amp;OFFSET('Player Game Board'!Q10,N6-1,A19),"")</f>
        <v xml:space="preserve"> - </v>
      </c>
      <c r="O19" s="22" t="str">
        <f ca="1">IF(C19&lt;&gt;"",OFFSET('Player Game Board'!P10,O6-1,A19)&amp;" - "&amp;OFFSET('Player Game Board'!Q10,O6-1,A19),"")</f>
        <v xml:space="preserve"> - </v>
      </c>
      <c r="P19" s="22" t="str">
        <f ca="1">IF(C19&lt;&gt;"",OFFSET('Player Game Board'!P10,P6-1,A19)&amp;" - "&amp;OFFSET('Player Game Board'!Q10,P6-1,A19),"")</f>
        <v xml:space="preserve"> - </v>
      </c>
      <c r="Q19" s="22" t="str">
        <f ca="1">IF(C19&lt;&gt;"",OFFSET('Player Game Board'!P10,Q6-1,A19)&amp;" - "&amp;OFFSET('Player Game Board'!Q10,Q6-1,A19),"")</f>
        <v xml:space="preserve"> - </v>
      </c>
      <c r="R19" s="22" t="str">
        <f ca="1">IF(C19&lt;&gt;"",OFFSET('Player Game Board'!P10,R6-1,A19)&amp;" - "&amp;OFFSET('Player Game Board'!Q10,R6-1,A19),"")</f>
        <v xml:space="preserve"> - </v>
      </c>
      <c r="S19" s="22" t="str">
        <f ca="1">IF(C19&lt;&gt;"",OFFSET('Player Game Board'!P10,S6-1,A19)&amp;" - "&amp;OFFSET('Player Game Board'!Q10,S6-1,A19),"")</f>
        <v xml:space="preserve"> - </v>
      </c>
      <c r="T19" s="22" t="str">
        <f ca="1">IF(C19&lt;&gt;"",OFFSET('Player Game Board'!P10,T6-1,A19)&amp;" - "&amp;OFFSET('Player Game Board'!Q10,T6-1,A19),"")</f>
        <v xml:space="preserve"> - </v>
      </c>
      <c r="U19" s="22" t="str">
        <f ca="1">IF(C19&lt;&gt;"",OFFSET('Player Game Board'!P10,U6-1,A19)&amp;" - "&amp;OFFSET('Player Game Board'!Q10,U6-1,A19),"")</f>
        <v xml:space="preserve"> - </v>
      </c>
      <c r="V19" s="22" t="str">
        <f ca="1">IF(C19&lt;&gt;"",OFFSET('Player Game Board'!P10,V6-1,A19)&amp;" - "&amp;OFFSET('Player Game Board'!Q10,V6-1,A19),"")</f>
        <v xml:space="preserve"> - </v>
      </c>
      <c r="W19" s="22" t="str">
        <f ca="1">IF(C19&lt;&gt;"",OFFSET('Player Game Board'!P10,W6-1,A19)&amp;" - "&amp;OFFSET('Player Game Board'!Q10,W6-1,A19),"")</f>
        <v xml:space="preserve"> - </v>
      </c>
      <c r="X19" s="22" t="str">
        <f ca="1">IF(C19&lt;&gt;"",OFFSET('Player Game Board'!P10,X6-1,A19)&amp;" - "&amp;OFFSET('Player Game Board'!Q10,X6-1,A19),"")</f>
        <v xml:space="preserve"> - </v>
      </c>
      <c r="Y19" s="22" t="str">
        <f ca="1">IF(C19&lt;&gt;"",OFFSET('Player Game Board'!P10,Y6-1,A19)&amp;" - "&amp;OFFSET('Player Game Board'!Q10,Y6-1,A19),"")</f>
        <v xml:space="preserve"> - </v>
      </c>
      <c r="Z19" s="22" t="str">
        <f ca="1">IF(C19&lt;&gt;"",OFFSET('Player Game Board'!P10,Z6-1,A19)&amp;" - "&amp;OFFSET('Player Game Board'!Q10,Z6-1,A19),"")</f>
        <v xml:space="preserve"> - </v>
      </c>
      <c r="AA19" s="22" t="str">
        <f ca="1">IF(C19&lt;&gt;"",OFFSET('Player Game Board'!P10,AA6-1,A19)&amp;" - "&amp;OFFSET('Player Game Board'!Q10,AA6-1,A19),"")</f>
        <v xml:space="preserve"> - </v>
      </c>
      <c r="AB19" s="22" t="str">
        <f ca="1">IF(C19&lt;&gt;"",OFFSET('Player Game Board'!P10,AB6-1,A19)&amp;" - "&amp;OFFSET('Player Game Board'!Q10,AB6-1,A19),"")</f>
        <v xml:space="preserve"> - </v>
      </c>
      <c r="AC19" s="22" t="str">
        <f ca="1">IF(C19&lt;&gt;"",OFFSET('Player Game Board'!P10,AC6-1,A19)&amp;" - "&amp;OFFSET('Player Game Board'!Q10,AC6-1,A19),"")</f>
        <v xml:space="preserve"> - </v>
      </c>
      <c r="AD19" s="22" t="str">
        <f ca="1">IF(C19&lt;&gt;"",OFFSET('Player Game Board'!P10,AD6-1,A19)&amp;" - "&amp;OFFSET('Player Game Board'!Q10,AD6-1,A19),"")</f>
        <v xml:space="preserve"> - </v>
      </c>
      <c r="AE19" s="22" t="str">
        <f ca="1">IF(C19&lt;&gt;"",OFFSET('Player Game Board'!P10,AE6-1,A19)&amp;" - "&amp;OFFSET('Player Game Board'!Q10,AE6-1,A19),"")</f>
        <v xml:space="preserve"> - </v>
      </c>
      <c r="AF19" s="22" t="str">
        <f ca="1">IF(C19&lt;&gt;"",OFFSET('Player Game Board'!P10,AF6-1,A19)&amp;" - "&amp;OFFSET('Player Game Board'!Q10,AF6-1,A19),"")</f>
        <v xml:space="preserve"> - </v>
      </c>
      <c r="AG19" s="22" t="str">
        <f ca="1">IF(C19&lt;&gt;"",OFFSET('Player Game Board'!P10,AG6-1,A19)&amp;" - "&amp;OFFSET('Player Game Board'!Q10,AG6-1,A19),"")</f>
        <v xml:space="preserve"> - </v>
      </c>
      <c r="AH19" s="22" t="str">
        <f ca="1">IF(C19&lt;&gt;"",OFFSET('Player Game Board'!P10,AH6-1,A19)&amp;" - "&amp;OFFSET('Player Game Board'!Q10,AH6-1,A19),"")</f>
        <v xml:space="preserve"> - </v>
      </c>
      <c r="AI19" s="22" t="str">
        <f ca="1">IF(C19&lt;&gt;"",OFFSET('Player Game Board'!P10,AI6-1,A19)&amp;" - "&amp;OFFSET('Player Game Board'!Q10,AI6-1,A19),"")</f>
        <v xml:space="preserve"> - </v>
      </c>
      <c r="AJ19" s="22" t="str">
        <f ca="1">IF(C19&lt;&gt;"",OFFSET('Player Game Board'!P10,AJ6-1,A19)&amp;" - "&amp;OFFSET('Player Game Board'!Q10,AJ6-1,A19),"")</f>
        <v xml:space="preserve"> - </v>
      </c>
      <c r="AK19" s="22" t="str">
        <f ca="1">IF(C19&lt;&gt;"",OFFSET('Player Game Board'!P10,AK6-1,A19)&amp;" - "&amp;OFFSET('Player Game Board'!Q10,AK6-1,A19),"")</f>
        <v xml:space="preserve"> - </v>
      </c>
      <c r="AL19" s="22" t="str">
        <f ca="1">IF(C19&lt;&gt;"",OFFSET('Player Game Board'!P10,AL6-1,A19)&amp;" - "&amp;OFFSET('Player Game Board'!Q10,AL6-1,A19),"")</f>
        <v xml:space="preserve"> - </v>
      </c>
      <c r="AM19" s="22" t="str">
        <f ca="1">IF(C19&lt;&gt;"",OFFSET('Player Game Board'!P10,AM6-1,A19)&amp;" - "&amp;OFFSET('Player Game Board'!Q10,AM6-1,A19),"")</f>
        <v xml:space="preserve"> - </v>
      </c>
      <c r="AN19" s="22" t="str">
        <f ca="1">IF(C19&lt;&gt;"",OFFSET('Player Game Board'!P10,AN6-1,A19)&amp;" - "&amp;OFFSET('Player Game Board'!Q10,AN6-1,A19),"")</f>
        <v xml:space="preserve"> - </v>
      </c>
      <c r="AO19" s="22" t="str">
        <f ca="1">IF(C19&lt;&gt;"",OFFSET('Player Game Board'!P10,AO6-1,A19)&amp;" - "&amp;OFFSET('Player Game Board'!Q10,AO6-1,A19),"")</f>
        <v xml:space="preserve"> - </v>
      </c>
      <c r="AP19" s="22" t="str">
        <f ca="1">IF(C19&lt;&gt;"",OFFSET('Player Game Board'!P10,AP6-1,A19)&amp;" - "&amp;OFFSET('Player Game Board'!Q10,AP6-1,A19),"")</f>
        <v xml:space="preserve"> - </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175</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176</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177</v>
      </c>
      <c r="C5" s="138"/>
    </row>
    <row r="6" spans="2:8" ht="15" customHeight="1" x14ac:dyDescent="0.25">
      <c r="B6" s="137">
        <v>1</v>
      </c>
      <c r="C6" s="39" t="s">
        <v>178</v>
      </c>
      <c r="D6" s="188" t="s">
        <v>14</v>
      </c>
      <c r="E6" s="400" t="s">
        <v>179</v>
      </c>
    </row>
    <row r="7" spans="2:8" ht="15" customHeight="1" x14ac:dyDescent="0.25">
      <c r="B7" s="137">
        <v>2</v>
      </c>
      <c r="C7" s="39" t="s">
        <v>180</v>
      </c>
      <c r="E7" s="400"/>
    </row>
    <row r="8" spans="2:8" ht="15" customHeight="1" x14ac:dyDescent="0.25">
      <c r="B8" s="137">
        <v>3</v>
      </c>
      <c r="C8" s="39" t="s">
        <v>181</v>
      </c>
      <c r="E8" s="400"/>
    </row>
    <row r="9" spans="2:8" ht="15" customHeight="1" x14ac:dyDescent="0.25">
      <c r="B9" s="137">
        <v>4</v>
      </c>
      <c r="C9" s="39" t="s">
        <v>182</v>
      </c>
      <c r="E9" s="400"/>
    </row>
    <row r="10" spans="2:8" ht="15" customHeight="1" x14ac:dyDescent="0.25">
      <c r="B10" s="137">
        <v>5</v>
      </c>
      <c r="C10" s="39" t="s">
        <v>183</v>
      </c>
      <c r="E10" s="400"/>
    </row>
    <row r="11" spans="2:8" ht="15" customHeight="1" x14ac:dyDescent="0.25">
      <c r="B11" s="137">
        <v>6</v>
      </c>
      <c r="C11" s="39" t="s">
        <v>184</v>
      </c>
      <c r="E11" s="400"/>
    </row>
    <row r="12" spans="2:8" ht="15" customHeight="1" x14ac:dyDescent="0.25">
      <c r="B12" s="137">
        <v>7</v>
      </c>
      <c r="C12" s="39" t="s">
        <v>185</v>
      </c>
      <c r="E12" s="400"/>
    </row>
    <row r="13" spans="2:8" ht="15" customHeight="1" x14ac:dyDescent="0.25">
      <c r="B13" s="137">
        <v>8</v>
      </c>
      <c r="C13" s="39" t="s">
        <v>186</v>
      </c>
      <c r="E13" s="400"/>
    </row>
    <row r="14" spans="2:8" ht="15" customHeight="1" x14ac:dyDescent="0.25">
      <c r="B14" s="137">
        <v>9</v>
      </c>
      <c r="C14" s="39" t="s">
        <v>187</v>
      </c>
      <c r="E14" s="400"/>
    </row>
    <row r="15" spans="2:8" ht="15" customHeight="1" x14ac:dyDescent="0.25">
      <c r="B15" s="137">
        <v>10</v>
      </c>
      <c r="C15" s="39" t="s">
        <v>188</v>
      </c>
    </row>
    <row r="16" spans="2:8" ht="15" customHeight="1" x14ac:dyDescent="0.25">
      <c r="B16" s="137">
        <v>11</v>
      </c>
      <c r="C16" s="39" t="s">
        <v>189</v>
      </c>
    </row>
    <row r="17" spans="2:3" ht="15" customHeight="1" x14ac:dyDescent="0.25">
      <c r="B17" s="137">
        <v>12</v>
      </c>
      <c r="C17" s="39" t="s">
        <v>190</v>
      </c>
    </row>
    <row r="18" spans="2:3" ht="15" customHeight="1" x14ac:dyDescent="0.25">
      <c r="B18" s="137">
        <v>13</v>
      </c>
      <c r="C18" s="39" t="s">
        <v>191</v>
      </c>
    </row>
    <row r="19" spans="2:3" ht="15" customHeight="1" x14ac:dyDescent="0.25">
      <c r="B19" s="137">
        <v>14</v>
      </c>
      <c r="C19" s="39" t="s">
        <v>192</v>
      </c>
    </row>
    <row r="20" spans="2:3" ht="15" customHeight="1" x14ac:dyDescent="0.25">
      <c r="B20" s="137">
        <v>15</v>
      </c>
      <c r="C20" s="39" t="s">
        <v>193</v>
      </c>
    </row>
    <row r="21" spans="2:3" ht="15" customHeight="1" x14ac:dyDescent="0.25">
      <c r="B21" s="137">
        <v>16</v>
      </c>
      <c r="C21" s="39" t="s">
        <v>194</v>
      </c>
    </row>
    <row r="22" spans="2:3" ht="15" customHeight="1" x14ac:dyDescent="0.25">
      <c r="B22" s="137">
        <v>17</v>
      </c>
      <c r="C22" s="39" t="s">
        <v>195</v>
      </c>
    </row>
    <row r="23" spans="2:3" ht="15" customHeight="1" x14ac:dyDescent="0.25">
      <c r="B23" s="137">
        <v>18</v>
      </c>
      <c r="C23" s="39" t="s">
        <v>196</v>
      </c>
    </row>
    <row r="24" spans="2:3" ht="15" customHeight="1" x14ac:dyDescent="0.25">
      <c r="B24" s="137">
        <v>19</v>
      </c>
      <c r="C24" s="39" t="s">
        <v>197</v>
      </c>
    </row>
    <row r="25" spans="2:3" ht="15" customHeight="1" x14ac:dyDescent="0.25">
      <c r="B25" s="137">
        <v>20</v>
      </c>
      <c r="C25" s="39" t="s">
        <v>198</v>
      </c>
    </row>
    <row r="26" spans="2:3" ht="15" customHeight="1" x14ac:dyDescent="0.25">
      <c r="B26" s="137">
        <v>21</v>
      </c>
      <c r="C26" s="39" t="s">
        <v>199</v>
      </c>
    </row>
    <row r="27" spans="2:3" ht="15" customHeight="1" x14ac:dyDescent="0.25">
      <c r="B27" s="137">
        <v>22</v>
      </c>
      <c r="C27" s="39" t="s">
        <v>200</v>
      </c>
    </row>
    <row r="28" spans="2:3" ht="15" customHeight="1" x14ac:dyDescent="0.25">
      <c r="B28" s="137">
        <v>23</v>
      </c>
      <c r="C28" s="39" t="s">
        <v>201</v>
      </c>
    </row>
    <row r="29" spans="2:3" ht="15" customHeight="1" x14ac:dyDescent="0.25">
      <c r="B29" s="137">
        <v>24</v>
      </c>
      <c r="C29" s="39" t="s">
        <v>202</v>
      </c>
    </row>
    <row r="30" spans="2:3" ht="15" customHeight="1" x14ac:dyDescent="0.25">
      <c r="B30" s="137">
        <v>25</v>
      </c>
      <c r="C30" s="39" t="s">
        <v>177</v>
      </c>
    </row>
    <row r="31" spans="2:3" ht="15" customHeight="1" x14ac:dyDescent="0.25">
      <c r="B31" s="137">
        <v>26</v>
      </c>
      <c r="C31" s="39" t="s">
        <v>203</v>
      </c>
    </row>
    <row r="32" spans="2:3" ht="15" customHeight="1" x14ac:dyDescent="0.25">
      <c r="B32" s="137">
        <v>27</v>
      </c>
      <c r="C32" s="39" t="s">
        <v>163</v>
      </c>
    </row>
    <row r="33" spans="2:3" ht="15" customHeight="1" x14ac:dyDescent="0.25">
      <c r="B33" s="137">
        <v>28</v>
      </c>
      <c r="C33" s="39" t="s">
        <v>204</v>
      </c>
    </row>
    <row r="34" spans="2:3" ht="15" customHeight="1" x14ac:dyDescent="0.25">
      <c r="B34" s="137">
        <v>29</v>
      </c>
      <c r="C34" s="39" t="s">
        <v>205</v>
      </c>
    </row>
    <row r="35" spans="2:3" ht="15" customHeight="1" x14ac:dyDescent="0.25">
      <c r="B35" s="137">
        <v>30</v>
      </c>
      <c r="C35" s="39" t="s">
        <v>173</v>
      </c>
    </row>
    <row r="36" spans="2:3" ht="15" customHeight="1" x14ac:dyDescent="0.25">
      <c r="B36" s="137">
        <v>31</v>
      </c>
      <c r="C36" s="39" t="s">
        <v>206</v>
      </c>
    </row>
    <row r="37" spans="2:3" ht="15" customHeight="1" x14ac:dyDescent="0.25">
      <c r="B37" s="137">
        <v>32</v>
      </c>
      <c r="C37" s="39" t="s">
        <v>207</v>
      </c>
    </row>
    <row r="38" spans="2:3" ht="15" customHeight="1" x14ac:dyDescent="0.25">
      <c r="B38" s="137">
        <v>33</v>
      </c>
      <c r="C38" s="39" t="s">
        <v>96</v>
      </c>
    </row>
    <row r="39" spans="2:3" ht="15" customHeight="1" x14ac:dyDescent="0.25">
      <c r="B39" s="137">
        <v>34</v>
      </c>
      <c r="C39" s="39" t="s">
        <v>208</v>
      </c>
    </row>
    <row r="40" spans="2:3" ht="15" customHeight="1" x14ac:dyDescent="0.25">
      <c r="B40" s="137">
        <v>35</v>
      </c>
      <c r="C40" s="39" t="s">
        <v>156</v>
      </c>
    </row>
    <row r="41" spans="2:3" ht="15" customHeight="1" x14ac:dyDescent="0.25">
      <c r="B41" s="137">
        <v>36</v>
      </c>
      <c r="C41" s="39" t="s">
        <v>209</v>
      </c>
    </row>
    <row r="42" spans="2:3" ht="15" customHeight="1" x14ac:dyDescent="0.25">
      <c r="B42" s="137">
        <v>37</v>
      </c>
      <c r="C42" s="39" t="s">
        <v>210</v>
      </c>
    </row>
    <row r="43" spans="2:3" ht="15" customHeight="1" x14ac:dyDescent="0.25">
      <c r="B43" s="137">
        <v>38</v>
      </c>
      <c r="C43" s="39" t="s">
        <v>211</v>
      </c>
    </row>
    <row r="44" spans="2:3" ht="15" customHeight="1" x14ac:dyDescent="0.25">
      <c r="B44" s="137">
        <v>39</v>
      </c>
      <c r="C44" s="39" t="s">
        <v>103</v>
      </c>
    </row>
    <row r="45" spans="2:3" ht="15" customHeight="1" x14ac:dyDescent="0.25">
      <c r="B45" s="137">
        <v>40</v>
      </c>
      <c r="C45" s="39" t="s">
        <v>104</v>
      </c>
    </row>
    <row r="46" spans="2:3" ht="15" customHeight="1" x14ac:dyDescent="0.25">
      <c r="B46" s="137">
        <v>41</v>
      </c>
      <c r="C46" s="39" t="s">
        <v>212</v>
      </c>
    </row>
    <row r="47" spans="2:3" ht="15" customHeight="1" x14ac:dyDescent="0.25">
      <c r="B47" s="137">
        <v>42</v>
      </c>
      <c r="C47" s="39" t="s">
        <v>213</v>
      </c>
    </row>
    <row r="48" spans="2:3" ht="15" customHeight="1" x14ac:dyDescent="0.25">
      <c r="B48" s="137">
        <v>43</v>
      </c>
      <c r="C48" s="39" t="s">
        <v>214</v>
      </c>
    </row>
    <row r="49" spans="2:3" ht="15" customHeight="1" x14ac:dyDescent="0.25">
      <c r="B49" s="137">
        <v>44</v>
      </c>
      <c r="C49" s="39" t="s">
        <v>215</v>
      </c>
    </row>
    <row r="50" spans="2:3" ht="15" customHeight="1" x14ac:dyDescent="0.25">
      <c r="B50" s="137">
        <v>45</v>
      </c>
      <c r="C50" s="39" t="s">
        <v>216</v>
      </c>
    </row>
    <row r="51" spans="2:3" ht="15" customHeight="1" x14ac:dyDescent="0.25">
      <c r="B51" s="137">
        <v>46</v>
      </c>
      <c r="C51" s="39" t="s">
        <v>217</v>
      </c>
    </row>
    <row r="52" spans="2:3" ht="15" customHeight="1" x14ac:dyDescent="0.25">
      <c r="B52" s="137">
        <v>47</v>
      </c>
      <c r="C52" s="39" t="s">
        <v>218</v>
      </c>
    </row>
    <row r="53" spans="2:3" ht="15" customHeight="1" x14ac:dyDescent="0.25">
      <c r="B53" s="137">
        <v>48</v>
      </c>
      <c r="C53" s="39" t="s">
        <v>219</v>
      </c>
    </row>
    <row r="54" spans="2:3" ht="15" customHeight="1" x14ac:dyDescent="0.25">
      <c r="B54" s="137">
        <v>49</v>
      </c>
      <c r="C54" s="39" t="s">
        <v>220</v>
      </c>
    </row>
    <row r="55" spans="2:3" ht="15" customHeight="1" x14ac:dyDescent="0.25">
      <c r="B55" s="137">
        <v>50</v>
      </c>
      <c r="C55" s="39" t="s">
        <v>221</v>
      </c>
    </row>
    <row r="56" spans="2:3" ht="15" customHeight="1" x14ac:dyDescent="0.25">
      <c r="B56" s="137">
        <v>51</v>
      </c>
      <c r="C56" s="39" t="s">
        <v>222</v>
      </c>
    </row>
    <row r="57" spans="2:3" ht="15" customHeight="1" x14ac:dyDescent="0.25">
      <c r="B57" s="137">
        <v>52</v>
      </c>
      <c r="C57" s="39" t="s">
        <v>223</v>
      </c>
    </row>
    <row r="58" spans="2:3" ht="15" customHeight="1" x14ac:dyDescent="0.25">
      <c r="B58" s="137">
        <v>53</v>
      </c>
      <c r="C58" s="39" t="s">
        <v>224</v>
      </c>
    </row>
    <row r="59" spans="2:3" ht="15" customHeight="1" x14ac:dyDescent="0.25">
      <c r="B59" s="137">
        <v>54</v>
      </c>
      <c r="C59" s="39" t="s">
        <v>225</v>
      </c>
    </row>
    <row r="60" spans="2:3" ht="15" customHeight="1" x14ac:dyDescent="0.25">
      <c r="B60" s="137">
        <v>55</v>
      </c>
      <c r="C60" s="39" t="s">
        <v>226</v>
      </c>
    </row>
    <row r="61" spans="2:3" ht="15" customHeight="1" x14ac:dyDescent="0.25">
      <c r="B61" s="137">
        <v>56</v>
      </c>
      <c r="C61" s="39" t="s">
        <v>227</v>
      </c>
    </row>
    <row r="62" spans="2:3" ht="15" customHeight="1" x14ac:dyDescent="0.25">
      <c r="B62" s="137">
        <v>57</v>
      </c>
      <c r="C62" s="39" t="s">
        <v>228</v>
      </c>
    </row>
    <row r="63" spans="2:3" ht="15" customHeight="1" x14ac:dyDescent="0.25">
      <c r="B63" s="137">
        <v>58</v>
      </c>
      <c r="C63" s="39" t="s">
        <v>229</v>
      </c>
    </row>
    <row r="64" spans="2:3" ht="15" customHeight="1" x14ac:dyDescent="0.25">
      <c r="B64" s="137">
        <v>59</v>
      </c>
      <c r="C64" s="39" t="s">
        <v>230</v>
      </c>
    </row>
    <row r="65" spans="2:3" ht="15" customHeight="1" x14ac:dyDescent="0.25">
      <c r="B65" s="137">
        <v>60</v>
      </c>
      <c r="C65" s="39" t="s">
        <v>231</v>
      </c>
    </row>
    <row r="66" spans="2:3" ht="15" customHeight="1" x14ac:dyDescent="0.25">
      <c r="B66" s="137">
        <v>61</v>
      </c>
      <c r="C66" s="39" t="s">
        <v>232</v>
      </c>
    </row>
    <row r="67" spans="2:3" ht="15" customHeight="1" x14ac:dyDescent="0.25">
      <c r="B67" s="137">
        <v>62</v>
      </c>
      <c r="C67" s="39" t="s">
        <v>233</v>
      </c>
    </row>
    <row r="68" spans="2:3" ht="15" customHeight="1" x14ac:dyDescent="0.25">
      <c r="B68" s="137">
        <v>63</v>
      </c>
      <c r="C68" s="39" t="s">
        <v>234</v>
      </c>
    </row>
    <row r="69" spans="2:3" ht="15" customHeight="1" x14ac:dyDescent="0.25">
      <c r="B69" s="137">
        <v>64</v>
      </c>
      <c r="C69" s="39" t="s">
        <v>235</v>
      </c>
    </row>
    <row r="70" spans="2:3" ht="15" customHeight="1" x14ac:dyDescent="0.25">
      <c r="B70" s="137">
        <v>65</v>
      </c>
      <c r="C70" s="39" t="s">
        <v>236</v>
      </c>
    </row>
    <row r="71" spans="2:3" ht="15" customHeight="1" x14ac:dyDescent="0.25">
      <c r="B71" s="137">
        <v>66</v>
      </c>
      <c r="C71" s="39" t="s">
        <v>237</v>
      </c>
    </row>
    <row r="72" spans="2:3" ht="15" customHeight="1" x14ac:dyDescent="0.25">
      <c r="B72" s="137">
        <v>67</v>
      </c>
      <c r="C72" s="39" t="s">
        <v>238</v>
      </c>
    </row>
    <row r="73" spans="2:3" ht="15" customHeight="1" x14ac:dyDescent="0.25">
      <c r="B73" s="137">
        <v>68</v>
      </c>
      <c r="C73" s="39" t="s">
        <v>239</v>
      </c>
    </row>
    <row r="74" spans="2:3" ht="15" customHeight="1" x14ac:dyDescent="0.25">
      <c r="B74" s="137">
        <v>69</v>
      </c>
      <c r="C74" s="39" t="s">
        <v>240</v>
      </c>
    </row>
    <row r="75" spans="2:3" ht="15" customHeight="1" x14ac:dyDescent="0.25">
      <c r="B75" s="137">
        <v>70</v>
      </c>
      <c r="C75" s="39" t="s">
        <v>241</v>
      </c>
    </row>
    <row r="76" spans="2:3" ht="15" customHeight="1" x14ac:dyDescent="0.25">
      <c r="B76" s="137">
        <v>71</v>
      </c>
      <c r="C76" s="39" t="s">
        <v>242</v>
      </c>
    </row>
    <row r="77" spans="2:3" ht="15" customHeight="1" x14ac:dyDescent="0.25">
      <c r="B77" s="137">
        <v>72</v>
      </c>
      <c r="C77" s="39" t="s">
        <v>243</v>
      </c>
    </row>
    <row r="78" spans="2:3" ht="15" customHeight="1" x14ac:dyDescent="0.25">
      <c r="B78" s="137">
        <v>73</v>
      </c>
      <c r="C78" s="39" t="s">
        <v>244</v>
      </c>
    </row>
    <row r="79" spans="2:3" ht="15" customHeight="1" x14ac:dyDescent="0.25">
      <c r="B79" s="137">
        <v>74</v>
      </c>
      <c r="C79" s="39" t="s">
        <v>245</v>
      </c>
    </row>
    <row r="80" spans="2:3" ht="15" customHeight="1" x14ac:dyDescent="0.25">
      <c r="B80" s="137">
        <v>75</v>
      </c>
      <c r="C80" s="39" t="s">
        <v>246</v>
      </c>
    </row>
    <row r="81" spans="2:3" ht="15" customHeight="1" x14ac:dyDescent="0.25">
      <c r="B81" s="137">
        <v>76</v>
      </c>
      <c r="C81" s="39" t="s">
        <v>247</v>
      </c>
    </row>
    <row r="82" spans="2:3" ht="15" customHeight="1" x14ac:dyDescent="0.25">
      <c r="B82" s="137">
        <v>77</v>
      </c>
      <c r="C82" s="39" t="s">
        <v>248</v>
      </c>
    </row>
    <row r="83" spans="2:3" ht="15" customHeight="1" x14ac:dyDescent="0.25">
      <c r="B83" s="137">
        <v>78</v>
      </c>
      <c r="C83" s="39" t="s">
        <v>249</v>
      </c>
    </row>
    <row r="84" spans="2:3" ht="15" customHeight="1" x14ac:dyDescent="0.25">
      <c r="B84" s="137">
        <v>79</v>
      </c>
      <c r="C84" s="39" t="s">
        <v>250</v>
      </c>
    </row>
    <row r="85" spans="2:3" ht="15" customHeight="1" x14ac:dyDescent="0.25">
      <c r="B85" s="137">
        <v>80</v>
      </c>
      <c r="C85" s="39" t="s">
        <v>251</v>
      </c>
    </row>
    <row r="86" spans="2:3" ht="15" customHeight="1" x14ac:dyDescent="0.25">
      <c r="B86" s="137">
        <v>81</v>
      </c>
      <c r="C86" s="39" t="s">
        <v>252</v>
      </c>
    </row>
    <row r="87" spans="2:3" ht="15" customHeight="1" x14ac:dyDescent="0.25">
      <c r="B87" s="137">
        <v>82</v>
      </c>
      <c r="C87" s="39" t="s">
        <v>253</v>
      </c>
    </row>
    <row r="88" spans="2:3" ht="15" customHeight="1" x14ac:dyDescent="0.25">
      <c r="B88" s="137">
        <v>83</v>
      </c>
      <c r="C88" s="39" t="s">
        <v>254</v>
      </c>
    </row>
    <row r="89" spans="2:3" ht="15" customHeight="1" x14ac:dyDescent="0.25">
      <c r="B89" s="137">
        <v>84</v>
      </c>
      <c r="C89" s="39" t="s">
        <v>255</v>
      </c>
    </row>
    <row r="90" spans="2:3" ht="15" customHeight="1" x14ac:dyDescent="0.25">
      <c r="B90" s="137">
        <v>85</v>
      </c>
      <c r="C90" s="39" t="s">
        <v>256</v>
      </c>
    </row>
    <row r="91" spans="2:3" ht="15" customHeight="1" x14ac:dyDescent="0.25">
      <c r="B91" s="137">
        <v>86</v>
      </c>
      <c r="C91" s="39" t="s">
        <v>257</v>
      </c>
    </row>
    <row r="92" spans="2:3" ht="15" customHeight="1" x14ac:dyDescent="0.25">
      <c r="B92" s="137">
        <v>87</v>
      </c>
      <c r="C92" s="39" t="s">
        <v>258</v>
      </c>
    </row>
    <row r="93" spans="2:3" ht="15" customHeight="1" x14ac:dyDescent="0.25">
      <c r="B93" s="137">
        <v>88</v>
      </c>
      <c r="C93" s="39" t="s">
        <v>259</v>
      </c>
    </row>
    <row r="94" spans="2:3" ht="15" customHeight="1" x14ac:dyDescent="0.25">
      <c r="B94" s="137">
        <v>89</v>
      </c>
      <c r="C94" s="39" t="s">
        <v>260</v>
      </c>
    </row>
    <row r="95" spans="2:3" ht="15" customHeight="1" x14ac:dyDescent="0.25">
      <c r="B95" s="137">
        <v>90</v>
      </c>
      <c r="C95" s="39" t="s">
        <v>261</v>
      </c>
    </row>
    <row r="96" spans="2:3" ht="15" customHeight="1" x14ac:dyDescent="0.25">
      <c r="B96" s="137">
        <v>91</v>
      </c>
      <c r="C96" s="39" t="s">
        <v>262</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263</v>
      </c>
    </row>
    <row r="4" spans="1:12" ht="5.0999999999999996" customHeight="1" x14ac:dyDescent="0.3"/>
    <row r="5" spans="1:12" x14ac:dyDescent="0.3">
      <c r="B5" s="401" t="s">
        <v>264</v>
      </c>
      <c r="C5" s="401"/>
      <c r="E5" s="401" t="s">
        <v>265</v>
      </c>
      <c r="F5" s="401"/>
    </row>
    <row r="6" spans="1:12" x14ac:dyDescent="0.3">
      <c r="B6" s="136"/>
      <c r="C6" s="136" t="s">
        <v>266</v>
      </c>
      <c r="E6" s="136"/>
      <c r="F6" s="136" t="s">
        <v>266</v>
      </c>
    </row>
    <row r="7" spans="1:12" x14ac:dyDescent="0.3">
      <c r="B7" s="134">
        <v>1</v>
      </c>
      <c r="C7" s="135" t="s">
        <v>267</v>
      </c>
      <c r="E7" s="134">
        <v>1</v>
      </c>
      <c r="F7" s="135" t="s">
        <v>267</v>
      </c>
      <c r="H7" s="190" t="s">
        <v>14</v>
      </c>
      <c r="I7" s="402" t="s">
        <v>268</v>
      </c>
      <c r="J7" s="402"/>
      <c r="K7" s="402"/>
      <c r="L7" s="402"/>
    </row>
    <row r="8" spans="1:12" x14ac:dyDescent="0.3">
      <c r="B8" s="38">
        <v>2</v>
      </c>
      <c r="C8" s="39" t="s">
        <v>269</v>
      </c>
      <c r="E8" s="38">
        <v>2</v>
      </c>
      <c r="F8" s="39" t="s">
        <v>269</v>
      </c>
      <c r="H8" s="191"/>
      <c r="I8" s="402"/>
      <c r="J8" s="402"/>
      <c r="K8" s="402"/>
      <c r="L8" s="402"/>
    </row>
    <row r="9" spans="1:12" x14ac:dyDescent="0.3">
      <c r="B9" s="38">
        <v>3</v>
      </c>
      <c r="C9" s="39" t="s">
        <v>270</v>
      </c>
      <c r="E9" s="38">
        <v>3</v>
      </c>
      <c r="F9" s="39" t="s">
        <v>270</v>
      </c>
      <c r="H9" s="191"/>
      <c r="I9" s="402"/>
      <c r="J9" s="402"/>
      <c r="K9" s="402"/>
      <c r="L9" s="402"/>
    </row>
    <row r="10" spans="1:12" x14ac:dyDescent="0.3">
      <c r="B10" s="38">
        <v>4</v>
      </c>
      <c r="C10" s="39" t="s">
        <v>271</v>
      </c>
      <c r="E10" s="38">
        <v>4</v>
      </c>
      <c r="F10" s="39" t="s">
        <v>271</v>
      </c>
      <c r="H10" s="192"/>
      <c r="I10" s="402"/>
      <c r="J10" s="402"/>
      <c r="K10" s="402"/>
      <c r="L10" s="402"/>
    </row>
    <row r="11" spans="1:12" x14ac:dyDescent="0.3">
      <c r="B11" s="38">
        <v>5</v>
      </c>
      <c r="C11" s="39" t="s">
        <v>272</v>
      </c>
      <c r="E11" s="38">
        <v>5</v>
      </c>
      <c r="F11" s="39" t="s">
        <v>272</v>
      </c>
      <c r="H11" s="191"/>
      <c r="I11" s="402"/>
      <c r="J11" s="402"/>
      <c r="K11" s="402"/>
      <c r="L11" s="402"/>
    </row>
    <row r="12" spans="1:12" x14ac:dyDescent="0.3">
      <c r="B12" s="38">
        <v>6</v>
      </c>
      <c r="C12" s="39" t="s">
        <v>273</v>
      </c>
      <c r="E12" s="38">
        <v>6</v>
      </c>
      <c r="F12" s="39" t="s">
        <v>273</v>
      </c>
      <c r="H12" s="191"/>
      <c r="I12" s="402"/>
      <c r="J12" s="402"/>
      <c r="K12" s="402"/>
      <c r="L12" s="402"/>
    </row>
    <row r="13" spans="1:12" x14ac:dyDescent="0.3">
      <c r="B13" s="38">
        <v>7</v>
      </c>
      <c r="C13" s="39" t="s">
        <v>274</v>
      </c>
      <c r="E13" s="38">
        <v>7</v>
      </c>
      <c r="F13" s="39" t="s">
        <v>274</v>
      </c>
      <c r="H13" s="191"/>
      <c r="I13" s="402"/>
      <c r="J13" s="402"/>
      <c r="K13" s="402"/>
      <c r="L13" s="402"/>
    </row>
    <row r="14" spans="1:12" x14ac:dyDescent="0.3">
      <c r="B14" s="38">
        <v>8</v>
      </c>
      <c r="C14" s="39" t="s">
        <v>275</v>
      </c>
      <c r="E14" s="38">
        <v>8</v>
      </c>
      <c r="F14" s="39" t="s">
        <v>275</v>
      </c>
      <c r="H14" s="191"/>
      <c r="I14" s="402"/>
      <c r="J14" s="402"/>
      <c r="K14" s="402"/>
      <c r="L14" s="402"/>
    </row>
    <row r="15" spans="1:12" x14ac:dyDescent="0.3">
      <c r="B15" s="38">
        <v>9</v>
      </c>
      <c r="C15" s="39"/>
      <c r="E15" s="38">
        <v>9</v>
      </c>
      <c r="F15" s="39"/>
      <c r="H15" s="191"/>
      <c r="I15" s="402"/>
      <c r="J15" s="402"/>
      <c r="K15" s="402"/>
      <c r="L15" s="402"/>
    </row>
    <row r="16" spans="1:12" x14ac:dyDescent="0.3">
      <c r="B16" s="38">
        <v>10</v>
      </c>
      <c r="C16" s="39"/>
      <c r="E16" s="38">
        <v>10</v>
      </c>
      <c r="F16" s="39"/>
      <c r="H16" s="190" t="s">
        <v>14</v>
      </c>
      <c r="I16" s="402" t="s">
        <v>276</v>
      </c>
      <c r="J16" s="402"/>
      <c r="K16" s="402"/>
      <c r="L16" s="402"/>
    </row>
    <row r="17" spans="2:12" x14ac:dyDescent="0.3">
      <c r="B17" s="38">
        <v>11</v>
      </c>
      <c r="C17" s="39"/>
      <c r="E17" s="38">
        <v>11</v>
      </c>
      <c r="F17" s="39"/>
      <c r="H17" s="191"/>
      <c r="I17" s="402"/>
      <c r="J17" s="402"/>
      <c r="K17" s="402"/>
      <c r="L17" s="402"/>
    </row>
    <row r="18" spans="2:12" x14ac:dyDescent="0.3">
      <c r="H18" s="191"/>
      <c r="I18" s="402"/>
      <c r="J18" s="402"/>
      <c r="K18" s="402"/>
      <c r="L18" s="402"/>
    </row>
    <row r="19" spans="2:12" x14ac:dyDescent="0.3">
      <c r="H19" s="191"/>
      <c r="I19" s="402"/>
      <c r="J19" s="402"/>
      <c r="K19" s="402"/>
      <c r="L19" s="402"/>
    </row>
    <row r="20" spans="2:12" x14ac:dyDescent="0.3">
      <c r="H20" s="191"/>
      <c r="I20" s="402"/>
      <c r="J20" s="402"/>
      <c r="K20" s="402"/>
      <c r="L20" s="402"/>
    </row>
    <row r="21" spans="2:12" x14ac:dyDescent="0.3">
      <c r="H21" s="191"/>
      <c r="I21" s="402"/>
      <c r="J21" s="402"/>
      <c r="K21" s="402"/>
      <c r="L21" s="402"/>
    </row>
    <row r="22" spans="2:12" x14ac:dyDescent="0.3">
      <c r="H22" s="191"/>
      <c r="I22" s="402"/>
      <c r="J22" s="402"/>
      <c r="K22" s="402"/>
      <c r="L22" s="402"/>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F50F8342-FCA9-4435-9211-2B2AA7E18E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2024-06-22T23:56:59Z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