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12BD2400-D887-4635-B628-6476BE30BAA3}"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6920" yWindow="0" windowWidth="21600" windowHeight="11760"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E11" i="2" s="1"/>
  <c r="BS39" i="2"/>
  <c r="PS5" i="2"/>
  <c r="PQ5" i="2"/>
  <c r="OK5" i="2"/>
  <c r="OK6" i="2" s="1"/>
  <c r="OK7" i="2" s="1"/>
  <c r="AO32" i="2"/>
  <c r="AW32" i="2" s="1"/>
  <c r="BS33" i="2"/>
  <c r="Q33" i="2"/>
  <c r="AO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BQ7" i="2" s="1"/>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AD11" i="2"/>
  <c r="AC31" i="2"/>
  <c r="AE31" i="2"/>
  <c r="AD31" i="2"/>
  <c r="AY38" i="2"/>
  <c r="AX38" i="2"/>
  <c r="AW38" i="2"/>
  <c r="AY32" i="2"/>
  <c r="BL34" i="2"/>
  <c r="BN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K33" i="2" l="1"/>
  <c r="BJ33" i="2"/>
  <c r="BR34" i="2"/>
  <c r="BS34" i="2"/>
  <c r="BL14" i="2"/>
  <c r="BM33" i="2"/>
  <c r="BJ34" i="2"/>
  <c r="R33" i="2"/>
  <c r="BK34" i="2"/>
  <c r="VA27" i="2"/>
  <c r="VI27" i="2" s="1"/>
  <c r="AD20" i="2"/>
  <c r="AC20" i="2"/>
  <c r="AC11" i="2"/>
  <c r="BQ34" i="2"/>
  <c r="BM34" i="2"/>
  <c r="BO34" i="2" s="1"/>
  <c r="P21" i="2"/>
  <c r="U21" i="2" s="1"/>
  <c r="Y20" i="2" s="1"/>
  <c r="AX32" i="2"/>
  <c r="AW34"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U34" i="2" s="1"/>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21"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W21" i="2" l="1"/>
  <c r="X18" i="2"/>
  <c r="Z19" i="2"/>
  <c r="V18" i="2"/>
  <c r="W19" i="2"/>
  <c r="Y19" i="2"/>
  <c r="Z20" i="2"/>
  <c r="Y18" i="2"/>
  <c r="V21" i="2"/>
  <c r="X20" i="2"/>
  <c r="Y21" i="2"/>
  <c r="Z21" i="2"/>
  <c r="VB28" i="2"/>
  <c r="VC27" i="2"/>
  <c r="W20" i="2"/>
  <c r="V20" i="2"/>
  <c r="W18" i="2"/>
  <c r="AE21" i="2"/>
  <c r="X21" i="2"/>
  <c r="V19" i="2"/>
  <c r="AD21" i="2"/>
  <c r="X19" i="2"/>
  <c r="Z18" i="2"/>
  <c r="AA18" i="2" s="1"/>
  <c r="AC6" i="2"/>
  <c r="AU32" i="2"/>
  <c r="OK28" i="2"/>
  <c r="BO7" i="2"/>
  <c r="AU33" i="2"/>
  <c r="BO13" i="2"/>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ZE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AV28" i="2" s="1"/>
  <c r="AZ28" i="2" s="1"/>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T19"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Z31" i="2"/>
  <c r="Z5" i="2"/>
  <c r="X31" i="2"/>
  <c r="V32" i="2"/>
  <c r="W33" i="2"/>
  <c r="X32" i="2"/>
  <c r="W5" i="2"/>
  <c r="V31" i="2"/>
  <c r="Z32" i="2"/>
  <c r="V33" i="2"/>
  <c r="Y33" i="2"/>
  <c r="Z6" i="2"/>
  <c r="Y32" i="2"/>
  <c r="CE34" i="2"/>
  <c r="CD34" i="2"/>
  <c r="CF34" i="2"/>
  <c r="AE34" i="2"/>
  <c r="AD34" i="2"/>
  <c r="AC34" i="2"/>
  <c r="X34" i="2"/>
  <c r="W34" i="2"/>
  <c r="Z34" i="2"/>
  <c r="V34" i="2"/>
  <c r="Y34" i="2"/>
  <c r="AD7" i="2"/>
  <c r="X7" i="2"/>
  <c r="AE7" i="2"/>
  <c r="W7" i="2"/>
  <c r="Y7" i="2"/>
  <c r="AY21" i="2"/>
  <c r="AS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W6" i="2" l="1"/>
  <c r="V6" i="2"/>
  <c r="V7" i="2"/>
  <c r="Y5" i="2"/>
  <c r="Z7" i="2"/>
  <c r="AT21" i="2"/>
  <c r="AW21" i="2"/>
  <c r="AR21" i="2"/>
  <c r="AX21" i="2"/>
  <c r="AT20" i="2"/>
  <c r="AQ20" i="2"/>
  <c r="AS19" i="2"/>
  <c r="AS20" i="2"/>
  <c r="AQ19" i="2"/>
  <c r="AP20" i="2"/>
  <c r="AP21" i="2"/>
  <c r="AR20" i="2"/>
  <c r="AP19" i="2"/>
  <c r="AR19" i="2"/>
  <c r="AQ21" i="2"/>
  <c r="AU26" i="2"/>
  <c r="AU12" i="2"/>
  <c r="AB26" i="2"/>
  <c r="AF26" i="2" s="1"/>
  <c r="AA27" i="2"/>
  <c r="AAB20" i="2"/>
  <c r="ZZ21" i="2"/>
  <c r="AA28" i="2"/>
  <c r="YG7" i="2"/>
  <c r="AU28" i="2"/>
  <c r="AA26" i="2"/>
  <c r="AA25" i="2"/>
  <c r="JX25" i="2"/>
  <c r="KB25" i="2" s="1"/>
  <c r="AID18" i="2"/>
  <c r="AJU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31" i="2"/>
  <c r="AB39" i="2"/>
  <c r="AF39" i="2" s="1"/>
  <c r="AB34" i="2"/>
  <c r="AF34" i="2" s="1"/>
  <c r="AB33" i="2"/>
  <c r="AF33" i="2" s="1"/>
  <c r="AV34" i="2"/>
  <c r="AB32" i="2"/>
  <c r="AF32" i="2" s="1"/>
  <c r="AB31" i="2"/>
  <c r="BP28" i="2"/>
  <c r="BT28" i="2" s="1"/>
  <c r="AU21" i="2"/>
  <c r="AU19" i="2"/>
  <c r="AA7" i="2"/>
  <c r="AA32" i="2"/>
  <c r="AB5" i="2"/>
  <c r="AF5" i="2" s="1"/>
  <c r="AB4" i="2"/>
  <c r="AA39" i="2"/>
  <c r="AA34" i="2"/>
  <c r="CU21" i="2"/>
  <c r="CV21" i="2"/>
  <c r="BF27" i="2" l="1"/>
  <c r="BB27" i="2"/>
  <c r="BB26" i="2"/>
  <c r="AN66" i="2"/>
  <c r="AO66" i="2" s="1"/>
  <c r="AN67" i="2"/>
  <c r="AO67" i="2" s="1"/>
  <c r="AY78" i="2"/>
  <c r="AV20" i="2"/>
  <c r="AZ20" i="2" s="1"/>
  <c r="AU20" i="2"/>
  <c r="AAF21" i="2"/>
  <c r="AAJ21" i="2" s="1"/>
  <c r="AV19" i="2"/>
  <c r="AZ19" i="2" s="1"/>
  <c r="ZN14" i="2"/>
  <c r="ZF14" i="2"/>
  <c r="AB37" i="2"/>
  <c r="AIB32" i="2"/>
  <c r="AA38" i="2"/>
  <c r="ZJ12" i="2"/>
  <c r="PW47" i="2"/>
  <c r="ZJ13" i="2"/>
  <c r="ZI13" i="2"/>
  <c r="ZI14" i="2"/>
  <c r="ZJ14" i="2"/>
  <c r="ZO14" i="2"/>
  <c r="ZF13" i="2"/>
  <c r="ZH12" i="2"/>
  <c r="ZG12" i="2"/>
  <c r="ZH13" i="2"/>
  <c r="ZF12" i="2"/>
  <c r="ZI12" i="2"/>
  <c r="ZG13" i="2"/>
  <c r="ZM14" i="2"/>
  <c r="ZH14" i="2"/>
  <c r="ZG14" i="2"/>
  <c r="AB40" i="2"/>
  <c r="AF40" i="2" s="1"/>
  <c r="AS80" i="2"/>
  <c r="T65" i="2"/>
  <c r="U65" i="2" s="1"/>
  <c r="AC65" i="2" s="1"/>
  <c r="T66" i="2"/>
  <c r="U66" i="2" s="1"/>
  <c r="AA40" i="2"/>
  <c r="AN53" i="2"/>
  <c r="AO53" i="2" s="1"/>
  <c r="AW53" i="2" s="1"/>
  <c r="UN34" i="2"/>
  <c r="UR34" i="2" s="1"/>
  <c r="AAF7" i="2"/>
  <c r="AAJ7" i="2" s="1"/>
  <c r="AAE6"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Q54" i="2"/>
  <c r="AY54" i="2"/>
  <c r="AX54" i="2"/>
  <c r="AW54" i="2"/>
  <c r="AT54" i="2"/>
  <c r="AP54" i="2"/>
  <c r="AR54" i="2"/>
  <c r="BA14" i="2"/>
  <c r="BF14" i="2"/>
  <c r="AQ53" i="2"/>
  <c r="AX52" i="2"/>
  <c r="AW52" i="2"/>
  <c r="AY52"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BD34" i="2" s="1"/>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AD68" i="2"/>
  <c r="AD53" i="2"/>
  <c r="W53" i="2"/>
  <c r="AE53" i="2"/>
  <c r="V53" i="2"/>
  <c r="AC53" i="2"/>
  <c r="Y53" i="2"/>
  <c r="X53" i="2"/>
  <c r="Z53" i="2"/>
  <c r="V59" i="2"/>
  <c r="W59" i="2"/>
  <c r="AC59" i="2"/>
  <c r="X59" i="2"/>
  <c r="Z59" i="2"/>
  <c r="AD59" i="2"/>
  <c r="AE59" i="2"/>
  <c r="Y59"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T80" i="2"/>
  <c r="U80" i="2" s="1"/>
  <c r="T79" i="2"/>
  <c r="U79" i="2" s="1"/>
  <c r="W61" i="2"/>
  <c r="AC61" i="2"/>
  <c r="Z61" i="2"/>
  <c r="AD61" i="2"/>
  <c r="V61" i="2"/>
  <c r="AE61" i="2"/>
  <c r="Y61"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C21" i="2"/>
  <c r="BE21" i="2"/>
  <c r="BF21" i="2"/>
  <c r="BB21" i="2"/>
  <c r="BB19" i="2"/>
  <c r="BF20" i="2"/>
  <c r="BC20" i="2"/>
  <c r="BE19" i="2"/>
  <c r="BE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Y67" i="2" l="1"/>
  <c r="Z65" i="2"/>
  <c r="AC66" i="2"/>
  <c r="V68" i="2"/>
  <c r="AE66" i="2"/>
  <c r="V66" i="2"/>
  <c r="Y65" i="2"/>
  <c r="X67" i="2"/>
  <c r="AD66" i="2"/>
  <c r="W66" i="2"/>
  <c r="AB66" i="2" s="1"/>
  <c r="AF66" i="2" s="1"/>
  <c r="W65" i="2"/>
  <c r="V67" i="2"/>
  <c r="AE65" i="2"/>
  <c r="Z67" i="2"/>
  <c r="X65" i="2"/>
  <c r="W67" i="2"/>
  <c r="AP53" i="2"/>
  <c r="AD65" i="2"/>
  <c r="Y68" i="2"/>
  <c r="W68" i="2"/>
  <c r="AT53" i="2"/>
  <c r="AR52" i="2"/>
  <c r="X68" i="2"/>
  <c r="Y66" i="2"/>
  <c r="AS52" i="2"/>
  <c r="AS54" i="2"/>
  <c r="AU54" i="2" s="1"/>
  <c r="AT52" i="2"/>
  <c r="AR53" i="2"/>
  <c r="Z66" i="2"/>
  <c r="Z68" i="2"/>
  <c r="AP52" i="2"/>
  <c r="AV52" i="2" s="1"/>
  <c r="AZ52" i="2" s="1"/>
  <c r="AQ52" i="2"/>
  <c r="X66" i="2"/>
  <c r="V65" i="2"/>
  <c r="AS53" i="2"/>
  <c r="AU53" i="2" s="1"/>
  <c r="BA19" i="2"/>
  <c r="BA20" i="2"/>
  <c r="BD20" i="2"/>
  <c r="BC19" i="2"/>
  <c r="BE20" i="2"/>
  <c r="BD19" i="2"/>
  <c r="BB20" i="2"/>
  <c r="T77" i="2"/>
  <c r="U77" i="2" s="1"/>
  <c r="T78" i="2"/>
  <c r="U78" i="2" s="1"/>
  <c r="V78" i="2" s="1"/>
  <c r="AH38" i="2"/>
  <c r="AX53" i="2"/>
  <c r="ZK14" i="2"/>
  <c r="ZL13" i="2"/>
  <c r="ZP13" i="2" s="1"/>
  <c r="AEY33" i="2"/>
  <c r="AKE7" i="2"/>
  <c r="AKC7" i="2"/>
  <c r="ZK12" i="2"/>
  <c r="ZL12" i="2"/>
  <c r="AFC27" i="2"/>
  <c r="ZK13" i="2"/>
  <c r="BE34" i="2"/>
  <c r="BB33" i="2"/>
  <c r="BF34" i="2"/>
  <c r="BC33" i="2"/>
  <c r="BB32" i="2"/>
  <c r="BD33" i="2"/>
  <c r="BC34" i="2"/>
  <c r="BA34" i="2"/>
  <c r="BB34" i="2"/>
  <c r="BC32" i="2"/>
  <c r="T57" i="2"/>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D80" i="2"/>
  <c r="BF78" i="2"/>
  <c r="BC78" i="2"/>
  <c r="BA78" i="2"/>
  <c r="BA79" i="2"/>
  <c r="BC80" i="2"/>
  <c r="BA80" i="2"/>
  <c r="BB79" i="2"/>
  <c r="BB78" i="2"/>
  <c r="AA53" i="2"/>
  <c r="AQ72" i="2"/>
  <c r="AR72" i="2"/>
  <c r="AT72" i="2"/>
  <c r="AP72" i="2"/>
  <c r="AX72" i="2"/>
  <c r="AS72" i="2"/>
  <c r="AY72" i="2"/>
  <c r="AW72" i="2"/>
  <c r="AT73" i="2"/>
  <c r="AN57" i="2"/>
  <c r="AQ73" i="2"/>
  <c r="AR73" i="2"/>
  <c r="AS74" i="2"/>
  <c r="AR74" i="2"/>
  <c r="AT74" i="2"/>
  <c r="AX74" i="2"/>
  <c r="AQ74" i="2"/>
  <c r="AP74" i="2"/>
  <c r="AW74" i="2"/>
  <c r="AY74" i="2"/>
  <c r="AP73" i="2"/>
  <c r="AC79" i="2"/>
  <c r="AD79" i="2"/>
  <c r="AE79" i="2"/>
  <c r="Y44" i="2"/>
  <c r="AD44" i="2"/>
  <c r="Z44" i="2"/>
  <c r="X44" i="2"/>
  <c r="V44" i="2"/>
  <c r="AE44" i="2"/>
  <c r="AC44" i="2"/>
  <c r="W44" i="2"/>
  <c r="AD74" i="2"/>
  <c r="V74" i="2"/>
  <c r="Z74" i="2"/>
  <c r="Y74" i="2"/>
  <c r="X74" i="2"/>
  <c r="AE74" i="2"/>
  <c r="AC74" i="2"/>
  <c r="W74" i="2"/>
  <c r="AA66" i="2"/>
  <c r="AE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Y46" i="2"/>
  <c r="V46" i="2"/>
  <c r="W46" i="2"/>
  <c r="X46" i="2"/>
  <c r="Z46" i="2"/>
  <c r="AE46" i="2"/>
  <c r="AC46" i="2"/>
  <c r="AD46" i="2"/>
  <c r="AE73" i="2"/>
  <c r="W73" i="2"/>
  <c r="AC73" i="2"/>
  <c r="Z73" i="2"/>
  <c r="V73" i="2"/>
  <c r="Y73" i="2"/>
  <c r="X73" i="2"/>
  <c r="AD73" i="2"/>
  <c r="AB65" i="2"/>
  <c r="AF65" i="2" s="1"/>
  <c r="AA68" i="2"/>
  <c r="AE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A67" i="2" l="1"/>
  <c r="X80" i="2"/>
  <c r="Y80" i="2"/>
  <c r="AE78" i="2"/>
  <c r="Y79" i="2"/>
  <c r="AC77" i="2"/>
  <c r="Z80" i="2"/>
  <c r="AD77" i="2"/>
  <c r="AU52" i="2"/>
  <c r="Z78" i="2"/>
  <c r="V80" i="2"/>
  <c r="Y78" i="2"/>
  <c r="W80" i="2"/>
  <c r="AD78" i="2"/>
  <c r="AC78" i="2"/>
  <c r="W78" i="2"/>
  <c r="V79" i="2"/>
  <c r="X77" i="2"/>
  <c r="X78" i="2"/>
  <c r="W77" i="2"/>
  <c r="X79" i="2"/>
  <c r="V77" i="2"/>
  <c r="Z79" i="2"/>
  <c r="Y77" i="2"/>
  <c r="Z77" i="2"/>
  <c r="W79" i="2"/>
  <c r="ZD52" i="2"/>
  <c r="ZE52" i="2" s="1"/>
  <c r="ZD53" i="2"/>
  <c r="ZE53" i="2" s="1"/>
  <c r="ZM53" i="2" s="1"/>
  <c r="T70" i="2"/>
  <c r="T76" i="2"/>
  <c r="FY45" i="2"/>
  <c r="BF79" i="2"/>
  <c r="BD79" i="2"/>
  <c r="BC79" i="2"/>
  <c r="BE78" i="2"/>
  <c r="BE79" i="2"/>
  <c r="FY46" i="2"/>
  <c r="T43" i="2"/>
  <c r="AV60" i="2"/>
  <c r="AZ60" i="2" s="1"/>
  <c r="UO79" i="2"/>
  <c r="UQ79" i="2"/>
  <c r="AN70" i="2"/>
  <c r="AKB7" i="2"/>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PP53" i="2"/>
  <c r="PT53" i="2" s="1"/>
  <c r="PU52" i="2" s="1"/>
  <c r="ZQ12" i="2"/>
  <c r="ZV12" i="2"/>
  <c r="ZS12" i="2"/>
  <c r="ZR12" i="2"/>
  <c r="ZT12" i="2"/>
  <c r="ZU12"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BF74" i="2" s="1"/>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KJ76" i="2"/>
  <c r="KR73" i="2"/>
  <c r="KV73" i="2" s="1"/>
  <c r="KW74" i="2" s="1"/>
  <c r="KQ79" i="2"/>
  <c r="KR78" i="2"/>
  <c r="KV78" i="2" s="1"/>
  <c r="KR79" i="2"/>
  <c r="KV79" i="2" s="1"/>
  <c r="KW80" i="2" s="1"/>
  <c r="KQ73" i="2"/>
  <c r="KQ78" i="2"/>
  <c r="KQ80" i="2"/>
  <c r="GE74" i="2"/>
  <c r="GE34" i="2" s="1"/>
  <c r="BA74"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A78" i="2" l="1"/>
  <c r="ZH52" i="2"/>
  <c r="ZH53" i="2"/>
  <c r="ZI54" i="2"/>
  <c r="ZG53" i="2"/>
  <c r="ZF52" i="2"/>
  <c r="ZF53" i="2"/>
  <c r="ZJ54" i="2"/>
  <c r="ZI53" i="2"/>
  <c r="ZI52" i="2"/>
  <c r="ZJ53" i="2"/>
  <c r="ZG52" i="2"/>
  <c r="ZL52" i="2" s="1"/>
  <c r="ZP52" i="2" s="1"/>
  <c r="ZO53" i="2"/>
  <c r="ZJ52" i="2"/>
  <c r="ZN53" i="2"/>
  <c r="AA77" i="2"/>
  <c r="AOZ20" i="2"/>
  <c r="APD20" i="2" s="1"/>
  <c r="BC73" i="2"/>
  <c r="BD74" i="2"/>
  <c r="BE74" i="2"/>
  <c r="BB74" i="2"/>
  <c r="BC74" i="2"/>
  <c r="AOZ21" i="2"/>
  <c r="APD21"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G73" i="2" s="1"/>
  <c r="BG33" i="2" s="1"/>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AJ45" i="2"/>
  <c r="BG74" i="2"/>
  <c r="BG34" i="2" s="1"/>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0" i="2" l="1"/>
  <c r="APE21" i="2"/>
  <c r="APJ21" i="2"/>
  <c r="APF20" i="2"/>
  <c r="AKM39" i="2"/>
  <c r="AKN40" i="2" s="1"/>
  <c r="AKM6" i="2"/>
  <c r="AKN6" i="2" s="1"/>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FL7" i="2"/>
  <c r="HU7" i="2" s="1"/>
  <c r="FL4" i="2"/>
  <c r="HU4" i="2" s="1"/>
  <c r="FL5" i="2"/>
  <c r="HU5" i="2" s="1"/>
  <c r="AKN7" i="2" l="1"/>
  <c r="HU6" i="2"/>
  <c r="CW26" i="2"/>
  <c r="APK21" i="2"/>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3" i="2" l="1"/>
  <c r="BH33" i="2"/>
  <c r="CW33" i="2" s="1"/>
  <c r="BH34" i="2"/>
  <c r="CW34" i="2" s="1"/>
  <c r="AJG52" i="2"/>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G54" i="28" s="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P15" i="1" l="1"/>
  <c r="AOF52" i="2"/>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T22" i="1" s="1"/>
  <c r="V22" i="1"/>
  <c r="X22" i="1"/>
  <c r="Z22" i="1"/>
  <c r="U22" i="1"/>
  <c r="Z25" i="1"/>
  <c r="X25" i="1"/>
  <c r="W25" i="1"/>
  <c r="V25" i="1"/>
  <c r="U25" i="1"/>
  <c r="Z15" i="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4" i="1"/>
  <c r="AB22" i="1"/>
  <c r="AB24" i="1"/>
  <c r="DO6" i="2" s="1"/>
  <c r="AA24" i="1"/>
  <c r="DN6" i="2" s="1"/>
  <c r="AA25" i="1" l="1"/>
  <c r="SS40" i="2"/>
  <c r="AA15" i="1"/>
  <c r="T25" i="1"/>
  <c r="DW30" i="2"/>
  <c r="AB25" i="1"/>
  <c r="T15" i="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H62" i="28"/>
  <c r="AYD47" i="2"/>
  <c r="AEV5" i="2"/>
  <c r="W9" i="1"/>
  <c r="DK3" i="2" s="1"/>
  <c r="V9" i="1"/>
  <c r="DJ3" i="2" s="1"/>
  <c r="U9" i="1"/>
  <c r="X9" i="1"/>
  <c r="Z9" i="1"/>
  <c r="DM3" i="2" s="1"/>
  <c r="Z35" i="1"/>
  <c r="W35" i="1"/>
  <c r="X35" i="1"/>
  <c r="V35" i="1"/>
  <c r="U35" i="1"/>
  <c r="Z10" i="1"/>
  <c r="X10" i="1"/>
  <c r="U10" i="1"/>
  <c r="V10" i="1"/>
  <c r="W10" i="1"/>
  <c r="W34" i="1"/>
  <c r="V34" i="1"/>
  <c r="DJ8" i="2" s="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K8" i="2"/>
  <c r="D51" i="28"/>
  <c r="G56" i="28"/>
  <c r="DH3" i="2"/>
  <c r="DP3" i="2" s="1"/>
  <c r="D56" i="28"/>
  <c r="IL3" i="2"/>
  <c r="IM3" i="2"/>
  <c r="IL6" i="2"/>
  <c r="IM6" i="2"/>
  <c r="G51" i="1" l="1"/>
  <c r="G49" i="1"/>
  <c r="AA8" i="1"/>
  <c r="AL72" i="28"/>
  <c r="V30" i="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30" i="1" l="1"/>
  <c r="T30" i="1"/>
  <c r="AA27" i="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3" i="28"/>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Z80" i="28" l="1"/>
  <c r="DQ4" i="2"/>
  <c r="J49" i="1"/>
  <c r="BD8" i="26" s="1"/>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3" i="2" l="1"/>
  <c r="AV8" i="34"/>
  <c r="DR6" i="2"/>
  <c r="DR5" i="2"/>
  <c r="DS4" i="2"/>
  <c r="DT5" i="2"/>
  <c r="DT8" i="2"/>
  <c r="DT6" i="2"/>
  <c r="DT4" i="2"/>
  <c r="DR4" i="2"/>
  <c r="DT3" i="2"/>
  <c r="DS6" i="2"/>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4" i="2" l="1"/>
  <c r="DU6" i="2"/>
  <c r="DU5" i="2"/>
  <c r="DU7" i="2"/>
  <c r="DU8" i="2"/>
  <c r="DU3" i="2"/>
  <c r="BF69" i="28"/>
  <c r="CG52" i="28"/>
  <c r="CF59" i="28" s="1"/>
  <c r="CG54" i="28"/>
  <c r="CG68" i="28" s="1"/>
  <c r="CJ71" i="28" s="1"/>
  <c r="ARG28" i="2"/>
  <c r="CI54" i="28"/>
  <c r="CG66" i="28" s="1"/>
  <c r="CJ70"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6" i="2" l="1"/>
  <c r="DW13" i="2"/>
  <c r="P42" i="1"/>
  <c r="T42" i="1" s="1"/>
  <c r="P39" i="1"/>
  <c r="T39" i="1" s="1"/>
  <c r="AC41" i="1"/>
  <c r="DS12" i="2" s="1"/>
  <c r="DS22" i="2" s="1"/>
  <c r="P41" i="1"/>
  <c r="X41" i="1" s="1"/>
  <c r="DW14" i="2"/>
  <c r="P43" i="1"/>
  <c r="X43" i="1" s="1"/>
  <c r="AC40" i="1"/>
  <c r="DR12" i="2" s="1"/>
  <c r="DR18" i="2" s="1"/>
  <c r="AC44" i="1"/>
  <c r="DW15" i="2"/>
  <c r="AC39" i="1"/>
  <c r="DQ12" i="2" s="1"/>
  <c r="DQ26" i="2" s="1"/>
  <c r="P44" i="1"/>
  <c r="X44" i="1" s="1"/>
  <c r="AC43" i="1"/>
  <c r="AC42" i="1"/>
  <c r="DT12" i="2" s="1"/>
  <c r="DT17" i="2" s="1"/>
  <c r="P40" i="1"/>
  <c r="T40" i="1" s="1"/>
  <c r="CG63" i="28"/>
  <c r="CG69" i="28" s="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S14" i="2"/>
  <c r="DS27" i="2" l="1"/>
  <c r="DS16" i="2"/>
  <c r="W42" i="1"/>
  <c r="AB42" i="1"/>
  <c r="U39" i="1"/>
  <c r="AA39" i="1"/>
  <c r="Z39" i="1"/>
  <c r="DS19" i="2"/>
  <c r="DS15" i="2"/>
  <c r="AA42" i="1"/>
  <c r="W43" i="1"/>
  <c r="U43" i="1"/>
  <c r="V43" i="1"/>
  <c r="DS26" i="2"/>
  <c r="DS20" i="2"/>
  <c r="DR13" i="2"/>
  <c r="DS23" i="2"/>
  <c r="AB41" i="1"/>
  <c r="DR15" i="2"/>
  <c r="V39" i="1"/>
  <c r="Z42" i="1"/>
  <c r="V42" i="1"/>
  <c r="X42" i="1"/>
  <c r="AB44" i="1"/>
  <c r="U42" i="1"/>
  <c r="W41" i="1"/>
  <c r="T41" i="1"/>
  <c r="DR16" i="2"/>
  <c r="X39" i="1"/>
  <c r="DR21" i="2"/>
  <c r="Z43" i="1"/>
  <c r="U41" i="1"/>
  <c r="DT23" i="2"/>
  <c r="DR22" i="2"/>
  <c r="T43" i="1"/>
  <c r="DS17" i="2"/>
  <c r="V41" i="1"/>
  <c r="DQ27" i="2"/>
  <c r="DS25" i="2"/>
  <c r="AA41" i="1"/>
  <c r="DQ19" i="2"/>
  <c r="DQ21" i="2"/>
  <c r="DR17" i="2"/>
  <c r="DS18" i="2"/>
  <c r="DR25" i="2"/>
  <c r="W39" i="1"/>
  <c r="DS13" i="2"/>
  <c r="DR20" i="2"/>
  <c r="AB39" i="1"/>
  <c r="DQ18" i="2"/>
  <c r="DS24" i="2"/>
  <c r="DS21" i="2"/>
  <c r="DR14" i="2"/>
  <c r="DR24" i="2"/>
  <c r="AA43" i="1"/>
  <c r="DR26" i="2"/>
  <c r="Z41" i="1"/>
  <c r="DR19" i="2"/>
  <c r="AB43" i="1"/>
  <c r="DR23" i="2"/>
  <c r="DR27" i="2"/>
  <c r="DQ23" i="2"/>
  <c r="DQ15" i="2"/>
  <c r="DQ14" i="2"/>
  <c r="I55" i="28"/>
  <c r="W55" i="28" s="1"/>
  <c r="DT19" i="2"/>
  <c r="DQ20" i="2"/>
  <c r="I54" i="28"/>
  <c r="W54" i="28" s="1"/>
  <c r="DQ24" i="2"/>
  <c r="X40" i="1"/>
  <c r="Z44" i="1"/>
  <c r="W44" i="1"/>
  <c r="T44" i="1"/>
  <c r="DT16" i="2"/>
  <c r="DQ16" i="2"/>
  <c r="I56" i="28"/>
  <c r="W56" i="28" s="1"/>
  <c r="DT21" i="2"/>
  <c r="DQ13" i="2"/>
  <c r="DT25" i="2"/>
  <c r="DQ17" i="2"/>
  <c r="U44" i="1"/>
  <c r="V44" i="1"/>
  <c r="DT20" i="2"/>
  <c r="DQ25" i="2"/>
  <c r="DT26" i="2"/>
  <c r="DQ22" i="2"/>
  <c r="AA44" i="1"/>
  <c r="DT24" i="2"/>
  <c r="I53" i="28"/>
  <c r="W53" i="28" s="1"/>
  <c r="I52" i="28"/>
  <c r="W52" i="28" s="1"/>
  <c r="DT14" i="2"/>
  <c r="DT18" i="2"/>
  <c r="U40" i="1"/>
  <c r="DT22" i="2"/>
  <c r="Z40" i="1"/>
  <c r="DT15" i="2"/>
  <c r="DT27" i="2"/>
  <c r="DT13" i="2"/>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3" i="28"/>
  <c r="BK10" i="26"/>
  <c r="U73" i="28"/>
  <c r="DA64" i="28"/>
  <c r="CJ69" i="28"/>
  <c r="CO69" i="28" s="1"/>
  <c r="CO61" i="28"/>
  <c r="CN61" i="28"/>
  <c r="CQ65" i="28"/>
  <c r="AVT5" i="2"/>
  <c r="AVX5" i="2"/>
  <c r="CG72"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CG73" i="28" l="1"/>
  <c r="CG75" i="28" s="1"/>
  <c r="DU17" i="2"/>
  <c r="DU23" i="2"/>
  <c r="DU18" i="2"/>
  <c r="DU21" i="2"/>
  <c r="DU25" i="2"/>
  <c r="DU26" i="2"/>
  <c r="DU22" i="2"/>
  <c r="DU19" i="2"/>
  <c r="DU27" i="2"/>
  <c r="DU20" i="2"/>
  <c r="DU15" i="2"/>
  <c r="DU14" i="2"/>
  <c r="DU16" i="2"/>
  <c r="DU24"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AC53" i="28"/>
  <c r="X72" i="28" s="1"/>
  <c r="AC55" i="28"/>
  <c r="X74" i="28" s="1"/>
  <c r="AC56" i="28"/>
  <c r="X75" i="28" s="1"/>
  <c r="AC52" i="28"/>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AY17" i="26"/>
  <c r="CM61" i="28"/>
  <c r="DA72" i="28"/>
  <c r="CQ72" i="28"/>
  <c r="BAO8" i="2"/>
  <c r="BAV8" i="2"/>
  <c r="DI61" i="28"/>
  <c r="DD69" i="28"/>
  <c r="DI69" i="28" s="1"/>
  <c r="DH61" i="28"/>
  <c r="CQ71" i="28"/>
  <c r="DA68"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X73" i="28" l="1"/>
  <c r="AG54" i="28"/>
  <c r="X71" i="28"/>
  <c r="AG52" i="28"/>
  <c r="X70" i="28"/>
  <c r="AG51" i="28"/>
  <c r="DW20" i="2"/>
  <c r="DW19" i="2"/>
  <c r="DW18" i="2"/>
  <c r="DW21"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AWF33" i="2" l="1"/>
  <c r="IV31" i="2"/>
  <c r="ARH33" i="2"/>
  <c r="SR31" i="2"/>
  <c r="AHL29" i="2"/>
  <c r="IV21" i="2"/>
  <c r="AMJ27" i="2"/>
  <c r="NT27" i="2"/>
  <c r="NT30" i="2"/>
  <c r="IV28" i="2"/>
  <c r="XP27" i="2"/>
  <c r="BGB30" i="2"/>
  <c r="ACN25" i="2"/>
  <c r="ACN22" i="2"/>
  <c r="SR26" i="2"/>
  <c r="ARH25" i="2"/>
  <c r="BGB32" i="2"/>
  <c r="AHL22" i="2"/>
  <c r="BBD28" i="2"/>
  <c r="ARH32" i="2"/>
  <c r="AHL24" i="2"/>
  <c r="AWF26" i="2"/>
  <c r="ACN32" i="2"/>
  <c r="ARH29" i="2"/>
  <c r="ARH24" i="2"/>
  <c r="IV23" i="2"/>
  <c r="XP23" i="2"/>
  <c r="AWF32" i="2"/>
  <c r="NT24" i="2"/>
  <c r="SR22" i="2"/>
  <c r="BGB26" i="2"/>
  <c r="IV30" i="2"/>
  <c r="IV24" i="2"/>
  <c r="ARH27" i="2"/>
  <c r="BGB31" i="2"/>
  <c r="BBD24" i="2"/>
  <c r="AMJ33" i="2"/>
  <c r="NT28" i="2"/>
  <c r="NT33" i="2"/>
  <c r="BBD29" i="2"/>
  <c r="BGB22" i="2"/>
  <c r="BBD26" i="2"/>
  <c r="AHL33" i="2"/>
  <c r="IV33" i="2"/>
  <c r="ARH26" i="2"/>
  <c r="NT32" i="2"/>
  <c r="IV26" i="2"/>
  <c r="ACN30" i="2"/>
  <c r="BGB29" i="2"/>
  <c r="ACN31" i="2"/>
  <c r="SR32" i="2"/>
  <c r="AWF30" i="2"/>
  <c r="AWF24" i="2"/>
  <c r="SR25" i="2"/>
  <c r="AMJ22" i="2"/>
  <c r="IV19" i="2"/>
  <c r="XP28" i="2"/>
  <c r="AMJ30" i="2"/>
  <c r="NT22" i="2"/>
  <c r="ACN24" i="2"/>
  <c r="ACN23" i="2"/>
  <c r="AHL25" i="2"/>
  <c r="ACN33" i="2"/>
  <c r="NT31" i="2"/>
  <c r="AHL32" i="2"/>
  <c r="AHL31" i="2"/>
  <c r="ARH28" i="2"/>
  <c r="AMJ26" i="2"/>
  <c r="AHL26" i="2"/>
  <c r="SR23" i="2"/>
  <c r="AWF22" i="2"/>
  <c r="ARH23" i="2"/>
  <c r="BGB23" i="2"/>
  <c r="AMJ31" i="2"/>
  <c r="XP33" i="2"/>
  <c r="NT26" i="2"/>
  <c r="ARH30" i="2"/>
  <c r="SR28" i="2"/>
  <c r="BGB25" i="2"/>
  <c r="XP31" i="2"/>
  <c r="XP29" i="2"/>
  <c r="IV22" i="2"/>
  <c r="BBD22" i="2"/>
  <c r="XP30" i="2"/>
  <c r="ACN29" i="2"/>
  <c r="XP26" i="2"/>
  <c r="IV25" i="2"/>
  <c r="AWF31" i="2"/>
  <c r="BBD31" i="2"/>
  <c r="ACN26" i="2"/>
  <c r="NT23" i="2"/>
  <c r="IV27" i="2"/>
  <c r="NT25" i="2"/>
  <c r="BGB27" i="2"/>
  <c r="ARH22" i="2"/>
  <c r="BBD27" i="2"/>
  <c r="BBD30" i="2"/>
  <c r="AHL28" i="2"/>
  <c r="SR33" i="2"/>
  <c r="AMJ23" i="2"/>
  <c r="XP32" i="2"/>
  <c r="XP24" i="2"/>
  <c r="BGB28" i="2"/>
  <c r="BBD33" i="2"/>
  <c r="IV18" i="2"/>
  <c r="NT29" i="2"/>
  <c r="SR24" i="2"/>
  <c r="ARH31" i="2"/>
  <c r="ACN28" i="2"/>
  <c r="AMJ29" i="2"/>
  <c r="AMJ25" i="2"/>
  <c r="BBD32" i="2"/>
  <c r="AWF28" i="2"/>
  <c r="BGB33" i="2"/>
  <c r="AMJ28" i="2"/>
  <c r="BBD25" i="2"/>
  <c r="BBD23" i="2"/>
  <c r="AHL30" i="2"/>
  <c r="SR30" i="2"/>
  <c r="AHL23" i="2"/>
  <c r="AWF29" i="2"/>
  <c r="AHL27" i="2"/>
  <c r="XP25" i="2"/>
  <c r="BGB24" i="2"/>
  <c r="IV32" i="2"/>
  <c r="AWF25" i="2"/>
  <c r="AWF23" i="2"/>
  <c r="IV20" i="2"/>
  <c r="SR29" i="2"/>
  <c r="IV29" i="2"/>
  <c r="XP22" i="2"/>
  <c r="AMJ24" i="2"/>
  <c r="AWF27" i="2"/>
  <c r="SR27" i="2"/>
  <c r="ACN27" i="2"/>
  <c r="AMJ32"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B75" i="28" s="1"/>
  <c r="Z79" i="28" s="1"/>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G75" i="28" l="1"/>
  <c r="AF75" i="28"/>
  <c r="BM11" i="26" s="1"/>
  <c r="BG14" i="26"/>
  <c r="BI70" i="28"/>
  <c r="BK14" i="26"/>
  <c r="BK73" i="28"/>
  <c r="BD80" i="28"/>
  <c r="BW75" i="28"/>
  <c r="BX80" i="28"/>
  <c r="BZ75" i="28"/>
  <c r="BX81" i="28"/>
  <c r="CE73" i="28"/>
  <c r="CD73" i="28"/>
  <c r="BI12" i="26"/>
  <c r="AO74" i="28"/>
  <c r="BU74" i="28"/>
  <c r="BT74" i="28"/>
  <c r="BT69" i="28"/>
  <c r="BU69" i="28"/>
  <c r="BI67" i="28"/>
  <c r="BI11" i="26"/>
  <c r="AE71" i="28"/>
  <c r="Z81" i="28"/>
  <c r="AF74" i="28"/>
  <c r="AG74" i="28"/>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CE65" i="28"/>
  <c r="CD65" i="28"/>
  <c r="ARG21" i="2"/>
  <c r="CJ65" i="28" s="1"/>
  <c r="CG70" i="28" s="1"/>
  <c r="CJ73"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H80" i="28" l="1"/>
  <c r="CN73" i="28"/>
  <c r="CO73" i="28"/>
  <c r="AE75" i="28"/>
  <c r="AF7" i="28"/>
  <c r="X53" i="28"/>
  <c r="M11" i="26" s="1"/>
  <c r="F11" i="26" s="1"/>
  <c r="AG7" i="28"/>
  <c r="BX78" i="28"/>
  <c r="BX79" i="28"/>
  <c r="CD75" i="28"/>
  <c r="CC75" i="28" s="1"/>
  <c r="CE75" i="28"/>
  <c r="CC73" i="28"/>
  <c r="BK16" i="26"/>
  <c r="L12" i="26"/>
  <c r="E12" i="26" s="1"/>
  <c r="AH52" i="28"/>
  <c r="F12" i="34" s="1"/>
  <c r="D12" i="34" s="1"/>
  <c r="BL15" i="26"/>
  <c r="BS74" i="28"/>
  <c r="BS69" i="28"/>
  <c r="BG15" i="26"/>
  <c r="BL11" i="26"/>
  <c r="L11" i="26" s="1"/>
  <c r="E11" i="26" s="1"/>
  <c r="AE74" i="28"/>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CJ75" i="28" l="1"/>
  <c r="CO75" i="28" s="1"/>
  <c r="CH81" i="28"/>
  <c r="X52" i="28"/>
  <c r="F11" i="34" s="1"/>
  <c r="D11" i="34" s="1"/>
  <c r="BK17" i="26"/>
  <c r="CM73" i="28"/>
  <c r="AE7" i="28"/>
  <c r="BM16" i="26"/>
  <c r="N12" i="26"/>
  <c r="H12" i="26" s="1"/>
  <c r="BBC21" i="2"/>
  <c r="DD65" i="28" s="1"/>
  <c r="DA70" i="28" s="1"/>
  <c r="DH70" i="28" s="1"/>
  <c r="D11" i="26"/>
  <c r="N14" i="26"/>
  <c r="H14" i="26" s="1"/>
  <c r="CX75" i="28"/>
  <c r="CY75" i="28"/>
  <c r="CX73" i="28"/>
  <c r="CY73" i="28"/>
  <c r="CY70" i="28"/>
  <c r="CX70" i="28"/>
  <c r="CX69" i="28"/>
  <c r="CY69"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CH79" i="28" l="1"/>
  <c r="CN75" i="28"/>
  <c r="BM17" i="26" s="1"/>
  <c r="N11" i="26"/>
  <c r="H11" i="26" s="1"/>
  <c r="DI70" i="28"/>
  <c r="DI65" i="28"/>
  <c r="DH65" i="28"/>
  <c r="BC19" i="26" s="1"/>
  <c r="BBD21" i="2"/>
  <c r="DH64" i="28"/>
  <c r="BB19" i="26" s="1"/>
  <c r="BBD19" i="2"/>
  <c r="BBD18" i="2"/>
  <c r="DI63" i="28"/>
  <c r="BH19" i="26"/>
  <c r="DG70" i="28"/>
  <c r="CW75" i="28"/>
  <c r="BM18" i="26"/>
  <c r="BK18" i="26"/>
  <c r="CW73" i="28"/>
  <c r="BH18" i="26"/>
  <c r="CW70" i="28"/>
  <c r="BG18" i="26"/>
  <c r="CW69"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CM75" i="28" l="1"/>
  <c r="CF52" i="28" s="1"/>
  <c r="N17" i="26" s="1"/>
  <c r="DG65" i="28"/>
  <c r="BBD34" i="2"/>
  <c r="DG64" i="28"/>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<sst xmlns="http://schemas.openxmlformats.org/spreadsheetml/2006/main" count="4233" uniqueCount="381">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</sst>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9">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xf numFmtId="0" fontId="2" fillId="0" borderId="0"/>
    <xf numFmtId="0" fontId="1" fillId="0" borderId="0"/>
  </cellStyleXfs>
  <cellXfs count="428">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59" fillId="0" borderId="59" xfId="3" applyFont="1" applyBorder="1" applyAlignment="1" applyProtection="1">
      <alignment horizontal="center" vertical="center"/>
      <protection locked="0"/>
    </xf>
    <xf numFmtId="0" fontId="10" fillId="0" borderId="9" xfId="7" applyFont="1" applyBorder="1" applyAlignment="1">
      <alignment horizontal="center" vertical="center"/>
    </xf>
    <xf numFmtId="0" fontId="10" fillId="0" borderId="59" xfId="7" applyFont="1" applyBorder="1" applyAlignment="1">
      <alignment horizontal="center" vertical="center"/>
    </xf>
    <xf numFmtId="0" fontId="10" fillId="0" borderId="12" xfId="7" applyFont="1" applyBorder="1" applyAlignment="1">
      <alignment horizontal="center" vertical="center"/>
    </xf>
    <xf numFmtId="0" fontId="2" fillId="0" borderId="9" xfId="7" applyBorder="1" applyAlignment="1">
      <alignment horizontal="center"/>
    </xf>
    <xf numFmtId="0" fontId="2" fillId="0" borderId="12" xfId="7" applyBorder="1" applyAlignment="1">
      <alignment horizontal="center"/>
    </xf>
    <xf numFmtId="0" fontId="2" fillId="0" borderId="59" xfId="7"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xf numFmtId="0" fontId="60" fillId="0" borderId="12" xfId="3" applyFont="1" applyBorder="1" applyAlignment="1" applyProtection="1">
      <alignment horizontal="center"/>
      <protection locked="0"/>
    </xf>
    <xf numFmtId="0" fontId="60" fillId="0" borderId="9" xfId="3" applyFont="1" applyBorder="1" applyAlignment="1" applyProtection="1">
      <alignment horizontal="center"/>
      <protection locked="0"/>
    </xf>
    <xf numFmtId="0" fontId="60" fillId="0" borderId="59" xfId="3" applyFont="1" applyBorder="1" applyAlignment="1" applyProtection="1">
      <alignment horizontal="center"/>
      <protection locked="0"/>
    </xf>
    <xf numFmtId="0" fontId="2" fillId="0" borderId="26" xfId="0" applyFont="1" applyBorder="1" applyProtection="1">
      <protection locked="0"/>
    </xf>
    <xf numFmtId="0" fontId="2" fillId="0" borderId="14" xfId="0" applyFont="1" applyBorder="1" applyProtection="1">
      <protection locked="0"/>
    </xf>
    <xf numFmtId="0" fontId="10" fillId="0" borderId="9" xfId="8" applyFont="1" applyBorder="1" applyAlignment="1">
      <alignment horizontal="center" vertical="center"/>
    </xf>
    <xf numFmtId="0" fontId="10" fillId="0" borderId="59" xfId="8" applyFont="1" applyBorder="1" applyAlignment="1">
      <alignment horizontal="center" vertical="center"/>
    </xf>
    <xf numFmtId="0" fontId="10" fillId="0" borderId="12" xfId="8" applyFont="1" applyBorder="1" applyAlignment="1">
      <alignment horizontal="center" vertical="center"/>
    </xf>
    <xf numFmtId="0" fontId="1" fillId="0" borderId="9" xfId="8" applyBorder="1" applyAlignment="1">
      <alignment horizontal="center"/>
    </xf>
    <xf numFmtId="0" fontId="1" fillId="0" borderId="12" xfId="8" applyBorder="1" applyAlignment="1">
      <alignment horizontal="center"/>
    </xf>
    <xf numFmtId="0" fontId="1" fillId="0" borderId="59" xfId="8" applyBorder="1" applyAlignment="1">
      <alignment horizontal="center"/>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3" fillId="9" borderId="19" xfId="3" applyFont="1" applyFill="1" applyBorder="1" applyAlignment="1" applyProtection="1">
      <alignment horizontal="center" vertical="center"/>
      <protection hidden="1"/>
    </xf>
    <xf numFmtId="0" fontId="15" fillId="8" borderId="0" xfId="3" applyFont="1" applyFill="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0" fillId="0" borderId="19" xfId="3" applyFont="1" applyBorder="1" applyAlignment="1" applyProtection="1">
      <alignment horizontal="center" vertical="center"/>
      <protection hidden="1"/>
    </xf>
    <xf numFmtId="0" fontId="15" fillId="8" borderId="19"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3" fillId="9" borderId="20" xfId="3" applyFont="1" applyFill="1" applyBorder="1" applyAlignment="1" applyProtection="1">
      <alignment horizontal="center" vertical="center"/>
      <protection hidden="1"/>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9">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 name="Normal 7" xfId="8" xr:uid="{8C11BA8F-FE3F-4177-87D4-F1E6CAB51441}"/>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0</v>
      </c>
      <c r="C3" s="18"/>
      <c r="D3" s="14"/>
      <c r="E3" s="14"/>
      <c r="F3" s="275"/>
      <c r="G3" s="15"/>
      <c r="H3" s="15"/>
      <c r="I3" s="15"/>
    </row>
    <row r="4" spans="1:12" ht="5.0999999999999996" customHeight="1" x14ac:dyDescent="0.2"/>
    <row r="5" spans="1:12" s="173" customFormat="1" ht="20.100000000000001" customHeight="1" thickBot="1" x14ac:dyDescent="0.25">
      <c r="B5" s="174" t="s">
        <v>1</v>
      </c>
      <c r="C5" s="174"/>
      <c r="D5" s="175"/>
      <c r="E5" s="175"/>
      <c r="F5" s="175"/>
      <c r="G5" s="175"/>
      <c r="H5" s="175"/>
      <c r="I5" s="175"/>
    </row>
    <row r="6" spans="1:12" ht="5.0999999999999996" customHeight="1" x14ac:dyDescent="0.2"/>
    <row r="7" spans="1:12" ht="15" x14ac:dyDescent="0.2">
      <c r="B7" s="5" t="s">
        <v>2</v>
      </c>
      <c r="C7" s="5"/>
      <c r="F7" s="163" t="s">
        <v>3</v>
      </c>
      <c r="K7" s="369" t="s">
        <v>4</v>
      </c>
      <c r="L7" s="369"/>
    </row>
    <row r="8" spans="1:12" ht="15" customHeight="1" x14ac:dyDescent="0.2">
      <c r="B8" s="165">
        <v>1</v>
      </c>
      <c r="C8" s="165" t="s">
        <v>5</v>
      </c>
      <c r="D8" s="166"/>
      <c r="F8" s="164">
        <v>6</v>
      </c>
      <c r="K8" s="4" t="s">
        <v>6</v>
      </c>
    </row>
    <row r="9" spans="1:12" ht="15" customHeight="1" x14ac:dyDescent="0.2">
      <c r="B9" s="165">
        <v>2</v>
      </c>
      <c r="C9" s="165" t="s">
        <v>7</v>
      </c>
      <c r="D9" s="166"/>
      <c r="F9" s="164">
        <v>4</v>
      </c>
      <c r="L9" s="328" t="s">
        <v>8</v>
      </c>
    </row>
    <row r="10" spans="1:12" ht="15" customHeight="1" x14ac:dyDescent="0.2">
      <c r="B10" s="165">
        <v>3</v>
      </c>
      <c r="C10" s="165" t="s">
        <v>9</v>
      </c>
      <c r="D10" s="166"/>
      <c r="F10" s="164">
        <v>2</v>
      </c>
    </row>
    <row r="11" spans="1:12" ht="15" customHeight="1" x14ac:dyDescent="0.2"/>
    <row r="12" spans="1:12" s="173" customFormat="1" ht="20.100000000000001" customHeight="1" thickBot="1" x14ac:dyDescent="0.25">
      <c r="B12" s="174" t="s">
        <v>10</v>
      </c>
      <c r="C12" s="174"/>
      <c r="D12" s="175"/>
      <c r="E12" s="175"/>
      <c r="F12" s="175"/>
      <c r="G12" s="175"/>
      <c r="H12" s="175"/>
      <c r="I12" s="175"/>
    </row>
    <row r="13" spans="1:12" ht="5.0999999999999996" customHeight="1" x14ac:dyDescent="0.2"/>
    <row r="14" spans="1:12" s="176" customFormat="1" ht="20.100000000000001" customHeight="1" x14ac:dyDescent="0.3">
      <c r="B14" s="177" t="s">
        <v>11</v>
      </c>
    </row>
    <row r="15" spans="1:12" ht="15" customHeight="1" x14ac:dyDescent="0.2">
      <c r="A15" s="6">
        <f>IF(F15="Actual matches",1,0)</f>
        <v>0</v>
      </c>
      <c r="B15" s="166" t="s">
        <v>12</v>
      </c>
      <c r="C15" s="166"/>
      <c r="D15" s="166"/>
      <c r="F15" s="359" t="s">
        <v>13</v>
      </c>
      <c r="G15" s="359"/>
      <c r="H15" s="359"/>
      <c r="I15" s="359"/>
      <c r="K15" s="168" t="s">
        <v>14</v>
      </c>
      <c r="L15" s="169" t="s">
        <v>15</v>
      </c>
    </row>
    <row r="16" spans="1:12" ht="15" customHeight="1" x14ac:dyDescent="0.2">
      <c r="A16" s="6">
        <f>IF(F16="Yes",1,0)</f>
        <v>1</v>
      </c>
      <c r="B16" s="166" t="s">
        <v>16</v>
      </c>
      <c r="C16" s="166"/>
      <c r="D16" s="166"/>
      <c r="F16" s="167" t="s">
        <v>17</v>
      </c>
      <c r="G16" s="12"/>
      <c r="H16" s="12"/>
      <c r="I16" s="12"/>
      <c r="K16" s="168" t="s">
        <v>14</v>
      </c>
      <c r="L16" s="169" t="s">
        <v>18</v>
      </c>
    </row>
    <row r="17" spans="2:9" ht="15" customHeight="1" x14ac:dyDescent="0.2">
      <c r="F17" s="12"/>
      <c r="G17" s="12"/>
      <c r="H17" s="12"/>
      <c r="I17" s="12"/>
    </row>
    <row r="18" spans="2:9" s="176" customFormat="1" ht="20.100000000000001" customHeight="1" x14ac:dyDescent="0.3">
      <c r="B18" s="178" t="s">
        <v>19</v>
      </c>
      <c r="C18" s="179"/>
      <c r="D18" s="179"/>
      <c r="F18" s="180"/>
      <c r="G18" s="180"/>
      <c r="H18" s="180"/>
      <c r="I18" s="180"/>
    </row>
    <row r="19" spans="2:9" ht="30" x14ac:dyDescent="0.2">
      <c r="B19" s="171" t="s">
        <v>20</v>
      </c>
      <c r="C19" s="171"/>
      <c r="D19" s="166"/>
      <c r="F19" s="163" t="s">
        <v>21</v>
      </c>
      <c r="G19" s="163" t="s">
        <v>22</v>
      </c>
      <c r="H19" s="163" t="s">
        <v>23</v>
      </c>
      <c r="I19" s="163" t="s">
        <v>24</v>
      </c>
    </row>
    <row r="20" spans="2:9" ht="15" customHeight="1" x14ac:dyDescent="0.2">
      <c r="B20" s="165">
        <v>1</v>
      </c>
      <c r="C20" s="165" t="s">
        <v>5</v>
      </c>
      <c r="D20" s="166"/>
      <c r="F20" s="164">
        <v>12</v>
      </c>
      <c r="G20" s="164">
        <v>24</v>
      </c>
      <c r="H20" s="164">
        <v>48</v>
      </c>
      <c r="I20" s="164">
        <v>96</v>
      </c>
    </row>
    <row r="21" spans="2:9" ht="15" customHeight="1" x14ac:dyDescent="0.2">
      <c r="B21" s="165">
        <v>2</v>
      </c>
      <c r="C21" s="165" t="s">
        <v>7</v>
      </c>
      <c r="D21" s="166"/>
      <c r="F21" s="164">
        <v>8</v>
      </c>
      <c r="G21" s="164">
        <v>16</v>
      </c>
      <c r="H21" s="164">
        <v>32</v>
      </c>
      <c r="I21" s="164">
        <v>64</v>
      </c>
    </row>
    <row r="22" spans="2:9" ht="15" customHeight="1" x14ac:dyDescent="0.2">
      <c r="B22" s="165">
        <v>3</v>
      </c>
      <c r="C22" s="165" t="s">
        <v>9</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25</v>
      </c>
      <c r="C25" s="5"/>
      <c r="F25" s="163" t="s">
        <v>3</v>
      </c>
      <c r="G25" s="12"/>
      <c r="H25" s="12"/>
      <c r="I25" s="12"/>
    </row>
    <row r="26" spans="2:9" ht="15" customHeight="1" x14ac:dyDescent="0.2">
      <c r="B26" s="165">
        <v>1</v>
      </c>
      <c r="C26" s="165" t="s">
        <v>5</v>
      </c>
      <c r="D26" s="166"/>
      <c r="F26" s="164">
        <v>6</v>
      </c>
      <c r="G26" s="184" t="str">
        <f>IF(KOMatchRule=0,"Not Applied in Your Selected Game Scenario","")</f>
        <v/>
      </c>
      <c r="H26" s="12"/>
      <c r="I26" s="12"/>
    </row>
    <row r="27" spans="2:9" ht="15" customHeight="1" x14ac:dyDescent="0.2">
      <c r="B27" s="165">
        <v>2</v>
      </c>
      <c r="C27" s="165" t="s">
        <v>7</v>
      </c>
      <c r="D27" s="166"/>
      <c r="F27" s="164">
        <v>4</v>
      </c>
      <c r="G27" s="184" t="str">
        <f>IF(KOMatchRule=0,"Not Applied in Your Selected Game Scenario","")</f>
        <v/>
      </c>
      <c r="H27" s="12"/>
      <c r="I27" s="12"/>
    </row>
    <row r="28" spans="2:9" ht="15" customHeight="1" x14ac:dyDescent="0.2">
      <c r="B28" s="165">
        <v>3</v>
      </c>
      <c r="C28" s="165" t="s">
        <v>9</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26</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v>
      </c>
      <c r="C33" s="5"/>
      <c r="F33" s="163" t="s">
        <v>3</v>
      </c>
      <c r="G33" s="12"/>
      <c r="H33" s="12"/>
      <c r="I33" s="12"/>
    </row>
    <row r="34" spans="2:9" ht="15" customHeight="1" x14ac:dyDescent="0.2">
      <c r="B34" s="165">
        <v>1</v>
      </c>
      <c r="C34" s="165" t="s">
        <v>27</v>
      </c>
      <c r="D34" s="166"/>
      <c r="F34" s="164">
        <v>24</v>
      </c>
      <c r="G34" s="183"/>
      <c r="H34" s="12"/>
      <c r="I34" s="12"/>
    </row>
    <row r="35" spans="2:9" ht="15" customHeight="1" x14ac:dyDescent="0.2">
      <c r="B35" s="165">
        <v>2</v>
      </c>
      <c r="C35" s="165" t="s">
        <v>28</v>
      </c>
      <c r="D35" s="166"/>
      <c r="F35" s="164">
        <v>16</v>
      </c>
      <c r="G35" s="183"/>
      <c r="H35" s="12"/>
      <c r="I35" s="12"/>
    </row>
    <row r="36" spans="2:9" ht="15" customHeight="1" x14ac:dyDescent="0.2">
      <c r="B36" s="165">
        <v>3</v>
      </c>
      <c r="C36" s="165" t="s">
        <v>29</v>
      </c>
      <c r="D36" s="166"/>
      <c r="F36" s="164">
        <v>8</v>
      </c>
      <c r="G36" s="183"/>
      <c r="H36" s="12"/>
      <c r="I36" s="12"/>
    </row>
    <row r="37" spans="2:9" ht="15" customHeight="1" x14ac:dyDescent="0.2">
      <c r="B37" s="165">
        <v>4</v>
      </c>
      <c r="C37" s="165" t="s">
        <v>30</v>
      </c>
      <c r="D37" s="166"/>
      <c r="F37" s="164"/>
      <c r="G37" s="183"/>
      <c r="H37" s="12"/>
      <c r="I37" s="12"/>
    </row>
    <row r="38" spans="2:9" ht="15" customHeight="1" x14ac:dyDescent="0.2">
      <c r="B38" s="165"/>
      <c r="C38" s="172" t="s">
        <v>31</v>
      </c>
      <c r="D38" s="165" t="s">
        <v>32</v>
      </c>
      <c r="F38" s="164">
        <v>24</v>
      </c>
      <c r="G38" s="183"/>
      <c r="H38" s="12"/>
      <c r="I38" s="12"/>
    </row>
    <row r="39" spans="2:9" ht="15" customHeight="1" x14ac:dyDescent="0.2">
      <c r="B39" s="165"/>
      <c r="C39" s="172" t="s">
        <v>31</v>
      </c>
      <c r="D39" s="165" t="s">
        <v>33</v>
      </c>
      <c r="F39" s="164">
        <v>16</v>
      </c>
      <c r="G39" s="183"/>
      <c r="H39" s="12"/>
      <c r="I39" s="12"/>
    </row>
    <row r="40" spans="2:9" ht="15" customHeight="1" thickBot="1" x14ac:dyDescent="0.25">
      <c r="B40" s="276"/>
      <c r="C40" s="277" t="s">
        <v>31</v>
      </c>
      <c r="D40" s="276" t="s">
        <v>34</v>
      </c>
      <c r="F40" s="278">
        <v>8</v>
      </c>
      <c r="G40" s="183"/>
      <c r="H40" s="12"/>
      <c r="I40" s="12"/>
    </row>
    <row r="41" spans="2:9" ht="15" customHeight="1" x14ac:dyDescent="0.2">
      <c r="B41" s="280">
        <v>5</v>
      </c>
      <c r="C41" s="281" t="s">
        <v>35</v>
      </c>
      <c r="D41" s="282"/>
      <c r="E41" s="283"/>
      <c r="F41" s="296"/>
      <c r="G41" s="360" t="s">
        <v>36</v>
      </c>
      <c r="H41" s="361"/>
      <c r="I41" s="362"/>
    </row>
    <row r="42" spans="2:9" ht="15" customHeight="1" x14ac:dyDescent="0.2">
      <c r="B42" s="284"/>
      <c r="C42" s="285" t="s">
        <v>31</v>
      </c>
      <c r="D42" s="286" t="s">
        <v>37</v>
      </c>
      <c r="E42" s="287"/>
      <c r="F42" s="297">
        <v>8</v>
      </c>
      <c r="G42" s="363"/>
      <c r="H42" s="364"/>
      <c r="I42" s="365"/>
    </row>
    <row r="43" spans="2:9" ht="15" customHeight="1" x14ac:dyDescent="0.2">
      <c r="B43" s="284"/>
      <c r="C43" s="285" t="s">
        <v>31</v>
      </c>
      <c r="D43" s="286" t="s">
        <v>38</v>
      </c>
      <c r="E43" s="287"/>
      <c r="F43" s="297">
        <v>4</v>
      </c>
      <c r="G43" s="363"/>
      <c r="H43" s="364"/>
      <c r="I43" s="365"/>
    </row>
    <row r="44" spans="2:9" ht="15" customHeight="1" x14ac:dyDescent="0.2">
      <c r="B44" s="284"/>
      <c r="C44" s="285" t="s">
        <v>31</v>
      </c>
      <c r="D44" s="286" t="s">
        <v>39</v>
      </c>
      <c r="E44" s="287"/>
      <c r="F44" s="297">
        <v>2</v>
      </c>
      <c r="G44" s="363"/>
      <c r="H44" s="364"/>
      <c r="I44" s="365"/>
    </row>
    <row r="45" spans="2:9" ht="15" customHeight="1" x14ac:dyDescent="0.2">
      <c r="B45" s="284">
        <v>6</v>
      </c>
      <c r="C45" s="286" t="s">
        <v>40</v>
      </c>
      <c r="D45" s="286"/>
      <c r="E45" s="287"/>
      <c r="F45" s="297"/>
      <c r="G45" s="363"/>
      <c r="H45" s="364"/>
      <c r="I45" s="365"/>
    </row>
    <row r="46" spans="2:9" ht="15" customHeight="1" x14ac:dyDescent="0.2">
      <c r="B46" s="284"/>
      <c r="C46" s="285" t="s">
        <v>31</v>
      </c>
      <c r="D46" s="286" t="s">
        <v>41</v>
      </c>
      <c r="E46" s="287"/>
      <c r="F46" s="297">
        <v>8</v>
      </c>
      <c r="G46" s="363"/>
      <c r="H46" s="364"/>
      <c r="I46" s="365"/>
    </row>
    <row r="47" spans="2:9" ht="15" customHeight="1" x14ac:dyDescent="0.2">
      <c r="B47" s="284"/>
      <c r="C47" s="285" t="s">
        <v>31</v>
      </c>
      <c r="D47" s="286" t="s">
        <v>42</v>
      </c>
      <c r="E47" s="287"/>
      <c r="F47" s="297">
        <v>4</v>
      </c>
      <c r="G47" s="363"/>
      <c r="H47" s="364"/>
      <c r="I47" s="365"/>
    </row>
    <row r="48" spans="2:9" ht="15" customHeight="1" x14ac:dyDescent="0.2">
      <c r="B48" s="284">
        <v>7</v>
      </c>
      <c r="C48" s="286" t="s">
        <v>43</v>
      </c>
      <c r="D48" s="286"/>
      <c r="E48" s="287"/>
      <c r="F48" s="297"/>
      <c r="G48" s="363"/>
      <c r="H48" s="364"/>
      <c r="I48" s="365"/>
    </row>
    <row r="49" spans="2:9" ht="15" customHeight="1" x14ac:dyDescent="0.2">
      <c r="B49" s="284"/>
      <c r="C49" s="285" t="s">
        <v>31</v>
      </c>
      <c r="D49" s="286" t="s">
        <v>44</v>
      </c>
      <c r="E49" s="287"/>
      <c r="F49" s="297">
        <v>8</v>
      </c>
      <c r="G49" s="363"/>
      <c r="H49" s="364"/>
      <c r="I49" s="365"/>
    </row>
    <row r="50" spans="2:9" ht="15" customHeight="1" thickBot="1" x14ac:dyDescent="0.25">
      <c r="B50" s="288"/>
      <c r="C50" s="289" t="s">
        <v>31</v>
      </c>
      <c r="D50" s="290" t="s">
        <v>45</v>
      </c>
      <c r="E50" s="291"/>
      <c r="F50" s="298">
        <v>4</v>
      </c>
      <c r="G50" s="366"/>
      <c r="H50" s="367"/>
      <c r="I50" s="368"/>
    </row>
    <row r="51" spans="2:9" ht="15" customHeight="1" thickBot="1" x14ac:dyDescent="0.25">
      <c r="B51" s="12">
        <v>8</v>
      </c>
      <c r="C51" s="12" t="s">
        <v>46</v>
      </c>
      <c r="F51" s="279">
        <v>16</v>
      </c>
      <c r="G51" s="184" t="str">
        <f>IF(KOGameRule=1,"Not Applied in Your Selected Game Scenario","")</f>
        <v/>
      </c>
      <c r="H51" s="12"/>
      <c r="I51" s="12"/>
    </row>
    <row r="52" spans="2:9" ht="15" customHeight="1" x14ac:dyDescent="0.2">
      <c r="B52" s="280">
        <v>9</v>
      </c>
      <c r="C52" s="281" t="s">
        <v>47</v>
      </c>
      <c r="D52" s="282"/>
      <c r="E52" s="283"/>
      <c r="F52" s="296">
        <v>24</v>
      </c>
      <c r="G52" s="360" t="s">
        <v>36</v>
      </c>
      <c r="H52" s="361"/>
      <c r="I52" s="362"/>
    </row>
    <row r="53" spans="2:9" ht="15" customHeight="1" x14ac:dyDescent="0.2">
      <c r="B53" s="284">
        <v>10</v>
      </c>
      <c r="C53" s="286" t="s">
        <v>48</v>
      </c>
      <c r="D53" s="292"/>
      <c r="E53" s="287"/>
      <c r="F53" s="297">
        <v>24</v>
      </c>
      <c r="G53" s="363"/>
      <c r="H53" s="364"/>
      <c r="I53" s="365"/>
    </row>
    <row r="54" spans="2:9" ht="15" customHeight="1" x14ac:dyDescent="0.2">
      <c r="B54" s="284">
        <v>11</v>
      </c>
      <c r="C54" s="286" t="s">
        <v>49</v>
      </c>
      <c r="D54" s="292"/>
      <c r="E54" s="287"/>
      <c r="F54" s="299">
        <f>SUM(F55:F58)</f>
        <v>90</v>
      </c>
      <c r="G54" s="363"/>
      <c r="H54" s="364"/>
      <c r="I54" s="365"/>
    </row>
    <row r="55" spans="2:9" ht="15" customHeight="1" x14ac:dyDescent="0.2">
      <c r="B55" s="293"/>
      <c r="C55" s="285" t="s">
        <v>31</v>
      </c>
      <c r="D55" s="294" t="s">
        <v>50</v>
      </c>
      <c r="E55" s="287"/>
      <c r="F55" s="297">
        <v>6</v>
      </c>
      <c r="G55" s="363"/>
      <c r="H55" s="364"/>
      <c r="I55" s="365"/>
    </row>
    <row r="56" spans="2:9" ht="15" customHeight="1" x14ac:dyDescent="0.2">
      <c r="B56" s="293"/>
      <c r="C56" s="285" t="s">
        <v>31</v>
      </c>
      <c r="D56" s="294" t="s">
        <v>51</v>
      </c>
      <c r="E56" s="287"/>
      <c r="F56" s="297">
        <v>12</v>
      </c>
      <c r="G56" s="363"/>
      <c r="H56" s="364"/>
      <c r="I56" s="365"/>
    </row>
    <row r="57" spans="2:9" ht="15" customHeight="1" x14ac:dyDescent="0.2">
      <c r="B57" s="293"/>
      <c r="C57" s="285" t="s">
        <v>31</v>
      </c>
      <c r="D57" s="294" t="s">
        <v>52</v>
      </c>
      <c r="E57" s="287"/>
      <c r="F57" s="297">
        <v>24</v>
      </c>
      <c r="G57" s="363"/>
      <c r="H57" s="364"/>
      <c r="I57" s="365"/>
    </row>
    <row r="58" spans="2:9" ht="15" customHeight="1" x14ac:dyDescent="0.2">
      <c r="B58" s="293"/>
      <c r="C58" s="285" t="s">
        <v>31</v>
      </c>
      <c r="D58" s="294" t="s">
        <v>53</v>
      </c>
      <c r="E58" s="287"/>
      <c r="F58" s="297">
        <v>48</v>
      </c>
      <c r="G58" s="363"/>
      <c r="H58" s="364"/>
      <c r="I58" s="365"/>
    </row>
    <row r="59" spans="2:9" ht="15" customHeight="1" x14ac:dyDescent="0.2">
      <c r="B59" s="284">
        <v>12</v>
      </c>
      <c r="C59" s="292" t="s">
        <v>54</v>
      </c>
      <c r="D59" s="292"/>
      <c r="E59" s="287"/>
      <c r="F59" s="299">
        <f>SUM(F60:F62)</f>
        <v>42</v>
      </c>
      <c r="G59" s="363"/>
      <c r="H59" s="364"/>
      <c r="I59" s="365"/>
    </row>
    <row r="60" spans="2:9" ht="15" customHeight="1" x14ac:dyDescent="0.2">
      <c r="B60" s="293"/>
      <c r="C60" s="285" t="s">
        <v>31</v>
      </c>
      <c r="D60" s="294" t="s">
        <v>50</v>
      </c>
      <c r="E60" s="287"/>
      <c r="F60" s="297">
        <v>6</v>
      </c>
      <c r="G60" s="363"/>
      <c r="H60" s="364"/>
      <c r="I60" s="365"/>
    </row>
    <row r="61" spans="2:9" ht="15" customHeight="1" x14ac:dyDescent="0.2">
      <c r="B61" s="293"/>
      <c r="C61" s="285" t="s">
        <v>31</v>
      </c>
      <c r="D61" s="294" t="s">
        <v>55</v>
      </c>
      <c r="E61" s="287"/>
      <c r="F61" s="297">
        <v>12</v>
      </c>
      <c r="G61" s="363"/>
      <c r="H61" s="364"/>
      <c r="I61" s="365"/>
    </row>
    <row r="62" spans="2:9" ht="15" customHeight="1" x14ac:dyDescent="0.2">
      <c r="B62" s="293"/>
      <c r="C62" s="285" t="s">
        <v>31</v>
      </c>
      <c r="D62" s="294" t="s">
        <v>56</v>
      </c>
      <c r="E62" s="287"/>
      <c r="F62" s="297">
        <v>24</v>
      </c>
      <c r="G62" s="363"/>
      <c r="H62" s="364"/>
      <c r="I62" s="365"/>
    </row>
    <row r="63" spans="2:9" ht="15" customHeight="1" x14ac:dyDescent="0.2">
      <c r="B63" s="284">
        <v>13</v>
      </c>
      <c r="C63" s="292" t="s">
        <v>57</v>
      </c>
      <c r="D63" s="292"/>
      <c r="E63" s="287"/>
      <c r="F63" s="299">
        <f>SUM(F64:F65)</f>
        <v>18</v>
      </c>
      <c r="G63" s="363"/>
      <c r="H63" s="364"/>
      <c r="I63" s="365"/>
    </row>
    <row r="64" spans="2:9" ht="15" customHeight="1" x14ac:dyDescent="0.2">
      <c r="B64" s="293"/>
      <c r="C64" s="285" t="s">
        <v>31</v>
      </c>
      <c r="D64" s="294" t="s">
        <v>50</v>
      </c>
      <c r="E64" s="287"/>
      <c r="F64" s="297">
        <v>6</v>
      </c>
      <c r="G64" s="363"/>
      <c r="H64" s="364"/>
      <c r="I64" s="365"/>
    </row>
    <row r="65" spans="2:9" ht="15" customHeight="1" x14ac:dyDescent="0.2">
      <c r="B65" s="293"/>
      <c r="C65" s="285" t="s">
        <v>31</v>
      </c>
      <c r="D65" s="294" t="s">
        <v>55</v>
      </c>
      <c r="E65" s="287"/>
      <c r="F65" s="297">
        <v>12</v>
      </c>
      <c r="G65" s="363"/>
      <c r="H65" s="364"/>
      <c r="I65" s="365"/>
    </row>
    <row r="66" spans="2:9" ht="15" customHeight="1" thickBot="1" x14ac:dyDescent="0.25">
      <c r="B66" s="288">
        <v>14</v>
      </c>
      <c r="C66" s="290" t="s">
        <v>58</v>
      </c>
      <c r="D66" s="295"/>
      <c r="E66" s="291"/>
      <c r="F66" s="298">
        <v>0</v>
      </c>
      <c r="G66" s="366"/>
      <c r="H66" s="367"/>
      <c r="I66" s="368"/>
    </row>
    <row r="67" spans="2:9" ht="15" customHeight="1" x14ac:dyDescent="0.2">
      <c r="B67" s="236" t="s">
        <v>59</v>
      </c>
    </row>
    <row r="68" spans="2:9" s="173" customFormat="1" ht="20.100000000000001" customHeight="1" thickBot="1" x14ac:dyDescent="0.25">
      <c r="B68" s="174" t="s">
        <v>60</v>
      </c>
      <c r="C68" s="174"/>
      <c r="D68" s="175"/>
      <c r="E68" s="175"/>
      <c r="F68" s="175"/>
      <c r="G68" s="175"/>
      <c r="H68" s="175"/>
      <c r="I68" s="175"/>
    </row>
    <row r="69" spans="2:9" ht="5.0999999999999996" customHeight="1" x14ac:dyDescent="0.2"/>
    <row r="70" spans="2:9" ht="15" customHeight="1" x14ac:dyDescent="0.2">
      <c r="B70" s="4" t="s">
        <v>61</v>
      </c>
    </row>
    <row r="71" spans="2:9" ht="15" customHeight="1" x14ac:dyDescent="0.2">
      <c r="B71" s="4">
        <v>1</v>
      </c>
      <c r="C71" s="4" t="s">
        <v>62</v>
      </c>
    </row>
    <row r="72" spans="2:9" ht="14.45" customHeight="1" x14ac:dyDescent="0.2">
      <c r="B72" s="4">
        <v>2</v>
      </c>
      <c r="C72" s="4" t="s">
        <v>63</v>
      </c>
    </row>
    <row r="73" spans="2:9" ht="14.45" customHeight="1" x14ac:dyDescent="0.2">
      <c r="B73" s="4">
        <v>3</v>
      </c>
      <c r="C73" s="4" t="s">
        <v>64</v>
      </c>
    </row>
    <row r="74" spans="2:9" ht="14.45" customHeight="1" x14ac:dyDescent="0.2">
      <c r="B74" s="4">
        <v>4</v>
      </c>
      <c r="C74" s="4" t="s">
        <v>65</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defaultColWidth="9.140625"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67</v>
      </c>
      <c r="C5" s="247" t="s">
        <v>68</v>
      </c>
      <c r="D5" s="252" t="s">
        <v>69</v>
      </c>
      <c r="E5" s="248" t="s">
        <v>70</v>
      </c>
      <c r="F5" s="247" t="s">
        <v>71</v>
      </c>
      <c r="G5" s="247" t="s">
        <v>72</v>
      </c>
    </row>
    <row r="6" spans="2:14" ht="15" customHeight="1" x14ac:dyDescent="0.25">
      <c r="B6" s="270">
        <v>1</v>
      </c>
      <c r="C6" s="351" t="s">
        <v>73</v>
      </c>
      <c r="D6" s="266">
        <v>0</v>
      </c>
      <c r="E6" s="267">
        <v>0</v>
      </c>
      <c r="F6" s="268"/>
      <c r="G6" s="268"/>
      <c r="K6" s="257" t="s">
        <v>74</v>
      </c>
      <c r="L6" s="1" t="s">
        <v>75</v>
      </c>
    </row>
    <row r="7" spans="2:14" ht="15" customHeight="1" x14ac:dyDescent="0.25">
      <c r="B7" s="271">
        <v>2</v>
      </c>
      <c r="C7" s="352" t="s">
        <v>76</v>
      </c>
      <c r="D7" s="266">
        <v>0</v>
      </c>
      <c r="E7" s="267">
        <v>0</v>
      </c>
      <c r="F7" s="269"/>
      <c r="G7" s="269"/>
      <c r="L7" s="2" t="s">
        <v>77</v>
      </c>
    </row>
    <row r="8" spans="2:14" ht="15" customHeight="1" x14ac:dyDescent="0.25">
      <c r="B8" s="271">
        <v>3</v>
      </c>
      <c r="C8" s="352" t="s">
        <v>78</v>
      </c>
      <c r="D8" s="266">
        <v>0</v>
      </c>
      <c r="E8" s="267">
        <v>0</v>
      </c>
      <c r="F8" s="269"/>
      <c r="G8" s="269"/>
      <c r="K8" s="257" t="s">
        <v>74</v>
      </c>
      <c r="L8" s="2" t="s">
        <v>79</v>
      </c>
    </row>
    <row r="9" spans="2:14" ht="15" customHeight="1" x14ac:dyDescent="0.25">
      <c r="B9" s="271">
        <v>4</v>
      </c>
      <c r="C9" s="352" t="s">
        <v>80</v>
      </c>
      <c r="D9" s="266">
        <v>0</v>
      </c>
      <c r="E9" s="267">
        <v>0</v>
      </c>
      <c r="F9" s="269"/>
      <c r="G9" s="269"/>
      <c r="K9" s="257" t="s">
        <v>74</v>
      </c>
      <c r="L9" s="2" t="s">
        <v>81</v>
      </c>
    </row>
    <row r="10" spans="2:14" ht="15" customHeight="1" x14ac:dyDescent="0.25">
      <c r="B10" s="271">
        <v>5</v>
      </c>
      <c r="C10" s="352" t="s">
        <v>82</v>
      </c>
      <c r="D10" s="266">
        <v>0</v>
      </c>
      <c r="E10" s="267">
        <v>0</v>
      </c>
      <c r="F10" s="269"/>
      <c r="G10" s="269"/>
      <c r="L10" s="2" t="s">
        <v>83</v>
      </c>
    </row>
    <row r="11" spans="2:14" ht="15" customHeight="1" x14ac:dyDescent="0.25">
      <c r="B11" s="271">
        <v>6</v>
      </c>
      <c r="C11" s="352" t="s">
        <v>84</v>
      </c>
      <c r="D11" s="266">
        <v>0</v>
      </c>
      <c r="E11" s="267">
        <v>0</v>
      </c>
      <c r="F11" s="269"/>
      <c r="G11" s="269"/>
      <c r="K11" s="257"/>
      <c r="L11" s="2" t="s">
        <v>85</v>
      </c>
    </row>
    <row r="12" spans="2:14" ht="15" customHeight="1" x14ac:dyDescent="0.25">
      <c r="B12" s="271">
        <v>7</v>
      </c>
      <c r="C12" s="352" t="s">
        <v>86</v>
      </c>
      <c r="D12" s="266">
        <v>0</v>
      </c>
      <c r="E12" s="267">
        <v>0</v>
      </c>
      <c r="F12" s="269"/>
      <c r="G12" s="269"/>
      <c r="L12" s="2" t="s">
        <v>87</v>
      </c>
    </row>
    <row r="13" spans="2:14" ht="15" customHeight="1" x14ac:dyDescent="0.25">
      <c r="B13" s="271">
        <v>8</v>
      </c>
      <c r="C13" s="352" t="s">
        <v>88</v>
      </c>
      <c r="D13" s="266">
        <v>0</v>
      </c>
      <c r="E13" s="267">
        <v>0</v>
      </c>
      <c r="F13" s="269"/>
      <c r="G13" s="269"/>
      <c r="L13" s="258" t="s">
        <v>89</v>
      </c>
      <c r="M13" s="2" t="s">
        <v>90</v>
      </c>
    </row>
    <row r="14" spans="2:14" ht="15" customHeight="1" x14ac:dyDescent="0.25">
      <c r="B14" s="271">
        <v>9</v>
      </c>
      <c r="C14" s="352" t="s">
        <v>91</v>
      </c>
      <c r="D14" s="266">
        <v>0</v>
      </c>
      <c r="E14" s="267">
        <v>0</v>
      </c>
      <c r="F14" s="269"/>
      <c r="G14" s="269"/>
      <c r="L14" s="258" t="s">
        <v>89</v>
      </c>
      <c r="M14" s="2" t="s">
        <v>92</v>
      </c>
    </row>
    <row r="15" spans="2:14" ht="15" customHeight="1" x14ac:dyDescent="0.25">
      <c r="B15" s="271">
        <v>10</v>
      </c>
      <c r="C15" s="352" t="s">
        <v>93</v>
      </c>
      <c r="D15" s="266">
        <v>0</v>
      </c>
      <c r="E15" s="267">
        <v>0</v>
      </c>
      <c r="F15" s="269"/>
      <c r="G15" s="269"/>
      <c r="L15" s="258" t="s">
        <v>89</v>
      </c>
      <c r="M15" s="2" t="s">
        <v>94</v>
      </c>
    </row>
    <row r="16" spans="2:14" ht="15" customHeight="1" x14ac:dyDescent="0.25">
      <c r="E16" s="255"/>
      <c r="F16" s="255"/>
      <c r="G16" s="255"/>
      <c r="K16" s="257" t="s">
        <v>74</v>
      </c>
      <c r="L16" s="259" t="s">
        <v>95</v>
      </c>
    </row>
    <row r="17" spans="5:13" ht="15" customHeight="1" x14ac:dyDescent="0.25">
      <c r="E17" s="255"/>
      <c r="F17" s="255"/>
      <c r="G17" s="255"/>
    </row>
    <row r="18" spans="5:13" ht="15" customHeight="1" x14ac:dyDescent="0.25">
      <c r="E18" s="255"/>
      <c r="F18" s="255"/>
      <c r="G18" s="255"/>
      <c r="K18" s="249" t="s">
        <v>74</v>
      </c>
      <c r="L18" s="250" t="s">
        <v>96</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N26" activePane="bottomRight" state="frozen"/>
      <selection pane="topRight" activeCell="N1" sqref="N1"/>
      <selection pane="bottomLeft" activeCell="A9" sqref="A9"/>
      <selection pane="bottomRight" activeCell="H40" sqref="H40"/>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97</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404" t="s">
        <v>98</v>
      </c>
      <c r="C3" s="404"/>
      <c r="D3" s="404"/>
      <c r="E3" s="404"/>
      <c r="F3" s="404"/>
      <c r="G3" s="404"/>
      <c r="H3" s="404"/>
      <c r="I3" s="404"/>
      <c r="J3" s="125"/>
      <c r="K3" s="125"/>
      <c r="L3" s="125"/>
      <c r="M3" s="125"/>
      <c r="N3" s="414" t="s">
        <v>99</v>
      </c>
      <c r="O3" s="415"/>
      <c r="P3" s="415"/>
      <c r="Q3" s="415"/>
      <c r="R3" s="415"/>
      <c r="S3" s="415"/>
      <c r="T3" s="415"/>
      <c r="U3" s="415"/>
      <c r="V3" s="415"/>
      <c r="W3" s="415"/>
      <c r="X3" s="415"/>
      <c r="Y3" s="415"/>
      <c r="Z3" s="415"/>
      <c r="AA3" s="415"/>
      <c r="AB3" s="415"/>
      <c r="AC3" s="415"/>
      <c r="AD3" s="415"/>
      <c r="AE3" s="44"/>
      <c r="AF3" s="44"/>
      <c r="AG3" s="44"/>
      <c r="AH3" s="401"/>
      <c r="AI3" s="402"/>
      <c r="AJ3" s="402"/>
      <c r="AK3" s="402"/>
      <c r="AL3" s="402"/>
      <c r="AM3" s="44"/>
      <c r="AN3" s="44"/>
      <c r="AO3" s="44"/>
      <c r="AP3" s="44"/>
      <c r="AQ3" s="44"/>
      <c r="AR3" s="401"/>
      <c r="AS3" s="402"/>
      <c r="AT3" s="402"/>
      <c r="AU3" s="402"/>
      <c r="AV3" s="402"/>
      <c r="AW3" s="44"/>
      <c r="AX3" s="44"/>
      <c r="AY3" s="44"/>
      <c r="AZ3" s="44"/>
      <c r="BA3" s="44"/>
      <c r="BB3" s="401"/>
      <c r="BC3" s="402"/>
      <c r="BD3" s="402"/>
      <c r="BE3" s="402"/>
      <c r="BF3" s="402"/>
      <c r="BG3" s="44"/>
      <c r="BH3" s="44"/>
      <c r="BI3" s="44"/>
      <c r="BJ3" s="44"/>
      <c r="BK3" s="44"/>
      <c r="BL3" s="401"/>
      <c r="BM3" s="402"/>
      <c r="BN3" s="402"/>
      <c r="BO3" s="402"/>
      <c r="BP3" s="402"/>
      <c r="BQ3" s="44"/>
      <c r="BR3" s="44"/>
      <c r="BS3" s="44"/>
      <c r="BT3" s="44"/>
      <c r="BU3" s="44"/>
      <c r="BV3" s="401"/>
      <c r="BW3" s="402"/>
      <c r="BX3" s="402"/>
      <c r="BY3" s="402"/>
      <c r="BZ3" s="402"/>
      <c r="CA3" s="44"/>
      <c r="CB3" s="44"/>
      <c r="CC3" s="44"/>
      <c r="CD3" s="44"/>
      <c r="CE3" s="44"/>
      <c r="CF3" s="401"/>
      <c r="CG3" s="402"/>
      <c r="CH3" s="402"/>
      <c r="CI3" s="402"/>
      <c r="CJ3" s="402"/>
      <c r="CK3" s="44"/>
      <c r="CL3" s="44"/>
      <c r="CM3" s="44"/>
      <c r="CN3" s="44"/>
      <c r="CO3" s="44"/>
      <c r="CP3" s="401"/>
      <c r="CQ3" s="402"/>
      <c r="CR3" s="402"/>
      <c r="CS3" s="402"/>
      <c r="CT3" s="402"/>
      <c r="CU3" s="44"/>
      <c r="CV3" s="44"/>
      <c r="CW3" s="44"/>
      <c r="CX3" s="44"/>
      <c r="CY3" s="44"/>
      <c r="CZ3" s="401"/>
      <c r="DA3" s="402"/>
      <c r="DB3" s="402"/>
      <c r="DC3" s="402"/>
      <c r="DD3" s="402"/>
      <c r="DE3" s="44"/>
      <c r="DF3" s="44"/>
      <c r="DG3" s="44"/>
      <c r="DH3" s="44"/>
      <c r="DI3" s="44"/>
    </row>
    <row r="4" spans="1:113" s="43" customFormat="1" ht="15" customHeight="1" x14ac:dyDescent="0.2">
      <c r="A4" s="41"/>
      <c r="B4" s="404"/>
      <c r="C4" s="404"/>
      <c r="D4" s="404"/>
      <c r="E4" s="404"/>
      <c r="F4" s="404"/>
      <c r="G4" s="404"/>
      <c r="H4" s="404"/>
      <c r="I4" s="404"/>
      <c r="J4" s="125"/>
      <c r="K4" s="125"/>
      <c r="L4" s="125"/>
      <c r="M4" s="125"/>
      <c r="N4" s="414"/>
      <c r="O4" s="415"/>
      <c r="P4" s="415"/>
      <c r="Q4" s="415"/>
      <c r="R4" s="415"/>
      <c r="S4" s="415"/>
      <c r="T4" s="415"/>
      <c r="U4" s="415"/>
      <c r="V4" s="415"/>
      <c r="W4" s="415"/>
      <c r="X4" s="415"/>
      <c r="Y4" s="415"/>
      <c r="Z4" s="415"/>
      <c r="AA4" s="415"/>
      <c r="AB4" s="415"/>
      <c r="AC4" s="415"/>
      <c r="AD4" s="415"/>
      <c r="AE4" s="46"/>
      <c r="AF4" s="45"/>
      <c r="AG4" s="45"/>
      <c r="AH4" s="401"/>
      <c r="AI4" s="402"/>
      <c r="AJ4" s="402"/>
      <c r="AK4" s="402"/>
      <c r="AL4" s="402"/>
      <c r="AM4" s="46"/>
      <c r="AN4" s="46"/>
      <c r="AO4" s="46"/>
      <c r="AP4" s="45"/>
      <c r="AQ4" s="45"/>
      <c r="AR4" s="401"/>
      <c r="AS4" s="402"/>
      <c r="AT4" s="402"/>
      <c r="AU4" s="402"/>
      <c r="AV4" s="402"/>
      <c r="AW4" s="46"/>
      <c r="AX4" s="46"/>
      <c r="AY4" s="46"/>
      <c r="AZ4" s="45"/>
      <c r="BA4" s="45"/>
      <c r="BB4" s="401"/>
      <c r="BC4" s="402"/>
      <c r="BD4" s="402"/>
      <c r="BE4" s="402"/>
      <c r="BF4" s="402"/>
      <c r="BG4" s="46"/>
      <c r="BH4" s="46"/>
      <c r="BI4" s="46"/>
      <c r="BJ4" s="45"/>
      <c r="BK4" s="45"/>
      <c r="BL4" s="401"/>
      <c r="BM4" s="402"/>
      <c r="BN4" s="402"/>
      <c r="BO4" s="402"/>
      <c r="BP4" s="402"/>
      <c r="BQ4" s="46"/>
      <c r="BR4" s="46"/>
      <c r="BS4" s="46"/>
      <c r="BT4" s="45"/>
      <c r="BU4" s="45"/>
      <c r="BV4" s="401"/>
      <c r="BW4" s="402"/>
      <c r="BX4" s="402"/>
      <c r="BY4" s="402"/>
      <c r="BZ4" s="402"/>
      <c r="CA4" s="46"/>
      <c r="CB4" s="46"/>
      <c r="CC4" s="46"/>
      <c r="CD4" s="45"/>
      <c r="CE4" s="45"/>
      <c r="CF4" s="401"/>
      <c r="CG4" s="402"/>
      <c r="CH4" s="402"/>
      <c r="CI4" s="402"/>
      <c r="CJ4" s="402"/>
      <c r="CK4" s="46"/>
      <c r="CL4" s="46"/>
      <c r="CM4" s="46"/>
      <c r="CN4" s="45"/>
      <c r="CO4" s="45"/>
      <c r="CP4" s="401"/>
      <c r="CQ4" s="402"/>
      <c r="CR4" s="402"/>
      <c r="CS4" s="402"/>
      <c r="CT4" s="402"/>
      <c r="CU4" s="46"/>
      <c r="CV4" s="46"/>
      <c r="CW4" s="46"/>
      <c r="CX4" s="45"/>
      <c r="CY4" s="45"/>
      <c r="CZ4" s="401"/>
      <c r="DA4" s="402"/>
      <c r="DB4" s="402"/>
      <c r="DC4" s="402"/>
      <c r="DD4" s="402"/>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411" t="str">
        <f>'Language Table'!C38</f>
        <v>Score</v>
      </c>
      <c r="I7" s="411"/>
      <c r="J7" s="123" t="str">
        <f>G7</f>
        <v>Country</v>
      </c>
      <c r="K7" s="56"/>
      <c r="L7" s="56"/>
      <c r="M7" s="55"/>
      <c r="N7" s="51"/>
      <c r="O7" s="52" t="s">
        <v>103</v>
      </c>
      <c r="P7" s="57">
        <f ca="1">VLOOKUP(P6,'Dummy Rank'!F7:G16,2,FALSE)</f>
        <v>1</v>
      </c>
      <c r="Q7" s="52"/>
      <c r="R7" s="52"/>
      <c r="S7" s="52"/>
      <c r="T7" s="52"/>
      <c r="U7" s="58">
        <f ca="1">V7+W7</f>
        <v>150</v>
      </c>
      <c r="V7" s="58">
        <f ca="1">SUM(V10:V75)</f>
        <v>54</v>
      </c>
      <c r="W7" s="59">
        <f ca="1">SUM(W10:W88)</f>
        <v>96</v>
      </c>
      <c r="X7" s="51"/>
      <c r="Y7" s="52" t="s">
        <v>103</v>
      </c>
      <c r="Z7" s="148">
        <f ca="1">VLOOKUP(Z6,'Dummy Rank'!F7:G16,2,FALSE)</f>
        <v>2</v>
      </c>
      <c r="AA7" s="52"/>
      <c r="AB7" s="52"/>
      <c r="AC7" s="52"/>
      <c r="AD7" s="52"/>
      <c r="AE7" s="58">
        <f ca="1">AF7+AG7</f>
        <v>134</v>
      </c>
      <c r="AF7" s="58">
        <f ca="1">SUM(AF10:AF75)</f>
        <v>62</v>
      </c>
      <c r="AG7" s="59">
        <f ca="1">SUM(AG10:AG88)</f>
        <v>72</v>
      </c>
      <c r="AH7" s="51"/>
      <c r="AI7" s="52" t="s">
        <v>103</v>
      </c>
      <c r="AJ7" s="148">
        <f ca="1">VLOOKUP(AJ6,'Dummy Rank'!F7:G16,2,FALSE)</f>
        <v>5</v>
      </c>
      <c r="AK7" s="52"/>
      <c r="AL7" s="52"/>
      <c r="AM7" s="52"/>
      <c r="AN7" s="52"/>
      <c r="AO7" s="58">
        <f t="shared" ref="AO7" ca="1" si="72">AP7+AQ7</f>
        <v>116</v>
      </c>
      <c r="AP7" s="58">
        <f t="shared" ref="AP7" ca="1" si="73">SUM(AP10:AP75)</f>
        <v>52</v>
      </c>
      <c r="AQ7" s="59">
        <f t="shared" ref="AQ7" ca="1" si="74">SUM(AQ10:AQ88)</f>
        <v>64</v>
      </c>
      <c r="AR7" s="51"/>
      <c r="AS7" s="52" t="s">
        <v>103</v>
      </c>
      <c r="AT7" s="148">
        <f ca="1">VLOOKUP(AT6,'Dummy Rank'!F7:G16,2,FALSE)</f>
        <v>4</v>
      </c>
      <c r="AU7" s="52"/>
      <c r="AV7" s="52"/>
      <c r="AW7" s="52"/>
      <c r="AX7" s="52"/>
      <c r="AY7" s="58">
        <f t="shared" ref="AY7" ca="1" si="75">AZ7+BA7</f>
        <v>122</v>
      </c>
      <c r="AZ7" s="58">
        <f t="shared" ref="AZ7" ca="1" si="76">SUM(AZ10:AZ75)</f>
        <v>58</v>
      </c>
      <c r="BA7" s="59">
        <f t="shared" ref="BA7" ca="1" si="77">SUM(BA10:BA88)</f>
        <v>64</v>
      </c>
      <c r="BB7" s="51"/>
      <c r="BC7" s="52" t="s">
        <v>103</v>
      </c>
      <c r="BD7" s="148">
        <f ca="1">VLOOKUP(BD6,'Dummy Rank'!F7:G16,2,FALSE)</f>
        <v>7</v>
      </c>
      <c r="BE7" s="52"/>
      <c r="BF7" s="52"/>
      <c r="BG7" s="52"/>
      <c r="BH7" s="52"/>
      <c r="BI7" s="58">
        <f t="shared" ref="BI7" ca="1" si="78">BJ7+BK7</f>
        <v>78</v>
      </c>
      <c r="BJ7" s="58">
        <f t="shared" ref="BJ7" ca="1" si="79">SUM(BJ10:BJ75)</f>
        <v>38</v>
      </c>
      <c r="BK7" s="59">
        <f t="shared" ref="BK7" ca="1" si="80">SUM(BK10:BK88)</f>
        <v>40</v>
      </c>
      <c r="BL7" s="51"/>
      <c r="BM7" s="52" t="s">
        <v>103</v>
      </c>
      <c r="BN7" s="148">
        <f ca="1">VLOOKUP(BN6,'Dummy Rank'!F7:G16,2,FALSE)</f>
        <v>6</v>
      </c>
      <c r="BO7" s="52"/>
      <c r="BP7" s="52"/>
      <c r="BQ7" s="52"/>
      <c r="BR7" s="52"/>
      <c r="BS7" s="58">
        <f t="shared" ref="BS7" ca="1" si="81">BT7+BU7</f>
        <v>112</v>
      </c>
      <c r="BT7" s="58">
        <f t="shared" ref="BT7" ca="1" si="82">SUM(BT10:BT75)</f>
        <v>56</v>
      </c>
      <c r="BU7" s="59">
        <f t="shared" ref="BU7" ca="1" si="83">SUM(BU10:BU88)</f>
        <v>56</v>
      </c>
      <c r="BV7" s="51"/>
      <c r="BW7" s="52" t="s">
        <v>103</v>
      </c>
      <c r="BX7" s="148">
        <f ca="1">VLOOKUP(BX6,'Dummy Rank'!F7:G16,2,FALSE)</f>
        <v>8</v>
      </c>
      <c r="BY7" s="52"/>
      <c r="BZ7" s="52"/>
      <c r="CA7" s="52"/>
      <c r="CB7" s="52"/>
      <c r="CC7" s="58">
        <f t="shared" ref="CC7" ca="1" si="84">CD7+CE7</f>
        <v>78</v>
      </c>
      <c r="CD7" s="58">
        <f t="shared" ref="CD7" ca="1" si="85">SUM(CD10:CD75)</f>
        <v>54</v>
      </c>
      <c r="CE7" s="59">
        <f t="shared" ref="CE7" ca="1" si="86">SUM(CE10:CE88)</f>
        <v>24</v>
      </c>
      <c r="CF7" s="51"/>
      <c r="CG7" s="52" t="s">
        <v>103</v>
      </c>
      <c r="CH7" s="148">
        <f ca="1">VLOOKUP(CH6,'Dummy Rank'!F7:G16,2,FALSE)</f>
        <v>3</v>
      </c>
      <c r="CI7" s="52"/>
      <c r="CJ7" s="52"/>
      <c r="CK7" s="52"/>
      <c r="CL7" s="52"/>
      <c r="CM7" s="58">
        <f t="shared" ref="CM7" ca="1" si="87">CN7+CO7</f>
        <v>124</v>
      </c>
      <c r="CN7" s="58">
        <f t="shared" ref="CN7" ca="1" si="88">SUM(CN10:CN75)</f>
        <v>60</v>
      </c>
      <c r="CO7" s="59">
        <f t="shared" ref="CO7" ca="1" si="89">SUM(CO10:CO88)</f>
        <v>64</v>
      </c>
      <c r="CP7" s="51"/>
      <c r="CQ7" s="52" t="s">
        <v>103</v>
      </c>
      <c r="CR7" s="148">
        <f ca="1">VLOOKUP(CR6,'Dummy Rank'!F7:G16,2,FALSE)</f>
        <v>9</v>
      </c>
      <c r="CS7" s="52"/>
      <c r="CT7" s="52"/>
      <c r="CU7" s="52"/>
      <c r="CV7" s="52"/>
      <c r="CW7" s="58">
        <f t="shared" ref="CW7" ca="1" si="90">CX7+CY7</f>
        <v>76</v>
      </c>
      <c r="CX7" s="58">
        <f t="shared" ref="CX7" ca="1" si="91">SUM(CX10:CX75)</f>
        <v>36</v>
      </c>
      <c r="CY7" s="59">
        <f t="shared" ref="CY7" ca="1" si="92">SUM(CY10:CY88)</f>
        <v>40</v>
      </c>
      <c r="CZ7" s="51"/>
      <c r="DA7" s="52" t="s">
        <v>103</v>
      </c>
      <c r="DB7" s="148">
        <f ca="1">VLOOKUP(DB6,'Dummy Rank'!F7:G16,2,FALSE)</f>
        <v>10</v>
      </c>
      <c r="DC7" s="52"/>
      <c r="DD7" s="52"/>
      <c r="DE7" s="52"/>
      <c r="DF7" s="52"/>
      <c r="DG7" s="58">
        <f t="shared" ref="DG7" ca="1" si="93">DH7+DI7</f>
        <v>68</v>
      </c>
      <c r="DH7" s="58">
        <f t="shared" ref="DH7" ca="1" si="94">SUM(DH10:DH75)</f>
        <v>36</v>
      </c>
      <c r="DI7" s="59">
        <f t="shared" ref="DI7" ca="1" si="95">SUM(DI10:DI88)</f>
        <v>32</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4</v>
      </c>
      <c r="V9" s="68"/>
      <c r="W9" s="69"/>
      <c r="X9" s="126">
        <f>SUM(AE10:AE45)</f>
        <v>4</v>
      </c>
      <c r="Z9" s="43" t="s">
        <v>104</v>
      </c>
      <c r="AF9" s="68"/>
      <c r="AG9" s="69"/>
      <c r="AH9" s="126">
        <f t="shared" ref="AH9" si="96">SUM(AO10:AO45)</f>
        <v>2</v>
      </c>
      <c r="AJ9" s="43" t="s">
        <v>104</v>
      </c>
      <c r="AP9" s="68"/>
      <c r="AQ9" s="69"/>
      <c r="AR9" s="126">
        <f t="shared" ref="AR9" si="97">SUM(AY10:AY45)</f>
        <v>4</v>
      </c>
      <c r="AT9" s="43" t="s">
        <v>104</v>
      </c>
      <c r="AZ9" s="68"/>
      <c r="BA9" s="69"/>
      <c r="BB9" s="126">
        <f t="shared" ref="BB9" si="98">SUM(BI10:BI45)</f>
        <v>4</v>
      </c>
      <c r="BD9" s="43" t="s">
        <v>104</v>
      </c>
      <c r="BJ9" s="68"/>
      <c r="BK9" s="69"/>
      <c r="BL9" s="126">
        <f t="shared" ref="BL9" si="99">SUM(BS10:BS45)</f>
        <v>5</v>
      </c>
      <c r="BN9" s="43" t="s">
        <v>104</v>
      </c>
      <c r="BT9" s="68"/>
      <c r="BU9" s="69"/>
      <c r="BV9" s="126">
        <f t="shared" ref="BV9" si="100">SUM(CC10:CC45)</f>
        <v>1</v>
      </c>
      <c r="BX9" s="43" t="s">
        <v>104</v>
      </c>
      <c r="CD9" s="68"/>
      <c r="CE9" s="69"/>
      <c r="CF9" s="126">
        <f t="shared" ref="CF9" si="101">SUM(CM10:CM45)</f>
        <v>4</v>
      </c>
      <c r="CH9" s="43" t="s">
        <v>104</v>
      </c>
      <c r="CN9" s="68"/>
      <c r="CO9" s="69"/>
      <c r="CP9" s="126">
        <f t="shared" ref="CP9" si="102">SUM(CW10:CW45)</f>
        <v>1</v>
      </c>
      <c r="CR9" s="43" t="s">
        <v>104</v>
      </c>
      <c r="CX9" s="68"/>
      <c r="CY9" s="69"/>
      <c r="CZ9" s="126">
        <f t="shared" ref="CZ9" si="103">SUM(DG10:DG45)</f>
        <v>2</v>
      </c>
      <c r="DB9" s="43" t="s">
        <v>104</v>
      </c>
      <c r="DH9" s="68"/>
      <c r="DI9" s="69"/>
    </row>
    <row r="10" spans="1:113" s="43" customFormat="1" ht="15" customHeight="1" x14ac:dyDescent="0.2">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
      <c r="A17" s="41">
        <v>22</v>
      </c>
      <c r="B17" s="65"/>
      <c r="C17" s="55">
        <v>8</v>
      </c>
      <c r="D17" s="20" t="s">
        <v>108</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
      <c r="A18" s="41">
        <v>23</v>
      </c>
      <c r="B18" s="65"/>
      <c r="C18" s="55">
        <v>9</v>
      </c>
      <c r="D18" s="20" t="s">
        <v>109</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
      <c r="A19" s="41">
        <v>24</v>
      </c>
      <c r="B19" s="65"/>
      <c r="C19" s="55">
        <v>10</v>
      </c>
      <c r="D19" s="20" t="s">
        <v>109</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
      <c r="A20" s="41">
        <v>25</v>
      </c>
      <c r="B20" s="65"/>
      <c r="C20" s="55">
        <v>11</v>
      </c>
      <c r="D20" s="20" t="s">
        <v>110</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
      <c r="A21" s="41">
        <v>26</v>
      </c>
      <c r="B21" s="65"/>
      <c r="C21" s="55">
        <v>12</v>
      </c>
      <c r="D21" s="20" t="s">
        <v>110</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
      <c r="A22" s="41">
        <v>27</v>
      </c>
      <c r="B22" s="65"/>
      <c r="C22" s="55">
        <v>13</v>
      </c>
      <c r="D22" s="20" t="s">
        <v>105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1</v>
      </c>
      <c r="Q22" s="75">
        <v>1</v>
      </c>
      <c r="R22" s="76" t="str">
        <f t="shared" si="105"/>
        <v>Switzerland</v>
      </c>
      <c r="U22" s="77">
        <f t="shared" si="106"/>
        <v>1</v>
      </c>
      <c r="V22" s="78">
        <f t="shared" si="107"/>
        <v>6</v>
      </c>
      <c r="W22" s="69"/>
      <c r="X22" s="127"/>
      <c r="Y22" s="74" t="str">
        <f t="shared" si="108"/>
        <v>Scotland</v>
      </c>
      <c r="Z22" s="75">
        <v>1</v>
      </c>
      <c r="AA22" s="75">
        <v>1</v>
      </c>
      <c r="AB22" s="76" t="str">
        <f t="shared" si="109"/>
        <v>Switzerland</v>
      </c>
      <c r="AE22" s="77">
        <f t="shared" si="110"/>
        <v>1</v>
      </c>
      <c r="AF22" s="78">
        <f t="shared" si="111"/>
        <v>6</v>
      </c>
      <c r="AG22" s="69"/>
      <c r="AH22" s="127"/>
      <c r="AI22" s="74" t="str">
        <f t="shared" si="112"/>
        <v>Scotland</v>
      </c>
      <c r="AJ22" s="75">
        <v>2</v>
      </c>
      <c r="AK22" s="75">
        <v>1</v>
      </c>
      <c r="AL22" s="76" t="str">
        <f t="shared" si="113"/>
        <v>Switzerland</v>
      </c>
      <c r="AO22" s="77">
        <f t="shared" si="114"/>
        <v>0</v>
      </c>
      <c r="AP22" s="78">
        <f t="shared" si="115"/>
        <v>0</v>
      </c>
      <c r="AQ22" s="69"/>
      <c r="AR22" s="127"/>
      <c r="AS22" s="74" t="str">
        <f t="shared" si="116"/>
        <v>Scotland</v>
      </c>
      <c r="AT22" s="75">
        <v>2</v>
      </c>
      <c r="AU22" s="75">
        <v>2</v>
      </c>
      <c r="AV22" s="76" t="str">
        <f t="shared" si="117"/>
        <v>Switzerland</v>
      </c>
      <c r="AY22" s="77">
        <f t="shared" si="118"/>
        <v>0</v>
      </c>
      <c r="AZ22" s="78">
        <f t="shared" si="119"/>
        <v>4</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v>1</v>
      </c>
      <c r="BO22" s="75">
        <v>2</v>
      </c>
      <c r="BP22" s="76" t="str">
        <f t="shared" si="125"/>
        <v>Switzerland</v>
      </c>
      <c r="BS22" s="77">
        <f t="shared" si="126"/>
        <v>0</v>
      </c>
      <c r="BT22" s="78">
        <f t="shared" si="127"/>
        <v>0</v>
      </c>
      <c r="BU22" s="69"/>
      <c r="BV22" s="127"/>
      <c r="BW22" s="74" t="str">
        <f t="shared" si="128"/>
        <v>Scotland</v>
      </c>
      <c r="BX22" s="75">
        <v>2</v>
      </c>
      <c r="BY22" s="75">
        <v>1</v>
      </c>
      <c r="BZ22" s="76" t="str">
        <f t="shared" si="129"/>
        <v>Switzerland</v>
      </c>
      <c r="CC22" s="77">
        <f t="shared" si="130"/>
        <v>0</v>
      </c>
      <c r="CD22" s="78">
        <f t="shared" si="131"/>
        <v>0</v>
      </c>
      <c r="CE22" s="69"/>
      <c r="CF22" s="127"/>
      <c r="CG22" s="74" t="str">
        <f t="shared" si="132"/>
        <v>Scotland</v>
      </c>
      <c r="CH22" s="75">
        <v>1</v>
      </c>
      <c r="CI22" s="75">
        <v>1</v>
      </c>
      <c r="CJ22" s="76" t="str">
        <f t="shared" si="133"/>
        <v>Switzerland</v>
      </c>
      <c r="CM22" s="77">
        <f t="shared" si="134"/>
        <v>1</v>
      </c>
      <c r="CN22" s="78">
        <f t="shared" si="135"/>
        <v>6</v>
      </c>
      <c r="CO22" s="69"/>
      <c r="CP22" s="127"/>
      <c r="CQ22" s="74" t="str">
        <f t="shared" si="136"/>
        <v>Scotland</v>
      </c>
      <c r="CR22" s="75">
        <v>2</v>
      </c>
      <c r="CS22" s="75">
        <v>3</v>
      </c>
      <c r="CT22" s="76" t="str">
        <f t="shared" si="137"/>
        <v>Switzerland</v>
      </c>
      <c r="CW22" s="77">
        <f t="shared" si="138"/>
        <v>0</v>
      </c>
      <c r="CX22" s="78">
        <f t="shared" si="139"/>
        <v>0</v>
      </c>
      <c r="CY22" s="69"/>
      <c r="CZ22" s="127"/>
      <c r="DA22" s="74" t="str">
        <f t="shared" si="140"/>
        <v>Scotland</v>
      </c>
      <c r="DB22" s="75">
        <v>2</v>
      </c>
      <c r="DC22" s="75">
        <v>1</v>
      </c>
      <c r="DD22" s="76" t="str">
        <f t="shared" si="141"/>
        <v>Switzerland</v>
      </c>
      <c r="DG22" s="77">
        <f t="shared" si="142"/>
        <v>0</v>
      </c>
      <c r="DH22" s="78">
        <f t="shared" si="143"/>
        <v>0</v>
      </c>
      <c r="DI22" s="69"/>
    </row>
    <row r="23" spans="1:113" s="43" customFormat="1" ht="15" customHeight="1" x14ac:dyDescent="0.2">
      <c r="A23" s="41">
        <v>28</v>
      </c>
      <c r="B23" s="65"/>
      <c r="C23" s="55">
        <v>14</v>
      </c>
      <c r="D23" s="20" t="s">
        <v>105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1</v>
      </c>
      <c r="R23" s="76" t="str">
        <f t="shared" si="105"/>
        <v>Hungary</v>
      </c>
      <c r="U23" s="77">
        <f t="shared" si="106"/>
        <v>0</v>
      </c>
      <c r="V23" s="78">
        <f t="shared" si="107"/>
        <v>4</v>
      </c>
      <c r="W23" s="69"/>
      <c r="X23" s="127"/>
      <c r="Y23" s="74" t="str">
        <f t="shared" si="108"/>
        <v>Germany</v>
      </c>
      <c r="Z23" s="75">
        <v>3</v>
      </c>
      <c r="AA23" s="75">
        <v>1</v>
      </c>
      <c r="AB23" s="76" t="str">
        <f t="shared" si="109"/>
        <v>Hungary</v>
      </c>
      <c r="AE23" s="77">
        <f t="shared" si="110"/>
        <v>0</v>
      </c>
      <c r="AF23" s="78">
        <f t="shared" si="111"/>
        <v>4</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2</v>
      </c>
      <c r="AU23" s="75">
        <v>0</v>
      </c>
      <c r="AV23" s="76" t="str">
        <f t="shared" si="117"/>
        <v>Hungary</v>
      </c>
      <c r="AY23" s="77">
        <f t="shared" si="118"/>
        <v>1</v>
      </c>
      <c r="AZ23" s="78">
        <f t="shared" si="119"/>
        <v>6</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v>1</v>
      </c>
      <c r="BO23" s="75">
        <v>0</v>
      </c>
      <c r="BP23" s="76" t="str">
        <f t="shared" si="125"/>
        <v>Hungary</v>
      </c>
      <c r="BS23" s="77">
        <f t="shared" si="126"/>
        <v>0</v>
      </c>
      <c r="BT23" s="78">
        <f t="shared" si="127"/>
        <v>2</v>
      </c>
      <c r="BU23" s="69"/>
      <c r="BV23" s="127"/>
      <c r="BW23" s="74" t="str">
        <f t="shared" si="128"/>
        <v>Germany</v>
      </c>
      <c r="BX23" s="75">
        <v>3</v>
      </c>
      <c r="BY23" s="75">
        <v>1</v>
      </c>
      <c r="BZ23" s="76" t="str">
        <f t="shared" si="129"/>
        <v>Hungary</v>
      </c>
      <c r="CC23" s="77">
        <f t="shared" si="130"/>
        <v>0</v>
      </c>
      <c r="CD23" s="78">
        <f t="shared" si="131"/>
        <v>4</v>
      </c>
      <c r="CE23" s="69"/>
      <c r="CF23" s="127"/>
      <c r="CG23" s="74" t="str">
        <f t="shared" si="132"/>
        <v>Germany</v>
      </c>
      <c r="CH23" s="75">
        <v>1</v>
      </c>
      <c r="CI23" s="75">
        <v>0</v>
      </c>
      <c r="CJ23" s="76" t="str">
        <f t="shared" si="133"/>
        <v>Hungary</v>
      </c>
      <c r="CM23" s="77">
        <f t="shared" si="134"/>
        <v>0</v>
      </c>
      <c r="CN23" s="78">
        <f t="shared" si="135"/>
        <v>2</v>
      </c>
      <c r="CO23" s="69"/>
      <c r="CP23" s="127"/>
      <c r="CQ23" s="74" t="str">
        <f t="shared" si="136"/>
        <v>Germany</v>
      </c>
      <c r="CR23" s="75">
        <v>1</v>
      </c>
      <c r="CS23" s="75">
        <v>1</v>
      </c>
      <c r="CT23" s="76" t="str">
        <f t="shared" si="137"/>
        <v>Hungary</v>
      </c>
      <c r="CW23" s="77">
        <f t="shared" si="138"/>
        <v>0</v>
      </c>
      <c r="CX23" s="78">
        <f t="shared" si="139"/>
        <v>0</v>
      </c>
      <c r="CY23" s="69"/>
      <c r="CZ23" s="127"/>
      <c r="DA23" s="74" t="str">
        <f t="shared" si="140"/>
        <v>Germany</v>
      </c>
      <c r="DB23" s="75">
        <v>3</v>
      </c>
      <c r="DC23" s="75">
        <v>2</v>
      </c>
      <c r="DD23" s="76" t="str">
        <f t="shared" si="141"/>
        <v>Hungary</v>
      </c>
      <c r="DG23" s="77">
        <f t="shared" si="142"/>
        <v>0</v>
      </c>
      <c r="DH23" s="78">
        <f t="shared" si="143"/>
        <v>2</v>
      </c>
      <c r="DI23" s="69"/>
    </row>
    <row r="24" spans="1:113" s="43" customFormat="1" ht="15" customHeight="1" x14ac:dyDescent="0.2">
      <c r="A24" s="41">
        <v>29</v>
      </c>
      <c r="B24" s="65"/>
      <c r="C24" s="55">
        <v>15</v>
      </c>
      <c r="D24" s="20" t="s">
        <v>106</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1</v>
      </c>
      <c r="AU24" s="75">
        <v>0</v>
      </c>
      <c r="AV24" s="76" t="str">
        <f t="shared" si="117"/>
        <v>Albania</v>
      </c>
      <c r="AY24" s="77">
        <f t="shared" si="118"/>
        <v>0</v>
      </c>
      <c r="AZ24" s="78">
        <f t="shared" si="119"/>
        <v>0</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v>4</v>
      </c>
      <c r="BO24" s="75">
        <v>0</v>
      </c>
      <c r="BP24" s="76" t="str">
        <f t="shared" si="125"/>
        <v>Albania</v>
      </c>
      <c r="BS24" s="77">
        <f t="shared" si="126"/>
        <v>0</v>
      </c>
      <c r="BT24" s="78">
        <f t="shared" si="127"/>
        <v>0</v>
      </c>
      <c r="BU24" s="69"/>
      <c r="BV24" s="127"/>
      <c r="BW24" s="74" t="str">
        <f t="shared" si="128"/>
        <v>Croatia</v>
      </c>
      <c r="BX24" s="75">
        <v>2</v>
      </c>
      <c r="BY24" s="75">
        <v>1</v>
      </c>
      <c r="BZ24" s="76" t="str">
        <f t="shared" si="129"/>
        <v>Albania</v>
      </c>
      <c r="CC24" s="77">
        <f t="shared" si="130"/>
        <v>0</v>
      </c>
      <c r="CD24" s="78">
        <f t="shared" si="131"/>
        <v>0</v>
      </c>
      <c r="CE24" s="69"/>
      <c r="CF24" s="127"/>
      <c r="CG24" s="74" t="str">
        <f t="shared" si="132"/>
        <v>Croatia</v>
      </c>
      <c r="CH24" s="75">
        <v>1</v>
      </c>
      <c r="CI24" s="75">
        <v>0</v>
      </c>
      <c r="CJ24" s="76" t="str">
        <f t="shared" si="133"/>
        <v>Albania</v>
      </c>
      <c r="CM24" s="77">
        <f t="shared" si="134"/>
        <v>0</v>
      </c>
      <c r="CN24" s="78">
        <f t="shared" si="135"/>
        <v>0</v>
      </c>
      <c r="CO24" s="69"/>
      <c r="CP24" s="127"/>
      <c r="CQ24" s="74" t="str">
        <f t="shared" si="136"/>
        <v>Croatia</v>
      </c>
      <c r="CR24" s="75">
        <v>4</v>
      </c>
      <c r="CS24" s="75">
        <v>0</v>
      </c>
      <c r="CT24" s="76" t="str">
        <f t="shared" si="137"/>
        <v>Albania</v>
      </c>
      <c r="CW24" s="77">
        <f t="shared" si="138"/>
        <v>0</v>
      </c>
      <c r="CX24" s="78">
        <f t="shared" si="139"/>
        <v>0</v>
      </c>
      <c r="CY24" s="69"/>
      <c r="CZ24" s="127"/>
      <c r="DA24" s="74" t="str">
        <f t="shared" si="140"/>
        <v>Croatia</v>
      </c>
      <c r="DB24" s="75">
        <v>3</v>
      </c>
      <c r="DC24" s="75">
        <v>1</v>
      </c>
      <c r="DD24" s="76" t="str">
        <f t="shared" si="141"/>
        <v>Albania</v>
      </c>
      <c r="DG24" s="77">
        <f t="shared" si="142"/>
        <v>0</v>
      </c>
      <c r="DH24" s="78">
        <f t="shared" si="143"/>
        <v>0</v>
      </c>
      <c r="DI24" s="69"/>
    </row>
    <row r="25" spans="1:113" s="43" customFormat="1" ht="15" customHeight="1" x14ac:dyDescent="0.2">
      <c r="A25" s="41">
        <v>30</v>
      </c>
      <c r="B25" s="65"/>
      <c r="C25" s="55">
        <v>16</v>
      </c>
      <c r="D25" s="20" t="s">
        <v>106</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1</v>
      </c>
      <c r="Q25" s="75">
        <v>1</v>
      </c>
      <c r="R25" s="76" t="str">
        <f t="shared" si="105"/>
        <v>Italy</v>
      </c>
      <c r="U25" s="77">
        <f t="shared" si="106"/>
        <v>0</v>
      </c>
      <c r="V25" s="78">
        <f t="shared" si="107"/>
        <v>0</v>
      </c>
      <c r="W25" s="69"/>
      <c r="X25" s="127"/>
      <c r="Y25" s="74" t="str">
        <f t="shared" si="108"/>
        <v>Spain</v>
      </c>
      <c r="Z25" s="75">
        <v>2</v>
      </c>
      <c r="AA25" s="75">
        <v>2</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2</v>
      </c>
      <c r="AU25" s="75">
        <v>0</v>
      </c>
      <c r="AV25" s="76" t="str">
        <f t="shared" si="117"/>
        <v>Italy</v>
      </c>
      <c r="AY25" s="77">
        <f t="shared" si="118"/>
        <v>0</v>
      </c>
      <c r="AZ25" s="78">
        <f t="shared" si="119"/>
        <v>2</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v>2</v>
      </c>
      <c r="BO25" s="75">
        <v>1</v>
      </c>
      <c r="BP25" s="76" t="str">
        <f t="shared" si="125"/>
        <v>Italy</v>
      </c>
      <c r="BS25" s="77">
        <f t="shared" si="126"/>
        <v>0</v>
      </c>
      <c r="BT25" s="78">
        <f t="shared" si="127"/>
        <v>4</v>
      </c>
      <c r="BU25" s="69"/>
      <c r="BV25" s="127"/>
      <c r="BW25" s="74" t="str">
        <f t="shared" si="128"/>
        <v>Spain</v>
      </c>
      <c r="BX25" s="75">
        <v>2</v>
      </c>
      <c r="BY25" s="75">
        <v>2</v>
      </c>
      <c r="BZ25" s="76" t="str">
        <f t="shared" si="129"/>
        <v>Italy</v>
      </c>
      <c r="CC25" s="77">
        <f t="shared" si="130"/>
        <v>0</v>
      </c>
      <c r="CD25" s="78">
        <f t="shared" si="131"/>
        <v>0</v>
      </c>
      <c r="CE25" s="69"/>
      <c r="CF25" s="127"/>
      <c r="CG25" s="74" t="str">
        <f t="shared" si="132"/>
        <v>Spain</v>
      </c>
      <c r="CH25" s="75">
        <v>2</v>
      </c>
      <c r="CI25" s="75">
        <v>1</v>
      </c>
      <c r="CJ25" s="76" t="str">
        <f t="shared" si="133"/>
        <v>Italy</v>
      </c>
      <c r="CM25" s="77">
        <f t="shared" si="134"/>
        <v>0</v>
      </c>
      <c r="CN25" s="78">
        <f t="shared" si="135"/>
        <v>4</v>
      </c>
      <c r="CO25" s="69"/>
      <c r="CP25" s="127"/>
      <c r="CQ25" s="74" t="str">
        <f t="shared" si="136"/>
        <v>Spain</v>
      </c>
      <c r="CR25" s="75">
        <v>3</v>
      </c>
      <c r="CS25" s="75">
        <v>3</v>
      </c>
      <c r="CT25" s="76" t="str">
        <f t="shared" si="137"/>
        <v>Italy</v>
      </c>
      <c r="CW25" s="77">
        <f t="shared" si="138"/>
        <v>0</v>
      </c>
      <c r="CX25" s="78">
        <f t="shared" si="139"/>
        <v>0</v>
      </c>
      <c r="CY25" s="69"/>
      <c r="CZ25" s="127"/>
      <c r="DA25" s="74" t="str">
        <f t="shared" si="140"/>
        <v>Spain</v>
      </c>
      <c r="DB25" s="75">
        <v>1</v>
      </c>
      <c r="DC25" s="75">
        <v>3</v>
      </c>
      <c r="DD25" s="76" t="str">
        <f t="shared" si="141"/>
        <v>Italy</v>
      </c>
      <c r="DG25" s="77">
        <f t="shared" si="142"/>
        <v>0</v>
      </c>
      <c r="DH25" s="78">
        <f t="shared" si="143"/>
        <v>0</v>
      </c>
      <c r="DI25" s="69"/>
    </row>
    <row r="26" spans="1:113" s="43" customFormat="1" ht="15" customHeight="1" x14ac:dyDescent="0.2">
      <c r="A26" s="41">
        <v>31</v>
      </c>
      <c r="B26" s="65"/>
      <c r="C26" s="55">
        <v>17</v>
      </c>
      <c r="D26" s="20" t="s">
        <v>107</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3</v>
      </c>
      <c r="AB26" s="76" t="str">
        <f t="shared" si="109"/>
        <v>England</v>
      </c>
      <c r="AE26" s="77">
        <f t="shared" si="110"/>
        <v>0</v>
      </c>
      <c r="AF26" s="78">
        <f t="shared" si="111"/>
        <v>0</v>
      </c>
      <c r="AG26" s="69"/>
      <c r="AH26" s="127"/>
      <c r="AI26" s="74" t="str">
        <f t="shared" si="112"/>
        <v>Denmark</v>
      </c>
      <c r="AJ26" s="75">
        <v>2</v>
      </c>
      <c r="AK26" s="75">
        <v>1</v>
      </c>
      <c r="AL26" s="76" t="str">
        <f t="shared" si="113"/>
        <v>England</v>
      </c>
      <c r="AO26" s="77">
        <f t="shared" si="114"/>
        <v>0</v>
      </c>
      <c r="AP26" s="78">
        <f t="shared" si="115"/>
        <v>0</v>
      </c>
      <c r="AQ26" s="69"/>
      <c r="AR26" s="127"/>
      <c r="AS26" s="74" t="str">
        <f t="shared" si="116"/>
        <v>Denmark</v>
      </c>
      <c r="AT26" s="75">
        <v>1</v>
      </c>
      <c r="AU26" s="75">
        <v>1</v>
      </c>
      <c r="AV26" s="76" t="str">
        <f t="shared" si="117"/>
        <v>England</v>
      </c>
      <c r="AY26" s="77">
        <f t="shared" si="118"/>
        <v>1</v>
      </c>
      <c r="AZ26" s="78">
        <f t="shared" si="119"/>
        <v>6</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v>0</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v>1</v>
      </c>
      <c r="CI26" s="75">
        <v>1</v>
      </c>
      <c r="CJ26" s="76" t="str">
        <f t="shared" si="133"/>
        <v>England</v>
      </c>
      <c r="CM26" s="77">
        <f t="shared" si="134"/>
        <v>1</v>
      </c>
      <c r="CN26" s="78">
        <f t="shared" si="135"/>
        <v>6</v>
      </c>
      <c r="CO26" s="69"/>
      <c r="CP26" s="127"/>
      <c r="CQ26" s="74" t="str">
        <f t="shared" si="136"/>
        <v>Denmark</v>
      </c>
      <c r="CR26" s="75">
        <v>1</v>
      </c>
      <c r="CS26" s="75">
        <v>2</v>
      </c>
      <c r="CT26" s="76" t="str">
        <f t="shared" si="137"/>
        <v>England</v>
      </c>
      <c r="CW26" s="77">
        <f t="shared" si="138"/>
        <v>0</v>
      </c>
      <c r="CX26" s="78">
        <f t="shared" si="139"/>
        <v>0</v>
      </c>
      <c r="CY26" s="69"/>
      <c r="CZ26" s="127"/>
      <c r="DA26" s="74" t="str">
        <f t="shared" si="140"/>
        <v>Denmark</v>
      </c>
      <c r="DB26" s="75">
        <v>1</v>
      </c>
      <c r="DC26" s="75">
        <v>2</v>
      </c>
      <c r="DD26" s="76" t="str">
        <f t="shared" si="141"/>
        <v>England</v>
      </c>
      <c r="DG26" s="77">
        <f t="shared" si="142"/>
        <v>0</v>
      </c>
      <c r="DH26" s="78">
        <f t="shared" si="143"/>
        <v>0</v>
      </c>
      <c r="DI26" s="69"/>
    </row>
    <row r="27" spans="1:113" s="43" customFormat="1" ht="15" customHeight="1" x14ac:dyDescent="0.2">
      <c r="A27" s="41">
        <v>32</v>
      </c>
      <c r="B27" s="65"/>
      <c r="C27" s="55">
        <v>18</v>
      </c>
      <c r="D27" s="20" t="s">
        <v>107</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0</v>
      </c>
      <c r="Q27" s="75">
        <v>1</v>
      </c>
      <c r="R27" s="76" t="str">
        <f t="shared" si="105"/>
        <v>Serbia</v>
      </c>
      <c r="U27" s="77">
        <f t="shared" si="106"/>
        <v>0</v>
      </c>
      <c r="V27" s="78">
        <f t="shared" si="107"/>
        <v>0</v>
      </c>
      <c r="W27" s="69"/>
      <c r="X27" s="127"/>
      <c r="Y27" s="74" t="str">
        <f t="shared" si="108"/>
        <v>Slovenia</v>
      </c>
      <c r="Z27" s="75">
        <v>2</v>
      </c>
      <c r="AA27" s="75">
        <v>2</v>
      </c>
      <c r="AB27" s="76" t="str">
        <f t="shared" si="109"/>
        <v>Serbia</v>
      </c>
      <c r="AE27" s="77">
        <f t="shared" si="110"/>
        <v>0</v>
      </c>
      <c r="AF27" s="78">
        <f t="shared" si="111"/>
        <v>4</v>
      </c>
      <c r="AG27" s="69"/>
      <c r="AH27" s="127"/>
      <c r="AI27" s="74" t="str">
        <f t="shared" si="112"/>
        <v>Slovenia</v>
      </c>
      <c r="AJ27" s="75">
        <v>1</v>
      </c>
      <c r="AK27" s="75">
        <v>0</v>
      </c>
      <c r="AL27" s="76" t="str">
        <f t="shared" si="113"/>
        <v>Serbia</v>
      </c>
      <c r="AO27" s="77">
        <f t="shared" si="114"/>
        <v>0</v>
      </c>
      <c r="AP27" s="78">
        <f t="shared" si="115"/>
        <v>0</v>
      </c>
      <c r="AQ27" s="69"/>
      <c r="AR27" s="127"/>
      <c r="AS27" s="74" t="str">
        <f t="shared" si="116"/>
        <v>Slovenia</v>
      </c>
      <c r="AT27" s="75">
        <v>1</v>
      </c>
      <c r="AU27" s="75">
        <v>2</v>
      </c>
      <c r="AV27" s="76" t="str">
        <f t="shared" si="117"/>
        <v>Serbia</v>
      </c>
      <c r="AY27" s="77">
        <f t="shared" si="118"/>
        <v>0</v>
      </c>
      <c r="AZ27" s="78">
        <f t="shared" si="119"/>
        <v>0</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v>2</v>
      </c>
      <c r="BO27" s="75">
        <v>2</v>
      </c>
      <c r="BP27" s="76" t="str">
        <f t="shared" si="125"/>
        <v>Serbia</v>
      </c>
      <c r="BS27" s="77">
        <f t="shared" si="126"/>
        <v>0</v>
      </c>
      <c r="BT27" s="78">
        <f t="shared" si="127"/>
        <v>4</v>
      </c>
      <c r="BU27" s="69"/>
      <c r="BV27" s="127"/>
      <c r="BW27" s="74" t="str">
        <f t="shared" si="128"/>
        <v>Slovenia</v>
      </c>
      <c r="BX27" s="75">
        <v>0</v>
      </c>
      <c r="BY27" s="75">
        <v>0</v>
      </c>
      <c r="BZ27" s="76" t="str">
        <f t="shared" si="129"/>
        <v>Serbia</v>
      </c>
      <c r="CC27" s="77">
        <f t="shared" si="130"/>
        <v>0</v>
      </c>
      <c r="CD27" s="78">
        <f t="shared" si="131"/>
        <v>4</v>
      </c>
      <c r="CE27" s="69"/>
      <c r="CF27" s="127"/>
      <c r="CG27" s="74" t="str">
        <f t="shared" si="132"/>
        <v>Slovenia</v>
      </c>
      <c r="CH27" s="75">
        <v>0</v>
      </c>
      <c r="CI27" s="75">
        <v>0</v>
      </c>
      <c r="CJ27" s="76" t="str">
        <f t="shared" si="133"/>
        <v>Serbia</v>
      </c>
      <c r="CM27" s="77">
        <f t="shared" si="134"/>
        <v>0</v>
      </c>
      <c r="CN27" s="78">
        <f t="shared" si="135"/>
        <v>4</v>
      </c>
      <c r="CO27" s="69"/>
      <c r="CP27" s="127"/>
      <c r="CQ27" s="74" t="str">
        <f t="shared" si="136"/>
        <v>Slovenia</v>
      </c>
      <c r="CR27" s="75">
        <v>1</v>
      </c>
      <c r="CS27" s="75">
        <v>1</v>
      </c>
      <c r="CT27" s="76" t="str">
        <f t="shared" si="137"/>
        <v>Serbia</v>
      </c>
      <c r="CW27" s="77">
        <f t="shared" si="138"/>
        <v>1</v>
      </c>
      <c r="CX27" s="78">
        <f t="shared" si="139"/>
        <v>6</v>
      </c>
      <c r="CY27" s="69"/>
      <c r="CZ27" s="127"/>
      <c r="DA27" s="74" t="str">
        <f t="shared" si="140"/>
        <v>Slovenia</v>
      </c>
      <c r="DB27" s="75">
        <v>1</v>
      </c>
      <c r="DC27" s="75">
        <v>2</v>
      </c>
      <c r="DD27" s="76" t="str">
        <f t="shared" si="141"/>
        <v>Serbia</v>
      </c>
      <c r="DG27" s="77">
        <f t="shared" si="142"/>
        <v>0</v>
      </c>
      <c r="DH27" s="78">
        <f t="shared" si="143"/>
        <v>0</v>
      </c>
      <c r="DI27" s="69"/>
    </row>
    <row r="28" spans="1:113" s="43" customFormat="1" ht="15" customHeight="1" x14ac:dyDescent="0.2">
      <c r="A28" s="41">
        <v>33</v>
      </c>
      <c r="B28" s="65"/>
      <c r="C28" s="55">
        <v>19</v>
      </c>
      <c r="D28" s="20" t="s">
        <v>108</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2</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v>0</v>
      </c>
      <c r="AK28" s="75">
        <v>1</v>
      </c>
      <c r="AL28" s="76" t="str">
        <f t="shared" si="113"/>
        <v>Austria</v>
      </c>
      <c r="AO28" s="77">
        <f t="shared" si="114"/>
        <v>0</v>
      </c>
      <c r="AP28" s="78">
        <f t="shared" si="115"/>
        <v>2</v>
      </c>
      <c r="AQ28" s="69"/>
      <c r="AR28" s="127"/>
      <c r="AS28" s="74" t="str">
        <f t="shared" si="116"/>
        <v>Poland</v>
      </c>
      <c r="AT28" s="75">
        <v>2</v>
      </c>
      <c r="AU28" s="75">
        <v>1</v>
      </c>
      <c r="AV28" s="76" t="str">
        <f t="shared" si="117"/>
        <v>Austria</v>
      </c>
      <c r="AY28" s="77">
        <f t="shared" si="118"/>
        <v>0</v>
      </c>
      <c r="AZ28" s="78">
        <f t="shared" si="119"/>
        <v>0</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v>3</v>
      </c>
      <c r="BO28" s="75">
        <v>2</v>
      </c>
      <c r="BP28" s="76" t="str">
        <f t="shared" si="125"/>
        <v>Austria</v>
      </c>
      <c r="BS28" s="77">
        <f t="shared" si="126"/>
        <v>0</v>
      </c>
      <c r="BT28" s="78">
        <f t="shared" si="127"/>
        <v>0</v>
      </c>
      <c r="BU28" s="69"/>
      <c r="BV28" s="127"/>
      <c r="BW28" s="74" t="str">
        <f t="shared" si="128"/>
        <v>Poland</v>
      </c>
      <c r="BX28" s="75">
        <v>0</v>
      </c>
      <c r="BY28" s="75">
        <v>1</v>
      </c>
      <c r="BZ28" s="76" t="str">
        <f t="shared" si="129"/>
        <v>Austria</v>
      </c>
      <c r="CC28" s="77">
        <f t="shared" si="130"/>
        <v>0</v>
      </c>
      <c r="CD28" s="78">
        <f t="shared" si="131"/>
        <v>2</v>
      </c>
      <c r="CE28" s="69"/>
      <c r="CF28" s="127"/>
      <c r="CG28" s="74" t="str">
        <f t="shared" si="132"/>
        <v>Poland</v>
      </c>
      <c r="CH28" s="75">
        <v>1</v>
      </c>
      <c r="CI28" s="75">
        <v>1</v>
      </c>
      <c r="CJ28" s="76" t="str">
        <f t="shared" si="133"/>
        <v>Austria</v>
      </c>
      <c r="CM28" s="77">
        <f t="shared" si="134"/>
        <v>0</v>
      </c>
      <c r="CN28" s="78">
        <f t="shared" si="135"/>
        <v>0</v>
      </c>
      <c r="CO28" s="69"/>
      <c r="CP28" s="127"/>
      <c r="CQ28" s="74" t="str">
        <f t="shared" si="136"/>
        <v>Poland</v>
      </c>
      <c r="CR28" s="75">
        <v>2</v>
      </c>
      <c r="CS28" s="75">
        <v>1</v>
      </c>
      <c r="CT28" s="76" t="str">
        <f t="shared" si="137"/>
        <v>Austria</v>
      </c>
      <c r="CW28" s="77">
        <f t="shared" si="138"/>
        <v>0</v>
      </c>
      <c r="CX28" s="78">
        <f t="shared" si="139"/>
        <v>0</v>
      </c>
      <c r="CY28" s="69"/>
      <c r="CZ28" s="127"/>
      <c r="DA28" s="74" t="str">
        <f t="shared" si="140"/>
        <v>Poland</v>
      </c>
      <c r="DB28" s="75">
        <v>2</v>
      </c>
      <c r="DC28" s="75">
        <v>1</v>
      </c>
      <c r="DD28" s="76" t="str">
        <f t="shared" si="141"/>
        <v>Austria</v>
      </c>
      <c r="DG28" s="77">
        <f t="shared" si="142"/>
        <v>0</v>
      </c>
      <c r="DH28" s="78">
        <f t="shared" si="143"/>
        <v>0</v>
      </c>
      <c r="DI28" s="69"/>
    </row>
    <row r="29" spans="1:113" s="43" customFormat="1" ht="15" customHeight="1" x14ac:dyDescent="0.2">
      <c r="A29" s="41">
        <v>34</v>
      </c>
      <c r="B29" s="65"/>
      <c r="C29" s="55">
        <v>20</v>
      </c>
      <c r="D29" s="20" t="s">
        <v>108</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v>2</v>
      </c>
      <c r="AK29" s="75">
        <v>2</v>
      </c>
      <c r="AL29" s="76" t="str">
        <f t="shared" si="113"/>
        <v>France</v>
      </c>
      <c r="AO29" s="77">
        <f t="shared" si="114"/>
        <v>0</v>
      </c>
      <c r="AP29" s="78">
        <f t="shared" si="115"/>
        <v>4</v>
      </c>
      <c r="AQ29" s="69"/>
      <c r="AR29" s="127"/>
      <c r="AS29" s="74" t="str">
        <f t="shared" si="116"/>
        <v>Netherlands</v>
      </c>
      <c r="AT29" s="75">
        <v>2</v>
      </c>
      <c r="AU29" s="75">
        <v>3</v>
      </c>
      <c r="AV29" s="76" t="str">
        <f t="shared" si="117"/>
        <v>France</v>
      </c>
      <c r="AY29" s="77">
        <f t="shared" si="118"/>
        <v>0</v>
      </c>
      <c r="AZ29" s="78">
        <f t="shared" si="119"/>
        <v>0</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v>1</v>
      </c>
      <c r="BO29" s="75">
        <v>1</v>
      </c>
      <c r="BP29" s="76" t="str">
        <f t="shared" si="125"/>
        <v>France</v>
      </c>
      <c r="BS29" s="77">
        <f t="shared" si="126"/>
        <v>0</v>
      </c>
      <c r="BT29" s="78">
        <f t="shared" si="127"/>
        <v>4</v>
      </c>
      <c r="BU29" s="69"/>
      <c r="BV29" s="127"/>
      <c r="BW29" s="74" t="str">
        <f t="shared" si="128"/>
        <v>Netherlands</v>
      </c>
      <c r="BX29" s="75">
        <v>2</v>
      </c>
      <c r="BY29" s="75">
        <v>2</v>
      </c>
      <c r="BZ29" s="76" t="str">
        <f t="shared" si="129"/>
        <v>France</v>
      </c>
      <c r="CC29" s="77">
        <f t="shared" si="130"/>
        <v>0</v>
      </c>
      <c r="CD29" s="78">
        <f t="shared" si="131"/>
        <v>4</v>
      </c>
      <c r="CE29" s="69"/>
      <c r="CF29" s="127"/>
      <c r="CG29" s="74" t="str">
        <f t="shared" si="132"/>
        <v>Netherlands</v>
      </c>
      <c r="CH29" s="75">
        <v>2</v>
      </c>
      <c r="CI29" s="75">
        <v>3</v>
      </c>
      <c r="CJ29" s="76" t="str">
        <f t="shared" si="133"/>
        <v>France</v>
      </c>
      <c r="CM29" s="77">
        <f t="shared" si="134"/>
        <v>0</v>
      </c>
      <c r="CN29" s="78">
        <f t="shared" si="135"/>
        <v>0</v>
      </c>
      <c r="CO29" s="69"/>
      <c r="CP29" s="127"/>
      <c r="CQ29" s="74" t="str">
        <f t="shared" si="136"/>
        <v>Netherlands</v>
      </c>
      <c r="CR29" s="75">
        <v>0</v>
      </c>
      <c r="CS29" s="75">
        <v>1</v>
      </c>
      <c r="CT29" s="76" t="str">
        <f t="shared" si="137"/>
        <v>France</v>
      </c>
      <c r="CW29" s="77">
        <f t="shared" si="138"/>
        <v>0</v>
      </c>
      <c r="CX29" s="78">
        <f t="shared" si="139"/>
        <v>0</v>
      </c>
      <c r="CY29" s="69"/>
      <c r="CZ29" s="127"/>
      <c r="DA29" s="74" t="str">
        <f t="shared" si="140"/>
        <v>Netherlands</v>
      </c>
      <c r="DB29" s="75">
        <v>1</v>
      </c>
      <c r="DC29" s="75">
        <v>2</v>
      </c>
      <c r="DD29" s="76" t="str">
        <f t="shared" si="141"/>
        <v>France</v>
      </c>
      <c r="DG29" s="77">
        <f t="shared" si="142"/>
        <v>0</v>
      </c>
      <c r="DH29" s="78">
        <f t="shared" si="143"/>
        <v>0</v>
      </c>
      <c r="DI29" s="69"/>
    </row>
    <row r="30" spans="1:113" s="43" customFormat="1" ht="15" customHeight="1" x14ac:dyDescent="0.2">
      <c r="A30" s="41">
        <v>35</v>
      </c>
      <c r="B30" s="65"/>
      <c r="C30" s="55">
        <v>21</v>
      </c>
      <c r="D30" s="20" t="s">
        <v>109</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1</v>
      </c>
      <c r="AA30" s="75">
        <v>1</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2</v>
      </c>
      <c r="AU30" s="75">
        <v>3</v>
      </c>
      <c r="AV30" s="76" t="str">
        <f t="shared" si="117"/>
        <v>Ukraine</v>
      </c>
      <c r="AY30" s="77">
        <f t="shared" si="118"/>
        <v>0</v>
      </c>
      <c r="AZ30" s="78">
        <f t="shared" si="119"/>
        <v>4</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v>2</v>
      </c>
      <c r="BO30" s="75">
        <v>1</v>
      </c>
      <c r="BP30" s="76" t="str">
        <f t="shared" si="125"/>
        <v>Ukraine</v>
      </c>
      <c r="BS30" s="77">
        <f t="shared" si="126"/>
        <v>0</v>
      </c>
      <c r="BT30" s="78">
        <f t="shared" si="127"/>
        <v>0</v>
      </c>
      <c r="BU30" s="69"/>
      <c r="BV30" s="127"/>
      <c r="BW30" s="74" t="str">
        <f t="shared" si="128"/>
        <v>Slovakia</v>
      </c>
      <c r="BX30" s="75">
        <v>0</v>
      </c>
      <c r="BY30" s="75">
        <v>0</v>
      </c>
      <c r="BZ30" s="76" t="str">
        <f t="shared" si="129"/>
        <v>Ukraine</v>
      </c>
      <c r="CC30" s="77">
        <f t="shared" si="130"/>
        <v>0</v>
      </c>
      <c r="CD30" s="78">
        <f t="shared" si="131"/>
        <v>0</v>
      </c>
      <c r="CE30" s="69"/>
      <c r="CF30" s="127"/>
      <c r="CG30" s="74" t="str">
        <f t="shared" si="132"/>
        <v>Slovakia</v>
      </c>
      <c r="CH30" s="75">
        <v>1</v>
      </c>
      <c r="CI30" s="75">
        <v>1</v>
      </c>
      <c r="CJ30" s="76" t="str">
        <f t="shared" si="133"/>
        <v>Ukraine</v>
      </c>
      <c r="CM30" s="77">
        <f t="shared" si="134"/>
        <v>0</v>
      </c>
      <c r="CN30" s="78">
        <f t="shared" si="135"/>
        <v>0</v>
      </c>
      <c r="CO30" s="69"/>
      <c r="CP30" s="127"/>
      <c r="CQ30" s="74" t="str">
        <f t="shared" si="136"/>
        <v>Slovakia</v>
      </c>
      <c r="CR30" s="75">
        <v>3</v>
      </c>
      <c r="CS30" s="75">
        <v>2</v>
      </c>
      <c r="CT30" s="76" t="str">
        <f t="shared" si="137"/>
        <v>Ukraine</v>
      </c>
      <c r="CW30" s="77">
        <f t="shared" si="138"/>
        <v>0</v>
      </c>
      <c r="CX30" s="78">
        <f t="shared" si="139"/>
        <v>0</v>
      </c>
      <c r="CY30" s="69"/>
      <c r="CZ30" s="127"/>
      <c r="DA30" s="74" t="str">
        <f t="shared" si="140"/>
        <v>Slovakia</v>
      </c>
      <c r="DB30" s="75">
        <v>2</v>
      </c>
      <c r="DC30" s="75">
        <v>0</v>
      </c>
      <c r="DD30" s="76" t="str">
        <f t="shared" si="141"/>
        <v>Ukraine</v>
      </c>
      <c r="DG30" s="77">
        <f t="shared" si="142"/>
        <v>0</v>
      </c>
      <c r="DH30" s="78">
        <f t="shared" si="143"/>
        <v>0</v>
      </c>
      <c r="DI30" s="69"/>
    </row>
    <row r="31" spans="1:113" s="43" customFormat="1" ht="15" customHeight="1" x14ac:dyDescent="0.2">
      <c r="A31" s="41">
        <v>36</v>
      </c>
      <c r="B31" s="65"/>
      <c r="C31" s="55">
        <v>22</v>
      </c>
      <c r="D31" s="20" t="s">
        <v>109</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3</v>
      </c>
      <c r="Q31" s="75">
        <v>1</v>
      </c>
      <c r="R31" s="76" t="str">
        <f t="shared" si="105"/>
        <v>Romania</v>
      </c>
      <c r="U31" s="77">
        <f t="shared" si="106"/>
        <v>0</v>
      </c>
      <c r="V31" s="78">
        <f t="shared" si="107"/>
        <v>4</v>
      </c>
      <c r="W31" s="69"/>
      <c r="X31" s="127"/>
      <c r="Y31" s="74" t="str">
        <f t="shared" si="108"/>
        <v>Belgium</v>
      </c>
      <c r="Z31" s="75">
        <v>3</v>
      </c>
      <c r="AA31" s="75">
        <v>0</v>
      </c>
      <c r="AB31" s="76" t="str">
        <f t="shared" si="109"/>
        <v>Romania</v>
      </c>
      <c r="AE31" s="77">
        <f t="shared" si="110"/>
        <v>0</v>
      </c>
      <c r="AF31" s="78">
        <f t="shared" si="111"/>
        <v>2</v>
      </c>
      <c r="AG31" s="69"/>
      <c r="AH31" s="127"/>
      <c r="AI31" s="74" t="str">
        <f t="shared" si="112"/>
        <v>Belgium</v>
      </c>
      <c r="AJ31" s="75">
        <v>2</v>
      </c>
      <c r="AK31" s="75">
        <v>0</v>
      </c>
      <c r="AL31" s="76" t="str">
        <f t="shared" si="113"/>
        <v>Romania</v>
      </c>
      <c r="AO31" s="77">
        <f t="shared" si="114"/>
        <v>1</v>
      </c>
      <c r="AP31" s="78">
        <f t="shared" si="115"/>
        <v>6</v>
      </c>
      <c r="AQ31" s="69"/>
      <c r="AR31" s="127"/>
      <c r="AS31" s="74" t="str">
        <f t="shared" si="116"/>
        <v>Belgium</v>
      </c>
      <c r="AT31" s="75">
        <v>4</v>
      </c>
      <c r="AU31" s="75">
        <v>1</v>
      </c>
      <c r="AV31" s="76" t="str">
        <f t="shared" si="117"/>
        <v>Romania</v>
      </c>
      <c r="AY31" s="77">
        <f t="shared" si="118"/>
        <v>0</v>
      </c>
      <c r="AZ31" s="78">
        <f t="shared" si="119"/>
        <v>2</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1</v>
      </c>
      <c r="BY31" s="75">
        <v>0</v>
      </c>
      <c r="BZ31" s="76" t="str">
        <f t="shared" si="129"/>
        <v>Romania</v>
      </c>
      <c r="CC31" s="77">
        <f t="shared" si="130"/>
        <v>0</v>
      </c>
      <c r="CD31" s="78">
        <f t="shared" si="131"/>
        <v>2</v>
      </c>
      <c r="CE31" s="69"/>
      <c r="CF31" s="127"/>
      <c r="CG31" s="74" t="str">
        <f t="shared" si="132"/>
        <v>Belgium</v>
      </c>
      <c r="CH31" s="75">
        <v>3</v>
      </c>
      <c r="CI31" s="75">
        <v>1</v>
      </c>
      <c r="CJ31" s="76" t="str">
        <f t="shared" si="133"/>
        <v>Romania</v>
      </c>
      <c r="CM31" s="77">
        <f t="shared" si="134"/>
        <v>0</v>
      </c>
      <c r="CN31" s="78">
        <f t="shared" si="135"/>
        <v>4</v>
      </c>
      <c r="CO31" s="69"/>
      <c r="CP31" s="127"/>
      <c r="CQ31" s="74" t="str">
        <f t="shared" si="136"/>
        <v>Belgium</v>
      </c>
      <c r="CR31" s="75">
        <v>1</v>
      </c>
      <c r="CS31" s="75">
        <v>0</v>
      </c>
      <c r="CT31" s="76" t="str">
        <f t="shared" si="137"/>
        <v>Romania</v>
      </c>
      <c r="CW31" s="77">
        <f t="shared" si="138"/>
        <v>0</v>
      </c>
      <c r="CX31" s="78">
        <f t="shared" si="139"/>
        <v>2</v>
      </c>
      <c r="CY31" s="69"/>
      <c r="CZ31" s="127"/>
      <c r="DA31" s="74" t="str">
        <f t="shared" si="140"/>
        <v>Belgium</v>
      </c>
      <c r="DB31" s="75">
        <v>4</v>
      </c>
      <c r="DC31" s="75">
        <v>2</v>
      </c>
      <c r="DD31" s="76" t="str">
        <f t="shared" si="141"/>
        <v>Romania</v>
      </c>
      <c r="DG31" s="77">
        <f t="shared" si="142"/>
        <v>0</v>
      </c>
      <c r="DH31" s="78">
        <f t="shared" si="143"/>
        <v>4</v>
      </c>
      <c r="DI31" s="69"/>
    </row>
    <row r="32" spans="1:113" s="43" customFormat="1" ht="15" customHeight="1" x14ac:dyDescent="0.2">
      <c r="A32" s="41">
        <v>37</v>
      </c>
      <c r="B32" s="65"/>
      <c r="C32" s="55">
        <v>23</v>
      </c>
      <c r="D32" s="20" t="s">
        <v>110</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2</v>
      </c>
      <c r="R32" s="76" t="str">
        <f t="shared" si="105"/>
        <v>Portugal</v>
      </c>
      <c r="U32" s="77">
        <f t="shared" si="106"/>
        <v>0</v>
      </c>
      <c r="V32" s="78">
        <f t="shared" si="107"/>
        <v>2</v>
      </c>
      <c r="W32" s="69"/>
      <c r="X32" s="127"/>
      <c r="Y32" s="74" t="str">
        <f t="shared" si="108"/>
        <v>Türkiye</v>
      </c>
      <c r="Z32" s="75">
        <v>1</v>
      </c>
      <c r="AA32" s="75">
        <v>2</v>
      </c>
      <c r="AB32" s="76" t="str">
        <f t="shared" si="109"/>
        <v>Portugal</v>
      </c>
      <c r="AE32" s="77">
        <f t="shared" si="110"/>
        <v>0</v>
      </c>
      <c r="AF32" s="78">
        <f t="shared" si="111"/>
        <v>2</v>
      </c>
      <c r="AG32" s="69"/>
      <c r="AH32" s="127"/>
      <c r="AI32" s="74" t="str">
        <f t="shared" si="112"/>
        <v>Türkiye</v>
      </c>
      <c r="AJ32" s="75">
        <v>0</v>
      </c>
      <c r="AK32" s="75">
        <v>2</v>
      </c>
      <c r="AL32" s="76" t="str">
        <f t="shared" si="113"/>
        <v>Portugal</v>
      </c>
      <c r="AO32" s="77">
        <f t="shared" si="114"/>
        <v>0</v>
      </c>
      <c r="AP32" s="78">
        <f t="shared" si="115"/>
        <v>2</v>
      </c>
      <c r="AQ32" s="69"/>
      <c r="AR32" s="127"/>
      <c r="AS32" s="74" t="str">
        <f t="shared" si="116"/>
        <v>Türkiye</v>
      </c>
      <c r="AT32" s="75">
        <v>1</v>
      </c>
      <c r="AU32" s="75">
        <v>3</v>
      </c>
      <c r="AV32" s="76" t="str">
        <f t="shared" si="117"/>
        <v>Portugal</v>
      </c>
      <c r="AY32" s="77">
        <f t="shared" si="118"/>
        <v>0</v>
      </c>
      <c r="AZ32" s="78">
        <f t="shared" si="119"/>
        <v>2</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v>2</v>
      </c>
      <c r="BO32" s="75">
        <v>1</v>
      </c>
      <c r="BP32" s="76" t="str">
        <f t="shared" si="125"/>
        <v>Portugal</v>
      </c>
      <c r="BS32" s="77">
        <f t="shared" si="126"/>
        <v>0</v>
      </c>
      <c r="BT32" s="78">
        <f t="shared" si="127"/>
        <v>0</v>
      </c>
      <c r="BU32" s="69"/>
      <c r="BV32" s="127"/>
      <c r="BW32" s="74" t="str">
        <f t="shared" si="128"/>
        <v>Türkiye</v>
      </c>
      <c r="BX32" s="75">
        <v>0</v>
      </c>
      <c r="BY32" s="75">
        <v>2</v>
      </c>
      <c r="BZ32" s="76" t="str">
        <f t="shared" si="129"/>
        <v>Portugal</v>
      </c>
      <c r="CC32" s="77">
        <f t="shared" si="130"/>
        <v>0</v>
      </c>
      <c r="CD32" s="78">
        <f t="shared" si="131"/>
        <v>2</v>
      </c>
      <c r="CE32" s="69"/>
      <c r="CF32" s="127"/>
      <c r="CG32" s="74" t="str">
        <f t="shared" si="132"/>
        <v>Türkiye</v>
      </c>
      <c r="CH32" s="75">
        <v>1</v>
      </c>
      <c r="CI32" s="75">
        <v>3</v>
      </c>
      <c r="CJ32" s="76" t="str">
        <f t="shared" si="133"/>
        <v>Portugal</v>
      </c>
      <c r="CM32" s="77">
        <f t="shared" si="134"/>
        <v>0</v>
      </c>
      <c r="CN32" s="78">
        <f t="shared" si="135"/>
        <v>2</v>
      </c>
      <c r="CO32" s="69"/>
      <c r="CP32" s="127"/>
      <c r="CQ32" s="74" t="str">
        <f t="shared" si="136"/>
        <v>Türkiye</v>
      </c>
      <c r="CR32" s="75">
        <v>2</v>
      </c>
      <c r="CS32" s="75">
        <v>0</v>
      </c>
      <c r="CT32" s="76" t="str">
        <f t="shared" si="137"/>
        <v>Portugal</v>
      </c>
      <c r="CW32" s="77">
        <f t="shared" si="138"/>
        <v>0</v>
      </c>
      <c r="CX32" s="78">
        <f t="shared" si="139"/>
        <v>0</v>
      </c>
      <c r="CY32" s="69"/>
      <c r="CZ32" s="127"/>
      <c r="DA32" s="74" t="str">
        <f t="shared" si="140"/>
        <v>Türkiye</v>
      </c>
      <c r="DB32" s="75">
        <v>1</v>
      </c>
      <c r="DC32" s="75">
        <v>3</v>
      </c>
      <c r="DD32" s="76" t="str">
        <f t="shared" si="141"/>
        <v>Portugal</v>
      </c>
      <c r="DG32" s="77">
        <f t="shared" si="142"/>
        <v>0</v>
      </c>
      <c r="DH32" s="78">
        <f t="shared" si="143"/>
        <v>2</v>
      </c>
      <c r="DI32" s="69"/>
    </row>
    <row r="33" spans="1:113" s="43" customFormat="1" ht="15" customHeight="1" x14ac:dyDescent="0.2">
      <c r="A33" s="41">
        <v>38</v>
      </c>
      <c r="B33" s="65"/>
      <c r="C33" s="55">
        <v>24</v>
      </c>
      <c r="D33" s="20" t="s">
        <v>110</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2</v>
      </c>
      <c r="R33" s="76" t="str">
        <f t="shared" si="105"/>
        <v>Czechia</v>
      </c>
      <c r="U33" s="77">
        <f t="shared" si="106"/>
        <v>0</v>
      </c>
      <c r="V33" s="78">
        <f t="shared" si="107"/>
        <v>0</v>
      </c>
      <c r="W33" s="69"/>
      <c r="X33" s="127"/>
      <c r="Y33" s="74" t="str">
        <f t="shared" si="108"/>
        <v>Georgia</v>
      </c>
      <c r="Z33" s="75">
        <v>1</v>
      </c>
      <c r="AA33" s="75">
        <v>1</v>
      </c>
      <c r="AB33" s="76" t="str">
        <f t="shared" si="109"/>
        <v>Czechia</v>
      </c>
      <c r="AE33" s="77">
        <f t="shared" si="110"/>
        <v>1</v>
      </c>
      <c r="AF33" s="78">
        <f t="shared" si="111"/>
        <v>6</v>
      </c>
      <c r="AG33" s="69"/>
      <c r="AH33" s="127"/>
      <c r="AI33" s="74" t="str">
        <f t="shared" si="112"/>
        <v>Georgia</v>
      </c>
      <c r="AJ33" s="75">
        <v>0</v>
      </c>
      <c r="AK33" s="75">
        <v>0</v>
      </c>
      <c r="AL33" s="76" t="str">
        <f t="shared" si="113"/>
        <v>Czechia</v>
      </c>
      <c r="AO33" s="77">
        <f t="shared" si="114"/>
        <v>0</v>
      </c>
      <c r="AP33" s="78">
        <f t="shared" si="115"/>
        <v>4</v>
      </c>
      <c r="AQ33" s="69"/>
      <c r="AR33" s="127"/>
      <c r="AS33" s="74" t="str">
        <f t="shared" si="116"/>
        <v>Georgia</v>
      </c>
      <c r="AT33" s="75">
        <v>1</v>
      </c>
      <c r="AU33" s="75">
        <v>2</v>
      </c>
      <c r="AV33" s="76" t="str">
        <f t="shared" si="117"/>
        <v>Czechia</v>
      </c>
      <c r="AY33" s="77">
        <f t="shared" si="118"/>
        <v>0</v>
      </c>
      <c r="AZ33" s="78">
        <f t="shared" si="119"/>
        <v>0</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v>0</v>
      </c>
      <c r="BO33" s="75">
        <v>2</v>
      </c>
      <c r="BP33" s="76" t="str">
        <f t="shared" si="125"/>
        <v>Czechia</v>
      </c>
      <c r="BS33" s="77">
        <f t="shared" si="126"/>
        <v>0</v>
      </c>
      <c r="BT33" s="78">
        <f t="shared" si="127"/>
        <v>0</v>
      </c>
      <c r="BU33" s="69"/>
      <c r="BV33" s="127"/>
      <c r="BW33" s="74" t="str">
        <f t="shared" si="128"/>
        <v>Georgia</v>
      </c>
      <c r="BX33" s="75">
        <v>0</v>
      </c>
      <c r="BY33" s="75">
        <v>0</v>
      </c>
      <c r="BZ33" s="76" t="str">
        <f t="shared" si="129"/>
        <v>Czechia</v>
      </c>
      <c r="CC33" s="77">
        <f t="shared" si="130"/>
        <v>0</v>
      </c>
      <c r="CD33" s="78">
        <f t="shared" si="131"/>
        <v>4</v>
      </c>
      <c r="CE33" s="69"/>
      <c r="CF33" s="127"/>
      <c r="CG33" s="74" t="str">
        <f t="shared" si="132"/>
        <v>Georgia</v>
      </c>
      <c r="CH33" s="75">
        <v>0</v>
      </c>
      <c r="CI33" s="75">
        <v>1</v>
      </c>
      <c r="CJ33" s="76" t="str">
        <f t="shared" si="133"/>
        <v>Czechia</v>
      </c>
      <c r="CM33" s="77">
        <f t="shared" si="134"/>
        <v>0</v>
      </c>
      <c r="CN33" s="78">
        <f t="shared" si="135"/>
        <v>0</v>
      </c>
      <c r="CO33" s="69"/>
      <c r="CP33" s="127"/>
      <c r="CQ33" s="74" t="str">
        <f t="shared" si="136"/>
        <v>Georgia</v>
      </c>
      <c r="CR33" s="75">
        <v>3</v>
      </c>
      <c r="CS33" s="75">
        <v>3</v>
      </c>
      <c r="CT33" s="76" t="str">
        <f t="shared" si="137"/>
        <v>Czechia</v>
      </c>
      <c r="CW33" s="77">
        <f t="shared" si="138"/>
        <v>0</v>
      </c>
      <c r="CX33" s="78">
        <f t="shared" si="139"/>
        <v>4</v>
      </c>
      <c r="CY33" s="69"/>
      <c r="CZ33" s="127"/>
      <c r="DA33" s="74" t="str">
        <f t="shared" si="140"/>
        <v>Georgia</v>
      </c>
      <c r="DB33" s="75">
        <v>2</v>
      </c>
      <c r="DC33" s="75">
        <v>1</v>
      </c>
      <c r="DD33" s="76" t="str">
        <f t="shared" si="141"/>
        <v>Czechia</v>
      </c>
      <c r="DG33" s="77">
        <f t="shared" si="142"/>
        <v>0</v>
      </c>
      <c r="DH33" s="78">
        <f t="shared" si="143"/>
        <v>0</v>
      </c>
      <c r="DI33" s="69"/>
    </row>
    <row r="34" spans="1:113" s="43" customFormat="1" ht="15" customHeight="1" x14ac:dyDescent="0.2">
      <c r="A34" s="41">
        <v>39</v>
      </c>
      <c r="B34" s="65"/>
      <c r="C34" s="55">
        <v>25</v>
      </c>
      <c r="D34" s="20" t="s">
        <v>105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3</v>
      </c>
      <c r="R34" s="76" t="str">
        <f t="shared" si="105"/>
        <v>Germany</v>
      </c>
      <c r="U34" s="77">
        <f t="shared" si="106"/>
        <v>0</v>
      </c>
      <c r="V34" s="78">
        <f t="shared" si="107"/>
        <v>0</v>
      </c>
      <c r="W34" s="69"/>
      <c r="X34" s="127"/>
      <c r="Y34" s="74" t="str">
        <f t="shared" si="108"/>
        <v>Switzerland</v>
      </c>
      <c r="Z34" s="75">
        <v>1</v>
      </c>
      <c r="AA34" s="75">
        <v>3</v>
      </c>
      <c r="AB34" s="76" t="str">
        <f t="shared" si="109"/>
        <v>Germany</v>
      </c>
      <c r="AE34" s="77">
        <f t="shared" si="110"/>
        <v>0</v>
      </c>
      <c r="AF34" s="78">
        <f t="shared" si="111"/>
        <v>0</v>
      </c>
      <c r="AG34" s="69"/>
      <c r="AH34" s="127"/>
      <c r="AI34" s="74" t="str">
        <f t="shared" si="112"/>
        <v>Switzerland</v>
      </c>
      <c r="AJ34" s="75">
        <v>1</v>
      </c>
      <c r="AK34" s="75">
        <v>2</v>
      </c>
      <c r="AL34" s="76" t="str">
        <f t="shared" si="113"/>
        <v>Germany</v>
      </c>
      <c r="AO34" s="77">
        <f t="shared" si="114"/>
        <v>0</v>
      </c>
      <c r="AP34" s="78">
        <f t="shared" si="115"/>
        <v>0</v>
      </c>
      <c r="AQ34" s="69"/>
      <c r="AR34" s="127"/>
      <c r="AS34" s="74" t="str">
        <f t="shared" si="116"/>
        <v>Switzerland</v>
      </c>
      <c r="AT34" s="75">
        <v>1</v>
      </c>
      <c r="AU34" s="75">
        <v>2</v>
      </c>
      <c r="AV34" s="76" t="str">
        <f t="shared" si="117"/>
        <v>Germany</v>
      </c>
      <c r="AY34" s="77">
        <f t="shared" si="118"/>
        <v>0</v>
      </c>
      <c r="AZ34" s="78">
        <f t="shared" si="119"/>
        <v>0</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0</v>
      </c>
      <c r="BY34" s="75">
        <v>1</v>
      </c>
      <c r="BZ34" s="76" t="str">
        <f t="shared" si="129"/>
        <v>Germany</v>
      </c>
      <c r="CC34" s="77">
        <f t="shared" si="130"/>
        <v>0</v>
      </c>
      <c r="CD34" s="78">
        <f t="shared" si="131"/>
        <v>0</v>
      </c>
      <c r="CE34" s="69"/>
      <c r="CF34" s="127"/>
      <c r="CG34" s="74" t="str">
        <f t="shared" si="132"/>
        <v>Switzerland</v>
      </c>
      <c r="CH34" s="75">
        <v>1</v>
      </c>
      <c r="CI34" s="75">
        <v>1</v>
      </c>
      <c r="CJ34" s="76" t="str">
        <f t="shared" si="133"/>
        <v>Germany</v>
      </c>
      <c r="CM34" s="77">
        <f t="shared" si="134"/>
        <v>1</v>
      </c>
      <c r="CN34" s="78">
        <f t="shared" si="135"/>
        <v>6</v>
      </c>
      <c r="CO34" s="69"/>
      <c r="CP34" s="127"/>
      <c r="CQ34" s="74" t="str">
        <f t="shared" si="136"/>
        <v>Switzerland</v>
      </c>
      <c r="CR34" s="75">
        <v>1</v>
      </c>
      <c r="CS34" s="75">
        <v>2</v>
      </c>
      <c r="CT34" s="76" t="str">
        <f t="shared" si="137"/>
        <v>Germany</v>
      </c>
      <c r="CW34" s="77">
        <f t="shared" si="138"/>
        <v>0</v>
      </c>
      <c r="CX34" s="78">
        <f t="shared" si="139"/>
        <v>0</v>
      </c>
      <c r="CY34" s="69"/>
      <c r="CZ34" s="127"/>
      <c r="DA34" s="74" t="str">
        <f t="shared" si="140"/>
        <v>Switzerland</v>
      </c>
      <c r="DB34" s="75">
        <v>1</v>
      </c>
      <c r="DC34" s="75">
        <v>4</v>
      </c>
      <c r="DD34" s="76" t="str">
        <f t="shared" si="141"/>
        <v>Germany</v>
      </c>
      <c r="DG34" s="77">
        <f t="shared" si="142"/>
        <v>0</v>
      </c>
      <c r="DH34" s="78">
        <f t="shared" si="143"/>
        <v>0</v>
      </c>
      <c r="DI34" s="69"/>
    </row>
    <row r="35" spans="1:113" s="43" customFormat="1" ht="15" customHeight="1" x14ac:dyDescent="0.2">
      <c r="A35" s="41">
        <v>40</v>
      </c>
      <c r="B35" s="65"/>
      <c r="C35" s="55">
        <v>26</v>
      </c>
      <c r="D35" s="20" t="s">
        <v>105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2</v>
      </c>
      <c r="AA35" s="75">
        <v>1</v>
      </c>
      <c r="AB35" s="76" t="str">
        <f t="shared" si="109"/>
        <v>Hungary</v>
      </c>
      <c r="AE35" s="77">
        <f t="shared" si="110"/>
        <v>0</v>
      </c>
      <c r="AF35" s="78">
        <f t="shared" si="111"/>
        <v>0</v>
      </c>
      <c r="AG35" s="69"/>
      <c r="AH35" s="127"/>
      <c r="AI35" s="74" t="str">
        <f t="shared" si="112"/>
        <v>Scotland</v>
      </c>
      <c r="AJ35" s="75">
        <v>1</v>
      </c>
      <c r="AK35" s="75">
        <v>0</v>
      </c>
      <c r="AL35" s="76" t="str">
        <f t="shared" si="113"/>
        <v>Hungary</v>
      </c>
      <c r="AO35" s="77">
        <f t="shared" si="114"/>
        <v>0</v>
      </c>
      <c r="AP35" s="78">
        <f t="shared" si="115"/>
        <v>0</v>
      </c>
      <c r="AQ35" s="69"/>
      <c r="AR35" s="127"/>
      <c r="AS35" s="74" t="str">
        <f t="shared" si="116"/>
        <v>Scotland</v>
      </c>
      <c r="AT35" s="75">
        <v>2</v>
      </c>
      <c r="AU35" s="75">
        <v>2</v>
      </c>
      <c r="AV35" s="76" t="str">
        <f t="shared" si="117"/>
        <v>Hungary</v>
      </c>
      <c r="AY35" s="77">
        <f t="shared" si="118"/>
        <v>0</v>
      </c>
      <c r="AZ35" s="78">
        <f t="shared" si="119"/>
        <v>0</v>
      </c>
      <c r="BA35" s="69"/>
      <c r="BB35" s="127"/>
      <c r="BC35" s="74" t="str">
        <f t="shared" si="120"/>
        <v>Scotland</v>
      </c>
      <c r="BD35" s="75">
        <v>1</v>
      </c>
      <c r="BE35" s="75">
        <v>1</v>
      </c>
      <c r="BF35" s="76" t="str">
        <f t="shared" si="121"/>
        <v>Hungary</v>
      </c>
      <c r="BI35" s="77">
        <f t="shared" si="122"/>
        <v>0</v>
      </c>
      <c r="BJ35" s="78">
        <f t="shared" si="123"/>
        <v>0</v>
      </c>
      <c r="BK35" s="69"/>
      <c r="BL35" s="127"/>
      <c r="BM35" s="74" t="str">
        <f t="shared" si="124"/>
        <v>Scotland</v>
      </c>
      <c r="BN35" s="75">
        <v>1</v>
      </c>
      <c r="BO35" s="75">
        <v>1</v>
      </c>
      <c r="BP35" s="76" t="str">
        <f t="shared" si="125"/>
        <v>Hungary</v>
      </c>
      <c r="BS35" s="77">
        <f t="shared" si="126"/>
        <v>0</v>
      </c>
      <c r="BT35" s="78">
        <f t="shared" si="127"/>
        <v>0</v>
      </c>
      <c r="BU35" s="69"/>
      <c r="BV35" s="127"/>
      <c r="BW35" s="74" t="str">
        <f t="shared" si="128"/>
        <v>Scotland</v>
      </c>
      <c r="BX35" s="75">
        <v>1</v>
      </c>
      <c r="BY35" s="75">
        <v>0</v>
      </c>
      <c r="BZ35" s="76" t="str">
        <f t="shared" si="129"/>
        <v>Hungary</v>
      </c>
      <c r="CC35" s="77">
        <f t="shared" si="130"/>
        <v>0</v>
      </c>
      <c r="CD35" s="78">
        <f t="shared" si="131"/>
        <v>0</v>
      </c>
      <c r="CE35" s="69"/>
      <c r="CF35" s="127"/>
      <c r="CG35" s="74" t="str">
        <f t="shared" si="132"/>
        <v>Scotland</v>
      </c>
      <c r="CH35" s="75">
        <v>1</v>
      </c>
      <c r="CI35" s="75">
        <v>0</v>
      </c>
      <c r="CJ35" s="76" t="str">
        <f t="shared" si="133"/>
        <v>Hungary</v>
      </c>
      <c r="CM35" s="77">
        <f t="shared" si="134"/>
        <v>0</v>
      </c>
      <c r="CN35" s="78">
        <f t="shared" si="135"/>
        <v>0</v>
      </c>
      <c r="CO35" s="69"/>
      <c r="CP35" s="127"/>
      <c r="CQ35" s="74" t="str">
        <f t="shared" si="136"/>
        <v>Scotland</v>
      </c>
      <c r="CR35" s="75">
        <v>2</v>
      </c>
      <c r="CS35" s="75">
        <v>1</v>
      </c>
      <c r="CT35" s="76" t="str">
        <f t="shared" si="137"/>
        <v>Hungary</v>
      </c>
      <c r="CW35" s="77">
        <f t="shared" si="138"/>
        <v>0</v>
      </c>
      <c r="CX35" s="78">
        <f t="shared" si="139"/>
        <v>0</v>
      </c>
      <c r="CY35" s="69"/>
      <c r="CZ35" s="127"/>
      <c r="DA35" s="74" t="str">
        <f t="shared" si="140"/>
        <v>Scotland</v>
      </c>
      <c r="DB35" s="75">
        <v>3</v>
      </c>
      <c r="DC35" s="75">
        <v>2</v>
      </c>
      <c r="DD35" s="76" t="str">
        <f t="shared" si="141"/>
        <v>Hungary</v>
      </c>
      <c r="DG35" s="77">
        <f t="shared" si="142"/>
        <v>0</v>
      </c>
      <c r="DH35" s="78">
        <f t="shared" si="143"/>
        <v>0</v>
      </c>
      <c r="DI35" s="69"/>
    </row>
    <row r="36" spans="1:113" s="43" customFormat="1" ht="15" customHeight="1" x14ac:dyDescent="0.2">
      <c r="A36" s="41">
        <v>41</v>
      </c>
      <c r="B36" s="65"/>
      <c r="C36" s="55">
        <v>27</v>
      </c>
      <c r="D36" s="20" t="s">
        <v>106</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3</v>
      </c>
      <c r="AB36" s="76" t="str">
        <f t="shared" si="109"/>
        <v>Spain</v>
      </c>
      <c r="AE36" s="77">
        <f t="shared" si="110"/>
        <v>0</v>
      </c>
      <c r="AF36" s="78">
        <f t="shared" si="111"/>
        <v>2</v>
      </c>
      <c r="AG36" s="69"/>
      <c r="AH36" s="127"/>
      <c r="AI36" s="74" t="str">
        <f t="shared" si="112"/>
        <v>Albania</v>
      </c>
      <c r="AJ36" s="75">
        <v>1</v>
      </c>
      <c r="AK36" s="75">
        <v>3</v>
      </c>
      <c r="AL36" s="76" t="str">
        <f t="shared" si="113"/>
        <v>Spain</v>
      </c>
      <c r="AO36" s="77">
        <f t="shared" si="114"/>
        <v>0</v>
      </c>
      <c r="AP36" s="78">
        <f t="shared" si="115"/>
        <v>2</v>
      </c>
      <c r="AQ36" s="69"/>
      <c r="AR36" s="127"/>
      <c r="AS36" s="74" t="str">
        <f t="shared" si="116"/>
        <v>Albania</v>
      </c>
      <c r="AT36" s="75">
        <v>1</v>
      </c>
      <c r="AU36" s="75">
        <v>2</v>
      </c>
      <c r="AV36" s="76" t="str">
        <f t="shared" si="117"/>
        <v>Spain</v>
      </c>
      <c r="AY36" s="77">
        <f t="shared" si="118"/>
        <v>0</v>
      </c>
      <c r="AZ36" s="78">
        <f t="shared" si="119"/>
        <v>4</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1</v>
      </c>
      <c r="BP36" s="76" t="str">
        <f t="shared" si="125"/>
        <v>Spain</v>
      </c>
      <c r="BS36" s="77">
        <f t="shared" si="126"/>
        <v>1</v>
      </c>
      <c r="BT36" s="78">
        <f t="shared" si="127"/>
        <v>6</v>
      </c>
      <c r="BU36" s="69"/>
      <c r="BV36" s="127"/>
      <c r="BW36" s="74" t="str">
        <f t="shared" si="128"/>
        <v>Albania</v>
      </c>
      <c r="BX36" s="75">
        <v>0</v>
      </c>
      <c r="BY36" s="75">
        <v>2</v>
      </c>
      <c r="BZ36" s="76" t="str">
        <f t="shared" si="129"/>
        <v>Spain</v>
      </c>
      <c r="CC36" s="77">
        <f t="shared" si="130"/>
        <v>0</v>
      </c>
      <c r="CD36" s="78">
        <f t="shared" si="131"/>
        <v>2</v>
      </c>
      <c r="CE36" s="69"/>
      <c r="CF36" s="127"/>
      <c r="CG36" s="74" t="str">
        <f t="shared" si="132"/>
        <v>Albania</v>
      </c>
      <c r="CH36" s="75">
        <v>0</v>
      </c>
      <c r="CI36" s="75">
        <v>5</v>
      </c>
      <c r="CJ36" s="76" t="str">
        <f t="shared" si="133"/>
        <v>Spain</v>
      </c>
      <c r="CM36" s="77">
        <f t="shared" si="134"/>
        <v>0</v>
      </c>
      <c r="CN36" s="78">
        <f t="shared" si="135"/>
        <v>2</v>
      </c>
      <c r="CO36" s="69"/>
      <c r="CP36" s="127"/>
      <c r="CQ36" s="74" t="str">
        <f t="shared" si="136"/>
        <v>Albania</v>
      </c>
      <c r="CR36" s="75">
        <v>1</v>
      </c>
      <c r="CS36" s="75">
        <v>1</v>
      </c>
      <c r="CT36" s="76" t="str">
        <f t="shared" si="137"/>
        <v>Spain</v>
      </c>
      <c r="CW36" s="77">
        <f t="shared" si="138"/>
        <v>0</v>
      </c>
      <c r="CX36" s="78">
        <f t="shared" si="139"/>
        <v>0</v>
      </c>
      <c r="CY36" s="69"/>
      <c r="CZ36" s="127"/>
      <c r="DA36" s="74" t="str">
        <f t="shared" si="140"/>
        <v>Albania</v>
      </c>
      <c r="DB36" s="75">
        <v>1</v>
      </c>
      <c r="DC36" s="75">
        <v>4</v>
      </c>
      <c r="DD36" s="76" t="str">
        <f t="shared" si="141"/>
        <v>Spain</v>
      </c>
      <c r="DG36" s="77">
        <f t="shared" si="142"/>
        <v>0</v>
      </c>
      <c r="DH36" s="78">
        <f t="shared" si="143"/>
        <v>2</v>
      </c>
      <c r="DI36" s="69"/>
    </row>
    <row r="37" spans="1:113" s="43" customFormat="1" ht="15" customHeight="1" x14ac:dyDescent="0.2">
      <c r="A37" s="41">
        <v>42</v>
      </c>
      <c r="B37" s="65"/>
      <c r="C37" s="55">
        <v>28</v>
      </c>
      <c r="D37" s="20" t="s">
        <v>106</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1</v>
      </c>
      <c r="Q37" s="75">
        <v>1</v>
      </c>
      <c r="R37" s="76" t="str">
        <f t="shared" si="105"/>
        <v>Italy</v>
      </c>
      <c r="U37" s="77">
        <f t="shared" si="106"/>
        <v>1</v>
      </c>
      <c r="V37" s="78">
        <f t="shared" si="107"/>
        <v>6</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2</v>
      </c>
      <c r="AK37" s="75">
        <v>2</v>
      </c>
      <c r="AL37" s="76" t="str">
        <f t="shared" si="113"/>
        <v>Italy</v>
      </c>
      <c r="AO37" s="77">
        <f t="shared" si="114"/>
        <v>0</v>
      </c>
      <c r="AP37" s="78">
        <f t="shared" si="115"/>
        <v>4</v>
      </c>
      <c r="AQ37" s="69"/>
      <c r="AR37" s="127"/>
      <c r="AS37" s="74" t="str">
        <f t="shared" si="116"/>
        <v>Croatia</v>
      </c>
      <c r="AT37" s="75">
        <v>1</v>
      </c>
      <c r="AU37" s="75">
        <v>1</v>
      </c>
      <c r="AV37" s="76" t="str">
        <f t="shared" si="117"/>
        <v>Italy</v>
      </c>
      <c r="AY37" s="77">
        <f t="shared" si="118"/>
        <v>1</v>
      </c>
      <c r="AZ37" s="78">
        <f t="shared" si="119"/>
        <v>6</v>
      </c>
      <c r="BA37" s="69"/>
      <c r="BB37" s="127"/>
      <c r="BC37" s="74" t="str">
        <f t="shared" si="120"/>
        <v>Croatia</v>
      </c>
      <c r="BD37" s="75">
        <v>2</v>
      </c>
      <c r="BE37" s="75">
        <v>1</v>
      </c>
      <c r="BF37" s="76" t="str">
        <f t="shared" si="121"/>
        <v>Italy</v>
      </c>
      <c r="BI37" s="77">
        <f t="shared" si="122"/>
        <v>0</v>
      </c>
      <c r="BJ37" s="78">
        <f t="shared" si="123"/>
        <v>0</v>
      </c>
      <c r="BK37" s="69"/>
      <c r="BL37" s="127"/>
      <c r="BM37" s="74" t="str">
        <f t="shared" si="124"/>
        <v>Croatia</v>
      </c>
      <c r="BN37" s="75">
        <v>0</v>
      </c>
      <c r="BO37" s="75">
        <v>0</v>
      </c>
      <c r="BP37" s="76" t="str">
        <f t="shared" si="125"/>
        <v>Italy</v>
      </c>
      <c r="BS37" s="77">
        <f t="shared" si="126"/>
        <v>0</v>
      </c>
      <c r="BT37" s="78">
        <f t="shared" si="127"/>
        <v>4</v>
      </c>
      <c r="BU37" s="69"/>
      <c r="BV37" s="127"/>
      <c r="BW37" s="74" t="str">
        <f t="shared" si="128"/>
        <v>Croatia</v>
      </c>
      <c r="BX37" s="75">
        <v>1</v>
      </c>
      <c r="BY37" s="75">
        <v>2</v>
      </c>
      <c r="BZ37" s="76" t="str">
        <f t="shared" si="129"/>
        <v>Italy</v>
      </c>
      <c r="CC37" s="77">
        <f t="shared" si="130"/>
        <v>0</v>
      </c>
      <c r="CD37" s="78">
        <f t="shared" si="131"/>
        <v>0</v>
      </c>
      <c r="CE37" s="69"/>
      <c r="CF37" s="127"/>
      <c r="CG37" s="74" t="str">
        <f t="shared" si="132"/>
        <v>Croatia</v>
      </c>
      <c r="CH37" s="75">
        <v>2</v>
      </c>
      <c r="CI37" s="75">
        <v>2</v>
      </c>
      <c r="CJ37" s="76" t="str">
        <f t="shared" si="133"/>
        <v>Italy</v>
      </c>
      <c r="CM37" s="77">
        <f t="shared" si="134"/>
        <v>0</v>
      </c>
      <c r="CN37" s="78">
        <f t="shared" si="135"/>
        <v>4</v>
      </c>
      <c r="CO37" s="69"/>
      <c r="CP37" s="127"/>
      <c r="CQ37" s="74" t="str">
        <f t="shared" si="136"/>
        <v>Croatia</v>
      </c>
      <c r="CR37" s="75">
        <v>3</v>
      </c>
      <c r="CS37" s="75">
        <v>3</v>
      </c>
      <c r="CT37" s="76" t="str">
        <f t="shared" si="137"/>
        <v>Italy</v>
      </c>
      <c r="CW37" s="77">
        <f t="shared" si="138"/>
        <v>0</v>
      </c>
      <c r="CX37" s="78">
        <f t="shared" si="139"/>
        <v>4</v>
      </c>
      <c r="CY37" s="69"/>
      <c r="CZ37" s="127"/>
      <c r="DA37" s="74" t="str">
        <f t="shared" si="140"/>
        <v>Croatia</v>
      </c>
      <c r="DB37" s="75">
        <v>2</v>
      </c>
      <c r="DC37" s="75">
        <v>4</v>
      </c>
      <c r="DD37" s="76" t="str">
        <f t="shared" si="141"/>
        <v>Italy</v>
      </c>
      <c r="DG37" s="77">
        <f t="shared" si="142"/>
        <v>0</v>
      </c>
      <c r="DH37" s="78">
        <f t="shared" si="143"/>
        <v>0</v>
      </c>
      <c r="DI37" s="69"/>
    </row>
    <row r="38" spans="1:113" s="43" customFormat="1" ht="15" customHeight="1" x14ac:dyDescent="0.2">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
      <c r="A40" s="41">
        <v>45</v>
      </c>
      <c r="B40" s="65"/>
      <c r="C40" s="55">
        <v>31</v>
      </c>
      <c r="D40" s="20" t="s">
        <v>108</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2</v>
      </c>
      <c r="Q40" s="75">
        <v>0</v>
      </c>
      <c r="R40" s="76" t="str">
        <f t="shared" si="105"/>
        <v>Austria</v>
      </c>
      <c r="U40" s="77">
        <f t="shared" si="106"/>
        <v>0</v>
      </c>
      <c r="V40" s="78">
        <f t="shared" si="107"/>
        <v>0</v>
      </c>
      <c r="W40" s="69"/>
      <c r="X40" s="127"/>
      <c r="Y40" s="74" t="str">
        <f t="shared" si="108"/>
        <v>Netherlands</v>
      </c>
      <c r="Z40" s="75">
        <v>3</v>
      </c>
      <c r="AA40" s="75">
        <v>0</v>
      </c>
      <c r="AB40" s="76" t="str">
        <f t="shared" si="109"/>
        <v>Austria</v>
      </c>
      <c r="AE40" s="77">
        <f t="shared" si="110"/>
        <v>0</v>
      </c>
      <c r="AF40" s="78">
        <f t="shared" si="111"/>
        <v>0</v>
      </c>
      <c r="AG40" s="69"/>
      <c r="AH40" s="127"/>
      <c r="AI40" s="74" t="str">
        <f t="shared" si="112"/>
        <v>Netherlands</v>
      </c>
      <c r="AJ40" s="75">
        <v>2</v>
      </c>
      <c r="AK40" s="75">
        <v>1</v>
      </c>
      <c r="AL40" s="76" t="str">
        <f t="shared" si="113"/>
        <v>Austria</v>
      </c>
      <c r="AO40" s="77">
        <f t="shared" si="114"/>
        <v>0</v>
      </c>
      <c r="AP40" s="78">
        <f t="shared" si="115"/>
        <v>0</v>
      </c>
      <c r="AQ40" s="69"/>
      <c r="AR40" s="127"/>
      <c r="AS40" s="74" t="str">
        <f t="shared" si="116"/>
        <v>Netherlands</v>
      </c>
      <c r="AT40" s="75">
        <v>2</v>
      </c>
      <c r="AU40" s="75">
        <v>2</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2</v>
      </c>
      <c r="BO40" s="75">
        <v>0</v>
      </c>
      <c r="BP40" s="76" t="str">
        <f t="shared" si="125"/>
        <v>Austria</v>
      </c>
      <c r="BS40" s="77">
        <f t="shared" si="126"/>
        <v>0</v>
      </c>
      <c r="BT40" s="78">
        <f t="shared" si="127"/>
        <v>0</v>
      </c>
      <c r="BU40" s="69"/>
      <c r="BV40" s="127"/>
      <c r="BW40" s="74" t="str">
        <f t="shared" si="128"/>
        <v>Netherlands</v>
      </c>
      <c r="BX40" s="75">
        <v>2</v>
      </c>
      <c r="BY40" s="75">
        <v>1</v>
      </c>
      <c r="BZ40" s="76" t="str">
        <f t="shared" si="129"/>
        <v>Austria</v>
      </c>
      <c r="CC40" s="77">
        <f t="shared" si="130"/>
        <v>0</v>
      </c>
      <c r="CD40" s="78">
        <f t="shared" si="131"/>
        <v>0</v>
      </c>
      <c r="CE40" s="69"/>
      <c r="CF40" s="127"/>
      <c r="CG40" s="74" t="str">
        <f t="shared" si="132"/>
        <v>Netherlands</v>
      </c>
      <c r="CH40" s="75">
        <v>2</v>
      </c>
      <c r="CI40" s="75">
        <v>1</v>
      </c>
      <c r="CJ40" s="76" t="str">
        <f t="shared" si="133"/>
        <v>Austria</v>
      </c>
      <c r="CM40" s="77">
        <f t="shared" si="134"/>
        <v>0</v>
      </c>
      <c r="CN40" s="78">
        <f t="shared" si="135"/>
        <v>0</v>
      </c>
      <c r="CO40" s="69"/>
      <c r="CP40" s="127"/>
      <c r="CQ40" s="74" t="str">
        <f t="shared" si="136"/>
        <v>Netherlands</v>
      </c>
      <c r="CR40" s="75">
        <v>2</v>
      </c>
      <c r="CS40" s="75">
        <v>1</v>
      </c>
      <c r="CT40" s="76" t="str">
        <f t="shared" si="137"/>
        <v>Austria</v>
      </c>
      <c r="CW40" s="77">
        <f t="shared" si="138"/>
        <v>0</v>
      </c>
      <c r="CX40" s="78">
        <f t="shared" si="139"/>
        <v>0</v>
      </c>
      <c r="CY40" s="69"/>
      <c r="CZ40" s="127"/>
      <c r="DA40" s="74" t="str">
        <f t="shared" si="140"/>
        <v>Netherlands</v>
      </c>
      <c r="DB40" s="75">
        <v>3</v>
      </c>
      <c r="DC40" s="75">
        <v>1</v>
      </c>
      <c r="DD40" s="76" t="str">
        <f t="shared" si="141"/>
        <v>Austria</v>
      </c>
      <c r="DG40" s="77">
        <f t="shared" si="142"/>
        <v>0</v>
      </c>
      <c r="DH40" s="78">
        <f t="shared" si="143"/>
        <v>0</v>
      </c>
      <c r="DI40" s="69"/>
    </row>
    <row r="41" spans="1:113" s="43" customFormat="1" ht="15" customHeight="1" x14ac:dyDescent="0.2">
      <c r="A41" s="41">
        <v>46</v>
      </c>
      <c r="B41" s="65"/>
      <c r="C41" s="55">
        <v>32</v>
      </c>
      <c r="D41" s="20" t="s">
        <v>108</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2</v>
      </c>
      <c r="AA41" s="75">
        <v>1</v>
      </c>
      <c r="AB41" s="76" t="str">
        <f t="shared" si="109"/>
        <v>Poland</v>
      </c>
      <c r="AE41" s="77">
        <f t="shared" si="110"/>
        <v>0</v>
      </c>
      <c r="AF41" s="78">
        <f t="shared" si="111"/>
        <v>0</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3</v>
      </c>
      <c r="AU41" s="75">
        <v>0</v>
      </c>
      <c r="AV41" s="76" t="str">
        <f t="shared" si="117"/>
        <v>Poland</v>
      </c>
      <c r="AY41" s="77">
        <f t="shared" si="118"/>
        <v>0</v>
      </c>
      <c r="AZ41" s="78">
        <f t="shared" si="119"/>
        <v>0</v>
      </c>
      <c r="BA41" s="69"/>
      <c r="BB41" s="127"/>
      <c r="BC41" s="74" t="str">
        <f t="shared" si="120"/>
        <v>France</v>
      </c>
      <c r="BD41" s="75">
        <v>3</v>
      </c>
      <c r="BE41" s="75">
        <v>1</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v>3</v>
      </c>
      <c r="CI41" s="75">
        <v>0</v>
      </c>
      <c r="CJ41" s="76" t="str">
        <f t="shared" si="133"/>
        <v>Poland</v>
      </c>
      <c r="CM41" s="77">
        <f t="shared" si="134"/>
        <v>0</v>
      </c>
      <c r="CN41" s="78">
        <f t="shared" si="135"/>
        <v>0</v>
      </c>
      <c r="CO41" s="69"/>
      <c r="CP41" s="127"/>
      <c r="CQ41" s="74" t="str">
        <f t="shared" si="136"/>
        <v>France</v>
      </c>
      <c r="CR41" s="75">
        <v>3</v>
      </c>
      <c r="CS41" s="75">
        <v>0</v>
      </c>
      <c r="CT41" s="76" t="str">
        <f t="shared" si="137"/>
        <v>Poland</v>
      </c>
      <c r="CW41" s="77">
        <f t="shared" si="138"/>
        <v>0</v>
      </c>
      <c r="CX41" s="78">
        <f t="shared" si="139"/>
        <v>0</v>
      </c>
      <c r="CY41" s="69"/>
      <c r="CZ41" s="127"/>
      <c r="DA41" s="74" t="str">
        <f t="shared" si="140"/>
        <v>France</v>
      </c>
      <c r="DB41" s="75">
        <v>4</v>
      </c>
      <c r="DC41" s="75">
        <v>0</v>
      </c>
      <c r="DD41" s="76" t="str">
        <f t="shared" si="141"/>
        <v>Poland</v>
      </c>
      <c r="DG41" s="77">
        <f t="shared" si="142"/>
        <v>0</v>
      </c>
      <c r="DH41" s="78">
        <f t="shared" si="143"/>
        <v>0</v>
      </c>
      <c r="DI41" s="69"/>
    </row>
    <row r="42" spans="1:113" s="43" customFormat="1" ht="15" customHeight="1" x14ac:dyDescent="0.2">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409" t="s">
        <v>111</v>
      </c>
      <c r="E50" s="410"/>
      <c r="F50" s="410"/>
      <c r="G50" s="409" t="s">
        <v>112</v>
      </c>
      <c r="H50" s="410"/>
      <c r="I50" s="410" t="s">
        <v>113</v>
      </c>
      <c r="J50" s="410"/>
      <c r="K50" s="66"/>
      <c r="L50" s="66"/>
      <c r="M50" s="67"/>
      <c r="N50" s="86">
        <f ca="1">SUM(W51:W58)</f>
        <v>80</v>
      </c>
      <c r="O50" s="400" t="str">
        <f>D50</f>
        <v>Winner</v>
      </c>
      <c r="P50" s="400"/>
      <c r="Q50" s="400" t="str">
        <f>G50</f>
        <v>Runner Up</v>
      </c>
      <c r="R50" s="400"/>
      <c r="S50" s="400" t="str">
        <f>I50</f>
        <v>Third Place</v>
      </c>
      <c r="T50" s="400"/>
      <c r="U50" s="400"/>
      <c r="V50" s="68"/>
      <c r="W50" s="69"/>
      <c r="X50" s="86">
        <f ca="1">SUM(AG51:AG58)</f>
        <v>72</v>
      </c>
      <c r="Y50" s="400" t="str">
        <f>O50</f>
        <v>Winner</v>
      </c>
      <c r="Z50" s="400"/>
      <c r="AA50" s="400" t="str">
        <f>Q50</f>
        <v>Runner Up</v>
      </c>
      <c r="AB50" s="400"/>
      <c r="AC50" s="400" t="str">
        <f>S50</f>
        <v>Third Place</v>
      </c>
      <c r="AD50" s="400"/>
      <c r="AE50" s="400"/>
      <c r="AF50" s="68"/>
      <c r="AG50" s="69"/>
      <c r="AH50" s="86">
        <f t="shared" ref="AH50" ca="1" si="153">SUM(AQ51:AQ58)</f>
        <v>64</v>
      </c>
      <c r="AI50" s="400" t="str">
        <f t="shared" si="145"/>
        <v>Winner</v>
      </c>
      <c r="AJ50" s="400"/>
      <c r="AK50" s="400" t="str">
        <f t="shared" ref="AK50" si="154">AA50</f>
        <v>Runner Up</v>
      </c>
      <c r="AL50" s="400"/>
      <c r="AM50" s="400" t="str">
        <f t="shared" ref="AM50" si="155">AC50</f>
        <v>Third Place</v>
      </c>
      <c r="AN50" s="400"/>
      <c r="AO50" s="400"/>
      <c r="AP50" s="68"/>
      <c r="AQ50" s="69"/>
      <c r="AR50" s="86">
        <f t="shared" ref="AR50" ca="1" si="156">SUM(BA51:BA58)</f>
        <v>64</v>
      </c>
      <c r="AS50" s="400" t="str">
        <f t="shared" si="146"/>
        <v>Winner</v>
      </c>
      <c r="AT50" s="400"/>
      <c r="AU50" s="400" t="str">
        <f t="shared" ref="AU50" si="157">AK50</f>
        <v>Runner Up</v>
      </c>
      <c r="AV50" s="400"/>
      <c r="AW50" s="400" t="str">
        <f t="shared" ref="AW50" si="158">AM50</f>
        <v>Third Place</v>
      </c>
      <c r="AX50" s="400"/>
      <c r="AY50" s="400"/>
      <c r="AZ50" s="68"/>
      <c r="BA50" s="69"/>
      <c r="BB50" s="86">
        <f t="shared" ref="BB50" ca="1" si="159">SUM(BK51:BK58)</f>
        <v>40</v>
      </c>
      <c r="BC50" s="400" t="str">
        <f t="shared" si="147"/>
        <v>Winner</v>
      </c>
      <c r="BD50" s="400"/>
      <c r="BE50" s="400" t="str">
        <f t="shared" ref="BE50" si="160">AU50</f>
        <v>Runner Up</v>
      </c>
      <c r="BF50" s="400"/>
      <c r="BG50" s="400" t="str">
        <f t="shared" ref="BG50" si="161">AW50</f>
        <v>Third Place</v>
      </c>
      <c r="BH50" s="400"/>
      <c r="BI50" s="400"/>
      <c r="BJ50" s="68"/>
      <c r="BK50" s="69"/>
      <c r="BL50" s="86">
        <f t="shared" ref="BL50" ca="1" si="162">SUM(BU51:BU58)</f>
        <v>56</v>
      </c>
      <c r="BM50" s="400" t="str">
        <f t="shared" si="148"/>
        <v>Winner</v>
      </c>
      <c r="BN50" s="400"/>
      <c r="BO50" s="400" t="str">
        <f t="shared" ref="BO50" si="163">BE50</f>
        <v>Runner Up</v>
      </c>
      <c r="BP50" s="400"/>
      <c r="BQ50" s="400" t="str">
        <f t="shared" ref="BQ50" si="164">BG50</f>
        <v>Third Place</v>
      </c>
      <c r="BR50" s="400"/>
      <c r="BS50" s="400"/>
      <c r="BT50" s="68"/>
      <c r="BU50" s="69"/>
      <c r="BV50" s="86">
        <f t="shared" ref="BV50" ca="1" si="165">SUM(CE51:CE58)</f>
        <v>24</v>
      </c>
      <c r="BW50" s="400" t="str">
        <f t="shared" si="149"/>
        <v>Winner</v>
      </c>
      <c r="BX50" s="400"/>
      <c r="BY50" s="400" t="str">
        <f t="shared" ref="BY50" si="166">BO50</f>
        <v>Runner Up</v>
      </c>
      <c r="BZ50" s="400"/>
      <c r="CA50" s="400" t="str">
        <f t="shared" ref="CA50" si="167">BQ50</f>
        <v>Third Place</v>
      </c>
      <c r="CB50" s="400"/>
      <c r="CC50" s="400"/>
      <c r="CD50" s="68"/>
      <c r="CE50" s="69"/>
      <c r="CF50" s="86">
        <f t="shared" ref="CF50" ca="1" si="168">SUM(CO51:CO58)</f>
        <v>64</v>
      </c>
      <c r="CG50" s="400" t="str">
        <f t="shared" si="150"/>
        <v>Winner</v>
      </c>
      <c r="CH50" s="400"/>
      <c r="CI50" s="400" t="str">
        <f t="shared" ref="CI50" si="169">BY50</f>
        <v>Runner Up</v>
      </c>
      <c r="CJ50" s="400"/>
      <c r="CK50" s="400" t="str">
        <f t="shared" ref="CK50" si="170">CA50</f>
        <v>Third Place</v>
      </c>
      <c r="CL50" s="400"/>
      <c r="CM50" s="400"/>
      <c r="CN50" s="68"/>
      <c r="CO50" s="69"/>
      <c r="CP50" s="86">
        <f t="shared" ref="CP50" ca="1" si="171">SUM(CY51:CY58)</f>
        <v>40</v>
      </c>
      <c r="CQ50" s="400" t="str">
        <f t="shared" si="151"/>
        <v>Winner</v>
      </c>
      <c r="CR50" s="400"/>
      <c r="CS50" s="400" t="str">
        <f t="shared" ref="CS50" si="172">CI50</f>
        <v>Runner Up</v>
      </c>
      <c r="CT50" s="400"/>
      <c r="CU50" s="400" t="str">
        <f t="shared" ref="CU50" si="173">CK50</f>
        <v>Third Place</v>
      </c>
      <c r="CV50" s="400"/>
      <c r="CW50" s="400"/>
      <c r="CX50" s="68"/>
      <c r="CY50" s="69"/>
      <c r="CZ50" s="86">
        <f t="shared" ref="CZ50" ca="1" si="174">SUM(DI51:DI58)</f>
        <v>32</v>
      </c>
      <c r="DA50" s="400" t="str">
        <f t="shared" si="152"/>
        <v>Winner</v>
      </c>
      <c r="DB50" s="400"/>
      <c r="DC50" s="400" t="str">
        <f t="shared" ref="DC50" si="175">CS50</f>
        <v>Runner Up</v>
      </c>
      <c r="DD50" s="400"/>
      <c r="DE50" s="400" t="str">
        <f t="shared" ref="DE50" si="176">CU50</f>
        <v>Third Place</v>
      </c>
      <c r="DF50" s="400"/>
      <c r="DG50" s="400"/>
      <c r="DH50" s="68"/>
      <c r="DI50" s="69"/>
    </row>
    <row r="51" spans="1:113" s="43" customFormat="1" ht="15" customHeight="1" x14ac:dyDescent="0.2">
      <c r="A51" s="41"/>
      <c r="B51" s="65"/>
      <c r="C51" s="87" t="s">
        <v>105</v>
      </c>
      <c r="D51" s="403" t="str">
        <f>Matches!P7</f>
        <v>Germany</v>
      </c>
      <c r="E51" s="403"/>
      <c r="F51" s="403"/>
      <c r="G51" s="403" t="str">
        <f>Matches!P8</f>
        <v>Switzerland</v>
      </c>
      <c r="H51" s="403"/>
      <c r="I51" s="407" t="str">
        <f>IF(ISNA(MATCH(Matches!P9,Qual3,0)),"",Matches!P9)</f>
        <v>Hungary</v>
      </c>
      <c r="J51" s="408"/>
      <c r="K51" s="66"/>
      <c r="L51" s="66"/>
      <c r="M51" s="67"/>
      <c r="N51" s="126">
        <v>0</v>
      </c>
      <c r="O51" s="398" t="str">
        <f ca="1">VLOOKUP(1,OFFSET('Dummy Table'!DY4:DZ7,0,N51),2,FALSE)</f>
        <v>Germany</v>
      </c>
      <c r="P51" s="398"/>
      <c r="Q51" s="398" t="str">
        <f ca="1">VLOOKUP(2,OFFSET('Dummy Table'!DY4:DZ7,0,N51),2,FALSE)</f>
        <v>Switzerland</v>
      </c>
      <c r="R51" s="398"/>
      <c r="S51" s="399" t="str">
        <f ca="1">IFERROR(IF(MATCH(VLOOKUP(3,OFFSET('Dummy Table'!DY4:DZ7,0,N51),2,FALSE),OFFSET('Dummy Table'!IU13:IU16,0,N51),0),VLOOKUP(3,OFFSET('Dummy Table'!DY4:DZ7,0,N51),2,FALSE),""),"")</f>
        <v>Scotland</v>
      </c>
      <c r="T51" s="399"/>
      <c r="U51" s="399"/>
      <c r="V51" s="68"/>
      <c r="W51" s="78">
        <f ca="1">IF(P45&lt;&gt;"",IF(SUM(Matches!T7:T10)=12,IF(O51=D51,Bonu1,0)+IF(Q51=G51,Bonu2,0)+IF(AND(S51&lt;&gt;"",I51&lt;&gt;"",S51=I51),Bonu3,0),0),"")</f>
        <v>40</v>
      </c>
      <c r="X51" s="126">
        <f>N51+128</f>
        <v>128</v>
      </c>
      <c r="Y51" s="398" t="str">
        <f ca="1">VLOOKUP(1,OFFSET('Dummy Table'!DY4:DZ7,0,X51),2,FALSE)</f>
        <v>Germany</v>
      </c>
      <c r="Z51" s="398"/>
      <c r="AA51" s="398" t="str">
        <f ca="1">VLOOKUP(2,OFFSET('Dummy Table'!DY4:DZ7,0,X51),2,FALSE)</f>
        <v>Scotland</v>
      </c>
      <c r="AB51" s="398"/>
      <c r="AC51" s="399" t="str">
        <f ca="1">IFERROR(IF(MATCH(VLOOKUP(3,OFFSET('Dummy Table'!DY4:DZ7,0,X51),2,FALSE),OFFSET('Dummy Table'!IU13:IU16,0,X51),0),VLOOKUP(3,OFFSET('Dummy Table'!DY4:DZ7,0,X51),2,FALSE),""),"")</f>
        <v>Hungary</v>
      </c>
      <c r="AD51" s="399"/>
      <c r="AE51" s="399"/>
      <c r="AF51" s="68"/>
      <c r="AG51" s="78">
        <f ca="1">IF(Z45&lt;&gt;"",IF(SUM(Matches!T7:T10)=12,IF(Y51=D51,Bonu1,0)+IF(AA51=G51,Bonu2,0)+IF(AND(AC51&lt;&gt;"",I51&lt;&gt;"",AC51=I51),Bonu3,0),0),"")</f>
        <v>32</v>
      </c>
      <c r="AH51" s="126">
        <f t="shared" ref="AH51" si="177">X51+128</f>
        <v>256</v>
      </c>
      <c r="AI51" s="398" t="str">
        <f ca="1">VLOOKUP(1,OFFSET('Dummy Table'!DY4:DZ7,0,AH51),2,FALSE)</f>
        <v>Germany</v>
      </c>
      <c r="AJ51" s="398"/>
      <c r="AK51" s="398" t="str">
        <f ca="1">VLOOKUP(2,OFFSET('Dummy Table'!DY4:DZ7,0,AH51),2,FALSE)</f>
        <v>Scotland</v>
      </c>
      <c r="AL51" s="398"/>
      <c r="AM51" s="399" t="str">
        <f ca="1">IFERROR(IF(MATCH(VLOOKUP(3,OFFSET('Dummy Table'!DY4:DZ7,0,AH51),2,FALSE),OFFSET('Dummy Table'!IU13:IU16,0,AH51),0),VLOOKUP(3,OFFSET('Dummy Table'!DY4:DZ7,0,AH51),2,FALSE),""),"")</f>
        <v/>
      </c>
      <c r="AN51" s="399"/>
      <c r="AO51" s="399"/>
      <c r="AP51" s="68"/>
      <c r="AQ51" s="78">
        <f ca="1">IF(AJ45&lt;&gt;"",IF(SUM(Matches!T7:T10)=12,IF(AI51=D51,Bonu1,0)+IF(AK51=G51,Bonu2,0)+IF(AND(AM51&lt;&gt;"",I51&lt;&gt;"",AM51=I51),Bonu3,0),0),"")</f>
        <v>24</v>
      </c>
      <c r="AR51" s="126">
        <f t="shared" ref="AR51" si="178">AH51+128</f>
        <v>384</v>
      </c>
      <c r="AS51" s="398" t="str">
        <f ca="1">VLOOKUP(1,OFFSET('Dummy Table'!DY4:DZ7,0,AR51),2,FALSE)</f>
        <v>Germany</v>
      </c>
      <c r="AT51" s="398"/>
      <c r="AU51" s="398" t="str">
        <f ca="1">VLOOKUP(2,OFFSET('Dummy Table'!DY4:DZ7,0,AR51),2,FALSE)</f>
        <v>Switzerland</v>
      </c>
      <c r="AV51" s="398"/>
      <c r="AW51" s="399" t="str">
        <f ca="1">IFERROR(IF(MATCH(VLOOKUP(3,OFFSET('Dummy Table'!DY4:DZ7,0,AR51),2,FALSE),OFFSET('Dummy Table'!IU13:IU16,0,AR51),0),VLOOKUP(3,OFFSET('Dummy Table'!DY4:DZ7,0,AR51),2,FALSE),""),"")</f>
        <v/>
      </c>
      <c r="AX51" s="399"/>
      <c r="AY51" s="399"/>
      <c r="AZ51" s="68"/>
      <c r="BA51" s="78">
        <f ca="1">IF(AT45&lt;&gt;"",IF(SUM(Matches!T7:T10)=12,IF(AS51=D51,Bonu1,0)+IF(AU51=G51,Bonu2,0)+IF(AND(AW51&lt;&gt;"",I51&lt;&gt;"",AW51=I51),Bonu3,0),0),"")</f>
        <v>40</v>
      </c>
      <c r="BB51" s="126">
        <f t="shared" ref="BB51" si="179">AR51+128</f>
        <v>512</v>
      </c>
      <c r="BC51" s="398" t="str">
        <f ca="1">VLOOKUP(1,OFFSET('Dummy Table'!DY4:DZ7,0,BB51),2,FALSE)</f>
        <v>Germany</v>
      </c>
      <c r="BD51" s="398"/>
      <c r="BE51" s="398" t="str">
        <f ca="1">VLOOKUP(2,OFFSET('Dummy Table'!DY4:DZ7,0,BB51),2,FALSE)</f>
        <v>Switzerland</v>
      </c>
      <c r="BF51" s="398"/>
      <c r="BG51" s="399" t="str">
        <f ca="1">IFERROR(IF(MATCH(VLOOKUP(3,OFFSET('Dummy Table'!DY4:DZ7,0,BB51),2,FALSE),OFFSET('Dummy Table'!IU13:IU16,0,BB51),0),VLOOKUP(3,OFFSET('Dummy Table'!DY4:DZ7,0,BB51),2,FALSE),""),"")</f>
        <v/>
      </c>
      <c r="BH51" s="399"/>
      <c r="BI51" s="399"/>
      <c r="BJ51" s="68"/>
      <c r="BK51" s="78">
        <f ca="1">IF(BD45&lt;&gt;"",IF(SUM(Matches!T7:T10)=12,IF(BC51=D51,Bonu1,0)+IF(BE51=G51,Bonu2,0)+IF(AND(BG51&lt;&gt;"",I51&lt;&gt;"",BG51=I51),Bonu3,0),0),"")</f>
        <v>40</v>
      </c>
      <c r="BL51" s="126">
        <f t="shared" ref="BL51" si="180">BB51+128</f>
        <v>640</v>
      </c>
      <c r="BM51" s="398" t="str">
        <f ca="1">VLOOKUP(1,OFFSET('Dummy Table'!DY4:DZ7,0,BL51),2,FALSE)</f>
        <v>Germany</v>
      </c>
      <c r="BN51" s="398"/>
      <c r="BO51" s="398" t="str">
        <f ca="1">VLOOKUP(2,OFFSET('Dummy Table'!DY4:DZ7,0,BL51),2,FALSE)</f>
        <v>Switzerland</v>
      </c>
      <c r="BP51" s="398"/>
      <c r="BQ51" s="399" t="str">
        <f ca="1">IFERROR(IF(MATCH(VLOOKUP(3,OFFSET('Dummy Table'!DY4:DZ7,0,BL51),2,FALSE),OFFSET('Dummy Table'!IU13:IU16,0,BL51),0),VLOOKUP(3,OFFSET('Dummy Table'!DY4:DZ7,0,BL51),2,FALSE),""),"")</f>
        <v/>
      </c>
      <c r="BR51" s="399"/>
      <c r="BS51" s="399"/>
      <c r="BT51" s="68"/>
      <c r="BU51" s="78">
        <f ca="1">IF(BN45&lt;&gt;"",IF(SUM(Matches!T7:T10)=12,IF(BM51=D51,Bonu1,0)+IF(BO51=G51,Bonu2,0)+IF(AND(BQ51&lt;&gt;"",I51&lt;&gt;"",BQ51=I51),Bonu3,0),0),"")</f>
        <v>40</v>
      </c>
      <c r="BV51" s="126">
        <f t="shared" ref="BV51" si="181">BL51+128</f>
        <v>768</v>
      </c>
      <c r="BW51" s="398" t="str">
        <f ca="1">VLOOKUP(1,OFFSET('Dummy Table'!DY4:DZ7,0,BV51),2,FALSE)</f>
        <v>Germany</v>
      </c>
      <c r="BX51" s="398"/>
      <c r="BY51" s="398" t="str">
        <f ca="1">VLOOKUP(2,OFFSET('Dummy Table'!DY4:DZ7,0,BV51),2,FALSE)</f>
        <v>Scotland</v>
      </c>
      <c r="BZ51" s="398"/>
      <c r="CA51" s="399" t="str">
        <f ca="1">IFERROR(IF(MATCH(VLOOKUP(3,OFFSET('Dummy Table'!DY4:DZ7,0,BV51),2,FALSE),OFFSET('Dummy Table'!IU13:IU16,0,BV51),0),VLOOKUP(3,OFFSET('Dummy Table'!DY4:DZ7,0,BV51),2,FALSE),""),"")</f>
        <v/>
      </c>
      <c r="CB51" s="399"/>
      <c r="CC51" s="399"/>
      <c r="CD51" s="68"/>
      <c r="CE51" s="78">
        <f ca="1">IF(BX45&lt;&gt;"",IF(SUM(Matches!T7:T10)=12,IF(BW51=D51,Bonu1,0)+IF(BY51=G51,Bonu2,0)+IF(AND(CA51&lt;&gt;"",I51&lt;&gt;"",CA51=I51),Bonu3,0),0),"")</f>
        <v>24</v>
      </c>
      <c r="CF51" s="126">
        <f t="shared" ref="CF51" si="182">BV51+128</f>
        <v>896</v>
      </c>
      <c r="CG51" s="398" t="str">
        <f ca="1">VLOOKUP(1,OFFSET('Dummy Table'!DY4:DZ7,0,CF51),2,FALSE)</f>
        <v>Germany</v>
      </c>
      <c r="CH51" s="398"/>
      <c r="CI51" s="398" t="str">
        <f ca="1">VLOOKUP(2,OFFSET('Dummy Table'!DY4:DZ7,0,CF51),2,FALSE)</f>
        <v>Scotland</v>
      </c>
      <c r="CJ51" s="398"/>
      <c r="CK51" s="399" t="str">
        <f ca="1">IFERROR(IF(MATCH(VLOOKUP(3,OFFSET('Dummy Table'!DY4:DZ7,0,CF51),2,FALSE),OFFSET('Dummy Table'!IU13:IU16,0,CF51),0),VLOOKUP(3,OFFSET('Dummy Table'!DY4:DZ7,0,CF51),2,FALSE),""),"")</f>
        <v>Switzerland</v>
      </c>
      <c r="CL51" s="399"/>
      <c r="CM51" s="399"/>
      <c r="CN51" s="68"/>
      <c r="CO51" s="78">
        <f ca="1">IF(CH45&lt;&gt;"",IF(SUM(Matches!T7:T10)=12,IF(CG51=D51,Bonu1,0)+IF(CI51=G51,Bonu2,0)+IF(AND(CK51&lt;&gt;"",I51&lt;&gt;"",CK51=I51),Bonu3,0),0),"")</f>
        <v>24</v>
      </c>
      <c r="CP51" s="126">
        <f t="shared" ref="CP51" si="183">CF51+128</f>
        <v>1024</v>
      </c>
      <c r="CQ51" s="398" t="str">
        <f ca="1">VLOOKUP(1,OFFSET('Dummy Table'!DY4:DZ7,0,CP51),2,FALSE)</f>
        <v>Germany</v>
      </c>
      <c r="CR51" s="398"/>
      <c r="CS51" s="398" t="str">
        <f ca="1">VLOOKUP(2,OFFSET('Dummy Table'!DY4:DZ7,0,CP51),2,FALSE)</f>
        <v>Switzerland</v>
      </c>
      <c r="CT51" s="398"/>
      <c r="CU51" s="399" t="str">
        <f ca="1">IFERROR(IF(MATCH(VLOOKUP(3,OFFSET('Dummy Table'!DY4:DZ7,0,CP51),2,FALSE),OFFSET('Dummy Table'!IU13:IU16,0,CP51),0),VLOOKUP(3,OFFSET('Dummy Table'!DY4:DZ7,0,CP51),2,FALSE),""),"")</f>
        <v>Scotland</v>
      </c>
      <c r="CV51" s="399"/>
      <c r="CW51" s="399"/>
      <c r="CX51" s="68"/>
      <c r="CY51" s="78">
        <f ca="1">IF(CR45&lt;&gt;"",IF(SUM(Matches!T7:T10)=12,IF(CQ51=D51,Bonu1,0)+IF(CS51=G51,Bonu2,0)+IF(AND(CU51&lt;&gt;"",I51&lt;&gt;"",CU51=I51),Bonu3,0),0),"")</f>
        <v>40</v>
      </c>
      <c r="CZ51" s="126">
        <f t="shared" ref="CZ51" si="184">CP51+128</f>
        <v>1152</v>
      </c>
      <c r="DA51" s="398" t="str">
        <f ca="1">VLOOKUP(1,OFFSET('Dummy Table'!DY4:DZ7,0,CZ51),2,FALSE)</f>
        <v>Germany</v>
      </c>
      <c r="DB51" s="398"/>
      <c r="DC51" s="398" t="str">
        <f ca="1">VLOOKUP(2,OFFSET('Dummy Table'!DY4:DZ7,0,CZ51),2,FALSE)</f>
        <v>Scotland</v>
      </c>
      <c r="DD51" s="398"/>
      <c r="DE51" s="399" t="str">
        <f ca="1">IFERROR(IF(MATCH(VLOOKUP(3,OFFSET('Dummy Table'!DY4:DZ7,0,CZ51),2,FALSE),OFFSET('Dummy Table'!IU13:IU16,0,CZ51),0),VLOOKUP(3,OFFSET('Dummy Table'!DY4:DZ7,0,CZ51),2,FALSE),""),"")</f>
        <v>Hungary</v>
      </c>
      <c r="DF51" s="399"/>
      <c r="DG51" s="399"/>
      <c r="DH51" s="68"/>
      <c r="DI51" s="78">
        <f ca="1">IF(DB45&lt;&gt;"",IF(SUM(Matches!T7:T10)=12,IF(DA51=D51,Bonu1,0)+IF(DC51=G51,Bonu2,0)+IF(AND(DE51&lt;&gt;"",I51&lt;&gt;"",DE51=I51),Bonu3,0),0),"")</f>
        <v>32</v>
      </c>
    </row>
    <row r="52" spans="1:113" s="43" customFormat="1" ht="15" customHeight="1" x14ac:dyDescent="0.2">
      <c r="A52" s="41"/>
      <c r="B52" s="65"/>
      <c r="C52" s="87" t="s">
        <v>106</v>
      </c>
      <c r="D52" s="403" t="str">
        <f>Matches!P12</f>
        <v>Spain</v>
      </c>
      <c r="E52" s="403"/>
      <c r="F52" s="403"/>
      <c r="G52" s="403" t="str">
        <f>Matches!P13</f>
        <v>Italy</v>
      </c>
      <c r="H52" s="403"/>
      <c r="I52" s="407" t="str">
        <f>IF(ISNA(MATCH(Matches!P14,Qual3,0)),"",Matches!P14)</f>
        <v/>
      </c>
      <c r="J52" s="408"/>
      <c r="K52" s="66"/>
      <c r="L52" s="66"/>
      <c r="M52" s="67"/>
      <c r="N52" s="126">
        <f ca="1">SUM(U61:U75)</f>
        <v>0</v>
      </c>
      <c r="O52" s="398" t="str">
        <f ca="1">VLOOKUP(1,OFFSET('Dummy Table'!DY11:DZ14,0,N51),2,FALSE)</f>
        <v>Spain</v>
      </c>
      <c r="P52" s="398"/>
      <c r="Q52" s="398" t="str">
        <f ca="1">VLOOKUP(2,OFFSET('Dummy Table'!DY11:DZ14,0,N51),2,FALSE)</f>
        <v>Italy</v>
      </c>
      <c r="R52" s="398"/>
      <c r="S52" s="399" t="str">
        <f ca="1">IFERROR(IF(MATCH(VLOOKUP(3,OFFSET('Dummy Table'!DY11:DZ14,0,N51),2,FALSE),OFFSET('Dummy Table'!IU13:IU16,0,N51),0),VLOOKUP(3,OFFSET('Dummy Table'!DY11:DZ14,0,N51),2,FALSE),""),"")</f>
        <v>Croatia</v>
      </c>
      <c r="T52" s="399"/>
      <c r="U52" s="399"/>
      <c r="V52" s="68"/>
      <c r="W52" s="78">
        <f ca="1">IF(P45&lt;&gt;"",IF(SUM(Matches!T12:T15)=12,IF(O52=D52,Bonu1,0)+IF(Q52=G52,Bonu2,0)+IF(AND(S52&lt;&gt;"",I52&lt;&gt;"",S52=I52),Bonu3,0),0),"")</f>
        <v>40</v>
      </c>
      <c r="X52" s="126">
        <f ca="1">SUM(AE61:AE75)</f>
        <v>0</v>
      </c>
      <c r="Y52" s="398" t="str">
        <f ca="1">VLOOKUP(1,OFFSET('Dummy Table'!DY11:DZ14,0,X51),2,FALSE)</f>
        <v>Spain</v>
      </c>
      <c r="Z52" s="398"/>
      <c r="AA52" s="398" t="str">
        <f ca="1">VLOOKUP(2,OFFSET('Dummy Table'!DY11:DZ14,0,X51),2,FALSE)</f>
        <v>Croatia</v>
      </c>
      <c r="AB52" s="398"/>
      <c r="AC52" s="399" t="str">
        <f ca="1">IFERROR(IF(MATCH(VLOOKUP(3,OFFSET('Dummy Table'!DY11:DZ14,0,X51),2,FALSE),OFFSET('Dummy Table'!IU13:IU16,0,X51),0),VLOOKUP(3,OFFSET('Dummy Table'!DY11:DZ14,0,X51),2,FALSE),""),"")</f>
        <v>Italy</v>
      </c>
      <c r="AD52" s="399"/>
      <c r="AE52" s="399"/>
      <c r="AF52" s="68"/>
      <c r="AG52" s="78">
        <f ca="1">IF(Z45&lt;&gt;"",IF(SUM(Matches!T12:T15)=12,IF(Y52=D52,Bonu1,0)+IF(AA52=G52,Bonu2,0)+IF(AND(AC52&lt;&gt;"",I52&lt;&gt;"",AC52=I52),Bonu3,0),0),"")</f>
        <v>24</v>
      </c>
      <c r="AH52" s="126">
        <f t="shared" ref="AH52" ca="1" si="185">SUM(AO61:AO75)</f>
        <v>0</v>
      </c>
      <c r="AI52" s="398" t="str">
        <f ca="1">VLOOKUP(1,OFFSET('Dummy Table'!DY11:DZ14,0,AH51),2,FALSE)</f>
        <v>Spain</v>
      </c>
      <c r="AJ52" s="398"/>
      <c r="AK52" s="398" t="str">
        <f ca="1">VLOOKUP(2,OFFSET('Dummy Table'!DY11:DZ14,0,AH51),2,FALSE)</f>
        <v>Italy</v>
      </c>
      <c r="AL52" s="398"/>
      <c r="AM52" s="399" t="str">
        <f ca="1">IFERROR(IF(MATCH(VLOOKUP(3,OFFSET('Dummy Table'!DY11:DZ14,0,AH51),2,FALSE),OFFSET('Dummy Table'!IU13:IU16,0,AH51),0),VLOOKUP(3,OFFSET('Dummy Table'!DY11:DZ14,0,AH51),2,FALSE),""),"")</f>
        <v>Croatia</v>
      </c>
      <c r="AN52" s="399"/>
      <c r="AO52" s="399"/>
      <c r="AP52" s="68"/>
      <c r="AQ52" s="78">
        <f ca="1">IF(AJ45&lt;&gt;"",IF(SUM(Matches!T12:T15)=12,IF(AI52=D52,Bonu1,0)+IF(AK52=G52,Bonu2,0)+IF(AND(AM52&lt;&gt;"",I52&lt;&gt;"",AM52=I52),Bonu3,0),0),"")</f>
        <v>40</v>
      </c>
      <c r="AR52" s="126">
        <f t="shared" ref="AR52" ca="1" si="186">SUM(AY61:AY75)</f>
        <v>0</v>
      </c>
      <c r="AS52" s="398" t="str">
        <f ca="1">VLOOKUP(1,OFFSET('Dummy Table'!DY11:DZ14,0,AR51),2,FALSE)</f>
        <v>Spain</v>
      </c>
      <c r="AT52" s="398"/>
      <c r="AU52" s="398" t="str">
        <f ca="1">VLOOKUP(2,OFFSET('Dummy Table'!DY11:DZ14,0,AR51),2,FALSE)</f>
        <v>Croatia</v>
      </c>
      <c r="AV52" s="398"/>
      <c r="AW52" s="399" t="str">
        <f ca="1">IFERROR(IF(MATCH(VLOOKUP(3,OFFSET('Dummy Table'!DY11:DZ14,0,AR51),2,FALSE),OFFSET('Dummy Table'!IU13:IU16,0,AR51),0),VLOOKUP(3,OFFSET('Dummy Table'!DY11:DZ14,0,AR51),2,FALSE),""),"")</f>
        <v>Italy</v>
      </c>
      <c r="AX52" s="399"/>
      <c r="AY52" s="399"/>
      <c r="AZ52" s="68"/>
      <c r="BA52" s="78">
        <f ca="1">IF(AT45&lt;&gt;"",IF(SUM(Matches!T12:T15)=12,IF(AS52=D52,Bonu1,0)+IF(AU52=G52,Bonu2,0)+IF(AND(AW52&lt;&gt;"",I52&lt;&gt;"",AW52=I52),Bonu3,0),0),"")</f>
        <v>24</v>
      </c>
      <c r="BB52" s="126">
        <f t="shared" ref="BB52" ca="1" si="187">SUM(BI61:BI75)</f>
        <v>0</v>
      </c>
      <c r="BC52" s="398" t="str">
        <f ca="1">VLOOKUP(1,OFFSET('Dummy Table'!DY11:DZ14,0,BB51),2,FALSE)</f>
        <v>Croatia</v>
      </c>
      <c r="BD52" s="398"/>
      <c r="BE52" s="398" t="str">
        <f ca="1">VLOOKUP(2,OFFSET('Dummy Table'!DY11:DZ14,0,BB51),2,FALSE)</f>
        <v>Spain</v>
      </c>
      <c r="BF52" s="398"/>
      <c r="BG52" s="399" t="str">
        <f ca="1">IFERROR(IF(MATCH(VLOOKUP(3,OFFSET('Dummy Table'!DY11:DZ14,0,BB51),2,FALSE),OFFSET('Dummy Table'!IU13:IU16,0,BB51),0),VLOOKUP(3,OFFSET('Dummy Table'!DY11:DZ14,0,BB51),2,FALSE),""),"")</f>
        <v>Italy</v>
      </c>
      <c r="BH52" s="399"/>
      <c r="BI52" s="399"/>
      <c r="BJ52" s="68"/>
      <c r="BK52" s="78">
        <f ca="1">IF(BD45&lt;&gt;"",IF(SUM(Matches!T12:T15)=12,IF(BC52=D52,Bonu1,0)+IF(BE52=G52,Bonu2,0)+IF(AND(BG52&lt;&gt;"",I52&lt;&gt;"",BG52=I52),Bonu3,0),0),"")</f>
        <v>0</v>
      </c>
      <c r="BL52" s="126">
        <f t="shared" ref="BL52" ca="1" si="188">SUM(BS61:BS75)</f>
        <v>0</v>
      </c>
      <c r="BM52" s="398" t="str">
        <f ca="1">VLOOKUP(1,OFFSET('Dummy Table'!DY11:DZ14,0,BL51),2,FALSE)</f>
        <v>Croatia</v>
      </c>
      <c r="BN52" s="398"/>
      <c r="BO52" s="398" t="str">
        <f ca="1">VLOOKUP(2,OFFSET('Dummy Table'!DY11:DZ14,0,BL51),2,FALSE)</f>
        <v>Spain</v>
      </c>
      <c r="BP52" s="398"/>
      <c r="BQ52" s="399" t="str">
        <f ca="1">IFERROR(IF(MATCH(VLOOKUP(3,OFFSET('Dummy Table'!DY11:DZ14,0,BL51),2,FALSE),OFFSET('Dummy Table'!IU13:IU16,0,BL51),0),VLOOKUP(3,OFFSET('Dummy Table'!DY11:DZ14,0,BL51),2,FALSE),""),"")</f>
        <v>Italy</v>
      </c>
      <c r="BR52" s="399"/>
      <c r="BS52" s="399"/>
      <c r="BT52" s="68"/>
      <c r="BU52" s="78">
        <f ca="1">IF(BN45&lt;&gt;"",IF(SUM(Matches!T12:T15)=12,IF(BM52=D52,Bonu1,0)+IF(BO52=G52,Bonu2,0)+IF(AND(BQ52&lt;&gt;"",I52&lt;&gt;"",BQ52=I52),Bonu3,0),0),"")</f>
        <v>0</v>
      </c>
      <c r="BV52" s="126">
        <f t="shared" ref="BV52" ca="1" si="189">SUM(CC61:CC75)</f>
        <v>0</v>
      </c>
      <c r="BW52" s="398" t="str">
        <f ca="1">VLOOKUP(1,OFFSET('Dummy Table'!DY11:DZ14,0,BV51),2,FALSE)</f>
        <v>Italy</v>
      </c>
      <c r="BX52" s="398"/>
      <c r="BY52" s="398" t="str">
        <f ca="1">VLOOKUP(2,OFFSET('Dummy Table'!DY11:DZ14,0,BV51),2,FALSE)</f>
        <v>Spain</v>
      </c>
      <c r="BZ52" s="398"/>
      <c r="CA52" s="399" t="str">
        <f ca="1">IFERROR(IF(MATCH(VLOOKUP(3,OFFSET('Dummy Table'!DY11:DZ14,0,BV51),2,FALSE),OFFSET('Dummy Table'!IU13:IU16,0,BV51),0),VLOOKUP(3,OFFSET('Dummy Table'!DY11:DZ14,0,BV51),2,FALSE),""),"")</f>
        <v>Croatia</v>
      </c>
      <c r="CB52" s="399"/>
      <c r="CC52" s="399"/>
      <c r="CD52" s="68"/>
      <c r="CE52" s="78">
        <f ca="1">IF(BX45&lt;&gt;"",IF(SUM(Matches!T12:T15)=12,IF(BW52=D52,Bonu1,0)+IF(BY52=G52,Bonu2,0)+IF(AND(CA52&lt;&gt;"",I52&lt;&gt;"",CA52=I52),Bonu3,0),0),"")</f>
        <v>0</v>
      </c>
      <c r="CF52" s="126">
        <f t="shared" ref="CF52" ca="1" si="190">SUM(CM61:CM75)</f>
        <v>0</v>
      </c>
      <c r="CG52" s="398" t="str">
        <f ca="1">VLOOKUP(1,OFFSET('Dummy Table'!DY11:DZ14,0,CF51),2,FALSE)</f>
        <v>Spain</v>
      </c>
      <c r="CH52" s="398"/>
      <c r="CI52" s="398" t="str">
        <f ca="1">VLOOKUP(2,OFFSET('Dummy Table'!DY11:DZ14,0,CF51),2,FALSE)</f>
        <v>Italy</v>
      </c>
      <c r="CJ52" s="398"/>
      <c r="CK52" s="399" t="str">
        <f ca="1">IFERROR(IF(MATCH(VLOOKUP(3,OFFSET('Dummy Table'!DY11:DZ14,0,CF51),2,FALSE),OFFSET('Dummy Table'!IU13:IU16,0,CF51),0),VLOOKUP(3,OFFSET('Dummy Table'!DY11:DZ14,0,CF51),2,FALSE),""),"")</f>
        <v>Croatia</v>
      </c>
      <c r="CL52" s="399"/>
      <c r="CM52" s="399"/>
      <c r="CN52" s="68"/>
      <c r="CO52" s="78">
        <f ca="1">IF(CH45&lt;&gt;"",IF(SUM(Matches!T12:T15)=12,IF(CG52=D52,Bonu1,0)+IF(CI52=G52,Bonu2,0)+IF(AND(CK52&lt;&gt;"",I52&lt;&gt;"",CK52=I52),Bonu3,0),0),"")</f>
        <v>40</v>
      </c>
      <c r="CP52" s="126">
        <f t="shared" ref="CP52" ca="1" si="191">SUM(CW61:CW75)</f>
        <v>0</v>
      </c>
      <c r="CQ52" s="398" t="str">
        <f ca="1">VLOOKUP(1,OFFSET('Dummy Table'!DY11:DZ14,0,CP51),2,FALSE)</f>
        <v>Italy</v>
      </c>
      <c r="CR52" s="398"/>
      <c r="CS52" s="398" t="str">
        <f ca="1">VLOOKUP(2,OFFSET('Dummy Table'!DY11:DZ14,0,CP51),2,FALSE)</f>
        <v>Spain</v>
      </c>
      <c r="CT52" s="398"/>
      <c r="CU52" s="399" t="str">
        <f ca="1">IFERROR(IF(MATCH(VLOOKUP(3,OFFSET('Dummy Table'!DY11:DZ14,0,CP51),2,FALSE),OFFSET('Dummy Table'!IU13:IU16,0,CP51),0),VLOOKUP(3,OFFSET('Dummy Table'!DY11:DZ14,0,CP51),2,FALSE),""),"")</f>
        <v>Croatia</v>
      </c>
      <c r="CV52" s="399"/>
      <c r="CW52" s="399"/>
      <c r="CX52" s="68"/>
      <c r="CY52" s="78">
        <f ca="1">IF(CR45&lt;&gt;"",IF(SUM(Matches!T12:T15)=12,IF(CQ52=D52,Bonu1,0)+IF(CS52=G52,Bonu2,0)+IF(AND(CU52&lt;&gt;"",I52&lt;&gt;"",CU52=I52),Bonu3,0),0),"")</f>
        <v>0</v>
      </c>
      <c r="CZ52" s="126">
        <f t="shared" ref="CZ52" ca="1" si="192">SUM(DG61:DG75)</f>
        <v>0</v>
      </c>
      <c r="DA52" s="398" t="str">
        <f ca="1">VLOOKUP(1,OFFSET('Dummy Table'!DY11:DZ14,0,CZ51),2,FALSE)</f>
        <v>Italy</v>
      </c>
      <c r="DB52" s="398"/>
      <c r="DC52" s="398" t="str">
        <f ca="1">VLOOKUP(2,OFFSET('Dummy Table'!DY11:DZ14,0,CZ51),2,FALSE)</f>
        <v>Spain</v>
      </c>
      <c r="DD52" s="398"/>
      <c r="DE52" s="399" t="str">
        <f ca="1">IFERROR(IF(MATCH(VLOOKUP(3,OFFSET('Dummy Table'!DY11:DZ14,0,CZ51),2,FALSE),OFFSET('Dummy Table'!IU13:IU16,0,CZ51),0),VLOOKUP(3,OFFSET('Dummy Table'!DY11:DZ14,0,CZ51),2,FALSE),""),"")</f>
        <v>Croatia</v>
      </c>
      <c r="DF52" s="399"/>
      <c r="DG52" s="399"/>
      <c r="DH52" s="68"/>
      <c r="DI52" s="78">
        <f ca="1">IF(DB45&lt;&gt;"",IF(SUM(Matches!T12:T15)=12,IF(DA52=D52,Bonu1,0)+IF(DC52=G52,Bonu2,0)+IF(AND(DE52&lt;&gt;"",I52&lt;&gt;"",DE52=I52),Bonu3,0),0),"")</f>
        <v>0</v>
      </c>
    </row>
    <row r="53" spans="1:113" s="43" customFormat="1" ht="15" customHeight="1" x14ac:dyDescent="0.2">
      <c r="A53" s="41"/>
      <c r="B53" s="65"/>
      <c r="C53" s="87" t="s">
        <v>107</v>
      </c>
      <c r="D53" s="403" t="str">
        <f>Matches!P17</f>
        <v>England</v>
      </c>
      <c r="E53" s="403"/>
      <c r="F53" s="403"/>
      <c r="G53" s="403" t="str">
        <f>Matches!P18</f>
        <v>Denmark</v>
      </c>
      <c r="H53" s="403"/>
      <c r="I53" s="407" t="str">
        <f>IF(ISNA(MATCH(Matches!P19,Qual3,0)),"",Matches!P19)</f>
        <v>Slovenia</v>
      </c>
      <c r="J53" s="408"/>
      <c r="K53" s="66"/>
      <c r="L53" s="66"/>
      <c r="M53" s="67"/>
      <c r="N53" s="86">
        <f ca="1">SUM(W61:W88)</f>
        <v>16</v>
      </c>
      <c r="O53" s="398" t="str">
        <f ca="1">VLOOKUP(1,OFFSET('Dummy Table'!DY18:DZ21,0,N51),2,FALSE)</f>
        <v>England</v>
      </c>
      <c r="P53" s="398"/>
      <c r="Q53" s="398" t="str">
        <f ca="1">VLOOKUP(2,OFFSET('Dummy Table'!DY18:DZ21,0,N51),2,FALSE)</f>
        <v>Denmark</v>
      </c>
      <c r="R53" s="398"/>
      <c r="S53" s="399" t="str">
        <f ca="1">IFERROR(IF(MATCH(VLOOKUP(3,OFFSET('Dummy Table'!DY18:DZ21,0,N51),2,FALSE),OFFSET('Dummy Table'!IU13:IU16,0,N51),0),VLOOKUP(3,OFFSET('Dummy Table'!DY18:DZ21,0,N51),2,FALSE),""),"")</f>
        <v>Serbia</v>
      </c>
      <c r="T53" s="399"/>
      <c r="U53" s="399"/>
      <c r="V53" s="68"/>
      <c r="W53" s="78">
        <f>IF(P45&lt;&gt;"",IF(SUM(Matches!T17:T20)=12,IF(O53=D53,Bonu1,0)+IF(Q53=G53,Bonu2,0)+IF(AND(S53&lt;&gt;"",I53&lt;&gt;"",S53=I53),Bonu3,0),0),"")</f>
        <v>0</v>
      </c>
      <c r="X53" s="86">
        <f ca="1">SUM(AG61:AG88)</f>
        <v>0</v>
      </c>
      <c r="Y53" s="398" t="str">
        <f ca="1">VLOOKUP(1,OFFSET('Dummy Table'!DY18:DZ21,0,X51),2,FALSE)</f>
        <v>England</v>
      </c>
      <c r="Z53" s="398"/>
      <c r="AA53" s="398" t="str">
        <f ca="1">VLOOKUP(2,OFFSET('Dummy Table'!DY18:DZ21,0,X51),2,FALSE)</f>
        <v>Denmark</v>
      </c>
      <c r="AB53" s="398"/>
      <c r="AC53" s="399" t="str">
        <f ca="1">IFERROR(IF(MATCH(VLOOKUP(3,OFFSET('Dummy Table'!DY18:DZ21,0,X51),2,FALSE),OFFSET('Dummy Table'!IU13:IU16,0,X51),0),VLOOKUP(3,OFFSET('Dummy Table'!DY18:DZ21,0,X51),2,FALSE),""),"")</f>
        <v/>
      </c>
      <c r="AD53" s="399"/>
      <c r="AE53" s="399"/>
      <c r="AF53" s="68"/>
      <c r="AG53" s="78">
        <f>IF(Z45&lt;&gt;"",IF(SUM(Matches!T17:T20)=12,IF(Y53=D53,Bonu1,0)+IF(AA53=G53,Bonu2,0)+IF(AND(AC53&lt;&gt;"",I53&lt;&gt;"",AC53=I53),Bonu3,0),0),"")</f>
        <v>0</v>
      </c>
      <c r="AH53" s="86">
        <f t="shared" ref="AH53" ca="1" si="193">SUM(AQ61:AQ88)</f>
        <v>0</v>
      </c>
      <c r="AI53" s="398" t="str">
        <f ca="1">VLOOKUP(1,OFFSET('Dummy Table'!DY18:DZ21,0,AH51),2,FALSE)</f>
        <v>Denmark</v>
      </c>
      <c r="AJ53" s="398"/>
      <c r="AK53" s="398" t="str">
        <f ca="1">VLOOKUP(2,OFFSET('Dummy Table'!DY18:DZ21,0,AH51),2,FALSE)</f>
        <v>England</v>
      </c>
      <c r="AL53" s="398"/>
      <c r="AM53" s="399" t="str">
        <f ca="1">IFERROR(IF(MATCH(VLOOKUP(3,OFFSET('Dummy Table'!DY18:DZ21,0,AH51),2,FALSE),OFFSET('Dummy Table'!IU13:IU16,0,AH51),0),VLOOKUP(3,OFFSET('Dummy Table'!DY18:DZ21,0,AH51),2,FALSE),""),"")</f>
        <v>Slovenia</v>
      </c>
      <c r="AN53" s="399"/>
      <c r="AO53" s="399"/>
      <c r="AP53" s="68"/>
      <c r="AQ53" s="78">
        <f>IF(AJ45&lt;&gt;"",IF(SUM(Matches!T17:T20)=12,IF(AI53=D53,Bonu1,0)+IF(AK53=G53,Bonu2,0)+IF(AND(AM53&lt;&gt;"",I53&lt;&gt;"",AM53=I53),Bonu3,0),0),"")</f>
        <v>0</v>
      </c>
      <c r="AR53" s="86">
        <f t="shared" ref="AR53" ca="1" si="194">SUM(BA61:BA88)</f>
        <v>0</v>
      </c>
      <c r="AS53" s="398" t="str">
        <f ca="1">VLOOKUP(1,OFFSET('Dummy Table'!DY18:DZ21,0,AR51),2,FALSE)</f>
        <v>England</v>
      </c>
      <c r="AT53" s="398"/>
      <c r="AU53" s="398" t="str">
        <f ca="1">VLOOKUP(2,OFFSET('Dummy Table'!DY18:DZ21,0,AR51),2,FALSE)</f>
        <v>Denmark</v>
      </c>
      <c r="AV53" s="398"/>
      <c r="AW53" s="399" t="str">
        <f ca="1">IFERROR(IF(MATCH(VLOOKUP(3,OFFSET('Dummy Table'!DY18:DZ21,0,AR51),2,FALSE),OFFSET('Dummy Table'!IU13:IU16,0,AR51),0),VLOOKUP(3,OFFSET('Dummy Table'!DY18:DZ21,0,AR51),2,FALSE),""),"")</f>
        <v>Serbia</v>
      </c>
      <c r="AX53" s="399"/>
      <c r="AY53" s="399"/>
      <c r="AZ53" s="68"/>
      <c r="BA53" s="78">
        <f>IF(AT45&lt;&gt;"",IF(SUM(Matches!T17:T20)=12,IF(AS53=D53,Bonu1,0)+IF(AU53=G53,Bonu2,0)+IF(AND(AW53&lt;&gt;"",I53&lt;&gt;"",AW53=I53),Bonu3,0),0),"")</f>
        <v>0</v>
      </c>
      <c r="BB53" s="86">
        <f t="shared" ref="BB53" ca="1" si="195">SUM(BK61:BK88)</f>
        <v>0</v>
      </c>
      <c r="BC53" s="398" t="str">
        <f ca="1">VLOOKUP(1,OFFSET('Dummy Table'!DY18:DZ21,0,BB51),2,FALSE)</f>
        <v>England</v>
      </c>
      <c r="BD53" s="398"/>
      <c r="BE53" s="398" t="str">
        <f ca="1">VLOOKUP(2,OFFSET('Dummy Table'!DY18:DZ21,0,BB51),2,FALSE)</f>
        <v>Denmark</v>
      </c>
      <c r="BF53" s="398"/>
      <c r="BG53" s="399" t="str">
        <f ca="1">IFERROR(IF(MATCH(VLOOKUP(3,OFFSET('Dummy Table'!DY18:DZ21,0,BB51),2,FALSE),OFFSET('Dummy Table'!IU13:IU16,0,BB51),0),VLOOKUP(3,OFFSET('Dummy Table'!DY18:DZ21,0,BB51),2,FALSE),""),"")</f>
        <v/>
      </c>
      <c r="BH53" s="399"/>
      <c r="BI53" s="399"/>
      <c r="BJ53" s="68"/>
      <c r="BK53" s="78">
        <f>IF(BD45&lt;&gt;"",IF(SUM(Matches!T17:T20)=12,IF(BC53=D53,Bonu1,0)+IF(BE53=G53,Bonu2,0)+IF(AND(BG53&lt;&gt;"",I53&lt;&gt;"",BG53=I53),Bonu3,0),0),"")</f>
        <v>0</v>
      </c>
      <c r="BL53" s="86">
        <f t="shared" ref="BL53" ca="1" si="196">SUM(BU61:BU88)</f>
        <v>0</v>
      </c>
      <c r="BM53" s="398" t="str">
        <f ca="1">VLOOKUP(1,OFFSET('Dummy Table'!DY18:DZ21,0,BL51),2,FALSE)</f>
        <v>England</v>
      </c>
      <c r="BN53" s="398"/>
      <c r="BO53" s="398" t="str">
        <f ca="1">VLOOKUP(2,OFFSET('Dummy Table'!DY18:DZ21,0,BL51),2,FALSE)</f>
        <v>Denmark</v>
      </c>
      <c r="BP53" s="398"/>
      <c r="BQ53" s="399" t="str">
        <f ca="1">IFERROR(IF(MATCH(VLOOKUP(3,OFFSET('Dummy Table'!DY18:DZ21,0,BL51),2,FALSE),OFFSET('Dummy Table'!IU13:IU16,0,BL51),0),VLOOKUP(3,OFFSET('Dummy Table'!DY18:DZ21,0,BL51),2,FALSE),""),"")</f>
        <v>Slovenia</v>
      </c>
      <c r="BR53" s="399"/>
      <c r="BS53" s="399"/>
      <c r="BT53" s="68"/>
      <c r="BU53" s="78">
        <f>IF(BN45&lt;&gt;"",IF(SUM(Matches!T17:T20)=12,IF(BM53=D53,Bonu1,0)+IF(BO53=G53,Bonu2,0)+IF(AND(BQ53&lt;&gt;"",I53&lt;&gt;"",BQ53=I53),Bonu3,0),0),"")</f>
        <v>0</v>
      </c>
      <c r="BV53" s="86">
        <f t="shared" ref="BV53" ca="1" si="197">SUM(CE61:CE88)</f>
        <v>0</v>
      </c>
      <c r="BW53" s="398" t="str">
        <f ca="1">VLOOKUP(1,OFFSET('Dummy Table'!DY18:DZ21,0,BV51),2,FALSE)</f>
        <v>England</v>
      </c>
      <c r="BX53" s="398"/>
      <c r="BY53" s="398" t="str">
        <f ca="1">VLOOKUP(2,OFFSET('Dummy Table'!DY18:DZ21,0,BV51),2,FALSE)</f>
        <v>Denmark</v>
      </c>
      <c r="BZ53" s="398"/>
      <c r="CA53" s="399" t="str">
        <f ca="1">IFERROR(IF(MATCH(VLOOKUP(3,OFFSET('Dummy Table'!DY18:DZ21,0,BV51),2,FALSE),OFFSET('Dummy Table'!IU13:IU16,0,BV51),0),VLOOKUP(3,OFFSET('Dummy Table'!DY18:DZ21,0,BV51),2,FALSE),""),"")</f>
        <v>Slovenia</v>
      </c>
      <c r="CB53" s="399"/>
      <c r="CC53" s="399"/>
      <c r="CD53" s="68"/>
      <c r="CE53" s="78">
        <f>IF(BX45&lt;&gt;"",IF(SUM(Matches!T17:T20)=12,IF(BW53=D53,Bonu1,0)+IF(BY53=G53,Bonu2,0)+IF(AND(CA53&lt;&gt;"",I53&lt;&gt;"",CA53=I53),Bonu3,0),0),"")</f>
        <v>0</v>
      </c>
      <c r="CF53" s="86">
        <f t="shared" ref="CF53" ca="1" si="198">SUM(CO61:CO88)</f>
        <v>0</v>
      </c>
      <c r="CG53" s="398" t="str">
        <f ca="1">VLOOKUP(1,OFFSET('Dummy Table'!DY18:DZ21,0,CF51),2,FALSE)</f>
        <v>England</v>
      </c>
      <c r="CH53" s="398"/>
      <c r="CI53" s="398" t="str">
        <f ca="1">VLOOKUP(2,OFFSET('Dummy Table'!DY18:DZ21,0,CF51),2,FALSE)</f>
        <v>Denmark</v>
      </c>
      <c r="CJ53" s="398"/>
      <c r="CK53" s="399" t="str">
        <f ca="1">IFERROR(IF(MATCH(VLOOKUP(3,OFFSET('Dummy Table'!DY18:DZ21,0,CF51),2,FALSE),OFFSET('Dummy Table'!IU13:IU16,0,CF51),0),VLOOKUP(3,OFFSET('Dummy Table'!DY18:DZ21,0,CF51),2,FALSE),""),"")</f>
        <v/>
      </c>
      <c r="CL53" s="399"/>
      <c r="CM53" s="399"/>
      <c r="CN53" s="68"/>
      <c r="CO53" s="78">
        <f>IF(CH45&lt;&gt;"",IF(SUM(Matches!T17:T20)=12,IF(CG53=D53,Bonu1,0)+IF(CI53=G53,Bonu2,0)+IF(AND(CK53&lt;&gt;"",I53&lt;&gt;"",CK53=I53),Bonu3,0),0),"")</f>
        <v>0</v>
      </c>
      <c r="CP53" s="86">
        <f t="shared" ref="CP53" ca="1" si="199">SUM(CY61:CY88)</f>
        <v>0</v>
      </c>
      <c r="CQ53" s="398" t="str">
        <f ca="1">VLOOKUP(1,OFFSET('Dummy Table'!DY18:DZ21,0,CP51),2,FALSE)</f>
        <v>Slovenia</v>
      </c>
      <c r="CR53" s="398"/>
      <c r="CS53" s="398" t="str">
        <f ca="1">VLOOKUP(2,OFFSET('Dummy Table'!DY18:DZ21,0,CP51),2,FALSE)</f>
        <v>Serbia</v>
      </c>
      <c r="CT53" s="398"/>
      <c r="CU53" s="399" t="str">
        <f ca="1">IFERROR(IF(MATCH(VLOOKUP(3,OFFSET('Dummy Table'!DY18:DZ21,0,CP51),2,FALSE),OFFSET('Dummy Table'!IU13:IU16,0,CP51),0),VLOOKUP(3,OFFSET('Dummy Table'!DY18:DZ21,0,CP51),2,FALSE),""),"")</f>
        <v>England</v>
      </c>
      <c r="CV53" s="399"/>
      <c r="CW53" s="399"/>
      <c r="CX53" s="68"/>
      <c r="CY53" s="78">
        <f>IF(CR45&lt;&gt;"",IF(SUM(Matches!T17:T20)=12,IF(CQ53=D53,Bonu1,0)+IF(CS53=G53,Bonu2,0)+IF(AND(CU53&lt;&gt;"",I53&lt;&gt;"",CU53=I53),Bonu3,0),0),"")</f>
        <v>0</v>
      </c>
      <c r="CZ53" s="86">
        <f t="shared" ref="CZ53" ca="1" si="200">SUM(DI61:DI88)</f>
        <v>0</v>
      </c>
      <c r="DA53" s="398" t="str">
        <f ca="1">VLOOKUP(1,OFFSET('Dummy Table'!DY18:DZ21,0,CZ51),2,FALSE)</f>
        <v>England</v>
      </c>
      <c r="DB53" s="398"/>
      <c r="DC53" s="398" t="str">
        <f ca="1">VLOOKUP(2,OFFSET('Dummy Table'!DY18:DZ21,0,CZ51),2,FALSE)</f>
        <v>Denmark</v>
      </c>
      <c r="DD53" s="398"/>
      <c r="DE53" s="399" t="str">
        <f ca="1">IFERROR(IF(MATCH(VLOOKUP(3,OFFSET('Dummy Table'!DY18:DZ21,0,CZ51),2,FALSE),OFFSET('Dummy Table'!IU13:IU16,0,CZ51),0),VLOOKUP(3,OFFSET('Dummy Table'!DY18:DZ21,0,CZ51),2,FALSE),""),"")</f>
        <v/>
      </c>
      <c r="DF53" s="399"/>
      <c r="DG53" s="399"/>
      <c r="DH53" s="68"/>
      <c r="DI53" s="78">
        <f>IF(DB45&lt;&gt;"",IF(SUM(Matches!T17:T20)=12,IF(DA53=D53,Bonu1,0)+IF(DC53=G53,Bonu2,0)+IF(AND(DE53&lt;&gt;"",I53&lt;&gt;"",DE53=I53),Bonu3,0),0),"")</f>
        <v>0</v>
      </c>
    </row>
    <row r="54" spans="1:113" s="43" customFormat="1" ht="15" customHeight="1" x14ac:dyDescent="0.2">
      <c r="A54" s="41"/>
      <c r="B54" s="65"/>
      <c r="C54" s="87" t="s">
        <v>108</v>
      </c>
      <c r="D54" s="403" t="str">
        <f>Matches!P22</f>
        <v>Austria</v>
      </c>
      <c r="E54" s="403"/>
      <c r="F54" s="403"/>
      <c r="G54" s="403" t="str">
        <f>Matches!P23</f>
        <v>France</v>
      </c>
      <c r="H54" s="403"/>
      <c r="I54" s="407" t="str">
        <f>IF(ISNA(MATCH(Matches!P24,Qual3,0)),"",Matches!P24)</f>
        <v>Netherlands</v>
      </c>
      <c r="J54" s="408"/>
      <c r="K54" s="66"/>
      <c r="L54" s="66"/>
      <c r="M54" s="67"/>
      <c r="N54" s="126"/>
      <c r="O54" s="398" t="str">
        <f ca="1">VLOOKUP(1,OFFSET('Dummy Table'!DY25:DZ28,0,N51),2,FALSE)</f>
        <v>France</v>
      </c>
      <c r="P54" s="398"/>
      <c r="Q54" s="398" t="str">
        <f ca="1">VLOOKUP(2,OFFSET('Dummy Table'!DY25:DZ28,0,N51),2,FALSE)</f>
        <v>Netherlands</v>
      </c>
      <c r="R54" s="398"/>
      <c r="S54" s="399" t="str">
        <f ca="1">IFERROR(IF(MATCH(VLOOKUP(3,OFFSET('Dummy Table'!DY25:DZ28,0,N51),2,FALSE),OFFSET('Dummy Table'!IU13:IU16,0,N51),0),VLOOKUP(3,OFFSET('Dummy Table'!DY25:DZ28,0,N51),2,FALSE),""),"")</f>
        <v/>
      </c>
      <c r="T54" s="399"/>
      <c r="U54" s="399"/>
      <c r="V54" s="68"/>
      <c r="W54" s="78">
        <f ca="1">IF(P45&lt;&gt;"",IF(SUM(Matches!T22:T25)=12,IF(O54=D54,Bonu1,0)+IF(Q54=G54,Bonu2,0)+IF(AND(S54&lt;&gt;"",I54&lt;&gt;"",S54=I54),Bonu3,0),0),"")</f>
        <v>0</v>
      </c>
      <c r="X54" s="126"/>
      <c r="Y54" s="398" t="str">
        <f ca="1">VLOOKUP(1,OFFSET('Dummy Table'!DY25:DZ28,0,X51),2,FALSE)</f>
        <v>Netherlands</v>
      </c>
      <c r="Z54" s="398"/>
      <c r="AA54" s="398" t="str">
        <f ca="1">VLOOKUP(2,OFFSET('Dummy Table'!DY25:DZ28,0,X51),2,FALSE)</f>
        <v>France</v>
      </c>
      <c r="AB54" s="398"/>
      <c r="AC54" s="399" t="str">
        <f ca="1">IFERROR(IF(MATCH(VLOOKUP(3,OFFSET('Dummy Table'!DY25:DZ28,0,X51),2,FALSE),OFFSET('Dummy Table'!IU13:IU16,0,X51),0),VLOOKUP(3,OFFSET('Dummy Table'!DY25:DZ28,0,X51),2,FALSE),""),"")</f>
        <v>Poland</v>
      </c>
      <c r="AD54" s="399"/>
      <c r="AE54" s="399"/>
      <c r="AF54" s="68"/>
      <c r="AG54" s="78">
        <f ca="1">IF(Z45&lt;&gt;"",IF(SUM(Matches!T22:T25)=12,IF(Y54=D54,Bonu1,0)+IF(AA54=G54,Bonu2,0)+IF(AND(AC54&lt;&gt;"",I54&lt;&gt;"",AC54=I54),Bonu3,0),0),"")</f>
        <v>16</v>
      </c>
      <c r="AH54" s="126"/>
      <c r="AI54" s="398" t="str">
        <f ca="1">VLOOKUP(1,OFFSET('Dummy Table'!DY25:DZ28,0,AH51),2,FALSE)</f>
        <v>France</v>
      </c>
      <c r="AJ54" s="398"/>
      <c r="AK54" s="398" t="str">
        <f ca="1">VLOOKUP(2,OFFSET('Dummy Table'!DY25:DZ28,0,AH51),2,FALSE)</f>
        <v>Netherlands</v>
      </c>
      <c r="AL54" s="398"/>
      <c r="AM54" s="399" t="str">
        <f ca="1">IFERROR(IF(MATCH(VLOOKUP(3,OFFSET('Dummy Table'!DY25:DZ28,0,AH51),2,FALSE),OFFSET('Dummy Table'!IU13:IU16,0,AH51),0),VLOOKUP(3,OFFSET('Dummy Table'!DY25:DZ28,0,AH51),2,FALSE),""),"")</f>
        <v>Austria</v>
      </c>
      <c r="AN54" s="399"/>
      <c r="AO54" s="399"/>
      <c r="AP54" s="68"/>
      <c r="AQ54" s="78">
        <f ca="1">IF(AJ45&lt;&gt;"",IF(SUM(Matches!T22:T25)=12,IF(AI54=D54,Bonu1,0)+IF(AK54=G54,Bonu2,0)+IF(AND(AM54&lt;&gt;"",I54&lt;&gt;"",AM54=I54),Bonu3,0),0),"")</f>
        <v>0</v>
      </c>
      <c r="AR54" s="126"/>
      <c r="AS54" s="398" t="str">
        <f ca="1">VLOOKUP(1,OFFSET('Dummy Table'!DY25:DZ28,0,AR51),2,FALSE)</f>
        <v>France</v>
      </c>
      <c r="AT54" s="398"/>
      <c r="AU54" s="398" t="str">
        <f ca="1">VLOOKUP(2,OFFSET('Dummy Table'!DY25:DZ28,0,AR51),2,FALSE)</f>
        <v>Netherlands</v>
      </c>
      <c r="AV54" s="398"/>
      <c r="AW54" s="399" t="str">
        <f ca="1">IFERROR(IF(MATCH(VLOOKUP(3,OFFSET('Dummy Table'!DY25:DZ28,0,AR51),2,FALSE),OFFSET('Dummy Table'!IU13:IU16,0,AR51),0),VLOOKUP(3,OFFSET('Dummy Table'!DY25:DZ28,0,AR51),2,FALSE),""),"")</f>
        <v>Poland</v>
      </c>
      <c r="AX54" s="399"/>
      <c r="AY54" s="399"/>
      <c r="AZ54" s="68"/>
      <c r="BA54" s="78">
        <f ca="1">IF(AT45&lt;&gt;"",IF(SUM(Matches!T22:T25)=12,IF(AS54=D54,Bonu1,0)+IF(AU54=G54,Bonu2,0)+IF(AND(AW54&lt;&gt;"",I54&lt;&gt;"",AW54=I54),Bonu3,0),0),"")</f>
        <v>0</v>
      </c>
      <c r="BB54" s="126"/>
      <c r="BC54" s="398" t="str">
        <f ca="1">VLOOKUP(1,OFFSET('Dummy Table'!DY25:DZ28,0,BB51),2,FALSE)</f>
        <v>France</v>
      </c>
      <c r="BD54" s="398"/>
      <c r="BE54" s="398" t="str">
        <f ca="1">VLOOKUP(2,OFFSET('Dummy Table'!DY25:DZ28,0,BB51),2,FALSE)</f>
        <v>Netherlands</v>
      </c>
      <c r="BF54" s="398"/>
      <c r="BG54" s="399" t="str">
        <f ca="1">IFERROR(IF(MATCH(VLOOKUP(3,OFFSET('Dummy Table'!DY25:DZ28,0,BB51),2,FALSE),OFFSET('Dummy Table'!IU13:IU16,0,BB51),0),VLOOKUP(3,OFFSET('Dummy Table'!DY25:DZ28,0,BB51),2,FALSE),""),"")</f>
        <v>Poland</v>
      </c>
      <c r="BH54" s="399"/>
      <c r="BI54" s="399"/>
      <c r="BJ54" s="68"/>
      <c r="BK54" s="78">
        <f ca="1">IF(BD45&lt;&gt;"",IF(SUM(Matches!T22:T25)=12,IF(BC54=D54,Bonu1,0)+IF(BE54=G54,Bonu2,0)+IF(AND(BG54&lt;&gt;"",I54&lt;&gt;"",BG54=I54),Bonu3,0),0),"")</f>
        <v>0</v>
      </c>
      <c r="BL54" s="126"/>
      <c r="BM54" s="398" t="str">
        <f ca="1">VLOOKUP(1,OFFSET('Dummy Table'!DY25:DZ28,0,BL51),2,FALSE)</f>
        <v>Netherlands</v>
      </c>
      <c r="BN54" s="398"/>
      <c r="BO54" s="398" t="str">
        <f ca="1">VLOOKUP(2,OFFSET('Dummy Table'!DY25:DZ28,0,BL51),2,FALSE)</f>
        <v>France</v>
      </c>
      <c r="BP54" s="398"/>
      <c r="BQ54" s="399" t="str">
        <f ca="1">IFERROR(IF(MATCH(VLOOKUP(3,OFFSET('Dummy Table'!DY25:DZ28,0,BL51),2,FALSE),OFFSET('Dummy Table'!IU13:IU16,0,BL51),0),VLOOKUP(3,OFFSET('Dummy Table'!DY25:DZ28,0,BL51),2,FALSE),""),"")</f>
        <v>Poland</v>
      </c>
      <c r="BR54" s="399"/>
      <c r="BS54" s="399"/>
      <c r="BT54" s="68"/>
      <c r="BU54" s="78">
        <f ca="1">IF(BN45&lt;&gt;"",IF(SUM(Matches!T22:T25)=12,IF(BM54=D54,Bonu1,0)+IF(BO54=G54,Bonu2,0)+IF(AND(BQ54&lt;&gt;"",I54&lt;&gt;"",BQ54=I54),Bonu3,0),0),"")</f>
        <v>16</v>
      </c>
      <c r="BV54" s="126"/>
      <c r="BW54" s="398" t="str">
        <f ca="1">VLOOKUP(1,OFFSET('Dummy Table'!DY25:DZ28,0,BV51),2,FALSE)</f>
        <v>France</v>
      </c>
      <c r="BX54" s="398"/>
      <c r="BY54" s="398" t="str">
        <f ca="1">VLOOKUP(2,OFFSET('Dummy Table'!DY25:DZ28,0,BV51),2,FALSE)</f>
        <v>Netherlands</v>
      </c>
      <c r="BZ54" s="398"/>
      <c r="CA54" s="399" t="str">
        <f ca="1">IFERROR(IF(MATCH(VLOOKUP(3,OFFSET('Dummy Table'!DY25:DZ28,0,BV51),2,FALSE),OFFSET('Dummy Table'!IU13:IU16,0,BV51),0),VLOOKUP(3,OFFSET('Dummy Table'!DY25:DZ28,0,BV51),2,FALSE),""),"")</f>
        <v>Austria</v>
      </c>
      <c r="CB54" s="399"/>
      <c r="CC54" s="399"/>
      <c r="CD54" s="68"/>
      <c r="CE54" s="78">
        <f ca="1">IF(BX45&lt;&gt;"",IF(SUM(Matches!T22:T25)=12,IF(BW54=D54,Bonu1,0)+IF(BY54=G54,Bonu2,0)+IF(AND(CA54&lt;&gt;"",I54&lt;&gt;"",CA54=I54),Bonu3,0),0),"")</f>
        <v>0</v>
      </c>
      <c r="CF54" s="126"/>
      <c r="CG54" s="398" t="str">
        <f ca="1">VLOOKUP(1,OFFSET('Dummy Table'!DY25:DZ28,0,CF51),2,FALSE)</f>
        <v>France</v>
      </c>
      <c r="CH54" s="398"/>
      <c r="CI54" s="398" t="str">
        <f ca="1">VLOOKUP(2,OFFSET('Dummy Table'!DY25:DZ28,0,CF51),2,FALSE)</f>
        <v>Netherlands</v>
      </c>
      <c r="CJ54" s="398"/>
      <c r="CK54" s="399" t="str">
        <f ca="1">IFERROR(IF(MATCH(VLOOKUP(3,OFFSET('Dummy Table'!DY25:DZ28,0,CF51),2,FALSE),OFFSET('Dummy Table'!IU13:IU16,0,CF51),0),VLOOKUP(3,OFFSET('Dummy Table'!DY25:DZ28,0,CF51),2,FALSE),""),"")</f>
        <v/>
      </c>
      <c r="CL54" s="399"/>
      <c r="CM54" s="399"/>
      <c r="CN54" s="68"/>
      <c r="CO54" s="78">
        <f ca="1">IF(CH45&lt;&gt;"",IF(SUM(Matches!T22:T25)=12,IF(CG54=D54,Bonu1,0)+IF(CI54=G54,Bonu2,0)+IF(AND(CK54&lt;&gt;"",I54&lt;&gt;"",CK54=I54),Bonu3,0),0),"")</f>
        <v>0</v>
      </c>
      <c r="CP54" s="126"/>
      <c r="CQ54" s="398" t="str">
        <f ca="1">VLOOKUP(1,OFFSET('Dummy Table'!DY25:DZ28,0,CP51),2,FALSE)</f>
        <v>France</v>
      </c>
      <c r="CR54" s="398"/>
      <c r="CS54" s="398" t="str">
        <f ca="1">VLOOKUP(2,OFFSET('Dummy Table'!DY25:DZ28,0,CP51),2,FALSE)</f>
        <v>Netherlands</v>
      </c>
      <c r="CT54" s="398"/>
      <c r="CU54" s="399" t="str">
        <f ca="1">IFERROR(IF(MATCH(VLOOKUP(3,OFFSET('Dummy Table'!DY25:DZ28,0,CP51),2,FALSE),OFFSET('Dummy Table'!IU13:IU16,0,CP51),0),VLOOKUP(3,OFFSET('Dummy Table'!DY25:DZ28,0,CP51),2,FALSE),""),"")</f>
        <v/>
      </c>
      <c r="CV54" s="399"/>
      <c r="CW54" s="399"/>
      <c r="CX54" s="68"/>
      <c r="CY54" s="78">
        <f ca="1">IF(CR45&lt;&gt;"",IF(SUM(Matches!T22:T25)=12,IF(CQ54=D54,Bonu1,0)+IF(CS54=G54,Bonu2,0)+IF(AND(CU54&lt;&gt;"",I54&lt;&gt;"",CU54=I54),Bonu3,0),0),"")</f>
        <v>0</v>
      </c>
      <c r="CZ54" s="126"/>
      <c r="DA54" s="398" t="str">
        <f ca="1">VLOOKUP(1,OFFSET('Dummy Table'!DY25:DZ28,0,CZ51),2,FALSE)</f>
        <v>France</v>
      </c>
      <c r="DB54" s="398"/>
      <c r="DC54" s="398" t="str">
        <f ca="1">VLOOKUP(2,OFFSET('Dummy Table'!DY25:DZ28,0,CZ51),2,FALSE)</f>
        <v>Netherlands</v>
      </c>
      <c r="DD54" s="398"/>
      <c r="DE54" s="399" t="str">
        <f ca="1">IFERROR(IF(MATCH(VLOOKUP(3,OFFSET('Dummy Table'!DY25:DZ28,0,CZ51),2,FALSE),OFFSET('Dummy Table'!IU13:IU16,0,CZ51),0),VLOOKUP(3,OFFSET('Dummy Table'!DY25:DZ28,0,CZ51),2,FALSE),""),"")</f>
        <v/>
      </c>
      <c r="DF54" s="399"/>
      <c r="DG54" s="399"/>
      <c r="DH54" s="68"/>
      <c r="DI54" s="78">
        <f ca="1">IF(DB45&lt;&gt;"",IF(SUM(Matches!T22:T25)=12,IF(DA54=D54,Bonu1,0)+IF(DC54=G54,Bonu2,0)+IF(AND(DE54&lt;&gt;"",I54&lt;&gt;"",DE54=I54),Bonu3,0),0),"")</f>
        <v>0</v>
      </c>
    </row>
    <row r="55" spans="1:113" s="43" customFormat="1" ht="15" customHeight="1" x14ac:dyDescent="0.2">
      <c r="A55" s="41"/>
      <c r="B55" s="65"/>
      <c r="C55" s="87" t="s">
        <v>109</v>
      </c>
      <c r="D55" s="403" t="str">
        <f>Matches!P27</f>
        <v>Romania</v>
      </c>
      <c r="E55" s="403"/>
      <c r="F55" s="403"/>
      <c r="G55" s="403" t="str">
        <f>Matches!P28</f>
        <v>Belgium</v>
      </c>
      <c r="H55" s="403"/>
      <c r="I55" s="407" t="str">
        <f>IF(ISNA(MATCH(Matches!P29,Qual3,0)),"",Matches!P29)</f>
        <v>Slovakia</v>
      </c>
      <c r="J55" s="408"/>
      <c r="K55" s="66"/>
      <c r="L55" s="66"/>
      <c r="M55" s="67"/>
      <c r="N55" s="126"/>
      <c r="O55" s="398" t="str">
        <f ca="1">VLOOKUP(1,OFFSET('Dummy Table'!DY31:DZ34,0,N51),2,FALSE)</f>
        <v>Belgium</v>
      </c>
      <c r="P55" s="398"/>
      <c r="Q55" s="398" t="str">
        <f ca="1">VLOOKUP(2,OFFSET('Dummy Table'!DY31:DZ34,0,N51),2,FALSE)</f>
        <v>Slovakia</v>
      </c>
      <c r="R55" s="398"/>
      <c r="S55" s="399" t="str">
        <f ca="1">IFERROR(IF(MATCH(VLOOKUP(3,OFFSET('Dummy Table'!DY31:DZ34,0,N51),2,FALSE),OFFSET('Dummy Table'!IU13:IU16,0,N51),0),VLOOKUP(3,OFFSET('Dummy Table'!DY31:DZ34,0,N51),2,FALSE),""),"")</f>
        <v/>
      </c>
      <c r="T55" s="399"/>
      <c r="U55" s="399"/>
      <c r="V55" s="68"/>
      <c r="W55" s="78">
        <f>IF(P45&lt;&gt;"",IF(SUM(Matches!T27:T30)=12,IF(O55=D55,Bonu1,0)+IF(Q55=G55,Bonu2,0)+IF(AND(S55&lt;&gt;"",I55&lt;&gt;"",S55=I55),Bonu3,0),0),"")</f>
        <v>0</v>
      </c>
      <c r="X55" s="126"/>
      <c r="Y55" s="398" t="str">
        <f ca="1">VLOOKUP(1,OFFSET('Dummy Table'!DY31:DZ34,0,X51),2,FALSE)</f>
        <v>Belgium</v>
      </c>
      <c r="Z55" s="398"/>
      <c r="AA55" s="398" t="str">
        <f ca="1">VLOOKUP(2,OFFSET('Dummy Table'!DY31:DZ34,0,X51),2,FALSE)</f>
        <v>Ukraine</v>
      </c>
      <c r="AB55" s="398"/>
      <c r="AC55" s="399" t="str">
        <f ca="1">IFERROR(IF(MATCH(VLOOKUP(3,OFFSET('Dummy Table'!DY31:DZ34,0,X51),2,FALSE),OFFSET('Dummy Table'!IU13:IU16,0,X51),0),VLOOKUP(3,OFFSET('Dummy Table'!DY31:DZ34,0,X51),2,FALSE),""),"")</f>
        <v>Slovakia</v>
      </c>
      <c r="AD55" s="399"/>
      <c r="AE55" s="399"/>
      <c r="AF55" s="68"/>
      <c r="AG55" s="78">
        <f>IF(Z45&lt;&gt;"",IF(SUM(Matches!T27:T30)=12,IF(Y55=D55,Bonu1,0)+IF(AA55=G55,Bonu2,0)+IF(AND(AC55&lt;&gt;"",I55&lt;&gt;"",AC55=I55),Bonu3,0),0),"")</f>
        <v>0</v>
      </c>
      <c r="AH55" s="126"/>
      <c r="AI55" s="398" t="str">
        <f ca="1">VLOOKUP(1,OFFSET('Dummy Table'!DY31:DZ34,0,AH51),2,FALSE)</f>
        <v>Belgium</v>
      </c>
      <c r="AJ55" s="398"/>
      <c r="AK55" s="398" t="str">
        <f ca="1">VLOOKUP(2,OFFSET('Dummy Table'!DY31:DZ34,0,AH51),2,FALSE)</f>
        <v>Ukraine</v>
      </c>
      <c r="AL55" s="398"/>
      <c r="AM55" s="399" t="str">
        <f ca="1">IFERROR(IF(MATCH(VLOOKUP(3,OFFSET('Dummy Table'!DY31:DZ34,0,AH51),2,FALSE),OFFSET('Dummy Table'!IU13:IU16,0,AH51),0),VLOOKUP(3,OFFSET('Dummy Table'!DY31:DZ34,0,AH51),2,FALSE),""),"")</f>
        <v>Slovakia</v>
      </c>
      <c r="AN55" s="399"/>
      <c r="AO55" s="399"/>
      <c r="AP55" s="68"/>
      <c r="AQ55" s="78">
        <f>IF(AJ45&lt;&gt;"",IF(SUM(Matches!T27:T30)=12,IF(AI55=D55,Bonu1,0)+IF(AK55=G55,Bonu2,0)+IF(AND(AM55&lt;&gt;"",I55&lt;&gt;"",AM55=I55),Bonu3,0),0),"")</f>
        <v>0</v>
      </c>
      <c r="AR55" s="126"/>
      <c r="AS55" s="398" t="str">
        <f ca="1">VLOOKUP(1,OFFSET('Dummy Table'!DY31:DZ34,0,AR51),2,FALSE)</f>
        <v>Belgium</v>
      </c>
      <c r="AT55" s="398"/>
      <c r="AU55" s="398" t="str">
        <f ca="1">VLOOKUP(2,OFFSET('Dummy Table'!DY31:DZ34,0,AR51),2,FALSE)</f>
        <v>Ukraine</v>
      </c>
      <c r="AV55" s="398"/>
      <c r="AW55" s="399" t="str">
        <f ca="1">IFERROR(IF(MATCH(VLOOKUP(3,OFFSET('Dummy Table'!DY31:DZ34,0,AR51),2,FALSE),OFFSET('Dummy Table'!IU13:IU16,0,AR51),0),VLOOKUP(3,OFFSET('Dummy Table'!DY31:DZ34,0,AR51),2,FALSE),""),"")</f>
        <v/>
      </c>
      <c r="AX55" s="399"/>
      <c r="AY55" s="399"/>
      <c r="AZ55" s="68"/>
      <c r="BA55" s="78">
        <f>IF(AT45&lt;&gt;"",IF(SUM(Matches!T27:T30)=12,IF(AS55=D55,Bonu1,0)+IF(AU55=G55,Bonu2,0)+IF(AND(AW55&lt;&gt;"",I55&lt;&gt;"",AW55=I55),Bonu3,0),0),"")</f>
        <v>0</v>
      </c>
      <c r="BB55" s="126"/>
      <c r="BC55" s="398" t="str">
        <f ca="1">VLOOKUP(1,OFFSET('Dummy Table'!DY31:DZ34,0,BB51),2,FALSE)</f>
        <v>Belgium</v>
      </c>
      <c r="BD55" s="398"/>
      <c r="BE55" s="398" t="str">
        <f ca="1">VLOOKUP(2,OFFSET('Dummy Table'!DY31:DZ34,0,BB51),2,FALSE)</f>
        <v>Ukraine</v>
      </c>
      <c r="BF55" s="398"/>
      <c r="BG55" s="399" t="str">
        <f ca="1">IFERROR(IF(MATCH(VLOOKUP(3,OFFSET('Dummy Table'!DY31:DZ34,0,BB51),2,FALSE),OFFSET('Dummy Table'!IU13:IU16,0,BB51),0),VLOOKUP(3,OFFSET('Dummy Table'!DY31:DZ34,0,BB51),2,FALSE),""),"")</f>
        <v>Slovakia</v>
      </c>
      <c r="BH55" s="399"/>
      <c r="BI55" s="399"/>
      <c r="BJ55" s="68"/>
      <c r="BK55" s="78">
        <f>IF(BD45&lt;&gt;"",IF(SUM(Matches!T27:T30)=12,IF(BC55=D55,Bonu1,0)+IF(BE55=G55,Bonu2,0)+IF(AND(BG55&lt;&gt;"",I55&lt;&gt;"",BG55=I55),Bonu3,0),0),"")</f>
        <v>0</v>
      </c>
      <c r="BL55" s="126"/>
      <c r="BM55" s="398" t="str">
        <f ca="1">VLOOKUP(1,OFFSET('Dummy Table'!DY31:DZ34,0,BL51),2,FALSE)</f>
        <v>Belgium</v>
      </c>
      <c r="BN55" s="398"/>
      <c r="BO55" s="398" t="str">
        <f ca="1">VLOOKUP(2,OFFSET('Dummy Table'!DY31:DZ34,0,BL51),2,FALSE)</f>
        <v>Slovakia</v>
      </c>
      <c r="BP55" s="398"/>
      <c r="BQ55" s="399" t="str">
        <f ca="1">IFERROR(IF(MATCH(VLOOKUP(3,OFFSET('Dummy Table'!DY31:DZ34,0,BL51),2,FALSE),OFFSET('Dummy Table'!IU13:IU16,0,BL51),0),VLOOKUP(3,OFFSET('Dummy Table'!DY31:DZ34,0,BL51),2,FALSE),""),"")</f>
        <v/>
      </c>
      <c r="BR55" s="399"/>
      <c r="BS55" s="399"/>
      <c r="BT55" s="68"/>
      <c r="BU55" s="78">
        <f>IF(BN45&lt;&gt;"",IF(SUM(Matches!T27:T30)=12,IF(BM55=D55,Bonu1,0)+IF(BO55=G55,Bonu2,0)+IF(AND(BQ55&lt;&gt;"",I55&lt;&gt;"",BQ55=I55),Bonu3,0),0),"")</f>
        <v>0</v>
      </c>
      <c r="BV55" s="126"/>
      <c r="BW55" s="398" t="str">
        <f ca="1">VLOOKUP(1,OFFSET('Dummy Table'!DY31:DZ34,0,BV51),2,FALSE)</f>
        <v>Belgium</v>
      </c>
      <c r="BX55" s="398"/>
      <c r="BY55" s="398" t="str">
        <f ca="1">VLOOKUP(2,OFFSET('Dummy Table'!DY31:DZ34,0,BV51),2,FALSE)</f>
        <v>Romania</v>
      </c>
      <c r="BZ55" s="398"/>
      <c r="CA55" s="399" t="str">
        <f ca="1">IFERROR(IF(MATCH(VLOOKUP(3,OFFSET('Dummy Table'!DY31:DZ34,0,BV51),2,FALSE),OFFSET('Dummy Table'!IU13:IU16,0,BV51),0),VLOOKUP(3,OFFSET('Dummy Table'!DY31:DZ34,0,BV51),2,FALSE),""),"")</f>
        <v>Slovakia</v>
      </c>
      <c r="CB55" s="399"/>
      <c r="CC55" s="399"/>
      <c r="CD55" s="68"/>
      <c r="CE55" s="78">
        <f>IF(BX45&lt;&gt;"",IF(SUM(Matches!T27:T30)=12,IF(BW55=D55,Bonu1,0)+IF(BY55=G55,Bonu2,0)+IF(AND(CA55&lt;&gt;"",I55&lt;&gt;"",CA55=I55),Bonu3,0),0),"")</f>
        <v>0</v>
      </c>
      <c r="CF55" s="126"/>
      <c r="CG55" s="398" t="str">
        <f ca="1">VLOOKUP(1,OFFSET('Dummy Table'!DY31:DZ34,0,CF51),2,FALSE)</f>
        <v>Belgium</v>
      </c>
      <c r="CH55" s="398"/>
      <c r="CI55" s="398" t="str">
        <f ca="1">VLOOKUP(2,OFFSET('Dummy Table'!DY31:DZ34,0,CF51),2,FALSE)</f>
        <v>Slovakia</v>
      </c>
      <c r="CJ55" s="398"/>
      <c r="CK55" s="399" t="str">
        <f ca="1">IFERROR(IF(MATCH(VLOOKUP(3,OFFSET('Dummy Table'!DY31:DZ34,0,CF51),2,FALSE),OFFSET('Dummy Table'!IU13:IU16,0,CF51),0),VLOOKUP(3,OFFSET('Dummy Table'!DY31:DZ34,0,CF51),2,FALSE),""),"")</f>
        <v>Ukraine</v>
      </c>
      <c r="CL55" s="399"/>
      <c r="CM55" s="399"/>
      <c r="CN55" s="68"/>
      <c r="CO55" s="78">
        <f>IF(CH45&lt;&gt;"",IF(SUM(Matches!T27:T30)=12,IF(CG55=D55,Bonu1,0)+IF(CI55=G55,Bonu2,0)+IF(AND(CK55&lt;&gt;"",I55&lt;&gt;"",CK55=I55),Bonu3,0),0),"")</f>
        <v>0</v>
      </c>
      <c r="CP55" s="126"/>
      <c r="CQ55" s="398" t="str">
        <f ca="1">VLOOKUP(1,OFFSET('Dummy Table'!DY31:DZ34,0,CP51),2,FALSE)</f>
        <v>Slovakia</v>
      </c>
      <c r="CR55" s="398"/>
      <c r="CS55" s="398" t="str">
        <f ca="1">VLOOKUP(2,OFFSET('Dummy Table'!DY31:DZ34,0,CP51),2,FALSE)</f>
        <v>Belgium</v>
      </c>
      <c r="CT55" s="398"/>
      <c r="CU55" s="399" t="str">
        <f ca="1">IFERROR(IF(MATCH(VLOOKUP(3,OFFSET('Dummy Table'!DY31:DZ34,0,CP51),2,FALSE),OFFSET('Dummy Table'!IU13:IU16,0,CP51),0),VLOOKUP(3,OFFSET('Dummy Table'!DY31:DZ34,0,CP51),2,FALSE),""),"")</f>
        <v>Romania</v>
      </c>
      <c r="CV55" s="399"/>
      <c r="CW55" s="399"/>
      <c r="CX55" s="68"/>
      <c r="CY55" s="78">
        <f>IF(CR45&lt;&gt;"",IF(SUM(Matches!T27:T30)=12,IF(CQ55=D55,Bonu1,0)+IF(CS55=G55,Bonu2,0)+IF(AND(CU55&lt;&gt;"",I55&lt;&gt;"",CU55=I55),Bonu3,0),0),"")</f>
        <v>0</v>
      </c>
      <c r="CZ55" s="126"/>
      <c r="DA55" s="398" t="str">
        <f ca="1">VLOOKUP(1,OFFSET('Dummy Table'!DY31:DZ34,0,CZ51),2,FALSE)</f>
        <v>Belgium</v>
      </c>
      <c r="DB55" s="398"/>
      <c r="DC55" s="398" t="str">
        <f ca="1">VLOOKUP(2,OFFSET('Dummy Table'!DY31:DZ34,0,CZ51),2,FALSE)</f>
        <v>Slovakia</v>
      </c>
      <c r="DD55" s="398"/>
      <c r="DE55" s="399" t="str">
        <f ca="1">IFERROR(IF(MATCH(VLOOKUP(3,OFFSET('Dummy Table'!DY31:DZ34,0,CZ51),2,FALSE),OFFSET('Dummy Table'!IU13:IU16,0,CZ51),0),VLOOKUP(3,OFFSET('Dummy Table'!DY31:DZ34,0,CZ51),2,FALSE),""),"")</f>
        <v>Romania</v>
      </c>
      <c r="DF55" s="399"/>
      <c r="DG55" s="399"/>
      <c r="DH55" s="68"/>
      <c r="DI55" s="78">
        <f>IF(DB45&lt;&gt;"",IF(SUM(Matches!T27:T30)=12,IF(DA55=D55,Bonu1,0)+IF(DC55=G55,Bonu2,0)+IF(AND(DE55&lt;&gt;"",I55&lt;&gt;"",DE55=I55),Bonu3,0),0),"")</f>
        <v>0</v>
      </c>
    </row>
    <row r="56" spans="1:113" s="43" customFormat="1" ht="15" customHeight="1" x14ac:dyDescent="0.2">
      <c r="A56" s="41"/>
      <c r="B56" s="65"/>
      <c r="C56" s="87" t="s">
        <v>110</v>
      </c>
      <c r="D56" s="403" t="str">
        <f>Matches!P32</f>
        <v>Portugal</v>
      </c>
      <c r="E56" s="403"/>
      <c r="F56" s="403"/>
      <c r="G56" s="403" t="str">
        <f>Matches!P33</f>
        <v>Türkiye</v>
      </c>
      <c r="H56" s="403"/>
      <c r="I56" s="407" t="str">
        <f>IF(ISNA(MATCH(Matches!P34,Qual3,0)),"",Matches!P34)</f>
        <v/>
      </c>
      <c r="J56" s="408"/>
      <c r="K56" s="66"/>
      <c r="L56" s="66"/>
      <c r="M56" s="67"/>
      <c r="N56" s="126"/>
      <c r="O56" s="398" t="str">
        <f ca="1">VLOOKUP(1,OFFSET('Dummy Table'!DY37:DZ40,0,N51),2,FALSE)</f>
        <v>Portugal</v>
      </c>
      <c r="P56" s="398"/>
      <c r="Q56" s="398" t="str">
        <f ca="1">VLOOKUP(2,OFFSET('Dummy Table'!DY37:DZ40,0,N51),2,FALSE)</f>
        <v>Türkiye</v>
      </c>
      <c r="R56" s="398"/>
      <c r="S56" s="399" t="str">
        <f ca="1">IFERROR(IF(MATCH(VLOOKUP(3,OFFSET('Dummy Table'!DY37:DZ40,0,N51),2,FALSE),OFFSET('Dummy Table'!IU13:IU16,0,N51),0),VLOOKUP(3,OFFSET('Dummy Table'!DY37:DZ40,0,N51),2,FALSE),""),"")</f>
        <v>Czechia</v>
      </c>
      <c r="T56" s="399"/>
      <c r="U56" s="399"/>
      <c r="V56" s="68"/>
      <c r="W56" s="78">
        <f>IF(P45&lt;&gt;"",IF(SUM(Matches!T32:T35)=12,IF(O56=D56,Bonu1,0)+IF(Q56=G56,Bonu2,0)+IF(AND(S56&lt;&gt;"",I56&lt;&gt;"",S56=I56),Bonu3,0),0),"")</f>
        <v>0</v>
      </c>
      <c r="X56" s="126"/>
      <c r="Y56" s="398" t="str">
        <f ca="1">VLOOKUP(1,OFFSET('Dummy Table'!DY37:DZ40,0,X51),2,FALSE)</f>
        <v>Portugal</v>
      </c>
      <c r="Z56" s="398"/>
      <c r="AA56" s="398" t="str">
        <f ca="1">VLOOKUP(2,OFFSET('Dummy Table'!DY37:DZ40,0,X51),2,FALSE)</f>
        <v>Türkiye</v>
      </c>
      <c r="AB56" s="398"/>
      <c r="AC56" s="399" t="str">
        <f ca="1">IFERROR(IF(MATCH(VLOOKUP(3,OFFSET('Dummy Table'!DY37:DZ40,0,X51),2,FALSE),OFFSET('Dummy Table'!IU13:IU16,0,X51),0),VLOOKUP(3,OFFSET('Dummy Table'!DY37:DZ40,0,X51),2,FALSE),""),"")</f>
        <v/>
      </c>
      <c r="AD56" s="399"/>
      <c r="AE56" s="399"/>
      <c r="AF56" s="68"/>
      <c r="AG56" s="78">
        <f>IF(Z45&lt;&gt;"",IF(SUM(Matches!T32:T35)=12,IF(Y56=D56,Bonu1,0)+IF(AA56=G56,Bonu2,0)+IF(AND(AC56&lt;&gt;"",I56&lt;&gt;"",AC56=I56),Bonu3,0),0),"")</f>
        <v>0</v>
      </c>
      <c r="AH56" s="126"/>
      <c r="AI56" s="398" t="str">
        <f ca="1">VLOOKUP(1,OFFSET('Dummy Table'!DY37:DZ40,0,AH51),2,FALSE)</f>
        <v>Portugal</v>
      </c>
      <c r="AJ56" s="398"/>
      <c r="AK56" s="398" t="str">
        <f ca="1">VLOOKUP(2,OFFSET('Dummy Table'!DY37:DZ40,0,AH51),2,FALSE)</f>
        <v>Georgia</v>
      </c>
      <c r="AL56" s="398"/>
      <c r="AM56" s="399" t="str">
        <f ca="1">IFERROR(IF(MATCH(VLOOKUP(3,OFFSET('Dummy Table'!DY37:DZ40,0,AH51),2,FALSE),OFFSET('Dummy Table'!IU13:IU16,0,AH51),0),VLOOKUP(3,OFFSET('Dummy Table'!DY37:DZ40,0,AH51),2,FALSE),""),"")</f>
        <v/>
      </c>
      <c r="AN56" s="399"/>
      <c r="AO56" s="399"/>
      <c r="AP56" s="68"/>
      <c r="AQ56" s="78">
        <f>IF(AJ45&lt;&gt;"",IF(SUM(Matches!T32:T35)=12,IF(AI56=D56,Bonu1,0)+IF(AK56=G56,Bonu2,0)+IF(AND(AM56&lt;&gt;"",I56&lt;&gt;"",AM56=I56),Bonu3,0),0),"")</f>
        <v>0</v>
      </c>
      <c r="AR56" s="126"/>
      <c r="AS56" s="398" t="str">
        <f ca="1">VLOOKUP(1,OFFSET('Dummy Table'!DY37:DZ40,0,AR51),2,FALSE)</f>
        <v>Portugal</v>
      </c>
      <c r="AT56" s="398"/>
      <c r="AU56" s="398" t="str">
        <f ca="1">VLOOKUP(2,OFFSET('Dummy Table'!DY37:DZ40,0,AR51),2,FALSE)</f>
        <v>Czechia</v>
      </c>
      <c r="AV56" s="398"/>
      <c r="AW56" s="399" t="str">
        <f ca="1">IFERROR(IF(MATCH(VLOOKUP(3,OFFSET('Dummy Table'!DY37:DZ40,0,AR51),2,FALSE),OFFSET('Dummy Table'!IU13:IU16,0,AR51),0),VLOOKUP(3,OFFSET('Dummy Table'!DY37:DZ40,0,AR51),2,FALSE),""),"")</f>
        <v>Türkiye</v>
      </c>
      <c r="AX56" s="399"/>
      <c r="AY56" s="399"/>
      <c r="AZ56" s="68"/>
      <c r="BA56" s="78">
        <f>IF(AT45&lt;&gt;"",IF(SUM(Matches!T32:T35)=12,IF(AS56=D56,Bonu1,0)+IF(AU56=G56,Bonu2,0)+IF(AND(AW56&lt;&gt;"",I56&lt;&gt;"",AW56=I56),Bonu3,0),0),"")</f>
        <v>0</v>
      </c>
      <c r="BB56" s="126"/>
      <c r="BC56" s="398" t="str">
        <f ca="1">VLOOKUP(1,OFFSET('Dummy Table'!DY37:DZ40,0,BB51),2,FALSE)</f>
        <v>Türkiye</v>
      </c>
      <c r="BD56" s="398"/>
      <c r="BE56" s="398" t="str">
        <f ca="1">VLOOKUP(2,OFFSET('Dummy Table'!DY37:DZ40,0,BB51),2,FALSE)</f>
        <v>Portugal</v>
      </c>
      <c r="BF56" s="398"/>
      <c r="BG56" s="399" t="str">
        <f ca="1">IFERROR(IF(MATCH(VLOOKUP(3,OFFSET('Dummy Table'!DY37:DZ40,0,BB51),2,FALSE),OFFSET('Dummy Table'!IU13:IU16,0,BB51),0),VLOOKUP(3,OFFSET('Dummy Table'!DY37:DZ40,0,BB51),2,FALSE),""),"")</f>
        <v>Czechia</v>
      </c>
      <c r="BH56" s="399"/>
      <c r="BI56" s="399"/>
      <c r="BJ56" s="68"/>
      <c r="BK56" s="78">
        <f>IF(BD45&lt;&gt;"",IF(SUM(Matches!T32:T35)=12,IF(BC56=D56,Bonu1,0)+IF(BE56=G56,Bonu2,0)+IF(AND(BG56&lt;&gt;"",I56&lt;&gt;"",BG56=I56),Bonu3,0),0),"")</f>
        <v>0</v>
      </c>
      <c r="BL56" s="126"/>
      <c r="BM56" s="398" t="str">
        <f ca="1">VLOOKUP(1,OFFSET('Dummy Table'!DY37:DZ40,0,BL51),2,FALSE)</f>
        <v>Türkiye</v>
      </c>
      <c r="BN56" s="398"/>
      <c r="BO56" s="398" t="str">
        <f ca="1">VLOOKUP(2,OFFSET('Dummy Table'!DY37:DZ40,0,BL51),2,FALSE)</f>
        <v>Czechia</v>
      </c>
      <c r="BP56" s="398"/>
      <c r="BQ56" s="399" t="str">
        <f ca="1">IFERROR(IF(MATCH(VLOOKUP(3,OFFSET('Dummy Table'!DY37:DZ40,0,BL51),2,FALSE),OFFSET('Dummy Table'!IU13:IU16,0,BL51),0),VLOOKUP(3,OFFSET('Dummy Table'!DY37:DZ40,0,BL51),2,FALSE),""),"")</f>
        <v>Portugal</v>
      </c>
      <c r="BR56" s="399"/>
      <c r="BS56" s="399"/>
      <c r="BT56" s="68"/>
      <c r="BU56" s="78">
        <f>IF(BN45&lt;&gt;"",IF(SUM(Matches!T32:T35)=12,IF(BM56=D56,Bonu1,0)+IF(BO56=G56,Bonu2,0)+IF(AND(BQ56&lt;&gt;"",I56&lt;&gt;"",BQ56=I56),Bonu3,0),0),"")</f>
        <v>0</v>
      </c>
      <c r="BV56" s="126"/>
      <c r="BW56" s="398" t="str">
        <f ca="1">VLOOKUP(1,OFFSET('Dummy Table'!DY37:DZ40,0,BV51),2,FALSE)</f>
        <v>Portugal</v>
      </c>
      <c r="BX56" s="398"/>
      <c r="BY56" s="398" t="str">
        <f ca="1">VLOOKUP(2,OFFSET('Dummy Table'!DY37:DZ40,0,BV51),2,FALSE)</f>
        <v>Türkiye</v>
      </c>
      <c r="BZ56" s="398"/>
      <c r="CA56" s="399" t="str">
        <f ca="1">IFERROR(IF(MATCH(VLOOKUP(3,OFFSET('Dummy Table'!DY37:DZ40,0,BV51),2,FALSE),OFFSET('Dummy Table'!IU13:IU16,0,BV51),0),VLOOKUP(3,OFFSET('Dummy Table'!DY37:DZ40,0,BV51),2,FALSE),""),"")</f>
        <v/>
      </c>
      <c r="CB56" s="399"/>
      <c r="CC56" s="399"/>
      <c r="CD56" s="68"/>
      <c r="CE56" s="78">
        <f>IF(BX45&lt;&gt;"",IF(SUM(Matches!T32:T35)=12,IF(BW56=D56,Bonu1,0)+IF(BY56=G56,Bonu2,0)+IF(AND(CA56&lt;&gt;"",I56&lt;&gt;"",CA56=I56),Bonu3,0),0),"")</f>
        <v>0</v>
      </c>
      <c r="CF56" s="126"/>
      <c r="CG56" s="398" t="str">
        <f ca="1">VLOOKUP(1,OFFSET('Dummy Table'!DY37:DZ40,0,CF51),2,FALSE)</f>
        <v>Portugal</v>
      </c>
      <c r="CH56" s="398"/>
      <c r="CI56" s="398" t="str">
        <f ca="1">VLOOKUP(2,OFFSET('Dummy Table'!DY37:DZ40,0,CF51),2,FALSE)</f>
        <v>Czechia</v>
      </c>
      <c r="CJ56" s="398"/>
      <c r="CK56" s="399" t="str">
        <f ca="1">IFERROR(IF(MATCH(VLOOKUP(3,OFFSET('Dummy Table'!DY37:DZ40,0,CF51),2,FALSE),OFFSET('Dummy Table'!IU13:IU16,0,CF51),0),VLOOKUP(3,OFFSET('Dummy Table'!DY37:DZ40,0,CF51),2,FALSE),""),"")</f>
        <v>Türkiye</v>
      </c>
      <c r="CL56" s="399"/>
      <c r="CM56" s="399"/>
      <c r="CN56" s="68"/>
      <c r="CO56" s="78">
        <f>IF(CH45&lt;&gt;"",IF(SUM(Matches!T32:T35)=12,IF(CG56=D56,Bonu1,0)+IF(CI56=G56,Bonu2,0)+IF(AND(CK56&lt;&gt;"",I56&lt;&gt;"",CK56=I56),Bonu3,0),0),"")</f>
        <v>0</v>
      </c>
      <c r="CP56" s="126"/>
      <c r="CQ56" s="398" t="str">
        <f ca="1">VLOOKUP(1,OFFSET('Dummy Table'!DY37:DZ40,0,CP51),2,FALSE)</f>
        <v>Türkiye</v>
      </c>
      <c r="CR56" s="398"/>
      <c r="CS56" s="398" t="str">
        <f ca="1">VLOOKUP(2,OFFSET('Dummy Table'!DY37:DZ40,0,CP51),2,FALSE)</f>
        <v>Czechia</v>
      </c>
      <c r="CT56" s="398"/>
      <c r="CU56" s="399" t="str">
        <f ca="1">IFERROR(IF(MATCH(VLOOKUP(3,OFFSET('Dummy Table'!DY37:DZ40,0,CP51),2,FALSE),OFFSET('Dummy Table'!IU13:IU16,0,CP51),0),VLOOKUP(3,OFFSET('Dummy Table'!DY37:DZ40,0,CP51),2,FALSE),""),"")</f>
        <v/>
      </c>
      <c r="CV56" s="399"/>
      <c r="CW56" s="399"/>
      <c r="CX56" s="68"/>
      <c r="CY56" s="78">
        <f>IF(CR45&lt;&gt;"",IF(SUM(Matches!T32:T35)=12,IF(CQ56=D56,Bonu1,0)+IF(CS56=G56,Bonu2,0)+IF(AND(CU56&lt;&gt;"",I56&lt;&gt;"",CU56=I56),Bonu3,0),0),"")</f>
        <v>0</v>
      </c>
      <c r="CZ56" s="126"/>
      <c r="DA56" s="398" t="str">
        <f ca="1">VLOOKUP(1,OFFSET('Dummy Table'!DY37:DZ40,0,CZ51),2,FALSE)</f>
        <v>Portugal</v>
      </c>
      <c r="DB56" s="398"/>
      <c r="DC56" s="398" t="str">
        <f ca="1">VLOOKUP(2,OFFSET('Dummy Table'!DY37:DZ40,0,CZ51),2,FALSE)</f>
        <v>Türkiye</v>
      </c>
      <c r="DD56" s="398"/>
      <c r="DE56" s="399" t="str">
        <f ca="1">IFERROR(IF(MATCH(VLOOKUP(3,OFFSET('Dummy Table'!DY37:DZ40,0,CZ51),2,FALSE),OFFSET('Dummy Table'!IU13:IU16,0,CZ51),0),VLOOKUP(3,OFFSET('Dummy Table'!DY37:DZ40,0,CZ51),2,FALSE),""),"")</f>
        <v>Georgia</v>
      </c>
      <c r="DF56" s="399"/>
      <c r="DG56" s="399"/>
      <c r="DH56" s="68"/>
      <c r="DI56" s="78">
        <f>IF(DB45&lt;&gt;"",IF(SUM(Matches!T32:T35)=12,IF(DA56=D56,Bonu1,0)+IF(DC56=G56,Bonu2,0)+IF(AND(DE56&lt;&gt;"",I56&lt;&gt;"",DE56=I56),Bonu3,0),0),"")</f>
        <v>0</v>
      </c>
    </row>
    <row r="57" spans="1:113" s="43" customFormat="1" ht="15" customHeight="1" x14ac:dyDescent="0.2">
      <c r="A57" s="41"/>
      <c r="B57" s="65"/>
      <c r="C57" s="88">
        <f>SUM(Matches!T7:T35)</f>
        <v>60</v>
      </c>
      <c r="D57" s="66"/>
      <c r="E57" s="66"/>
      <c r="F57" s="66"/>
      <c r="G57" s="66"/>
      <c r="H57" s="66"/>
      <c r="I57" s="66"/>
      <c r="J57" s="66"/>
      <c r="K57" s="66"/>
      <c r="L57" s="66"/>
      <c r="M57" s="67"/>
      <c r="N57" s="126"/>
      <c r="O57" s="394" t="s">
        <v>114</v>
      </c>
      <c r="P57" s="395"/>
      <c r="Q57" s="395"/>
      <c r="R57" s="396"/>
      <c r="S57" s="397">
        <f ca="1">IF(C57=72,OFFSET('Dummy Table'!IV34,0,N51),0)</f>
        <v>0</v>
      </c>
      <c r="T57" s="397"/>
      <c r="U57" s="397"/>
      <c r="V57" s="68"/>
      <c r="W57" s="78">
        <f ca="1">IF(P45&lt;&gt;"",IF(S57=16,Bonu4,IF(S57&gt;11,Bonu5,IF(S57&gt;7,Bonu7,0))),"")</f>
        <v>0</v>
      </c>
      <c r="X57" s="126"/>
      <c r="Y57" s="394" t="s">
        <v>114</v>
      </c>
      <c r="Z57" s="395"/>
      <c r="AA57" s="395"/>
      <c r="AB57" s="396"/>
      <c r="AC57" s="397">
        <f ca="1">IF(C57=72,OFFSET('Dummy Table'!IV34,0,X51),0)</f>
        <v>0</v>
      </c>
      <c r="AD57" s="397"/>
      <c r="AE57" s="397"/>
      <c r="AF57" s="68"/>
      <c r="AG57" s="78">
        <f ca="1">IF(Z45&lt;&gt;"",IF(AC57=16,Bonu4,IF(AC57&gt;11,Bonu5,IF(AC57&gt;7,Bonu7,0))),"")</f>
        <v>0</v>
      </c>
      <c r="AH57" s="126"/>
      <c r="AI57" s="394" t="s">
        <v>114</v>
      </c>
      <c r="AJ57" s="395"/>
      <c r="AK57" s="395"/>
      <c r="AL57" s="396"/>
      <c r="AM57" s="397">
        <f ca="1">IF(C57=72,OFFSET('Dummy Table'!IV34,0,AH51),0)</f>
        <v>0</v>
      </c>
      <c r="AN57" s="397"/>
      <c r="AO57" s="397"/>
      <c r="AP57" s="68"/>
      <c r="AQ57" s="78">
        <f ca="1">IF(AJ45&lt;&gt;"",IF(AM57=16,Bonu4,IF(AM57&gt;11,Bonu5,IF(AM57&gt;7,Bonu7,0))),"")</f>
        <v>0</v>
      </c>
      <c r="AR57" s="126"/>
      <c r="AS57" s="394" t="s">
        <v>114</v>
      </c>
      <c r="AT57" s="395"/>
      <c r="AU57" s="395"/>
      <c r="AV57" s="396"/>
      <c r="AW57" s="397">
        <f ca="1">IF(C57=72,OFFSET('Dummy Table'!IV34,0,AR51),0)</f>
        <v>0</v>
      </c>
      <c r="AX57" s="397"/>
      <c r="AY57" s="397"/>
      <c r="AZ57" s="68"/>
      <c r="BA57" s="78">
        <f ca="1">IF(AT45&lt;&gt;"",IF(AW57=16,Bonu4,IF(AW57&gt;11,Bonu5,IF(AW57&gt;7,Bonu7,0))),"")</f>
        <v>0</v>
      </c>
      <c r="BB57" s="126"/>
      <c r="BC57" s="394" t="s">
        <v>114</v>
      </c>
      <c r="BD57" s="395"/>
      <c r="BE57" s="395"/>
      <c r="BF57" s="396"/>
      <c r="BG57" s="397">
        <f ca="1">IF(C57=72,OFFSET('Dummy Table'!IV34,0,BB51),0)</f>
        <v>0</v>
      </c>
      <c r="BH57" s="397"/>
      <c r="BI57" s="397"/>
      <c r="BJ57" s="68"/>
      <c r="BK57" s="78">
        <f ca="1">IF(BD45&lt;&gt;"",IF(BG57=16,Bonu4,IF(BG57&gt;11,Bonu5,IF(BG57&gt;7,Bonu7,0))),"")</f>
        <v>0</v>
      </c>
      <c r="BL57" s="126"/>
      <c r="BM57" s="394" t="s">
        <v>114</v>
      </c>
      <c r="BN57" s="395"/>
      <c r="BO57" s="395"/>
      <c r="BP57" s="396"/>
      <c r="BQ57" s="397">
        <f ca="1">IF(C57=72,OFFSET('Dummy Table'!IV34,0,BL51),0)</f>
        <v>0</v>
      </c>
      <c r="BR57" s="397"/>
      <c r="BS57" s="397"/>
      <c r="BT57" s="68"/>
      <c r="BU57" s="78">
        <f ca="1">IF(BN45&lt;&gt;"",IF(BQ57=16,Bonu4,IF(BQ57&gt;11,Bonu5,IF(BQ57&gt;7,Bonu7,0))),"")</f>
        <v>0</v>
      </c>
      <c r="BV57" s="126"/>
      <c r="BW57" s="394" t="s">
        <v>114</v>
      </c>
      <c r="BX57" s="395"/>
      <c r="BY57" s="395"/>
      <c r="BZ57" s="396"/>
      <c r="CA57" s="397">
        <f ca="1">IF(C57=72,OFFSET('Dummy Table'!IV34,0,BV51),0)</f>
        <v>0</v>
      </c>
      <c r="CB57" s="397"/>
      <c r="CC57" s="397"/>
      <c r="CD57" s="68"/>
      <c r="CE57" s="78">
        <f ca="1">IF(BX45&lt;&gt;"",IF(CA57=16,Bonu4,IF(CA57&gt;11,Bonu5,IF(CA57&gt;7,Bonu7,0))),"")</f>
        <v>0</v>
      </c>
      <c r="CF57" s="126"/>
      <c r="CG57" s="394" t="s">
        <v>114</v>
      </c>
      <c r="CH57" s="395"/>
      <c r="CI57" s="395"/>
      <c r="CJ57" s="396"/>
      <c r="CK57" s="397">
        <f ca="1">IF(C57=72,OFFSET('Dummy Table'!IV34,0,CF51),0)</f>
        <v>0</v>
      </c>
      <c r="CL57" s="397"/>
      <c r="CM57" s="397"/>
      <c r="CN57" s="68"/>
      <c r="CO57" s="78">
        <f ca="1">IF(CH45&lt;&gt;"",IF(CK57=16,Bonu4,IF(CK57&gt;11,Bonu5,IF(CK57&gt;7,Bonu7,0))),"")</f>
        <v>0</v>
      </c>
      <c r="CP57" s="126"/>
      <c r="CQ57" s="394" t="s">
        <v>114</v>
      </c>
      <c r="CR57" s="395"/>
      <c r="CS57" s="395"/>
      <c r="CT57" s="396"/>
      <c r="CU57" s="397">
        <f ca="1">IF(C57=72,OFFSET('Dummy Table'!IV34,0,CP51),0)</f>
        <v>0</v>
      </c>
      <c r="CV57" s="397"/>
      <c r="CW57" s="397"/>
      <c r="CX57" s="68"/>
      <c r="CY57" s="78">
        <f ca="1">IF(CR45&lt;&gt;"",IF(CU57=16,Bonu4,IF(CU57&gt;11,Bonu5,IF(CU57&gt;7,Bonu7,0))),"")</f>
        <v>0</v>
      </c>
      <c r="CZ57" s="126"/>
      <c r="DA57" s="394" t="s">
        <v>114</v>
      </c>
      <c r="DB57" s="395"/>
      <c r="DC57" s="395"/>
      <c r="DD57" s="396"/>
      <c r="DE57" s="397">
        <f ca="1">IF(C57=72,OFFSET('Dummy Table'!IV34,0,CZ51),0)</f>
        <v>0</v>
      </c>
      <c r="DF57" s="397"/>
      <c r="DG57" s="397"/>
      <c r="DH57" s="68"/>
      <c r="DI57" s="78">
        <f ca="1">IF(DB45&lt;&gt;"",IF(DE57=16,Bonu4,IF(DE57&gt;11,Bonu5,IF(DE57&gt;7,Bonu7,0))),"")</f>
        <v>0</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
      <c r="A60" s="41"/>
      <c r="B60" s="65"/>
      <c r="C60" s="55"/>
      <c r="D60" s="55"/>
      <c r="E60" s="66"/>
      <c r="F60" s="66"/>
      <c r="G60" s="66"/>
      <c r="H60" s="410" t="str">
        <f>H7</f>
        <v>Score</v>
      </c>
      <c r="I60" s="410"/>
      <c r="J60" s="66"/>
      <c r="K60" s="410" t="s">
        <v>115</v>
      </c>
      <c r="L60" s="410"/>
      <c r="M60" s="89"/>
      <c r="N60" s="126" t="str">
        <f t="shared" ca="1" si="209"/>
        <v>England</v>
      </c>
      <c r="O60" s="129"/>
      <c r="P60" s="393" t="str">
        <f>H60</f>
        <v>Score</v>
      </c>
      <c r="Q60" s="393"/>
      <c r="R60" s="130" t="str">
        <f ca="1">IF(KOGameRule=0,Q56,J67)</f>
        <v>Türkiye</v>
      </c>
      <c r="S60" s="393" t="str">
        <f>K60</f>
        <v>PK</v>
      </c>
      <c r="T60" s="393"/>
      <c r="V60" s="90"/>
      <c r="W60" s="91"/>
      <c r="X60" s="126" t="str">
        <f t="shared" ca="1" si="210"/>
        <v>England</v>
      </c>
      <c r="Y60" s="129"/>
      <c r="Z60" s="393" t="str">
        <f>P60</f>
        <v>Score</v>
      </c>
      <c r="AA60" s="393"/>
      <c r="AB60" s="130"/>
      <c r="AC60" s="393" t="str">
        <f>S60</f>
        <v>PK</v>
      </c>
      <c r="AD60" s="393"/>
      <c r="AF60" s="90"/>
      <c r="AG60" s="91"/>
      <c r="AH60" s="126" t="str">
        <f t="shared" ca="1" si="201"/>
        <v>Denmark</v>
      </c>
      <c r="AI60" s="129"/>
      <c r="AJ60" s="393" t="str">
        <f t="shared" ref="AJ60" si="211">Z60</f>
        <v>Score</v>
      </c>
      <c r="AK60" s="393"/>
      <c r="AL60" s="130"/>
      <c r="AM60" s="393" t="str">
        <f t="shared" ref="AM60" si="212">AC60</f>
        <v>PK</v>
      </c>
      <c r="AN60" s="393"/>
      <c r="AP60" s="90"/>
      <c r="AQ60" s="91"/>
      <c r="AR60" s="126" t="str">
        <f t="shared" ca="1" si="202"/>
        <v>England</v>
      </c>
      <c r="AS60" s="129"/>
      <c r="AT60" s="393" t="str">
        <f t="shared" ref="AT60" si="213">AJ60</f>
        <v>Score</v>
      </c>
      <c r="AU60" s="393"/>
      <c r="AV60" s="130"/>
      <c r="AW60" s="393" t="str">
        <f t="shared" ref="AW60" si="214">AM60</f>
        <v>PK</v>
      </c>
      <c r="AX60" s="393"/>
      <c r="AZ60" s="90"/>
      <c r="BA60" s="91"/>
      <c r="BB60" s="126" t="str">
        <f t="shared" ca="1" si="203"/>
        <v>England</v>
      </c>
      <c r="BC60" s="129"/>
      <c r="BD60" s="393" t="str">
        <f t="shared" ref="BD60" si="215">AT60</f>
        <v>Score</v>
      </c>
      <c r="BE60" s="393"/>
      <c r="BF60" s="130"/>
      <c r="BG60" s="393" t="str">
        <f t="shared" ref="BG60" si="216">AW60</f>
        <v>PK</v>
      </c>
      <c r="BH60" s="393"/>
      <c r="BJ60" s="90"/>
      <c r="BK60" s="91"/>
      <c r="BL60" s="126" t="str">
        <f t="shared" ca="1" si="204"/>
        <v>England</v>
      </c>
      <c r="BM60" s="129"/>
      <c r="BN60" s="393" t="str">
        <f t="shared" ref="BN60" si="217">BD60</f>
        <v>Score</v>
      </c>
      <c r="BO60" s="393"/>
      <c r="BP60" s="130"/>
      <c r="BQ60" s="393" t="str">
        <f t="shared" ref="BQ60" si="218">BG60</f>
        <v>PK</v>
      </c>
      <c r="BR60" s="393"/>
      <c r="BT60" s="90"/>
      <c r="BU60" s="91"/>
      <c r="BV60" s="126" t="str">
        <f t="shared" ca="1" si="205"/>
        <v>England</v>
      </c>
      <c r="BW60" s="129"/>
      <c r="BX60" s="393" t="str">
        <f t="shared" ref="BX60" si="219">BN60</f>
        <v>Score</v>
      </c>
      <c r="BY60" s="393"/>
      <c r="BZ60" s="130"/>
      <c r="CA60" s="393" t="str">
        <f t="shared" ref="CA60" si="220">BQ60</f>
        <v>PK</v>
      </c>
      <c r="CB60" s="393"/>
      <c r="CD60" s="90"/>
      <c r="CE60" s="91"/>
      <c r="CF60" s="126" t="str">
        <f t="shared" ca="1" si="206"/>
        <v>England</v>
      </c>
      <c r="CG60" s="129"/>
      <c r="CH60" s="393" t="str">
        <f t="shared" ref="CH60" si="221">BX60</f>
        <v>Score</v>
      </c>
      <c r="CI60" s="393"/>
      <c r="CJ60" s="130"/>
      <c r="CK60" s="393" t="str">
        <f t="shared" ref="CK60" si="222">CA60</f>
        <v>PK</v>
      </c>
      <c r="CL60" s="393"/>
      <c r="CN60" s="90"/>
      <c r="CO60" s="91"/>
      <c r="CP60" s="126" t="str">
        <f t="shared" ca="1" si="207"/>
        <v>Slovenia</v>
      </c>
      <c r="CQ60" s="129"/>
      <c r="CR60" s="393" t="str">
        <f t="shared" ref="CR60" si="223">CH60</f>
        <v>Score</v>
      </c>
      <c r="CS60" s="393"/>
      <c r="CT60" s="130"/>
      <c r="CU60" s="393" t="str">
        <f t="shared" ref="CU60" si="224">CK60</f>
        <v>PK</v>
      </c>
      <c r="CV60" s="393"/>
      <c r="CX60" s="90"/>
      <c r="CY60" s="91"/>
      <c r="CZ60" s="126" t="str">
        <f t="shared" ca="1" si="208"/>
        <v>England</v>
      </c>
      <c r="DA60" s="129"/>
      <c r="DB60" s="393" t="str">
        <f t="shared" ref="DB60" si="225">CR60</f>
        <v>Score</v>
      </c>
      <c r="DC60" s="393"/>
      <c r="DD60" s="130"/>
      <c r="DE60" s="393" t="str">
        <f t="shared" ref="DE60" si="226">CU60</f>
        <v>PK</v>
      </c>
      <c r="DF60" s="393"/>
      <c r="DH60" s="90"/>
      <c r="DI60" s="91"/>
    </row>
    <row r="61" spans="1:113" s="43" customFormat="1" ht="15" customHeight="1" x14ac:dyDescent="0.2">
      <c r="A61" s="41"/>
      <c r="B61" s="65"/>
      <c r="C61" s="92">
        <v>37</v>
      </c>
      <c r="D61" s="95" t="s">
        <v>116</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355">
        <v>3</v>
      </c>
      <c r="AA61" s="35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355">
        <v>3</v>
      </c>
      <c r="CI61" s="355">
        <v>1</v>
      </c>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116</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353">
        <v>1</v>
      </c>
      <c r="AA62" s="353">
        <v>2</v>
      </c>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353">
        <v>0</v>
      </c>
      <c r="CI62" s="353">
        <v>2</v>
      </c>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116</v>
      </c>
      <c r="E63" s="151">
        <f t="shared" si="247"/>
        <v>45473.875</v>
      </c>
      <c r="F63" s="152">
        <v>45473.875</v>
      </c>
      <c r="G63" s="72" t="str">
        <f>Matches!G46</f>
        <v>Spain</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353">
        <v>3</v>
      </c>
      <c r="AA63" s="353">
        <v>1</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353">
        <v>3</v>
      </c>
      <c r="CI63" s="353">
        <v>0</v>
      </c>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53">
        <v>2</v>
      </c>
      <c r="AA64" s="353">
        <v>0</v>
      </c>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353">
        <v>1</v>
      </c>
      <c r="CI64" s="353">
        <v>1</v>
      </c>
      <c r="CJ64" s="76" t="str">
        <f ca="1">IF(KOGameRule=0,OFFSET('Dummy Table'!IU19,0,CF51),J64)</f>
        <v>Türkiye</v>
      </c>
      <c r="CK64" s="79">
        <v>4</v>
      </c>
      <c r="CL64" s="79">
        <v>3</v>
      </c>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353">
        <v>2</v>
      </c>
      <c r="AA65" s="353">
        <v>2</v>
      </c>
      <c r="AB65" s="76" t="str">
        <f ca="1">IF(KOGameRule=0,OFFSET('Dummy Table'!IU21,0,X51),J65)</f>
        <v>Italy</v>
      </c>
      <c r="AC65" s="79">
        <v>5</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353">
        <v>2</v>
      </c>
      <c r="CI65" s="353">
        <v>2</v>
      </c>
      <c r="CJ65" s="76" t="str">
        <f ca="1">IF(KOGameRule=0,OFFSET('Dummy Table'!IU21,0,CF51),J65)</f>
        <v>Switzerland</v>
      </c>
      <c r="CK65" s="79">
        <v>5</v>
      </c>
      <c r="CL65" s="79">
        <v>3</v>
      </c>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116</v>
      </c>
      <c r="E66" s="151">
        <f t="shared" si="247"/>
        <v>45474.75</v>
      </c>
      <c r="F66" s="152">
        <v>45474.75</v>
      </c>
      <c r="G66" s="72" t="str">
        <f>Matches!G49</f>
        <v>France</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353">
        <v>2</v>
      </c>
      <c r="AA66" s="353">
        <v>0</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353">
        <v>2</v>
      </c>
      <c r="CI66" s="353">
        <v>1</v>
      </c>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353">
        <v>3</v>
      </c>
      <c r="AA67" s="353">
        <v>1</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353">
        <v>0</v>
      </c>
      <c r="CI67" s="353">
        <v>0</v>
      </c>
      <c r="CJ67" s="76" t="str">
        <f ca="1">IF(KOGameRule=0,OFFSET('Dummy Table'!IU20,0,CF51),J67)</f>
        <v>Croatia</v>
      </c>
      <c r="CK67" s="79">
        <v>4</v>
      </c>
      <c r="CL67" s="79">
        <v>5</v>
      </c>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25">
      <c r="A68" s="41"/>
      <c r="B68" s="65"/>
      <c r="C68" s="96">
        <v>44</v>
      </c>
      <c r="D68" s="99" t="s">
        <v>116</v>
      </c>
      <c r="E68" s="153">
        <f t="shared" si="247"/>
        <v>45475.875</v>
      </c>
      <c r="F68" s="154">
        <v>45475.875</v>
      </c>
      <c r="G68" s="97" t="str">
        <f>Matches!G51</f>
        <v>Austria</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354">
        <v>2</v>
      </c>
      <c r="AA68" s="354">
        <v>1</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354">
        <v>3</v>
      </c>
      <c r="CI68" s="354">
        <v>0</v>
      </c>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Spain</v>
      </c>
      <c r="Z69" s="357">
        <v>2</v>
      </c>
      <c r="AA69" s="357">
        <v>3</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 ca="1">IF(KOGameRule=1,G69,IF(AND(CH63&lt;&gt;"",CI63&lt;&gt;""),IF((CH63+CK63)&gt;(CI63+CL63),CG63,IF((CH63+CK63)&lt;(CI63+CL63),CJ63,Matches!G52)),Matches!G52))</f>
        <v>Spain</v>
      </c>
      <c r="CH69" s="357">
        <v>0</v>
      </c>
      <c r="CI69" s="357">
        <v>1</v>
      </c>
      <c r="CJ69" s="76" t="str">
        <f ca="1">IF(KOGameRule=1,J69,IF(AND(CH61&lt;&gt;"",CI61&lt;&gt;""),IF((CH61+CK61)&gt;(CI61+CL61),CG61,IF((CH61+CK61)&lt;(CI61+CL61),CJ61,Matches!J52)),Matches!J52))</f>
        <v>Germany</v>
      </c>
      <c r="CK69" s="79"/>
      <c r="CL69" s="79"/>
      <c r="CM69" s="131">
        <f ca="1">IF(KOMatchRule=1,IF(AND(H69&lt;&gt;"",I69&lt;&gt;"",H69=I69,CN69=Quar1+Pena1),1,IF(CN69=Quar1,1,0)),IF(CN69=Quar1,1,0))</f>
        <v>0</v>
      </c>
      <c r="CN69" s="78">
        <f ca="1">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 ca="1">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356">
        <v>1</v>
      </c>
      <c r="AA70" s="356">
        <v>2</v>
      </c>
      <c r="AB70" s="76" t="str">
        <f ca="1">IF(KOGameRule=1,J70,IF(AND(Z66&lt;&gt;"",AA66&lt;&gt;""),IF((Z66+AC66)&gt;(AA66+AD66),Y66,IF((Z66+AC66)&lt;(AA66+AD66),AB66,Matches!J53)),Matches!J53))</f>
        <v>France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 ca="1">IF(KOGameRule=1,G70,IF(AND(CH65&lt;&gt;"",CI65&lt;&gt;""),IF((CH65+CK65)&gt;(CI65+CL65),CG65,IF((CH65+CK65)&lt;(CI65+CL65),CJ65,Matches!G53)),Matches!G53))</f>
        <v>Portugal</v>
      </c>
      <c r="CH70" s="356">
        <v>1</v>
      </c>
      <c r="CI70" s="356">
        <v>1</v>
      </c>
      <c r="CJ70" s="76" t="str">
        <f ca="1">IF(KOGameRule=1,J70,IF(AND(CH66&lt;&gt;"",CI66&lt;&gt;""),IF((CH66+CK66)&gt;(CI66+CL66),CG66,IF((CH66+CK66)&lt;(CI66+CL66),CJ66,Matches!J53)),Matches!J53))</f>
        <v>Netherlands</v>
      </c>
      <c r="CK70" s="79">
        <v>4</v>
      </c>
      <c r="CL70" s="79">
        <v>5</v>
      </c>
      <c r="CM70" s="131">
        <f ca="1">IF(KOMatchRule=1,IF(AND(H70&lt;&gt;"",I70&lt;&gt;"",H70=I70,CN70=Quar1+Pena1),1,IF(CN70=Quar1,1,0)),IF(CN70=Quar1,1,0))</f>
        <v>0</v>
      </c>
      <c r="CN70" s="78">
        <f ca="1">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 ca="1">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356">
        <v>3</v>
      </c>
      <c r="AA71" s="356">
        <v>1</v>
      </c>
      <c r="AB71" s="76" t="str">
        <f ca="1">IF(KOGameRule=1,J71,IF(AND(Z68&lt;&gt;"",AA68&lt;&gt;""),IF((Z68+AC68)&gt;(AA68+AD68),Y68,IF((Z68+AC68)&lt;(AA68+AD68),AB68,Matches!J54)),Matches!J54))</f>
        <v>Netherlands</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 ca="1">IF(KOGameRule=1,G71,IF(AND(CH67&lt;&gt;"",CI67&lt;&gt;""),IF((CH67+CK67)&gt;(CI67+CL67),CG67,IF((CH67+CK67)&lt;(CI67+CL67),CJ67,Matches!G54)),Matches!G54))</f>
        <v>Croatia</v>
      </c>
      <c r="CH71" s="356">
        <v>0</v>
      </c>
      <c r="CI71" s="356">
        <v>3</v>
      </c>
      <c r="CJ71" s="76" t="str">
        <f ca="1">IF(KOGameRule=1,J71,IF(AND(CH68&lt;&gt;"",CI68&lt;&gt;""),IF((CH68+CK68)&gt;(CI68+CL68),CG68,IF((CH68+CK68)&lt;(CI68+CL68),CJ68,Matches!J54)),Matches!J54))</f>
        <v>France</v>
      </c>
      <c r="CK71" s="79"/>
      <c r="CL71" s="79"/>
      <c r="CM71" s="131">
        <f ca="1">IF(KOMatchRule=1,IF(AND(H71&lt;&gt;"",I71&lt;&gt;"",H71=I71,CN71=Quar1+Pena1),1,IF(CN71=Quar1,1,0)),IF(CN71=Quar1,1,0))</f>
        <v>0</v>
      </c>
      <c r="CN71" s="78">
        <f ca="1">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 ca="1">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58">
        <v>2</v>
      </c>
      <c r="AA72" s="358">
        <v>2</v>
      </c>
      <c r="AB72" s="114" t="str">
        <f ca="1">IF(KOGameRule=1,J72,IF(AND(Z62&lt;&gt;"",AA62&lt;&gt;""),IF((Z62+AC62)&gt;(AA62+AD62),Y62,IF((Z62+AC62)&lt;(AA62+AD62),AB62,Matches!J55)),Matches!J55))</f>
        <v>Croatia</v>
      </c>
      <c r="AC72" s="100">
        <v>5</v>
      </c>
      <c r="AD72" s="100">
        <v>4</v>
      </c>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 ca="1">IF(KOGameRule=1,G72,IF(AND(CH64&lt;&gt;"",CI64&lt;&gt;""),IF((CH64+CK64)&gt;(CI64+CL64),CG64,IF((CH64+CK64)&lt;(CI64+CL64),CJ64,Matches!G55)),Matches!G55))</f>
        <v>England</v>
      </c>
      <c r="CH72" s="358">
        <v>1</v>
      </c>
      <c r="CI72" s="358">
        <v>2</v>
      </c>
      <c r="CJ72" s="114" t="str">
        <f ca="1">IF(KOGameRule=1,J72,IF(AND(CH62&lt;&gt;"",CI62&lt;&gt;""),IF((CH62+CK62)&gt;(CI62+CL62),CG62,IF((CH62+CK62)&lt;(CI62+CL62),CJ62,Matches!J55)),Matches!J55))</f>
        <v>Italy</v>
      </c>
      <c r="CK72" s="100"/>
      <c r="CL72" s="100"/>
      <c r="CM72" s="131">
        <f ca="1">IF(KOMatchRule=1,IF(AND(H72&lt;&gt;"",I72&lt;&gt;"",H72=I72,CN72=Quar1+Pena1),1,IF(CN72=Quar1,1,0)),IF(CN72=Quar1,1,0))</f>
        <v>0</v>
      </c>
      <c r="CN72" s="78">
        <f ca="1">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 ca="1">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347">
        <v>1</v>
      </c>
      <c r="AA73" s="347">
        <v>2</v>
      </c>
      <c r="AB73" s="76" t="str">
        <f ca="1">IF(KOGameRule=1,J73,IF(AND(Z70&lt;&gt;"",AA70&lt;&gt;""),IF((Z70+AC70)&gt;(AA70+AD70),Y70,IF((Z70+AC70)&lt;(AA70+AD70),AB70,Matches!J56)),Matches!J56))</f>
        <v>France</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 ca="1">IF(KOGameRule=1,G73,IF(AND(CH69&lt;&gt;"",CI69&lt;&gt;""),IF((CH69+CK69)&gt;(CI69+CL69),CG69,IF((CH69+CK69)&lt;(CI69+CL69),CJ69,Matches!G56)),Matches!G56))</f>
        <v>Germany</v>
      </c>
      <c r="CH73" s="347">
        <v>2</v>
      </c>
      <c r="CI73" s="347">
        <v>0</v>
      </c>
      <c r="CJ73" s="76" t="str">
        <f ca="1">IF(KOGameRule=1,J73,IF(AND(CH70&lt;&gt;"",CI70&lt;&gt;""),IF((CH70+CK70)&gt;(CI70+CL70),CG70,IF((CH70+CK70)&lt;(CI70+CL70),CJ70,Matches!J56)),Matches!J56))</f>
        <v>Netherlands</v>
      </c>
      <c r="CK73" s="79"/>
      <c r="CL73" s="79"/>
      <c r="CM73" s="131">
        <f ca="1">IF(KOMatchRule=1,IF(AND(H73&lt;&gt;"",I73&lt;&gt;"",H73=I73,CN73=Semi1+Pena1),1,IF(CN73=Semi1,1,0)),IF(CN73=Semi1,1,0))</f>
        <v>0</v>
      </c>
      <c r="CN73" s="78">
        <f ca="1">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 ca="1">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25">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 ca="1">IF(KOGameRule=1,G74,IF(AND(Z71&lt;&gt;"",AA71&lt;&gt;""),IF((Z71+AC71)&gt;(AA71+AD71),Y71,IF((Z71+AC71)&lt;(AA71+AD71),AB71,Matches!G57)),Matches!G57))</f>
        <v>Belgium</v>
      </c>
      <c r="Z74" s="346">
        <v>2</v>
      </c>
      <c r="AA74" s="346">
        <v>1</v>
      </c>
      <c r="AB74" s="114" t="str">
        <f ca="1">IF(KOGameRule=1,J74,IF(AND(Z72&lt;&gt;"",AA72&lt;&gt;""),IF((Z72+AC72)&gt;(AA72+AD72),Y72,IF((Z72+AC72)&lt;(AA72+AD72),AB72,Matches!J57)),Matches!J57))</f>
        <v>England</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 ca="1">IF(KOGameRule=1,G74,IF(AND(CH71&lt;&gt;"",CI71&lt;&gt;""),IF((CH71+CK71)&gt;(CI71+CL71),CG71,IF((CH71+CK71)&lt;(CI71+CL71),CJ71,Matches!G57)),Matches!G57))</f>
        <v>France</v>
      </c>
      <c r="CH74" s="346">
        <v>1</v>
      </c>
      <c r="CI74" s="346">
        <v>1</v>
      </c>
      <c r="CJ74" s="114" t="str">
        <f ca="1">IF(KOGameRule=1,J74,IF(AND(CH72&lt;&gt;"",CI72&lt;&gt;""),IF((CH72+CK72)&gt;(CI72+CL72),CG72,IF((CH72+CK72)&lt;(CI72+CL72),CJ72,Matches!J57)),Matches!J57))</f>
        <v>Italy</v>
      </c>
      <c r="CK74" s="100">
        <v>4</v>
      </c>
      <c r="CL74" s="100">
        <v>5</v>
      </c>
      <c r="CM74" s="131">
        <f ca="1">IF(KOMatchRule=1,IF(AND(H74&lt;&gt;"",I74&lt;&gt;"",H74=I74,CN74=Semi1+Pena1),1,IF(CN74=Semi1,1,0)),IF(CN74=Semi1,1,0))</f>
        <v>0</v>
      </c>
      <c r="CN74" s="78">
        <f ca="1">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 ca="1">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 ca="1">IF(KOGameRule=1,G75,IF(AND(Z73&lt;&gt;"",AA73&lt;&gt;""),IF((Z73+AC73)&gt;(AA73+AD73),Y73,IF((Z73+AC73)&lt;(AA73+AD73),AB73,Matches!G58)),Matches!G58))</f>
        <v>France</v>
      </c>
      <c r="Z75" s="75">
        <v>1</v>
      </c>
      <c r="AA75" s="75">
        <v>0</v>
      </c>
      <c r="AB75" s="116" t="str">
        <f ca="1">IF(KOGameRule=1,J75,IF(AND(Z74&lt;&gt;"",AA74&lt;&gt;""),IF((Z74+AC74)&gt;(AA74+AD74),Y74,IF((Z74+AC74)&lt;(AA74+AD74),AB74,Matches!J58)),Matches!J58))</f>
        <v>Belgium</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 ca="1">IF(KOGameRule=1,G75,IF(AND(CH73&lt;&gt;"",CI73&lt;&gt;""),IF((CH73+CK73)&gt;(CI73+CL73),CG73,IF((CH73+CK73)&lt;(CI73+CL73),CJ73,Matches!G58)),Matches!G58))</f>
        <v>Germany</v>
      </c>
      <c r="CH75" s="75">
        <v>2</v>
      </c>
      <c r="CI75" s="75">
        <v>1</v>
      </c>
      <c r="CJ75" s="116" t="str">
        <f ca="1">IF(KOGameRule=1,J75,IF(AND(CH74&lt;&gt;"",CI74&lt;&gt;""),IF((CH74+CK74)&gt;(CI74+CL74),CG74,IF((CH74+CK74)&lt;(CI74+CL74),CJ74,Matches!J58)),Matches!J58))</f>
        <v>Italy</v>
      </c>
      <c r="CK75" s="105"/>
      <c r="CL75" s="105"/>
      <c r="CM75" s="131">
        <f ca="1">IF(KOMatchRule=1,IF(AND(H75&lt;&gt;"",I75&lt;&gt;"",H75=I75,CN75=Fina1+Pena1),1,IF(CN75=Fina1,1,0)),IF(CN75=Fina1,1,0))</f>
        <v>0</v>
      </c>
      <c r="CN75" s="78">
        <f ca="1">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 ca="1">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88" t="s">
        <v>119</v>
      </c>
      <c r="D78" s="389"/>
      <c r="E78" s="389"/>
      <c r="F78" s="389"/>
      <c r="G78" s="385" t="str">
        <f>UPPER(IF(AND(H75&lt;&gt;"",I75&lt;&gt;""),IF((H75+K75)&gt;(I75+L75),G75,IF((H75+K75)&lt;(I75+L75),J75,'Language Table'!C77)),'Language Table'!C77))</f>
        <v>MATCH 51 WINNER</v>
      </c>
      <c r="H78" s="385"/>
      <c r="I78" s="385"/>
      <c r="J78" s="385"/>
      <c r="K78" s="385"/>
      <c r="L78" s="386"/>
      <c r="M78" s="89"/>
      <c r="N78" s="193"/>
      <c r="O78" s="122" t="str">
        <f>C78</f>
        <v>CHAMPION</v>
      </c>
      <c r="P78" s="392" t="str">
        <f>UPPER(IF(KOGameRule=1,G78,IF(AND(P75&lt;&gt;"",Q75&lt;&gt;""),IF(P75&gt;Q75,O75,IF(P75&lt;Q75,R75,IF(S75&gt;T75,O75,IF(S75&lt;T75,R75,"Match 51 Winner")))),"Match 51 Winner")))</f>
        <v>MATCH 51 WINNER</v>
      </c>
      <c r="Q78" s="392"/>
      <c r="R78" s="392"/>
      <c r="S78" s="392"/>
      <c r="T78" s="392"/>
      <c r="U78" s="416"/>
      <c r="V78" s="372" t="s">
        <v>120</v>
      </c>
      <c r="W78" s="373"/>
      <c r="X78" s="273"/>
      <c r="Y78" s="122" t="str">
        <f>O78</f>
        <v>CHAMPION</v>
      </c>
      <c r="Z78" s="392" t="str">
        <f ca="1">UPPER(IF(KOGameRule=1,G78,IF(AND(Z75&lt;&gt;"",AA75&lt;&gt;""),IF(Z75&gt;AA75,Y75,IF(Z75&lt;AA75,AB75,IF(AC75&gt;AD75,Y75,IF(AC75&lt;AD75,AB75,"Match 51 Winner")))),"Match 51 Winner")))</f>
        <v>FRANCE</v>
      </c>
      <c r="AA78" s="392"/>
      <c r="AB78" s="392"/>
      <c r="AC78" s="392"/>
      <c r="AD78" s="392"/>
      <c r="AE78" s="392"/>
      <c r="AF78" s="372" t="s">
        <v>120</v>
      </c>
      <c r="AG78" s="373"/>
      <c r="AH78" s="193"/>
      <c r="AI78" s="122" t="str">
        <f t="shared" ref="AI78:AI81" si="269">Y78</f>
        <v>CHAMPION</v>
      </c>
      <c r="AJ78" s="392" t="str">
        <f ca="1">UPPER(IF(KOGameRule=1,G78,IF(AND(AJ75&lt;&gt;"",AK75&lt;&gt;""),IF(AJ75&gt;AK75,AI75,IF(AJ75&lt;AK75,AL75,IF(AM75&gt;AN75,AI75,IF(AM75&lt;AN75,AL75,"Match 51 Winner")))),"Match 51 Winner")))</f>
        <v>SPAIN</v>
      </c>
      <c r="AK78" s="392"/>
      <c r="AL78" s="392"/>
      <c r="AM78" s="392"/>
      <c r="AN78" s="392"/>
      <c r="AO78" s="392"/>
      <c r="AP78" s="372" t="s">
        <v>120</v>
      </c>
      <c r="AQ78" s="373"/>
      <c r="AR78" s="193"/>
      <c r="AS78" s="122" t="str">
        <f t="shared" ref="AS78:AS81" si="270">AI78</f>
        <v>CHAMPION</v>
      </c>
      <c r="AT78" s="392" t="str">
        <f ca="1">UPPER(IF(KOGameRule=1,G78,IF(AND(AT75&lt;&gt;"",AU75&lt;&gt;""),IF(AT75&gt;AU75,AS75,IF(AT75&lt;AU75,AV75,IF(AW75&gt;AX75,AS75,IF(AW75&lt;AX75,AV75,"Match 51 Winner")))),"Match 51 Winner")))</f>
        <v>ENGLAND</v>
      </c>
      <c r="AU78" s="392"/>
      <c r="AV78" s="392"/>
      <c r="AW78" s="392"/>
      <c r="AX78" s="392"/>
      <c r="AY78" s="392"/>
      <c r="AZ78" s="372" t="s">
        <v>120</v>
      </c>
      <c r="BA78" s="373"/>
      <c r="BB78" s="193"/>
      <c r="BC78" s="122" t="str">
        <f t="shared" ref="BC78:BC81" si="271">AS78</f>
        <v>CHAMPION</v>
      </c>
      <c r="BD78" s="392" t="str">
        <f ca="1">UPPER(IF(KOGameRule=1,G78,IF(AND(BD75&lt;&gt;"",BE75&lt;&gt;""),IF(BD75&gt;BE75,BC75,IF(BD75&lt;BE75,BF75,IF(BG75&gt;BH75,BC75,IF(BG75&lt;BH75,BF75,"Match 51 Winner")))),"Match 51 Winner")))</f>
        <v>GERMANY</v>
      </c>
      <c r="BE78" s="392"/>
      <c r="BF78" s="392"/>
      <c r="BG78" s="392"/>
      <c r="BH78" s="392"/>
      <c r="BI78" s="392"/>
      <c r="BJ78" s="372" t="s">
        <v>120</v>
      </c>
      <c r="BK78" s="373"/>
      <c r="BL78" s="193"/>
      <c r="BM78" s="122" t="str">
        <f t="shared" ref="BM78:BM81" si="272">BC78</f>
        <v>CHAMPION</v>
      </c>
      <c r="BN78" s="392" t="str">
        <f ca="1">UPPER(IF(KOGameRule=1,G78,IF(AND(BN75&lt;&gt;"",BO75&lt;&gt;""),IF(BN75&gt;BO75,BM75,IF(BN75&lt;BO75,BP75,IF(BQ75&gt;BR75,BM75,IF(BQ75&lt;BR75,BP75,"Match 51 Winner")))),"Match 51 Winner")))</f>
        <v>GERMANY</v>
      </c>
      <c r="BO78" s="392"/>
      <c r="BP78" s="392"/>
      <c r="BQ78" s="392"/>
      <c r="BR78" s="392"/>
      <c r="BS78" s="392"/>
      <c r="BT78" s="372" t="s">
        <v>120</v>
      </c>
      <c r="BU78" s="373"/>
      <c r="BV78" s="193"/>
      <c r="BW78" s="122" t="str">
        <f t="shared" ref="BW78:BW81" si="273">BM78</f>
        <v>CHAMPION</v>
      </c>
      <c r="BX78" s="392" t="str">
        <f ca="1">UPPER(IF(KOGameRule=1,G78,IF(AND(BX75&lt;&gt;"",BY75&lt;&gt;""),IF(BX75&gt;BY75,BW75,IF(BX75&lt;BY75,BZ75,IF(CA75&gt;CB75,BW75,IF(CA75&lt;CB75,BZ75,"Match 51 Winner")))),"Match 51 Winner")))</f>
        <v>SPAIN</v>
      </c>
      <c r="BY78" s="392"/>
      <c r="BZ78" s="392"/>
      <c r="CA78" s="392"/>
      <c r="CB78" s="392"/>
      <c r="CC78" s="392"/>
      <c r="CD78" s="372" t="s">
        <v>120</v>
      </c>
      <c r="CE78" s="373"/>
      <c r="CF78" s="193"/>
      <c r="CG78" s="122" t="str">
        <f t="shared" ref="CG78:CG81" si="274">BW78</f>
        <v>CHAMPION</v>
      </c>
      <c r="CH78" s="392" t="str">
        <f ca="1">UPPER(IF(KOGameRule=1,G78,IF(AND(CH75&lt;&gt;"",CI75&lt;&gt;""),IF(CH75&gt;CI75,CG75,IF(CH75&lt;CI75,CJ75,IF(CK75&gt;CL75,CG75,IF(CK75&lt;CL75,CJ75,"Match 51 Winner")))),"Match 51 Winner")))</f>
        <v>GERMANY</v>
      </c>
      <c r="CI78" s="392"/>
      <c r="CJ78" s="392"/>
      <c r="CK78" s="392"/>
      <c r="CL78" s="392"/>
      <c r="CM78" s="392"/>
      <c r="CN78" s="372" t="s">
        <v>120</v>
      </c>
      <c r="CO78" s="373"/>
      <c r="CP78" s="193"/>
      <c r="CQ78" s="122" t="str">
        <f t="shared" ref="CQ78:CQ81" si="275">CG78</f>
        <v>CHAMPION</v>
      </c>
      <c r="CR78" s="392" t="str">
        <f>UPPER(IF(KOGameRule=1,G78,IF(AND(CR75&lt;&gt;"",CS75&lt;&gt;""),IF(CR75&gt;CS75,CQ75,IF(CR75&lt;CS75,CT75,IF(CU75&gt;CV75,CQ75,IF(CU75&lt;CV75,CT75,"Match 51 Winner")))),"Match 51 Winner")))</f>
        <v>MATCH 51 WINNER</v>
      </c>
      <c r="CS78" s="392"/>
      <c r="CT78" s="392"/>
      <c r="CU78" s="392"/>
      <c r="CV78" s="392"/>
      <c r="CW78" s="392"/>
      <c r="CX78" s="372" t="s">
        <v>120</v>
      </c>
      <c r="CY78" s="373"/>
      <c r="CZ78" s="193"/>
      <c r="DA78" s="122" t="str">
        <f t="shared" ref="DA78:DA81" si="276">CQ78</f>
        <v>CHAMPION</v>
      </c>
      <c r="DB78" s="392" t="str">
        <f>UPPER(IF(KOGameRule=1,G78,IF(AND(DB75&lt;&gt;"",DC75&lt;&gt;""),IF(DB75&gt;DC75,DA75,IF(DB75&lt;DC75,DD75,IF(DE75&gt;DF75,DA75,IF(DE75&lt;DF75,DD75,"Match 51 Winner")))),"Match 51 Winner")))</f>
        <v>MATCH 51 WINNER</v>
      </c>
      <c r="DC78" s="392"/>
      <c r="DD78" s="392"/>
      <c r="DE78" s="392"/>
      <c r="DF78" s="392"/>
      <c r="DG78" s="392"/>
      <c r="DH78" s="372" t="s">
        <v>120</v>
      </c>
      <c r="DI78" s="373"/>
    </row>
    <row r="79" spans="1:113" s="43" customFormat="1" ht="15" customHeight="1" x14ac:dyDescent="0.2">
      <c r="A79" s="41"/>
      <c r="B79" s="65"/>
      <c r="C79" s="383" t="s">
        <v>121</v>
      </c>
      <c r="D79" s="384"/>
      <c r="E79" s="384"/>
      <c r="F79" s="384"/>
      <c r="G79" s="385" t="str">
        <f>UPPER(IF(AND(H75&lt;&gt;"",I75&lt;&gt;""),IF((H75+K75)&gt;(I75+L75),J75,IF((H75+K75)&lt;(I75+L75),G75,"Match 51 Loser")),"Match 51 Loser"))</f>
        <v>MATCH 51 LOSER</v>
      </c>
      <c r="H79" s="385"/>
      <c r="I79" s="385"/>
      <c r="J79" s="385"/>
      <c r="K79" s="385"/>
      <c r="L79" s="386"/>
      <c r="M79" s="89"/>
      <c r="O79" s="122" t="str">
        <f t="shared" ref="O79:O81" si="277">C79</f>
        <v>RUNNER UP</v>
      </c>
      <c r="P79" s="378" t="str">
        <f>UPPER(IF(KOGameRule=1,G79,IF(AND(P75&lt;&gt;"",Q75&lt;&gt;""),IF(P75&gt;Q75,R75,IF(P75&lt;Q75,O75,IF(S75&gt;T75,R75,IF(S75&lt;T75,O75,"Match 51 Loser")))),"Match 51 Loser")))</f>
        <v>MATCH 51 LOSER</v>
      </c>
      <c r="Q79" s="378"/>
      <c r="R79" s="378"/>
      <c r="S79" s="378"/>
      <c r="T79" s="378"/>
      <c r="U79" s="387"/>
      <c r="V79" s="374"/>
      <c r="W79" s="375"/>
      <c r="Y79" s="122" t="str">
        <f t="shared" ref="Y79:Y81" si="278">O79</f>
        <v>RUNNER UP</v>
      </c>
      <c r="Z79" s="378" t="str">
        <f ca="1">UPPER(IF(KOGameRule=1,G79,IF(AND(Z75&lt;&gt;"",AA75&lt;&gt;""),IF(Z75&gt;AA75,AB75,IF(Z75&lt;AA75,Y75,IF(AC75&gt;AD75,AB75,IF(AC75&lt;AD75,Y75,"Match 51 Loser")))),"Match 51 Loser")))</f>
        <v>BELGIUM</v>
      </c>
      <c r="AA79" s="378"/>
      <c r="AB79" s="378"/>
      <c r="AC79" s="378"/>
      <c r="AD79" s="378"/>
      <c r="AE79" s="378"/>
      <c r="AF79" s="374"/>
      <c r="AG79" s="375"/>
      <c r="AI79" s="122" t="str">
        <f t="shared" si="269"/>
        <v>RUNNER UP</v>
      </c>
      <c r="AJ79" s="378" t="str">
        <f ca="1">UPPER(IF(KOGameRule=1,G79,IF(AND(AJ75&lt;&gt;"",AK75&lt;&gt;""),IF(AJ75&gt;AK75,AL75,IF(AJ75&lt;AK75,AI75,IF(AM75&gt;AN75,AL75,IF(AM75&lt;AN75,AI75,"Match 51 Loser")))),"Match 51 Loser")))</f>
        <v>CROATIA</v>
      </c>
      <c r="AK79" s="378"/>
      <c r="AL79" s="378"/>
      <c r="AM79" s="378"/>
      <c r="AN79" s="378"/>
      <c r="AO79" s="378"/>
      <c r="AP79" s="374"/>
      <c r="AQ79" s="375"/>
      <c r="AS79" s="122" t="str">
        <f t="shared" si="270"/>
        <v>RUNNER UP</v>
      </c>
      <c r="AT79" s="378" t="str">
        <f ca="1">UPPER(IF(KOGameRule=1,G79,IF(AND(AT75&lt;&gt;"",AU75&lt;&gt;""),IF(AT75&gt;AU75,AV75,IF(AT75&lt;AU75,AS75,IF(AW75&gt;AX75,AV75,IF(AW75&lt;AX75,AS75,"Match 51 Loser")))),"Match 51 Loser")))</f>
        <v>GERMANY</v>
      </c>
      <c r="AU79" s="378"/>
      <c r="AV79" s="378"/>
      <c r="AW79" s="378"/>
      <c r="AX79" s="378"/>
      <c r="AY79" s="378"/>
      <c r="AZ79" s="374"/>
      <c r="BA79" s="375"/>
      <c r="BC79" s="122" t="str">
        <f t="shared" si="271"/>
        <v>RUNNER UP</v>
      </c>
      <c r="BD79" s="378" t="str">
        <f ca="1">UPPER(IF(KOGameRule=1,G79,IF(AND(BD75&lt;&gt;"",BE75&lt;&gt;""),IF(BD75&gt;BE75,BF75,IF(BD75&lt;BE75,BC75,IF(BG75&gt;BH75,BF75,IF(BG75&lt;BH75,BC75,"Match 51 Loser")))),"Match 51 Loser")))</f>
        <v>FRANCE</v>
      </c>
      <c r="BE79" s="378"/>
      <c r="BF79" s="378"/>
      <c r="BG79" s="378"/>
      <c r="BH79" s="378"/>
      <c r="BI79" s="378"/>
      <c r="BJ79" s="374"/>
      <c r="BK79" s="375"/>
      <c r="BM79" s="122" t="str">
        <f t="shared" si="272"/>
        <v>RUNNER UP</v>
      </c>
      <c r="BN79" s="378" t="str">
        <f ca="1">UPPER(IF(KOGameRule=1,G79,IF(AND(BN75&lt;&gt;"",BO75&lt;&gt;""),IF(BN75&gt;BO75,BP75,IF(BN75&lt;BO75,BM75,IF(BQ75&gt;BR75,BP75,IF(BQ75&lt;BR75,BM75,"Match 51 Loser")))),"Match 51 Loser")))</f>
        <v>SPAIN</v>
      </c>
      <c r="BO79" s="378"/>
      <c r="BP79" s="378"/>
      <c r="BQ79" s="378"/>
      <c r="BR79" s="378"/>
      <c r="BS79" s="378"/>
      <c r="BT79" s="374"/>
      <c r="BU79" s="375"/>
      <c r="BW79" s="122" t="str">
        <f t="shared" si="273"/>
        <v>RUNNER UP</v>
      </c>
      <c r="BX79" s="378" t="str">
        <f ca="1">UPPER(IF(KOGameRule=1,G79,IF(AND(BX75&lt;&gt;"",BY75&lt;&gt;""),IF(BX75&gt;BY75,BZ75,IF(BX75&lt;BY75,BW75,IF(CA75&gt;CB75,BZ75,IF(CA75&lt;CB75,BW75,"Match 51 Loser")))),"Match 51 Loser")))</f>
        <v>ITALY</v>
      </c>
      <c r="BY79" s="378"/>
      <c r="BZ79" s="378"/>
      <c r="CA79" s="378"/>
      <c r="CB79" s="378"/>
      <c r="CC79" s="378"/>
      <c r="CD79" s="374"/>
      <c r="CE79" s="375"/>
      <c r="CG79" s="122" t="str">
        <f t="shared" si="274"/>
        <v>RUNNER UP</v>
      </c>
      <c r="CH79" s="378" t="str">
        <f ca="1">UPPER(IF(KOGameRule=1,G79,IF(AND(CH75&lt;&gt;"",CI75&lt;&gt;""),IF(CH75&gt;CI75,CJ75,IF(CH75&lt;CI75,CG75,IF(CK75&gt;CL75,CJ75,IF(CK75&lt;CL75,CG75,"Match 51 Loser")))),"Match 51 Loser")))</f>
        <v>ITALY</v>
      </c>
      <c r="CI79" s="378"/>
      <c r="CJ79" s="378"/>
      <c r="CK79" s="378"/>
      <c r="CL79" s="378"/>
      <c r="CM79" s="378"/>
      <c r="CN79" s="374"/>
      <c r="CO79" s="375"/>
      <c r="CQ79" s="122" t="str">
        <f t="shared" si="275"/>
        <v>RUNNER UP</v>
      </c>
      <c r="CR79" s="378" t="str">
        <f>UPPER(IF(KOGameRule=1,G79,IF(AND(CR75&lt;&gt;"",CS75&lt;&gt;""),IF(CR75&gt;CS75,CT75,IF(CR75&lt;CS75,CQ75,IF(CU75&gt;CV75,CT75,IF(CU75&lt;CV75,CQ75,"Match 51 Loser")))),"Match 51 Loser")))</f>
        <v>MATCH 51 LOSER</v>
      </c>
      <c r="CS79" s="378"/>
      <c r="CT79" s="378"/>
      <c r="CU79" s="378"/>
      <c r="CV79" s="378"/>
      <c r="CW79" s="378"/>
      <c r="CX79" s="374"/>
      <c r="CY79" s="375"/>
      <c r="DA79" s="122" t="str">
        <f t="shared" si="276"/>
        <v>RUNNER UP</v>
      </c>
      <c r="DB79" s="378" t="str">
        <f>UPPER(IF(KOGameRule=1,G79,IF(AND(DB75&lt;&gt;"",DC75&lt;&gt;""),IF(DB75&gt;DC75,DD75,IF(DB75&lt;DC75,DA75,IF(DE75&gt;DF75,DD75,IF(DE75&lt;DF75,DA75,"Match 51 Loser")))),"Match 51 Loser")))</f>
        <v>MATCH 51 LOSER</v>
      </c>
      <c r="DC79" s="378"/>
      <c r="DD79" s="378"/>
      <c r="DE79" s="378"/>
      <c r="DF79" s="378"/>
      <c r="DG79" s="378"/>
      <c r="DH79" s="374"/>
      <c r="DI79" s="375"/>
    </row>
    <row r="80" spans="1:113" s="43" customFormat="1" ht="15" customHeight="1" x14ac:dyDescent="0.2">
      <c r="A80" s="41"/>
      <c r="B80" s="65"/>
      <c r="C80" s="383" t="s">
        <v>122</v>
      </c>
      <c r="D80" s="384"/>
      <c r="E80" s="384"/>
      <c r="F80" s="384"/>
      <c r="G80" s="385" t="str">
        <f>IF(AND(H73&lt;&gt;"",I73&lt;&gt;""),IF((H73+K73)&gt;(I73+L73),J73,IF((H73+K73)&lt;(I73+L73),G73,"Match 49 Loser")),"Match 49 Loser")</f>
        <v>Match 49 Loser</v>
      </c>
      <c r="H80" s="385"/>
      <c r="I80" s="385"/>
      <c r="J80" s="385"/>
      <c r="K80" s="385"/>
      <c r="L80" s="386"/>
      <c r="M80" s="89"/>
      <c r="O80" s="122" t="str">
        <f t="shared" si="277"/>
        <v>SEMIFINALIST 1</v>
      </c>
      <c r="P80" s="378" t="str">
        <f>IF(KOGameRule=1,G80,IF(AND(P73&lt;&gt;"",Q73&lt;&gt;""),IF((P73+S73)&gt;(Q73+T73),R73,IF((P73+S73)&lt;(Q73+T73),O73,"Match 49 Loser")),"Match 49 Loser"))</f>
        <v>Match 49 Loser</v>
      </c>
      <c r="Q80" s="378"/>
      <c r="R80" s="378"/>
      <c r="S80" s="378"/>
      <c r="T80" s="378"/>
      <c r="U80" s="387"/>
      <c r="V80" s="374"/>
      <c r="W80" s="375"/>
      <c r="Y80" s="122" t="str">
        <f t="shared" si="278"/>
        <v>SEMIFINALIST 1</v>
      </c>
      <c r="Z80" s="378" t="str">
        <f ca="1">IF(KOGameRule=1,G80,IF(AND(Z73&lt;&gt;"",AA73&lt;&gt;""),IF((Z73+AC73)&gt;(AA73+AD73),AB73,IF((Z73+AC73)&lt;(AA73+AD73),Y73,"Match 49 Loser")),"Match 49 Loser"))</f>
        <v>Germany</v>
      </c>
      <c r="AA80" s="378"/>
      <c r="AB80" s="378"/>
      <c r="AC80" s="378"/>
      <c r="AD80" s="378"/>
      <c r="AE80" s="378"/>
      <c r="AF80" s="374"/>
      <c r="AG80" s="375"/>
      <c r="AI80" s="122" t="str">
        <f t="shared" si="269"/>
        <v>SEMIFINALIST 1</v>
      </c>
      <c r="AJ80" s="378" t="str">
        <f ca="1">IF(KOGameRule=1,G80,IF(AND(AJ73&lt;&gt;"",AK73&lt;&gt;""),IF((AJ73+AM73)&gt;(AK73+AN73),AL73,IF((AJ73+AM73)&lt;(AK73+AN73),AI73,"Match 49 Loser")),"Match 49 Loser"))</f>
        <v>Portugal</v>
      </c>
      <c r="AK80" s="378"/>
      <c r="AL80" s="378"/>
      <c r="AM80" s="378"/>
      <c r="AN80" s="378"/>
      <c r="AO80" s="378"/>
      <c r="AP80" s="374"/>
      <c r="AQ80" s="375"/>
      <c r="AS80" s="122" t="str">
        <f t="shared" si="270"/>
        <v>SEMIFINALIST 1</v>
      </c>
      <c r="AT80" s="378" t="str">
        <f ca="1">IF(KOGameRule=1,G80,IF(AND(AT73&lt;&gt;"",AU73&lt;&gt;""),IF((AT73+AW73)&gt;(AU73+AX73),AV73,IF((AT73+AW73)&lt;(AU73+AX73),AS73,"Match 49 Loser")),"Match 49 Loser"))</f>
        <v>Italy</v>
      </c>
      <c r="AU80" s="378"/>
      <c r="AV80" s="378"/>
      <c r="AW80" s="378"/>
      <c r="AX80" s="378"/>
      <c r="AY80" s="378"/>
      <c r="AZ80" s="374"/>
      <c r="BA80" s="375"/>
      <c r="BC80" s="122" t="str">
        <f t="shared" si="271"/>
        <v>SEMIFINALIST 1</v>
      </c>
      <c r="BD80" s="378" t="str">
        <f ca="1">IF(KOGameRule=1,G80,IF(AND(BD73&lt;&gt;"",BE73&lt;&gt;""),IF((BD73+BG73)&gt;(BE73+BH73),BF73,IF((BD73+BG73)&lt;(BE73+BH73),BC73,"Match 49 Loser")),"Match 49 Loser"))</f>
        <v>Italy</v>
      </c>
      <c r="BE80" s="378"/>
      <c r="BF80" s="378"/>
      <c r="BG80" s="378"/>
      <c r="BH80" s="378"/>
      <c r="BI80" s="378"/>
      <c r="BJ80" s="374"/>
      <c r="BK80" s="375"/>
      <c r="BM80" s="122" t="str">
        <f t="shared" si="272"/>
        <v>SEMIFINALIST 1</v>
      </c>
      <c r="BN80" s="378" t="str">
        <f ca="1">IF(KOGameRule=1,G80,IF(AND(BN73&lt;&gt;"",BO73&lt;&gt;""),IF((BN73+BQ73)&gt;(BO73+BR73),BP73,IF((BN73+BQ73)&lt;(BO73+BR73),BM73,"Match 49 Loser")),"Match 49 Loser"))</f>
        <v>Italy</v>
      </c>
      <c r="BO80" s="378"/>
      <c r="BP80" s="378"/>
      <c r="BQ80" s="378"/>
      <c r="BR80" s="378"/>
      <c r="BS80" s="378"/>
      <c r="BT80" s="374"/>
      <c r="BU80" s="375"/>
      <c r="BW80" s="122" t="str">
        <f t="shared" si="273"/>
        <v>SEMIFINALIST 1</v>
      </c>
      <c r="BX80" s="378" t="str">
        <f ca="1">IF(KOGameRule=1,G80,IF(AND(BX73&lt;&gt;"",BY73&lt;&gt;""),IF((BX73+CA73)&gt;(BY73+CB73),BZ73,IF((BX73+CA73)&lt;(BY73+CB73),BW73,"Match 49 Loser")),"Match 49 Loser"))</f>
        <v>Portugal</v>
      </c>
      <c r="BY80" s="378"/>
      <c r="BZ80" s="378"/>
      <c r="CA80" s="378"/>
      <c r="CB80" s="378"/>
      <c r="CC80" s="378"/>
      <c r="CD80" s="374"/>
      <c r="CE80" s="375"/>
      <c r="CG80" s="122" t="str">
        <f t="shared" si="274"/>
        <v>SEMIFINALIST 1</v>
      </c>
      <c r="CH80" s="378" t="str">
        <f ca="1">IF(KOGameRule=1,G80,IF(AND(CH73&lt;&gt;"",CI73&lt;&gt;""),IF((CH73+CK73)&gt;(CI73+CL73),CJ73,IF((CH73+CK73)&lt;(CI73+CL73),CG73,"Match 49 Loser")),"Match 49 Loser"))</f>
        <v>Netherlands</v>
      </c>
      <c r="CI80" s="378"/>
      <c r="CJ80" s="378"/>
      <c r="CK80" s="378"/>
      <c r="CL80" s="378"/>
      <c r="CM80" s="378"/>
      <c r="CN80" s="374"/>
      <c r="CO80" s="375"/>
      <c r="CQ80" s="122" t="str">
        <f t="shared" si="275"/>
        <v>SEMIFINALIST 1</v>
      </c>
      <c r="CR80" s="378" t="str">
        <f>IF(KOGameRule=1,G80,IF(AND(CR73&lt;&gt;"",CS73&lt;&gt;""),IF((CR73+CU73)&gt;(CS73+CV73),CT73,IF((CR73+CU73)&lt;(CS73+CV73),CQ73,"Match 49 Loser")),"Match 49 Loser"))</f>
        <v>Match 49 Loser</v>
      </c>
      <c r="CS80" s="378"/>
      <c r="CT80" s="378"/>
      <c r="CU80" s="378"/>
      <c r="CV80" s="378"/>
      <c r="CW80" s="378"/>
      <c r="CX80" s="374"/>
      <c r="CY80" s="375"/>
      <c r="DA80" s="122" t="str">
        <f t="shared" si="276"/>
        <v>SEMIFINALIST 1</v>
      </c>
      <c r="DB80" s="378" t="str">
        <f>IF(KOGameRule=1,G80,IF(AND(DB73&lt;&gt;"",DC73&lt;&gt;""),IF((DB73+DE73)&gt;(DC73+DF73),DD73,IF((DB73+DE73)&lt;(DC73+DF73),DA73,"Match 49 Loser")),"Match 49 Loser"))</f>
        <v>Match 49 Loser</v>
      </c>
      <c r="DC80" s="378"/>
      <c r="DD80" s="378"/>
      <c r="DE80" s="378"/>
      <c r="DF80" s="378"/>
      <c r="DG80" s="378"/>
      <c r="DH80" s="374"/>
      <c r="DI80" s="375"/>
    </row>
    <row r="81" spans="1:113" s="43" customFormat="1" ht="15" customHeight="1" x14ac:dyDescent="0.2">
      <c r="A81" s="41"/>
      <c r="B81" s="65"/>
      <c r="C81" s="383" t="s">
        <v>123</v>
      </c>
      <c r="D81" s="384"/>
      <c r="E81" s="384"/>
      <c r="F81" s="384"/>
      <c r="G81" s="385" t="str">
        <f>IF(AND(H74&lt;&gt;"",I74&lt;&gt;""),IF((H74+K74)&gt;(I74+L74),J74,IF((H74+K74)&lt;(I74+L74),G74,"Match 50 Loser")),"Match 50 Loser")</f>
        <v>Match 50 Loser</v>
      </c>
      <c r="H81" s="385"/>
      <c r="I81" s="385"/>
      <c r="J81" s="385"/>
      <c r="K81" s="385"/>
      <c r="L81" s="386"/>
      <c r="M81" s="89"/>
      <c r="O81" s="122" t="str">
        <f t="shared" si="277"/>
        <v>SEMIFINALIST 2</v>
      </c>
      <c r="P81" s="378" t="str">
        <f>IF(KOGameRule=1,G81,IF(AND(P74&lt;&gt;"",Q74&lt;&gt;""),IF((P74+S74)&gt;(Q74+T74),R74,IF((P74+S74)&lt;(Q74+T74),O74,"Match 50 Loser")),"Match 50 Loser"))</f>
        <v>Match 50 Loser</v>
      </c>
      <c r="Q81" s="378"/>
      <c r="R81" s="378"/>
      <c r="S81" s="378"/>
      <c r="T81" s="378"/>
      <c r="U81" s="387"/>
      <c r="V81" s="374"/>
      <c r="W81" s="375"/>
      <c r="Y81" s="122" t="str">
        <f t="shared" si="278"/>
        <v>SEMIFINALIST 2</v>
      </c>
      <c r="Z81" s="378" t="str">
        <f ca="1">IF(KOGameRule=1,G81,IF(AND(Z74&lt;&gt;"",AA74&lt;&gt;""),IF((Z74+AC74)&gt;(AA74+AD74),AB74,IF((Z74+AC74)&lt;(AA74+AD74),Y74,"Match 50 Loser")),"Match 50 Loser"))</f>
        <v>England</v>
      </c>
      <c r="AA81" s="378"/>
      <c r="AB81" s="378"/>
      <c r="AC81" s="378"/>
      <c r="AD81" s="378"/>
      <c r="AE81" s="378"/>
      <c r="AF81" s="374"/>
      <c r="AG81" s="375"/>
      <c r="AI81" s="122" t="str">
        <f t="shared" si="269"/>
        <v>SEMIFINALIST 2</v>
      </c>
      <c r="AJ81" s="378" t="str">
        <f ca="1">IF(KOGameRule=1,G81,IF(AND(AJ74&lt;&gt;"",AK74&lt;&gt;""),IF((AJ74+AM74)&gt;(AK74+AN74),AL74,IF((AJ74+AM74)&lt;(AK74+AN74),AI74,"Match 50 Loser")),"Match 50 Loser"))</f>
        <v>Scotland</v>
      </c>
      <c r="AK81" s="378"/>
      <c r="AL81" s="378"/>
      <c r="AM81" s="378"/>
      <c r="AN81" s="378"/>
      <c r="AO81" s="378"/>
      <c r="AP81" s="374"/>
      <c r="AQ81" s="375"/>
      <c r="AS81" s="122" t="str">
        <f t="shared" si="270"/>
        <v>SEMIFINALIST 2</v>
      </c>
      <c r="AT81" s="378" t="str">
        <f ca="1">IF(KOGameRule=1,G81,IF(AND(AT74&lt;&gt;"",AU74&lt;&gt;""),IF((AT74+AW74)&gt;(AU74+AX74),AV74,IF((AT74+AW74)&lt;(AU74+AX74),AS74,"Match 50 Loser")),"Match 50 Loser"))</f>
        <v>France</v>
      </c>
      <c r="AU81" s="378"/>
      <c r="AV81" s="378"/>
      <c r="AW81" s="378"/>
      <c r="AX81" s="378"/>
      <c r="AY81" s="378"/>
      <c r="AZ81" s="374"/>
      <c r="BA81" s="375"/>
      <c r="BC81" s="122" t="str">
        <f t="shared" si="271"/>
        <v>SEMIFINALIST 2</v>
      </c>
      <c r="BD81" s="378" t="str">
        <f ca="1">IF(KOGameRule=1,G81,IF(AND(BD74&lt;&gt;"",BE74&lt;&gt;""),IF((BD74+BG74)&gt;(BE74+BH74),BF74,IF((BD74+BG74)&lt;(BE74+BH74),BC74,"Match 50 Loser")),"Match 50 Loser"))</f>
        <v>England</v>
      </c>
      <c r="BE81" s="378"/>
      <c r="BF81" s="378"/>
      <c r="BG81" s="378"/>
      <c r="BH81" s="378"/>
      <c r="BI81" s="378"/>
      <c r="BJ81" s="374"/>
      <c r="BK81" s="375"/>
      <c r="BM81" s="122" t="str">
        <f t="shared" si="272"/>
        <v>SEMIFINALIST 2</v>
      </c>
      <c r="BN81" s="378" t="str">
        <f ca="1">IF(KOGameRule=1,G81,IF(AND(BN74&lt;&gt;"",BO74&lt;&gt;""),IF((BN74+BQ74)&gt;(BO74+BR74),BP74,IF((BN74+BQ74)&lt;(BO74+BR74),BM74,"Match 50 Loser")),"Match 50 Loser"))</f>
        <v>Belgium</v>
      </c>
      <c r="BO81" s="378"/>
      <c r="BP81" s="378"/>
      <c r="BQ81" s="378"/>
      <c r="BR81" s="378"/>
      <c r="BS81" s="378"/>
      <c r="BT81" s="374"/>
      <c r="BU81" s="375"/>
      <c r="BW81" s="122" t="str">
        <f t="shared" si="273"/>
        <v>SEMIFINALIST 2</v>
      </c>
      <c r="BX81" s="378" t="str">
        <f ca="1">IF(KOGameRule=1,G81,IF(AND(BX74&lt;&gt;"",BY74&lt;&gt;""),IF((BX74+CA74)&gt;(BY74+CB74),BZ74,IF((BX74+CA74)&lt;(BY74+CB74),BW74,"Match 50 Loser")),"Match 50 Loser"))</f>
        <v>France</v>
      </c>
      <c r="BY81" s="378"/>
      <c r="BZ81" s="378"/>
      <c r="CA81" s="378"/>
      <c r="CB81" s="378"/>
      <c r="CC81" s="378"/>
      <c r="CD81" s="374"/>
      <c r="CE81" s="375"/>
      <c r="CG81" s="122" t="str">
        <f t="shared" si="274"/>
        <v>SEMIFINALIST 2</v>
      </c>
      <c r="CH81" s="378" t="str">
        <f ca="1">IF(KOGameRule=1,G81,IF(AND(CH74&lt;&gt;"",CI74&lt;&gt;""),IF((CH74+CK74)&gt;(CI74+CL74),CJ74,IF((CH74+CK74)&lt;(CI74+CL74),CG74,"Match 50 Loser")),"Match 50 Loser"))</f>
        <v>France</v>
      </c>
      <c r="CI81" s="378"/>
      <c r="CJ81" s="378"/>
      <c r="CK81" s="378"/>
      <c r="CL81" s="378"/>
      <c r="CM81" s="378"/>
      <c r="CN81" s="374"/>
      <c r="CO81" s="375"/>
      <c r="CQ81" s="122" t="str">
        <f t="shared" si="275"/>
        <v>SEMIFINALIST 2</v>
      </c>
      <c r="CR81" s="378" t="str">
        <f>IF(KOGameRule=1,G81,IF(AND(CR74&lt;&gt;"",CS74&lt;&gt;""),IF((CR74+CU74)&gt;(CS74+CV74),CT74,IF((CR74+CU74)&lt;(CS74+CV74),CQ74,"Match 50 Loser")),"Match 50 Loser"))</f>
        <v>Match 50 Loser</v>
      </c>
      <c r="CS81" s="378"/>
      <c r="CT81" s="378"/>
      <c r="CU81" s="378"/>
      <c r="CV81" s="378"/>
      <c r="CW81" s="378"/>
      <c r="CX81" s="374"/>
      <c r="CY81" s="375"/>
      <c r="DA81" s="122" t="str">
        <f t="shared" si="276"/>
        <v>SEMIFINALIST 2</v>
      </c>
      <c r="DB81" s="378" t="str">
        <f>IF(KOGameRule=1,G81,IF(AND(DB74&lt;&gt;"",DC74&lt;&gt;""),IF((DB74+DE74)&gt;(DC74+DF74),DD74,IF((DB74+DE74)&lt;(DC74+DF74),DA74,"Match 50 Loser")),"Match 50 Loser"))</f>
        <v>Match 50 Loser</v>
      </c>
      <c r="DC81" s="378"/>
      <c r="DD81" s="378"/>
      <c r="DE81" s="378"/>
      <c r="DF81" s="378"/>
      <c r="DG81" s="378"/>
      <c r="DH81" s="374"/>
      <c r="DI81" s="375"/>
    </row>
    <row r="82" spans="1:113" s="43" customFormat="1" ht="15" customHeight="1" x14ac:dyDescent="0.2">
      <c r="A82" s="41"/>
      <c r="B82" s="65"/>
      <c r="C82" s="66"/>
      <c r="D82" s="66"/>
      <c r="E82" s="66"/>
      <c r="F82" s="66"/>
      <c r="G82" s="66"/>
      <c r="H82" s="66"/>
      <c r="I82" s="66"/>
      <c r="J82" s="66"/>
      <c r="K82" s="66"/>
      <c r="L82" s="66"/>
      <c r="M82" s="89"/>
      <c r="V82" s="374"/>
      <c r="W82" s="375"/>
      <c r="AF82" s="374"/>
      <c r="AG82" s="375"/>
      <c r="AP82" s="374"/>
      <c r="AQ82" s="375"/>
      <c r="AZ82" s="374"/>
      <c r="BA82" s="375"/>
      <c r="BJ82" s="374"/>
      <c r="BK82" s="375"/>
      <c r="BT82" s="374"/>
      <c r="BU82" s="375"/>
      <c r="CD82" s="374"/>
      <c r="CE82" s="375"/>
      <c r="CN82" s="374"/>
      <c r="CO82" s="375"/>
      <c r="CX82" s="374"/>
      <c r="CY82" s="375"/>
      <c r="DH82" s="374"/>
      <c r="DI82" s="375"/>
    </row>
    <row r="83" spans="1:113" s="43" customFormat="1" ht="15" customHeight="1" x14ac:dyDescent="0.2">
      <c r="A83" s="41"/>
      <c r="B83" s="65"/>
      <c r="C83" s="66"/>
      <c r="D83" s="66"/>
      <c r="E83" s="66"/>
      <c r="F83" s="66"/>
      <c r="G83" s="66"/>
      <c r="H83" s="66"/>
      <c r="I83" s="66"/>
      <c r="J83" s="66"/>
      <c r="K83" s="66"/>
      <c r="L83" s="66"/>
      <c r="M83" s="89"/>
      <c r="O83" s="204" t="s">
        <v>124</v>
      </c>
      <c r="P83" s="44"/>
      <c r="Q83" s="44"/>
      <c r="R83" s="44"/>
      <c r="S83" s="370">
        <v>0</v>
      </c>
      <c r="T83" s="370"/>
      <c r="U83" s="371"/>
      <c r="V83" s="374"/>
      <c r="W83" s="375"/>
      <c r="Y83" s="204" t="s">
        <v>124</v>
      </c>
      <c r="Z83" s="44"/>
      <c r="AA83" s="44"/>
      <c r="AB83" s="44"/>
      <c r="AC83" s="370">
        <v>0</v>
      </c>
      <c r="AD83" s="370"/>
      <c r="AE83" s="371"/>
      <c r="AF83" s="374"/>
      <c r="AG83" s="375"/>
      <c r="AI83" s="204" t="s">
        <v>124</v>
      </c>
      <c r="AJ83" s="44"/>
      <c r="AK83" s="44"/>
      <c r="AL83" s="44"/>
      <c r="AM83" s="370">
        <v>0</v>
      </c>
      <c r="AN83" s="370"/>
      <c r="AO83" s="371"/>
      <c r="AP83" s="374"/>
      <c r="AQ83" s="375"/>
      <c r="AS83" s="204" t="s">
        <v>124</v>
      </c>
      <c r="AT83" s="44"/>
      <c r="AU83" s="44"/>
      <c r="AV83" s="44"/>
      <c r="AW83" s="370">
        <v>0</v>
      </c>
      <c r="AX83" s="370"/>
      <c r="AY83" s="371"/>
      <c r="AZ83" s="374"/>
      <c r="BA83" s="375"/>
      <c r="BC83" s="204" t="s">
        <v>124</v>
      </c>
      <c r="BD83" s="44"/>
      <c r="BE83" s="44"/>
      <c r="BF83" s="44"/>
      <c r="BG83" s="370">
        <v>0</v>
      </c>
      <c r="BH83" s="370"/>
      <c r="BI83" s="371"/>
      <c r="BJ83" s="374"/>
      <c r="BK83" s="375"/>
      <c r="BM83" s="204" t="s">
        <v>124</v>
      </c>
      <c r="BN83" s="44"/>
      <c r="BO83" s="44"/>
      <c r="BP83" s="44"/>
      <c r="BQ83" s="370">
        <v>0</v>
      </c>
      <c r="BR83" s="370"/>
      <c r="BS83" s="371"/>
      <c r="BT83" s="374"/>
      <c r="BU83" s="375"/>
      <c r="BW83" s="204" t="s">
        <v>124</v>
      </c>
      <c r="BX83" s="44"/>
      <c r="BY83" s="44"/>
      <c r="BZ83" s="44"/>
      <c r="CA83" s="370">
        <v>0</v>
      </c>
      <c r="CB83" s="370"/>
      <c r="CC83" s="371"/>
      <c r="CD83" s="374"/>
      <c r="CE83" s="375"/>
      <c r="CG83" s="204" t="s">
        <v>124</v>
      </c>
      <c r="CH83" s="44"/>
      <c r="CI83" s="44"/>
      <c r="CJ83" s="44"/>
      <c r="CK83" s="370">
        <v>0</v>
      </c>
      <c r="CL83" s="370"/>
      <c r="CM83" s="371"/>
      <c r="CN83" s="374"/>
      <c r="CO83" s="375"/>
      <c r="CQ83" s="204" t="s">
        <v>124</v>
      </c>
      <c r="CR83" s="44"/>
      <c r="CS83" s="44"/>
      <c r="CT83" s="44"/>
      <c r="CU83" s="370">
        <v>0</v>
      </c>
      <c r="CV83" s="370"/>
      <c r="CW83" s="371"/>
      <c r="CX83" s="374"/>
      <c r="CY83" s="375"/>
      <c r="DA83" s="204" t="s">
        <v>124</v>
      </c>
      <c r="DB83" s="44"/>
      <c r="DC83" s="44"/>
      <c r="DD83" s="44"/>
      <c r="DE83" s="370">
        <v>0</v>
      </c>
      <c r="DF83" s="370"/>
      <c r="DG83" s="371"/>
      <c r="DH83" s="374"/>
      <c r="DI83" s="375"/>
    </row>
    <row r="84" spans="1:113" s="43" customFormat="1" ht="15" customHeight="1" x14ac:dyDescent="0.2">
      <c r="A84" s="41"/>
      <c r="B84" s="65"/>
      <c r="C84" s="66"/>
      <c r="D84" s="66"/>
      <c r="E84" s="66"/>
      <c r="F84" s="66"/>
      <c r="G84" s="66"/>
      <c r="H84" s="66"/>
      <c r="I84" s="66"/>
      <c r="J84" s="66"/>
      <c r="K84" s="66"/>
      <c r="L84" s="66"/>
      <c r="M84" s="89"/>
      <c r="O84" s="204" t="s">
        <v>125</v>
      </c>
      <c r="P84" s="44"/>
      <c r="Q84" s="44"/>
      <c r="R84" s="44"/>
      <c r="S84" s="370">
        <v>0</v>
      </c>
      <c r="T84" s="370"/>
      <c r="U84" s="371"/>
      <c r="V84" s="374"/>
      <c r="W84" s="375"/>
      <c r="Y84" s="204" t="s">
        <v>125</v>
      </c>
      <c r="Z84" s="44"/>
      <c r="AA84" s="44"/>
      <c r="AB84" s="44"/>
      <c r="AC84" s="370">
        <v>0</v>
      </c>
      <c r="AD84" s="370"/>
      <c r="AE84" s="371"/>
      <c r="AF84" s="374"/>
      <c r="AG84" s="375"/>
      <c r="AI84" s="204" t="s">
        <v>125</v>
      </c>
      <c r="AJ84" s="44"/>
      <c r="AK84" s="44"/>
      <c r="AL84" s="44"/>
      <c r="AM84" s="370">
        <v>0</v>
      </c>
      <c r="AN84" s="370"/>
      <c r="AO84" s="371"/>
      <c r="AP84" s="374"/>
      <c r="AQ84" s="375"/>
      <c r="AS84" s="204" t="s">
        <v>125</v>
      </c>
      <c r="AT84" s="44"/>
      <c r="AU84" s="44"/>
      <c r="AV84" s="44"/>
      <c r="AW84" s="370">
        <v>0</v>
      </c>
      <c r="AX84" s="370"/>
      <c r="AY84" s="371"/>
      <c r="AZ84" s="374"/>
      <c r="BA84" s="375"/>
      <c r="BC84" s="204" t="s">
        <v>125</v>
      </c>
      <c r="BD84" s="44"/>
      <c r="BE84" s="44"/>
      <c r="BF84" s="44"/>
      <c r="BG84" s="370">
        <v>0</v>
      </c>
      <c r="BH84" s="370"/>
      <c r="BI84" s="371"/>
      <c r="BJ84" s="374"/>
      <c r="BK84" s="375"/>
      <c r="BM84" s="204" t="s">
        <v>125</v>
      </c>
      <c r="BN84" s="44"/>
      <c r="BO84" s="44"/>
      <c r="BP84" s="44"/>
      <c r="BQ84" s="370">
        <v>0</v>
      </c>
      <c r="BR84" s="370"/>
      <c r="BS84" s="371"/>
      <c r="BT84" s="374"/>
      <c r="BU84" s="375"/>
      <c r="BW84" s="204" t="s">
        <v>125</v>
      </c>
      <c r="BX84" s="44"/>
      <c r="BY84" s="44"/>
      <c r="BZ84" s="44"/>
      <c r="CA84" s="370">
        <v>0</v>
      </c>
      <c r="CB84" s="370"/>
      <c r="CC84" s="371"/>
      <c r="CD84" s="374"/>
      <c r="CE84" s="375"/>
      <c r="CG84" s="204" t="s">
        <v>125</v>
      </c>
      <c r="CH84" s="44"/>
      <c r="CI84" s="44"/>
      <c r="CJ84" s="44"/>
      <c r="CK84" s="370">
        <v>0</v>
      </c>
      <c r="CL84" s="370"/>
      <c r="CM84" s="371"/>
      <c r="CN84" s="374"/>
      <c r="CO84" s="375"/>
      <c r="CQ84" s="204" t="s">
        <v>125</v>
      </c>
      <c r="CR84" s="44"/>
      <c r="CS84" s="44"/>
      <c r="CT84" s="44"/>
      <c r="CU84" s="370">
        <v>0</v>
      </c>
      <c r="CV84" s="370"/>
      <c r="CW84" s="371"/>
      <c r="CX84" s="374"/>
      <c r="CY84" s="375"/>
      <c r="DA84" s="204" t="s">
        <v>125</v>
      </c>
      <c r="DB84" s="44"/>
      <c r="DC84" s="44"/>
      <c r="DD84" s="44"/>
      <c r="DE84" s="370">
        <v>0</v>
      </c>
      <c r="DF84" s="370"/>
      <c r="DG84" s="371"/>
      <c r="DH84" s="374"/>
      <c r="DI84" s="375"/>
    </row>
    <row r="85" spans="1:113" s="43" customFormat="1" ht="15" customHeight="1" x14ac:dyDescent="0.2">
      <c r="A85" s="41"/>
      <c r="B85" s="65"/>
      <c r="C85" s="66"/>
      <c r="D85" s="66"/>
      <c r="E85" s="66"/>
      <c r="F85" s="66"/>
      <c r="G85" s="66"/>
      <c r="H85" s="66"/>
      <c r="I85" s="66"/>
      <c r="J85" s="66"/>
      <c r="K85" s="66"/>
      <c r="L85" s="66"/>
      <c r="M85" s="89"/>
      <c r="O85" s="204" t="s">
        <v>126</v>
      </c>
      <c r="P85" s="44"/>
      <c r="Q85" s="44"/>
      <c r="R85" s="44"/>
      <c r="S85" s="370">
        <v>0</v>
      </c>
      <c r="T85" s="370"/>
      <c r="U85" s="371"/>
      <c r="V85" s="374"/>
      <c r="W85" s="375"/>
      <c r="Y85" s="204" t="s">
        <v>126</v>
      </c>
      <c r="Z85" s="44"/>
      <c r="AA85" s="44"/>
      <c r="AB85" s="44"/>
      <c r="AC85" s="370">
        <v>0</v>
      </c>
      <c r="AD85" s="370"/>
      <c r="AE85" s="371"/>
      <c r="AF85" s="374"/>
      <c r="AG85" s="375"/>
      <c r="AI85" s="204" t="s">
        <v>126</v>
      </c>
      <c r="AJ85" s="44"/>
      <c r="AK85" s="44"/>
      <c r="AL85" s="44"/>
      <c r="AM85" s="370">
        <v>0</v>
      </c>
      <c r="AN85" s="370"/>
      <c r="AO85" s="371"/>
      <c r="AP85" s="374"/>
      <c r="AQ85" s="375"/>
      <c r="AS85" s="204" t="s">
        <v>126</v>
      </c>
      <c r="AT85" s="44"/>
      <c r="AU85" s="44"/>
      <c r="AV85" s="44"/>
      <c r="AW85" s="370">
        <v>0</v>
      </c>
      <c r="AX85" s="370"/>
      <c r="AY85" s="371"/>
      <c r="AZ85" s="374"/>
      <c r="BA85" s="375"/>
      <c r="BC85" s="204" t="s">
        <v>126</v>
      </c>
      <c r="BD85" s="44"/>
      <c r="BE85" s="44"/>
      <c r="BF85" s="44"/>
      <c r="BG85" s="370">
        <v>0</v>
      </c>
      <c r="BH85" s="370"/>
      <c r="BI85" s="371"/>
      <c r="BJ85" s="374"/>
      <c r="BK85" s="375"/>
      <c r="BM85" s="204" t="s">
        <v>126</v>
      </c>
      <c r="BN85" s="44"/>
      <c r="BO85" s="44"/>
      <c r="BP85" s="44"/>
      <c r="BQ85" s="370">
        <v>0</v>
      </c>
      <c r="BR85" s="370"/>
      <c r="BS85" s="371"/>
      <c r="BT85" s="374"/>
      <c r="BU85" s="375"/>
      <c r="BW85" s="204" t="s">
        <v>126</v>
      </c>
      <c r="BX85" s="44"/>
      <c r="BY85" s="44"/>
      <c r="BZ85" s="44"/>
      <c r="CA85" s="370">
        <v>0</v>
      </c>
      <c r="CB85" s="370"/>
      <c r="CC85" s="371"/>
      <c r="CD85" s="374"/>
      <c r="CE85" s="375"/>
      <c r="CG85" s="204" t="s">
        <v>126</v>
      </c>
      <c r="CH85" s="44"/>
      <c r="CI85" s="44"/>
      <c r="CJ85" s="44"/>
      <c r="CK85" s="370">
        <v>0</v>
      </c>
      <c r="CL85" s="370"/>
      <c r="CM85" s="371"/>
      <c r="CN85" s="374"/>
      <c r="CO85" s="375"/>
      <c r="CQ85" s="204" t="s">
        <v>126</v>
      </c>
      <c r="CR85" s="44"/>
      <c r="CS85" s="44"/>
      <c r="CT85" s="44"/>
      <c r="CU85" s="370">
        <v>0</v>
      </c>
      <c r="CV85" s="370"/>
      <c r="CW85" s="371"/>
      <c r="CX85" s="374"/>
      <c r="CY85" s="375"/>
      <c r="DA85" s="204" t="s">
        <v>126</v>
      </c>
      <c r="DB85" s="44"/>
      <c r="DC85" s="44"/>
      <c r="DD85" s="44"/>
      <c r="DE85" s="370">
        <v>0</v>
      </c>
      <c r="DF85" s="370"/>
      <c r="DG85" s="371"/>
      <c r="DH85" s="374"/>
      <c r="DI85" s="375"/>
    </row>
    <row r="86" spans="1:113" s="43" customFormat="1" ht="15" customHeight="1" x14ac:dyDescent="0.2">
      <c r="A86" s="41"/>
      <c r="B86" s="65"/>
      <c r="C86" s="66"/>
      <c r="D86" s="66"/>
      <c r="E86" s="66"/>
      <c r="F86" s="66"/>
      <c r="G86" s="66"/>
      <c r="H86" s="66"/>
      <c r="I86" s="66"/>
      <c r="J86" s="66"/>
      <c r="K86" s="66"/>
      <c r="L86" s="66"/>
      <c r="M86" s="89"/>
      <c r="V86" s="374"/>
      <c r="W86" s="375"/>
      <c r="AF86" s="374"/>
      <c r="AG86" s="375"/>
      <c r="AP86" s="374"/>
      <c r="AQ86" s="375"/>
      <c r="AZ86" s="374"/>
      <c r="BA86" s="375"/>
      <c r="BJ86" s="374"/>
      <c r="BK86" s="375"/>
      <c r="BT86" s="374"/>
      <c r="BU86" s="375"/>
      <c r="CD86" s="374"/>
      <c r="CE86" s="375"/>
      <c r="CN86" s="374"/>
      <c r="CO86" s="375"/>
      <c r="CX86" s="374"/>
      <c r="CY86" s="375"/>
      <c r="DH86" s="374"/>
      <c r="DI86" s="375"/>
    </row>
    <row r="87" spans="1:113" s="43" customFormat="1" ht="15" customHeight="1" x14ac:dyDescent="0.2">
      <c r="A87" s="41"/>
      <c r="B87" s="65"/>
      <c r="C87" s="388" t="s">
        <v>127</v>
      </c>
      <c r="D87" s="389"/>
      <c r="E87" s="389"/>
      <c r="F87" s="389"/>
      <c r="G87" s="390"/>
      <c r="H87" s="390"/>
      <c r="I87" s="390"/>
      <c r="J87" s="390"/>
      <c r="K87" s="390"/>
      <c r="L87" s="391"/>
      <c r="M87" s="89"/>
      <c r="N87" s="41"/>
      <c r="O87" s="122" t="str">
        <f t="shared" ref="O87:O88" si="279">C87</f>
        <v>BEST PLAYER</v>
      </c>
      <c r="P87" s="379"/>
      <c r="Q87" s="379"/>
      <c r="R87" s="379"/>
      <c r="S87" s="379"/>
      <c r="T87" s="379"/>
      <c r="U87" s="380"/>
      <c r="V87" s="374"/>
      <c r="W87" s="375"/>
      <c r="X87" s="41"/>
      <c r="Y87" s="122" t="str">
        <f>O87</f>
        <v>BEST PLAYER</v>
      </c>
      <c r="Z87" s="379"/>
      <c r="AA87" s="379"/>
      <c r="AB87" s="379"/>
      <c r="AC87" s="379"/>
      <c r="AD87" s="379"/>
      <c r="AE87" s="380"/>
      <c r="AF87" s="374"/>
      <c r="AG87" s="375"/>
      <c r="AH87" s="41"/>
      <c r="AI87" s="122" t="str">
        <f t="shared" ref="AI87:AI88" si="280">Y87</f>
        <v>BEST PLAYER</v>
      </c>
      <c r="AJ87" s="379"/>
      <c r="AK87" s="379"/>
      <c r="AL87" s="379"/>
      <c r="AM87" s="379"/>
      <c r="AN87" s="379"/>
      <c r="AO87" s="380"/>
      <c r="AP87" s="374"/>
      <c r="AQ87" s="375"/>
      <c r="AR87" s="41"/>
      <c r="AS87" s="122" t="str">
        <f t="shared" ref="AS87:AS88" si="281">AI87</f>
        <v>BEST PLAYER</v>
      </c>
      <c r="AT87" s="379"/>
      <c r="AU87" s="379"/>
      <c r="AV87" s="379"/>
      <c r="AW87" s="379"/>
      <c r="AX87" s="379"/>
      <c r="AY87" s="380"/>
      <c r="AZ87" s="374"/>
      <c r="BA87" s="375"/>
      <c r="BB87" s="41"/>
      <c r="BC87" s="122" t="str">
        <f t="shared" ref="BC87:BC88" si="282">AS87</f>
        <v>BEST PLAYER</v>
      </c>
      <c r="BD87" s="379"/>
      <c r="BE87" s="379"/>
      <c r="BF87" s="379"/>
      <c r="BG87" s="379"/>
      <c r="BH87" s="379"/>
      <c r="BI87" s="380"/>
      <c r="BJ87" s="374"/>
      <c r="BK87" s="375"/>
      <c r="BL87" s="41"/>
      <c r="BM87" s="122" t="str">
        <f t="shared" ref="BM87:BM88" si="283">BC87</f>
        <v>BEST PLAYER</v>
      </c>
      <c r="BN87" s="379"/>
      <c r="BO87" s="379"/>
      <c r="BP87" s="379"/>
      <c r="BQ87" s="379"/>
      <c r="BR87" s="379"/>
      <c r="BS87" s="380"/>
      <c r="BT87" s="374"/>
      <c r="BU87" s="375"/>
      <c r="BV87" s="41"/>
      <c r="BW87" s="122" t="str">
        <f t="shared" ref="BW87:BW88" si="284">BM87</f>
        <v>BEST PLAYER</v>
      </c>
      <c r="BX87" s="379"/>
      <c r="BY87" s="379"/>
      <c r="BZ87" s="379"/>
      <c r="CA87" s="379"/>
      <c r="CB87" s="379"/>
      <c r="CC87" s="380"/>
      <c r="CD87" s="374"/>
      <c r="CE87" s="375"/>
      <c r="CF87" s="41"/>
      <c r="CG87" s="122" t="str">
        <f t="shared" ref="CG87:CG88" si="285">BW87</f>
        <v>BEST PLAYER</v>
      </c>
      <c r="CH87" s="379"/>
      <c r="CI87" s="379"/>
      <c r="CJ87" s="379"/>
      <c r="CK87" s="379"/>
      <c r="CL87" s="379"/>
      <c r="CM87" s="380"/>
      <c r="CN87" s="374"/>
      <c r="CO87" s="375"/>
      <c r="CP87" s="41"/>
      <c r="CQ87" s="122" t="str">
        <f t="shared" ref="CQ87:CQ88" si="286">CG87</f>
        <v>BEST PLAYER</v>
      </c>
      <c r="CR87" s="379"/>
      <c r="CS87" s="379"/>
      <c r="CT87" s="379"/>
      <c r="CU87" s="379"/>
      <c r="CV87" s="379"/>
      <c r="CW87" s="380"/>
      <c r="CX87" s="374"/>
      <c r="CY87" s="375"/>
      <c r="CZ87" s="41"/>
      <c r="DA87" s="122" t="str">
        <f t="shared" ref="DA87:DA88" si="287">CQ87</f>
        <v>BEST PLAYER</v>
      </c>
      <c r="DB87" s="379"/>
      <c r="DC87" s="379"/>
      <c r="DD87" s="379"/>
      <c r="DE87" s="379"/>
      <c r="DF87" s="379"/>
      <c r="DG87" s="380"/>
      <c r="DH87" s="374"/>
      <c r="DI87" s="375"/>
    </row>
    <row r="88" spans="1:113" s="43" customFormat="1" ht="15" customHeight="1" x14ac:dyDescent="0.2">
      <c r="A88" s="41"/>
      <c r="B88" s="65"/>
      <c r="C88" s="405" t="s">
        <v>128</v>
      </c>
      <c r="D88" s="406"/>
      <c r="E88" s="406"/>
      <c r="F88" s="406"/>
      <c r="G88" s="412"/>
      <c r="H88" s="412"/>
      <c r="I88" s="412"/>
      <c r="J88" s="412"/>
      <c r="K88" s="412"/>
      <c r="L88" s="413"/>
      <c r="M88" s="89"/>
      <c r="N88" s="41"/>
      <c r="O88" s="122" t="str">
        <f t="shared" si="279"/>
        <v>TOP SCORER</v>
      </c>
      <c r="P88" s="379"/>
      <c r="Q88" s="379"/>
      <c r="R88" s="379"/>
      <c r="S88" s="379"/>
      <c r="T88" s="379"/>
      <c r="U88" s="380"/>
      <c r="V88" s="376"/>
      <c r="W88" s="377"/>
      <c r="X88" s="41"/>
      <c r="Y88" s="122" t="str">
        <f>O88</f>
        <v>TOP SCORER</v>
      </c>
      <c r="Z88" s="379"/>
      <c r="AA88" s="379"/>
      <c r="AB88" s="379"/>
      <c r="AC88" s="379"/>
      <c r="AD88" s="379"/>
      <c r="AE88" s="380"/>
      <c r="AF88" s="376"/>
      <c r="AG88" s="377"/>
      <c r="AH88" s="41"/>
      <c r="AI88" s="122" t="str">
        <f t="shared" si="280"/>
        <v>TOP SCORER</v>
      </c>
      <c r="AJ88" s="379"/>
      <c r="AK88" s="379"/>
      <c r="AL88" s="379"/>
      <c r="AM88" s="379"/>
      <c r="AN88" s="379"/>
      <c r="AO88" s="380"/>
      <c r="AP88" s="376"/>
      <c r="AQ88" s="377"/>
      <c r="AR88" s="41"/>
      <c r="AS88" s="122" t="str">
        <f t="shared" si="281"/>
        <v>TOP SCORER</v>
      </c>
      <c r="AT88" s="379"/>
      <c r="AU88" s="379"/>
      <c r="AV88" s="379"/>
      <c r="AW88" s="379"/>
      <c r="AX88" s="379"/>
      <c r="AY88" s="380"/>
      <c r="AZ88" s="376"/>
      <c r="BA88" s="377"/>
      <c r="BB88" s="41"/>
      <c r="BC88" s="122" t="str">
        <f t="shared" si="282"/>
        <v>TOP SCORER</v>
      </c>
      <c r="BD88" s="379"/>
      <c r="BE88" s="379"/>
      <c r="BF88" s="379"/>
      <c r="BG88" s="379"/>
      <c r="BH88" s="379"/>
      <c r="BI88" s="380"/>
      <c r="BJ88" s="376"/>
      <c r="BK88" s="377"/>
      <c r="BL88" s="41"/>
      <c r="BM88" s="122" t="str">
        <f t="shared" si="283"/>
        <v>TOP SCORER</v>
      </c>
      <c r="BN88" s="379"/>
      <c r="BO88" s="379"/>
      <c r="BP88" s="379"/>
      <c r="BQ88" s="379"/>
      <c r="BR88" s="379"/>
      <c r="BS88" s="380"/>
      <c r="BT88" s="376"/>
      <c r="BU88" s="377"/>
      <c r="BV88" s="41"/>
      <c r="BW88" s="122" t="str">
        <f t="shared" si="284"/>
        <v>TOP SCORER</v>
      </c>
      <c r="BX88" s="379"/>
      <c r="BY88" s="379"/>
      <c r="BZ88" s="379"/>
      <c r="CA88" s="379"/>
      <c r="CB88" s="379"/>
      <c r="CC88" s="380"/>
      <c r="CD88" s="376"/>
      <c r="CE88" s="377"/>
      <c r="CF88" s="41"/>
      <c r="CG88" s="122" t="str">
        <f t="shared" si="285"/>
        <v>TOP SCORER</v>
      </c>
      <c r="CH88" s="379"/>
      <c r="CI88" s="379"/>
      <c r="CJ88" s="379"/>
      <c r="CK88" s="379"/>
      <c r="CL88" s="379"/>
      <c r="CM88" s="380"/>
      <c r="CN88" s="376"/>
      <c r="CO88" s="377"/>
      <c r="CP88" s="41"/>
      <c r="CQ88" s="122" t="str">
        <f t="shared" si="286"/>
        <v>TOP SCORER</v>
      </c>
      <c r="CR88" s="379"/>
      <c r="CS88" s="379"/>
      <c r="CT88" s="379"/>
      <c r="CU88" s="379"/>
      <c r="CV88" s="379"/>
      <c r="CW88" s="380"/>
      <c r="CX88" s="376"/>
      <c r="CY88" s="377"/>
      <c r="CZ88" s="41"/>
      <c r="DA88" s="122" t="str">
        <f t="shared" si="287"/>
        <v>TOP SCORER</v>
      </c>
      <c r="DB88" s="379"/>
      <c r="DC88" s="379"/>
      <c r="DD88" s="379"/>
      <c r="DE88" s="379"/>
      <c r="DF88" s="379"/>
      <c r="DG88" s="380"/>
      <c r="DH88" s="376"/>
      <c r="DI88" s="377"/>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59</v>
      </c>
      <c r="W90" s="41"/>
      <c r="AG90" s="41"/>
      <c r="AQ90" s="41"/>
      <c r="BA90" s="41"/>
      <c r="BK90" s="41"/>
      <c r="BU90" s="41"/>
      <c r="CE90" s="41"/>
      <c r="CO90" s="41"/>
      <c r="CY90" s="41"/>
      <c r="DI90" s="41"/>
    </row>
    <row r="91" spans="1:113" s="43" customFormat="1" ht="15" customHeight="1" x14ac:dyDescent="0.2">
      <c r="A91" s="41"/>
      <c r="B91" s="84" t="s">
        <v>129</v>
      </c>
      <c r="N91" s="84" t="s">
        <v>130</v>
      </c>
      <c r="W91" s="41"/>
      <c r="AG91" s="41"/>
      <c r="AQ91" s="41"/>
      <c r="BA91" s="41"/>
      <c r="BK91" s="41"/>
      <c r="BU91" s="41"/>
      <c r="CE91" s="41"/>
      <c r="CO91" s="41"/>
      <c r="CY91" s="41"/>
      <c r="DI91" s="41"/>
    </row>
    <row r="92" spans="1:113" s="43" customFormat="1" ht="15" customHeight="1" x14ac:dyDescent="0.2">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131</v>
      </c>
      <c r="C94" s="43" t="s">
        <v>136</v>
      </c>
      <c r="N94" s="199" t="s">
        <v>131</v>
      </c>
      <c r="O94" s="382" t="s">
        <v>137</v>
      </c>
      <c r="P94" s="382"/>
      <c r="Q94" s="382"/>
      <c r="R94" s="382"/>
      <c r="S94" s="382"/>
      <c r="T94" s="382"/>
      <c r="U94" s="382"/>
      <c r="V94" s="382"/>
      <c r="W94" s="382"/>
      <c r="AG94" s="41"/>
      <c r="AQ94" s="41"/>
      <c r="BA94" s="41"/>
      <c r="BK94" s="41"/>
      <c r="BU94" s="41"/>
      <c r="CE94" s="41"/>
      <c r="CO94" s="41"/>
      <c r="CY94" s="41"/>
      <c r="DI94" s="41"/>
    </row>
    <row r="95" spans="1:113" s="43" customFormat="1" ht="15" customHeight="1" x14ac:dyDescent="0.2">
      <c r="A95" s="41"/>
      <c r="C95" s="198"/>
      <c r="O95" s="382"/>
      <c r="P95" s="382"/>
      <c r="Q95" s="382"/>
      <c r="R95" s="382"/>
      <c r="S95" s="382"/>
      <c r="T95" s="382"/>
      <c r="U95" s="382"/>
      <c r="V95" s="382"/>
      <c r="W95" s="382"/>
      <c r="AG95" s="41"/>
      <c r="AQ95" s="41"/>
      <c r="BA95" s="41"/>
      <c r="BK95" s="41"/>
      <c r="BU95" s="41"/>
      <c r="CE95" s="41"/>
      <c r="CO95" s="41"/>
      <c r="CY95" s="41"/>
      <c r="DI95" s="41"/>
    </row>
    <row r="96" spans="1:113" s="43" customFormat="1" ht="15" customHeight="1" x14ac:dyDescent="0.2">
      <c r="A96" s="41"/>
      <c r="N96" s="199" t="s">
        <v>131</v>
      </c>
      <c r="O96" s="43" t="s">
        <v>138</v>
      </c>
      <c r="W96" s="41"/>
      <c r="AG96" s="41"/>
      <c r="AQ96" s="41"/>
      <c r="BA96" s="41"/>
      <c r="BK96" s="41"/>
      <c r="BU96" s="41"/>
      <c r="CE96" s="41"/>
      <c r="CO96" s="41"/>
      <c r="CY96" s="41"/>
      <c r="DI96" s="41"/>
    </row>
    <row r="97" spans="1:113" s="43" customFormat="1" ht="15" customHeight="1" x14ac:dyDescent="0.2">
      <c r="A97" s="41"/>
      <c r="B97" s="199" t="s">
        <v>131</v>
      </c>
      <c r="C97" s="381" t="s">
        <v>139</v>
      </c>
      <c r="D97" s="381"/>
      <c r="E97" s="381"/>
      <c r="F97" s="381"/>
      <c r="G97" s="381"/>
      <c r="H97" s="381"/>
      <c r="I97" s="381"/>
      <c r="J97" s="381"/>
      <c r="K97" s="381"/>
      <c r="L97" s="381"/>
      <c r="N97" s="199" t="s">
        <v>131</v>
      </c>
      <c r="O97" s="43" t="s">
        <v>140</v>
      </c>
      <c r="W97" s="41"/>
      <c r="AG97" s="41"/>
      <c r="AQ97" s="41"/>
      <c r="BA97" s="41"/>
      <c r="BK97" s="41"/>
      <c r="BU97" s="41"/>
      <c r="CE97" s="41"/>
      <c r="CO97" s="41"/>
      <c r="CY97" s="41"/>
      <c r="DI97" s="41"/>
    </row>
    <row r="98" spans="1:113" s="43" customFormat="1" ht="15" customHeight="1" x14ac:dyDescent="0.2">
      <c r="A98" s="41"/>
      <c r="C98" s="381"/>
      <c r="D98" s="381"/>
      <c r="E98" s="381"/>
      <c r="F98" s="381"/>
      <c r="G98" s="381"/>
      <c r="H98" s="381"/>
      <c r="I98" s="381"/>
      <c r="J98" s="381"/>
      <c r="K98" s="381"/>
      <c r="L98" s="381"/>
      <c r="N98" s="204" t="s">
        <v>141</v>
      </c>
      <c r="O98" s="44"/>
      <c r="P98" s="44"/>
      <c r="Q98" s="44"/>
      <c r="R98" s="44"/>
      <c r="W98" s="41"/>
      <c r="AG98" s="41"/>
      <c r="AQ98" s="41"/>
      <c r="BA98" s="41"/>
      <c r="BK98" s="41"/>
      <c r="BU98" s="41"/>
      <c r="CE98" s="41"/>
      <c r="CO98" s="41"/>
      <c r="CY98" s="41"/>
      <c r="DI98" s="41"/>
    </row>
    <row r="99" spans="1:113" s="43" customFormat="1" ht="15" customHeight="1" x14ac:dyDescent="0.2">
      <c r="A99" s="41"/>
      <c r="N99" s="199" t="s">
        <v>131</v>
      </c>
      <c r="O99" s="43" t="s">
        <v>142</v>
      </c>
      <c r="W99" s="41"/>
      <c r="AG99" s="41"/>
      <c r="AQ99" s="41"/>
      <c r="BA99" s="41"/>
      <c r="BK99" s="41"/>
      <c r="BU99" s="41"/>
      <c r="CE99" s="41"/>
      <c r="CO99" s="41"/>
      <c r="CY99" s="41"/>
      <c r="DI99" s="41"/>
    </row>
    <row r="100" spans="1:113" s="43" customFormat="1" ht="15" customHeight="1" x14ac:dyDescent="0.2">
      <c r="A100" s="41"/>
      <c r="N100" s="199" t="s">
        <v>131</v>
      </c>
      <c r="O100" s="382" t="s">
        <v>143</v>
      </c>
      <c r="P100" s="382"/>
      <c r="Q100" s="382"/>
      <c r="R100" s="382"/>
      <c r="S100" s="382"/>
      <c r="T100" s="382"/>
      <c r="U100" s="382"/>
      <c r="V100" s="382"/>
      <c r="W100" s="382"/>
      <c r="AG100" s="41"/>
      <c r="AQ100" s="41"/>
      <c r="BA100" s="41"/>
      <c r="BK100" s="41"/>
      <c r="BU100" s="41"/>
      <c r="CE100" s="41"/>
      <c r="CO100" s="41"/>
      <c r="CY100" s="41"/>
      <c r="DI100" s="41"/>
    </row>
    <row r="101" spans="1:113" s="43" customFormat="1" ht="15" customHeight="1" x14ac:dyDescent="0.2">
      <c r="A101" s="41"/>
      <c r="O101" s="382"/>
      <c r="P101" s="382"/>
      <c r="Q101" s="382"/>
      <c r="R101" s="382"/>
      <c r="S101" s="382"/>
      <c r="T101" s="382"/>
      <c r="U101" s="382"/>
      <c r="V101" s="382"/>
      <c r="W101" s="382"/>
      <c r="AG101" s="41"/>
      <c r="AQ101" s="41"/>
      <c r="BA101" s="41"/>
      <c r="BK101" s="41"/>
      <c r="BU101" s="41"/>
      <c r="CE101" s="41"/>
      <c r="CO101" s="41"/>
      <c r="CY101" s="41"/>
      <c r="DI101" s="41"/>
    </row>
    <row r="102" spans="1:113" s="43" customFormat="1" ht="15" customHeight="1" x14ac:dyDescent="0.2">
      <c r="A102" s="41"/>
      <c r="N102" s="199" t="s">
        <v>131</v>
      </c>
      <c r="O102" s="43" t="s">
        <v>144</v>
      </c>
      <c r="W102" s="41"/>
      <c r="AG102" s="41"/>
      <c r="AQ102" s="41"/>
      <c r="BA102" s="41"/>
      <c r="BK102" s="41"/>
      <c r="BU102" s="41"/>
      <c r="CE102" s="41"/>
      <c r="CO102" s="41"/>
      <c r="CY102" s="41"/>
      <c r="DI102" s="41"/>
    </row>
    <row r="103" spans="1:113" s="43" customFormat="1" ht="15" customHeight="1" x14ac:dyDescent="0.2">
      <c r="A103" s="41"/>
      <c r="N103" s="199" t="s">
        <v>131</v>
      </c>
      <c r="O103" s="43" t="s">
        <v>145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146</v>
      </c>
      <c r="N105" s="201" t="s">
        <v>146</v>
      </c>
      <c r="W105" s="41"/>
      <c r="AG105" s="41"/>
      <c r="AQ105" s="41"/>
      <c r="BA105" s="41"/>
      <c r="BK105" s="41"/>
      <c r="BU105" s="41"/>
      <c r="CE105" s="41"/>
      <c r="CO105" s="41"/>
      <c r="CY105" s="41"/>
      <c r="DI105" s="41"/>
    </row>
    <row r="106" spans="1:113" s="43" customFormat="1" ht="15" customHeight="1" x14ac:dyDescent="0.2">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
      <c r="A107" s="41"/>
      <c r="N107" s="170" t="s">
        <v>149</v>
      </c>
      <c r="O107" s="43" t="s">
        <v>150</v>
      </c>
      <c r="W107" s="41"/>
      <c r="AG107" s="41"/>
      <c r="AQ107" s="41"/>
      <c r="BA107" s="41"/>
      <c r="BK107" s="41"/>
      <c r="BU107" s="41"/>
      <c r="CE107" s="41"/>
      <c r="CO107" s="41"/>
      <c r="CY107" s="41"/>
      <c r="DI107" s="41"/>
    </row>
    <row r="108" spans="1:113" s="43" customFormat="1" ht="15" customHeight="1" x14ac:dyDescent="0.2">
      <c r="A108" s="41"/>
      <c r="N108" s="203" t="s">
        <v>149</v>
      </c>
      <c r="O108" s="43" t="s">
        <v>151</v>
      </c>
      <c r="W108" s="41"/>
      <c r="AG108" s="41"/>
      <c r="AQ108" s="41"/>
      <c r="BA108" s="41"/>
      <c r="BK108" s="41"/>
      <c r="BU108" s="41"/>
      <c r="CE108" s="41"/>
      <c r="CO108" s="41"/>
      <c r="CY108" s="41"/>
      <c r="DI108" s="41"/>
    </row>
    <row r="109" spans="1:113" s="43" customFormat="1" ht="15" customHeight="1" x14ac:dyDescent="0.2">
      <c r="A109" s="41"/>
      <c r="N109" s="170" t="s">
        <v>152</v>
      </c>
      <c r="O109" s="43" t="s">
        <v>153</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2" customWidth="1"/>
    <col min="2" max="2" width="3.85546875" style="302" customWidth="1"/>
    <col min="3" max="4" width="3.85546875" style="302" hidden="1" customWidth="1"/>
    <col min="5" max="5" width="6.85546875" style="303" hidden="1" customWidth="1"/>
    <col min="6" max="6" width="6.85546875" style="302" hidden="1" customWidth="1"/>
    <col min="7" max="7" width="21.85546875" style="302" customWidth="1"/>
    <col min="8" max="9" width="3.85546875" style="302" customWidth="1"/>
    <col min="10" max="10" width="21.85546875" style="302" customWidth="1"/>
    <col min="11" max="20" width="3.85546875" style="302" customWidth="1"/>
    <col min="21" max="21" width="3.85546875" style="304" customWidth="1"/>
    <col min="22" max="22" width="3.85546875" style="305" customWidth="1"/>
    <col min="23" max="24" width="3.85546875" style="302" customWidth="1"/>
    <col min="25" max="25" width="1.42578125" style="302" customWidth="1"/>
    <col min="26" max="28" width="3.85546875" style="302" customWidth="1"/>
    <col min="29" max="29" width="2.85546875" style="302" customWidth="1"/>
    <col min="30" max="31" width="3.85546875" style="302" customWidth="1"/>
    <col min="32" max="32" width="3" style="302" customWidth="1"/>
    <col min="33" max="97" width="9.140625" style="302" customWidth="1"/>
    <col min="98" max="16384" width="9.140625" style="302"/>
  </cols>
  <sheetData>
    <row r="1" spans="1:103" ht="14.45" customHeight="1" x14ac:dyDescent="0.25">
      <c r="A1" s="300"/>
      <c r="B1" s="301" t="s">
        <v>154</v>
      </c>
    </row>
    <row r="2" spans="1:103" ht="14.45" customHeight="1" x14ac:dyDescent="0.25"/>
    <row r="3" spans="1:103" ht="14.45" customHeight="1" x14ac:dyDescent="0.25">
      <c r="F3" s="306"/>
    </row>
    <row r="4" spans="1:103" s="300" customFormat="1" ht="14.45" customHeight="1" x14ac:dyDescent="0.25">
      <c r="L4" s="307"/>
      <c r="M4" s="307"/>
      <c r="AE4" s="302"/>
    </row>
    <row r="5" spans="1:103" s="300" customFormat="1" ht="14.45" customHeight="1" x14ac:dyDescent="0.25">
      <c r="E5" s="308"/>
      <c r="AC5" s="309"/>
      <c r="AE5" s="302"/>
    </row>
    <row r="6" spans="1:103" s="300" customFormat="1" ht="14.45" customHeight="1" x14ac:dyDescent="0.25">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5" customHeight="1" x14ac:dyDescent="0.25">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160</v>
      </c>
      <c r="Z7" s="307">
        <f>VLOOKUP(P7,'Dummy Table'!B4:G40,6,FALSE)</f>
        <v>2</v>
      </c>
      <c r="AA7" s="307">
        <f>X7-Z7</f>
        <v>6</v>
      </c>
      <c r="AB7" s="307">
        <f>U7*3+V7*1</f>
        <v>7</v>
      </c>
      <c r="AE7" s="302"/>
      <c r="AH7" s="314" t="str">
        <f>Matches!J8</f>
        <v>Scotland</v>
      </c>
      <c r="CY7" s="302"/>
    </row>
    <row r="8" spans="1:103" s="300" customFormat="1" ht="14.45" customHeight="1" x14ac:dyDescent="0.25">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160</v>
      </c>
      <c r="Z8" s="307">
        <f>VLOOKUP(P8,'Dummy Table'!B4:G40,6,FALSE)</f>
        <v>3</v>
      </c>
      <c r="AA8" s="307">
        <f t="shared" ref="AA8:AA10" si="1">X8-Z8</f>
        <v>2</v>
      </c>
      <c r="AB8" s="307">
        <f>U8*3+V8*1</f>
        <v>5</v>
      </c>
      <c r="AE8" s="302"/>
      <c r="AH8" s="314" t="str">
        <f>Matches!G9</f>
        <v>Hungary</v>
      </c>
      <c r="CY8" s="302"/>
    </row>
    <row r="9" spans="1:103" s="300" customFormat="1" ht="14.45" customHeight="1" x14ac:dyDescent="0.25">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160</v>
      </c>
      <c r="Z9" s="307">
        <f>VLOOKUP(P9,'Dummy Table'!B4:G40,6,FALSE)</f>
        <v>5</v>
      </c>
      <c r="AA9" s="307">
        <f t="shared" si="1"/>
        <v>-3</v>
      </c>
      <c r="AB9" s="307">
        <f>U9*3+V9*1</f>
        <v>3</v>
      </c>
      <c r="AE9" s="302"/>
      <c r="AH9" s="314" t="str">
        <f>Matches!J9</f>
        <v>Switzerland</v>
      </c>
      <c r="CY9" s="302"/>
    </row>
    <row r="10" spans="1:103" s="300" customFormat="1" ht="14.45" customHeight="1" x14ac:dyDescent="0.25">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160</v>
      </c>
      <c r="Z10" s="307">
        <f>VLOOKUP(P10,'Dummy Table'!B4:G40,6,FALSE)</f>
        <v>7</v>
      </c>
      <c r="AA10" s="307">
        <f t="shared" si="1"/>
        <v>-5</v>
      </c>
      <c r="AB10" s="307">
        <f>U10*3+V10*1</f>
        <v>1</v>
      </c>
      <c r="AE10" s="302"/>
      <c r="AH10" s="314" t="str">
        <f>Matches!G11</f>
        <v>Italy</v>
      </c>
      <c r="CY10" s="302"/>
    </row>
    <row r="11" spans="1:103" s="300" customFormat="1" ht="14.45" customHeight="1" x14ac:dyDescent="0.25">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5" customHeight="1" x14ac:dyDescent="0.25">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3</v>
      </c>
      <c r="U12" s="307">
        <f>VLOOKUP(P12,'Dummy Table'!B4:C40,2,FALSE)</f>
        <v>3</v>
      </c>
      <c r="V12" s="307">
        <f>VLOOKUP(P12,'Dummy Table'!B4:D40,3,FALSE)</f>
        <v>0</v>
      </c>
      <c r="W12" s="307">
        <f>VLOOKUP(P12,'Dummy Table'!B4:E40,4,FALSE)</f>
        <v>0</v>
      </c>
      <c r="X12" s="307">
        <f>VLOOKUP(P12,'Dummy Table'!B4:F40,5,FALSE)</f>
        <v>5</v>
      </c>
      <c r="Y12" s="307" t="s">
        <v>160</v>
      </c>
      <c r="Z12" s="307">
        <f>VLOOKUP(P12,'Dummy Table'!B4:G40,6,FALSE)</f>
        <v>0</v>
      </c>
      <c r="AA12" s="307">
        <f>X12-Z12</f>
        <v>5</v>
      </c>
      <c r="AB12" s="307">
        <f>U12*3+V12*1</f>
        <v>9</v>
      </c>
      <c r="AE12" s="302"/>
      <c r="AH12" s="314" t="str">
        <f>Matches!G10</f>
        <v>Spain</v>
      </c>
      <c r="CY12" s="302"/>
    </row>
    <row r="13" spans="1:103" s="300" customFormat="1" ht="14.45" customHeight="1" x14ac:dyDescent="0.25">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3</v>
      </c>
      <c r="U13" s="307">
        <f>VLOOKUP(P13,'Dummy Table'!B4:C40,2,FALSE)</f>
        <v>1</v>
      </c>
      <c r="V13" s="307">
        <f>VLOOKUP(P13,'Dummy Table'!B4:D40,3,FALSE)</f>
        <v>1</v>
      </c>
      <c r="W13" s="307">
        <f>VLOOKUP(P13,'Dummy Table'!B4:E40,4,FALSE)</f>
        <v>1</v>
      </c>
      <c r="X13" s="307">
        <f>VLOOKUP(P13,'Dummy Table'!B4:F40,5,FALSE)</f>
        <v>3</v>
      </c>
      <c r="Y13" s="307" t="s">
        <v>160</v>
      </c>
      <c r="Z13" s="307">
        <f>VLOOKUP(P13,'Dummy Table'!B4:G40,6,FALSE)</f>
        <v>3</v>
      </c>
      <c r="AA13" s="307">
        <f t="shared" ref="AA13:AA15" si="4">X13-Z13</f>
        <v>0</v>
      </c>
      <c r="AB13" s="307">
        <f>U13*3+V13*1</f>
        <v>4</v>
      </c>
      <c r="AE13" s="302"/>
      <c r="AH13" s="314" t="str">
        <f>Matches!J10</f>
        <v>Croatia</v>
      </c>
      <c r="CY13" s="302"/>
    </row>
    <row r="14" spans="1:103" s="300" customFormat="1" ht="14.45" customHeight="1" x14ac:dyDescent="0.25">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Croatia</v>
      </c>
      <c r="T14" s="307">
        <f t="shared" si="3"/>
        <v>3</v>
      </c>
      <c r="U14" s="307">
        <f>VLOOKUP(P14,'Dummy Table'!B4:C40,2,FALSE)</f>
        <v>0</v>
      </c>
      <c r="V14" s="307">
        <f>VLOOKUP(P14,'Dummy Table'!B4:D40,3,FALSE)</f>
        <v>2</v>
      </c>
      <c r="W14" s="307">
        <f>VLOOKUP(P14,'Dummy Table'!B4:E40,4,FALSE)</f>
        <v>1</v>
      </c>
      <c r="X14" s="307">
        <f>VLOOKUP(P14,'Dummy Table'!B4:F40,5,FALSE)</f>
        <v>3</v>
      </c>
      <c r="Y14" s="307" t="s">
        <v>160</v>
      </c>
      <c r="Z14" s="307">
        <f>VLOOKUP(P14,'Dummy Table'!B4:G40,6,FALSE)</f>
        <v>6</v>
      </c>
      <c r="AA14" s="307">
        <f t="shared" si="4"/>
        <v>-3</v>
      </c>
      <c r="AB14" s="307">
        <f>U14*3+V14*1</f>
        <v>2</v>
      </c>
      <c r="AE14" s="302"/>
      <c r="AH14" s="314" t="str">
        <f>Matches!G14</f>
        <v>Poland</v>
      </c>
      <c r="CY14" s="302"/>
    </row>
    <row r="15" spans="1:103" s="300" customFormat="1" ht="14.45" customHeight="1" x14ac:dyDescent="0.25">
      <c r="B15" s="300">
        <v>8</v>
      </c>
      <c r="C15" s="307">
        <v>8</v>
      </c>
      <c r="D15" s="307" t="s">
        <v>108</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Albania</v>
      </c>
      <c r="T15" s="307">
        <f t="shared" si="3"/>
        <v>3</v>
      </c>
      <c r="U15" s="307">
        <f>VLOOKUP(P15,'Dummy Table'!B4:C40,2,FALSE)</f>
        <v>0</v>
      </c>
      <c r="V15" s="307">
        <f>VLOOKUP(P15,'Dummy Table'!B4:D40,3,FALSE)</f>
        <v>1</v>
      </c>
      <c r="W15" s="307">
        <f>VLOOKUP(P15,'Dummy Table'!B4:E40,4,FALSE)</f>
        <v>2</v>
      </c>
      <c r="X15" s="307">
        <f>VLOOKUP(P15,'Dummy Table'!B4:F40,5,FALSE)</f>
        <v>3</v>
      </c>
      <c r="Y15" s="307" t="s">
        <v>160</v>
      </c>
      <c r="Z15" s="307">
        <f>VLOOKUP(P15,'Dummy Table'!B4:G40,6,FALSE)</f>
        <v>5</v>
      </c>
      <c r="AA15" s="307">
        <f t="shared" si="4"/>
        <v>-2</v>
      </c>
      <c r="AB15" s="307">
        <f>U15*3+V15*1</f>
        <v>1</v>
      </c>
      <c r="AE15" s="302"/>
      <c r="AH15" s="314" t="str">
        <f>Matches!J14</f>
        <v>Netherlands</v>
      </c>
      <c r="CY15" s="302"/>
    </row>
    <row r="16" spans="1:103" s="300" customFormat="1" ht="14.45" customHeight="1" x14ac:dyDescent="0.25">
      <c r="B16" s="300">
        <v>9</v>
      </c>
      <c r="C16" s="307">
        <v>9</v>
      </c>
      <c r="D16" s="307" t="s">
        <v>109</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5" customHeight="1" x14ac:dyDescent="0.25">
      <c r="B17" s="300">
        <v>10</v>
      </c>
      <c r="C17" s="307">
        <v>10</v>
      </c>
      <c r="D17" s="307" t="s">
        <v>109</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160</v>
      </c>
      <c r="Z17" s="307">
        <f>VLOOKUP(P17,'Dummy Table'!B4:G40,6,FALSE)</f>
        <v>1</v>
      </c>
      <c r="AA17" s="307">
        <f>X17-Z17</f>
        <v>1</v>
      </c>
      <c r="AB17" s="307">
        <f>U17*3+V17*1</f>
        <v>4</v>
      </c>
      <c r="AE17" s="302"/>
      <c r="AH17" s="314" t="str">
        <f>Matches!J13</f>
        <v>Denmark</v>
      </c>
      <c r="CY17" s="302"/>
    </row>
    <row r="18" spans="2:103" s="300" customFormat="1" ht="14.45" customHeight="1" x14ac:dyDescent="0.25">
      <c r="B18" s="300">
        <v>11</v>
      </c>
      <c r="C18" s="307">
        <v>11</v>
      </c>
      <c r="D18" s="307" t="s">
        <v>110</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160</v>
      </c>
      <c r="Z18" s="307">
        <f>VLOOKUP(P18,'Dummy Table'!B4:G40,6,FALSE)</f>
        <v>2</v>
      </c>
      <c r="AA18" s="307">
        <f t="shared" ref="AA18:AA20" si="6">X18-Z18</f>
        <v>0</v>
      </c>
      <c r="AB18" s="307">
        <f>U18*3+V18*1</f>
        <v>2</v>
      </c>
      <c r="AE18" s="302"/>
      <c r="AH18" s="314" t="str">
        <f>Matches!G15</f>
        <v>Austria</v>
      </c>
      <c r="CY18" s="302"/>
    </row>
    <row r="19" spans="2:103" s="300" customFormat="1" ht="14.45" customHeight="1" x14ac:dyDescent="0.25">
      <c r="B19" s="300">
        <v>12</v>
      </c>
      <c r="C19" s="307">
        <v>12</v>
      </c>
      <c r="D19" s="307" t="s">
        <v>110</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160</v>
      </c>
      <c r="Z19" s="307">
        <f>VLOOKUP(P19,'Dummy Table'!B4:G40,6,FALSE)</f>
        <v>2</v>
      </c>
      <c r="AA19" s="307">
        <f t="shared" si="6"/>
        <v>0</v>
      </c>
      <c r="AB19" s="307">
        <f>U19*3+V19*1</f>
        <v>2</v>
      </c>
      <c r="AE19" s="302"/>
      <c r="AH19" s="314" t="str">
        <f>Matches!J15</f>
        <v>France</v>
      </c>
      <c r="CY19" s="302"/>
    </row>
    <row r="20" spans="2:103" s="300" customFormat="1" ht="14.45" customHeight="1" x14ac:dyDescent="0.25">
      <c r="B20" s="300">
        <v>13</v>
      </c>
      <c r="C20" s="307">
        <v>13</v>
      </c>
      <c r="D20" s="307" t="s">
        <v>106</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160</v>
      </c>
      <c r="Z20" s="307">
        <f>VLOOKUP(P20,'Dummy Table'!B4:G40,6,FALSE)</f>
        <v>2</v>
      </c>
      <c r="AA20" s="307">
        <f t="shared" si="6"/>
        <v>-1</v>
      </c>
      <c r="AB20" s="307">
        <f>U20*3+V20*1</f>
        <v>1</v>
      </c>
      <c r="AE20" s="302"/>
      <c r="AH20" s="314" t="str">
        <f>Matches!G12</f>
        <v>Serbia</v>
      </c>
      <c r="CY20" s="302"/>
    </row>
    <row r="21" spans="2:103" s="300" customFormat="1" ht="14.45" customHeight="1" x14ac:dyDescent="0.25">
      <c r="B21" s="300">
        <v>14</v>
      </c>
      <c r="C21" s="307">
        <v>14</v>
      </c>
      <c r="D21" s="307" t="s">
        <v>105</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5" customHeight="1" x14ac:dyDescent="0.25">
      <c r="B22" s="300">
        <v>15</v>
      </c>
      <c r="C22" s="307">
        <v>15</v>
      </c>
      <c r="D22" s="307" t="s">
        <v>105</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Austria</v>
      </c>
      <c r="T22" s="307">
        <f>SUM(U22:W22)</f>
        <v>3</v>
      </c>
      <c r="U22" s="307">
        <f>VLOOKUP(P22,'Dummy Table'!B4:C40,2,FALSE)</f>
        <v>2</v>
      </c>
      <c r="V22" s="307">
        <f>VLOOKUP(P22,'Dummy Table'!B4:D40,3,FALSE)</f>
        <v>0</v>
      </c>
      <c r="W22" s="307">
        <f>VLOOKUP(P22,'Dummy Table'!B4:E40,4,FALSE)</f>
        <v>1</v>
      </c>
      <c r="X22" s="307">
        <f>VLOOKUP(P22,'Dummy Table'!B4:F40,5,FALSE)</f>
        <v>6</v>
      </c>
      <c r="Y22" s="307" t="s">
        <v>160</v>
      </c>
      <c r="Z22" s="307">
        <f>VLOOKUP(P22,'Dummy Table'!B4:G40,6,FALSE)</f>
        <v>4</v>
      </c>
      <c r="AA22" s="307">
        <f>X22-Z22</f>
        <v>2</v>
      </c>
      <c r="AB22" s="307">
        <f>U22*3+V22*1</f>
        <v>6</v>
      </c>
      <c r="AE22" s="302"/>
      <c r="AH22" s="314" t="str">
        <f>Matches!G17</f>
        <v>Romania</v>
      </c>
      <c r="CY22" s="302"/>
    </row>
    <row r="23" spans="2:103" s="300" customFormat="1" ht="14.45" customHeight="1" x14ac:dyDescent="0.25">
      <c r="B23" s="300">
        <v>16</v>
      </c>
      <c r="C23" s="307">
        <v>16</v>
      </c>
      <c r="D23" s="307" t="s">
        <v>107</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3</v>
      </c>
      <c r="U23" s="307">
        <f>VLOOKUP(P23,'Dummy Table'!B4:C40,2,FALSE)</f>
        <v>1</v>
      </c>
      <c r="V23" s="307">
        <f>VLOOKUP(P23,'Dummy Table'!B4:D40,3,FALSE)</f>
        <v>2</v>
      </c>
      <c r="W23" s="307">
        <f>VLOOKUP(P23,'Dummy Table'!B4:E40,4,FALSE)</f>
        <v>0</v>
      </c>
      <c r="X23" s="307">
        <f>VLOOKUP(P23,'Dummy Table'!B4:F40,5,FALSE)</f>
        <v>2</v>
      </c>
      <c r="Y23" s="307" t="s">
        <v>160</v>
      </c>
      <c r="Z23" s="307">
        <f>VLOOKUP(P23,'Dummy Table'!B4:G40,6,FALSE)</f>
        <v>1</v>
      </c>
      <c r="AA23" s="307">
        <f t="shared" ref="AA23:AA25" si="8">X23-Z23</f>
        <v>1</v>
      </c>
      <c r="AB23" s="307">
        <f>U23*3+V23*1</f>
        <v>5</v>
      </c>
      <c r="AE23" s="302"/>
      <c r="AH23" s="314" t="str">
        <f>Matches!J17</f>
        <v>Ukraine</v>
      </c>
      <c r="CY23" s="302"/>
    </row>
    <row r="24" spans="2:103" s="300" customFormat="1" ht="14.45" customHeight="1" x14ac:dyDescent="0.25">
      <c r="B24" s="300">
        <v>17</v>
      </c>
      <c r="C24" s="307">
        <v>17</v>
      </c>
      <c r="D24" s="307" t="s">
        <v>106</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Netherlands</v>
      </c>
      <c r="T24" s="307">
        <f t="shared" si="7"/>
        <v>3</v>
      </c>
      <c r="U24" s="307">
        <f>VLOOKUP(P24,'Dummy Table'!B4:C40,2,FALSE)</f>
        <v>1</v>
      </c>
      <c r="V24" s="307">
        <f>VLOOKUP(P24,'Dummy Table'!B4:D40,3,FALSE)</f>
        <v>1</v>
      </c>
      <c r="W24" s="307">
        <f>VLOOKUP(P24,'Dummy Table'!B4:E40,4,FALSE)</f>
        <v>1</v>
      </c>
      <c r="X24" s="307">
        <f>VLOOKUP(P24,'Dummy Table'!B4:F40,5,FALSE)</f>
        <v>4</v>
      </c>
      <c r="Y24" s="307" t="s">
        <v>160</v>
      </c>
      <c r="Z24" s="307">
        <f>VLOOKUP(P24,'Dummy Table'!B4:G40,6,FALSE)</f>
        <v>4</v>
      </c>
      <c r="AA24" s="307">
        <f t="shared" si="8"/>
        <v>0</v>
      </c>
      <c r="AB24" s="307">
        <f>U24*3+V24*1</f>
        <v>4</v>
      </c>
      <c r="AE24" s="302"/>
      <c r="AH24" s="314" t="str">
        <f>Matches!G16</f>
        <v>Belgium</v>
      </c>
      <c r="CY24" s="302"/>
    </row>
    <row r="25" spans="2:103" s="300" customFormat="1" ht="14.45" customHeight="1" x14ac:dyDescent="0.25">
      <c r="B25" s="300">
        <v>18</v>
      </c>
      <c r="C25" s="307">
        <v>18</v>
      </c>
      <c r="D25" s="307" t="s">
        <v>107</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3</v>
      </c>
      <c r="U25" s="307">
        <f>VLOOKUP(P25,'Dummy Table'!B4:C40,2,FALSE)</f>
        <v>0</v>
      </c>
      <c r="V25" s="307">
        <f>VLOOKUP(P25,'Dummy Table'!B4:D40,3,FALSE)</f>
        <v>1</v>
      </c>
      <c r="W25" s="307">
        <f>VLOOKUP(P25,'Dummy Table'!B4:E40,4,FALSE)</f>
        <v>2</v>
      </c>
      <c r="X25" s="307">
        <f>VLOOKUP(P25,'Dummy Table'!B4:F40,5,FALSE)</f>
        <v>3</v>
      </c>
      <c r="Y25" s="307" t="s">
        <v>160</v>
      </c>
      <c r="Z25" s="307">
        <f>VLOOKUP(P25,'Dummy Table'!B4:G40,6,FALSE)</f>
        <v>6</v>
      </c>
      <c r="AA25" s="307">
        <f t="shared" si="8"/>
        <v>-3</v>
      </c>
      <c r="AB25" s="307">
        <f>U25*3+V25*1</f>
        <v>1</v>
      </c>
      <c r="AE25" s="302"/>
      <c r="AH25" s="314" t="str">
        <f>Matches!J16</f>
        <v>Slovakia</v>
      </c>
      <c r="CY25" s="302"/>
    </row>
    <row r="26" spans="2:103" s="300" customFormat="1" ht="14.45" customHeight="1" x14ac:dyDescent="0.25">
      <c r="B26" s="300">
        <v>19</v>
      </c>
      <c r="C26" s="307">
        <v>19</v>
      </c>
      <c r="D26" s="307" t="s">
        <v>109</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5" customHeight="1" x14ac:dyDescent="0.25">
      <c r="B27" s="300">
        <v>20</v>
      </c>
      <c r="C27" s="307">
        <v>20</v>
      </c>
      <c r="D27" s="307" t="s">
        <v>108</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160</v>
      </c>
      <c r="Z27" s="307">
        <f>VLOOKUP(P27,'Dummy Table'!B4:G40,6,FALSE)</f>
        <v>2</v>
      </c>
      <c r="AA27" s="307">
        <f>X27-Z27</f>
        <v>1</v>
      </c>
      <c r="AB27" s="307">
        <f>U27*3+V27*1</f>
        <v>3</v>
      </c>
      <c r="AE27" s="302"/>
      <c r="AH27" s="314" t="str">
        <f>Matches!J19</f>
        <v>Czechia</v>
      </c>
      <c r="CY27" s="302"/>
    </row>
    <row r="28" spans="2:103" s="300" customFormat="1" ht="14.45" customHeight="1" x14ac:dyDescent="0.25">
      <c r="B28" s="300">
        <v>21</v>
      </c>
      <c r="C28" s="307">
        <v>21</v>
      </c>
      <c r="D28" s="307" t="s">
        <v>108</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160</v>
      </c>
      <c r="Z28" s="307">
        <f>VLOOKUP(P28,'Dummy Table'!B4:G40,6,FALSE)</f>
        <v>1</v>
      </c>
      <c r="AA28" s="307">
        <f t="shared" ref="AA28:AA30" si="10">X28-Z28</f>
        <v>1</v>
      </c>
      <c r="AB28" s="307">
        <f>U28*3+V28*1</f>
        <v>3</v>
      </c>
      <c r="AE28" s="302"/>
      <c r="AH28" s="314" t="str">
        <f>Matches!G18</f>
        <v>Türkiye</v>
      </c>
      <c r="CY28" s="302"/>
    </row>
    <row r="29" spans="2:103" s="300" customFormat="1" ht="14.45" customHeight="1" x14ac:dyDescent="0.25">
      <c r="B29" s="300">
        <v>22</v>
      </c>
      <c r="C29" s="307">
        <v>22</v>
      </c>
      <c r="D29" s="307" t="s">
        <v>110</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160</v>
      </c>
      <c r="Z29" s="307">
        <f>VLOOKUP(P29,'Dummy Table'!B4:G40,6,FALSE)</f>
        <v>2</v>
      </c>
      <c r="AA29" s="307">
        <f t="shared" si="10"/>
        <v>0</v>
      </c>
      <c r="AB29" s="307">
        <f>U29*3+V29*1</f>
        <v>3</v>
      </c>
      <c r="AE29" s="302"/>
      <c r="AH29" s="314" t="str">
        <f>Matches!J18</f>
        <v>Georgia</v>
      </c>
      <c r="CY29" s="302"/>
    </row>
    <row r="30" spans="2:103" s="300" customFormat="1" ht="14.45" customHeight="1" x14ac:dyDescent="0.25">
      <c r="B30" s="300">
        <v>23</v>
      </c>
      <c r="C30" s="307">
        <v>23</v>
      </c>
      <c r="D30" s="307" t="s">
        <v>110</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160</v>
      </c>
      <c r="Z30" s="307">
        <f>VLOOKUP(P30,'Dummy Table'!B4:G40,6,FALSE)</f>
        <v>4</v>
      </c>
      <c r="AA30" s="307">
        <f t="shared" si="10"/>
        <v>-2</v>
      </c>
      <c r="AB30" s="307">
        <f>U30*3+V30*1</f>
        <v>3</v>
      </c>
      <c r="AE30" s="302"/>
      <c r="CY30" s="302"/>
    </row>
    <row r="31" spans="2:103" s="300" customFormat="1" ht="14.45" customHeight="1" x14ac:dyDescent="0.25">
      <c r="B31" s="300">
        <v>24</v>
      </c>
      <c r="C31" s="307">
        <v>24</v>
      </c>
      <c r="D31" s="307" t="s">
        <v>109</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5" customHeight="1" x14ac:dyDescent="0.25">
      <c r="B32" s="300">
        <v>25</v>
      </c>
      <c r="C32" s="307">
        <v>25</v>
      </c>
      <c r="D32" s="307" t="s">
        <v>105</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160</v>
      </c>
      <c r="Z32" s="307">
        <f>VLOOKUP(P32,'Dummy Table'!B4:G40,6,FALSE)</f>
        <v>1</v>
      </c>
      <c r="AA32" s="307">
        <f>X32-Z32</f>
        <v>4</v>
      </c>
      <c r="AB32" s="307">
        <f>U32*3+V32*1</f>
        <v>6</v>
      </c>
      <c r="AE32" s="302"/>
      <c r="CY32" s="302"/>
    </row>
    <row r="33" spans="2:103" s="300" customFormat="1" ht="14.45" customHeight="1" x14ac:dyDescent="0.25">
      <c r="B33" s="300">
        <v>26</v>
      </c>
      <c r="C33" s="307">
        <v>26</v>
      </c>
      <c r="D33" s="307" t="s">
        <v>105</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160</v>
      </c>
      <c r="Z33" s="307">
        <f>VLOOKUP(P33,'Dummy Table'!B4:G40,6,FALSE)</f>
        <v>4</v>
      </c>
      <c r="AA33" s="307">
        <f t="shared" ref="AA33:AA35" si="12">X33-Z33</f>
        <v>-1</v>
      </c>
      <c r="AB33" s="307">
        <f>U33*3+V33*1</f>
        <v>3</v>
      </c>
      <c r="AE33" s="302"/>
      <c r="CY33" s="302"/>
    </row>
    <row r="34" spans="2:103" s="300" customFormat="1" ht="14.45" customHeight="1" x14ac:dyDescent="0.25">
      <c r="B34" s="300">
        <v>27</v>
      </c>
      <c r="C34" s="307">
        <v>27</v>
      </c>
      <c r="D34" s="307" t="s">
        <v>107</v>
      </c>
      <c r="E34" s="317">
        <f t="shared" si="2"/>
        <v>44368.75</v>
      </c>
      <c r="F34" s="316">
        <v>44368.75</v>
      </c>
      <c r="G34" s="311" t="str">
        <f>J11</f>
        <v>Albania</v>
      </c>
      <c r="H34" s="307">
        <f>IF('Player Game Board'!H36&lt;&gt;"",'Player Game Board'!H36,"")</f>
        <v>0</v>
      </c>
      <c r="I34" s="307">
        <f>IF('Player Game Board'!I36&lt;&gt;"",'Player Game Board'!I36,"")</f>
        <v>1</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160</v>
      </c>
      <c r="Z34" s="307">
        <f>VLOOKUP(P34,'Dummy Table'!B4:G40,6,FALSE)</f>
        <v>3</v>
      </c>
      <c r="AA34" s="307">
        <f t="shared" si="12"/>
        <v>-1</v>
      </c>
      <c r="AB34" s="307">
        <f>U34*3+V34*1</f>
        <v>1</v>
      </c>
      <c r="AE34" s="302"/>
      <c r="CY34" s="302"/>
    </row>
    <row r="35" spans="2:103" s="300" customFormat="1" ht="14.45" customHeight="1" x14ac:dyDescent="0.25">
      <c r="B35" s="300">
        <v>28</v>
      </c>
      <c r="C35" s="307">
        <v>28</v>
      </c>
      <c r="D35" s="307" t="s">
        <v>107</v>
      </c>
      <c r="E35" s="317">
        <f t="shared" si="2"/>
        <v>44368.75</v>
      </c>
      <c r="F35" s="316">
        <v>44368.75</v>
      </c>
      <c r="G35" s="311" t="str">
        <f>J10</f>
        <v>Croatia</v>
      </c>
      <c r="H35" s="307">
        <f>IF('Player Game Board'!H37&lt;&gt;"",'Player Game Board'!H37,"")</f>
        <v>1</v>
      </c>
      <c r="I35" s="307">
        <f>IF('Player Game Board'!I37&lt;&gt;"",'Player Game Board'!I37,"")</f>
        <v>1</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160</v>
      </c>
      <c r="Z35" s="307">
        <f>VLOOKUP(P35,'Dummy Table'!B4:G40,6,FALSE)</f>
        <v>4</v>
      </c>
      <c r="AA35" s="307">
        <f t="shared" si="12"/>
        <v>-2</v>
      </c>
      <c r="AB35" s="307">
        <f>U35*3+V35*1</f>
        <v>1</v>
      </c>
      <c r="AE35" s="302"/>
      <c r="CY35" s="302"/>
    </row>
    <row r="36" spans="2:103" s="300" customFormat="1" ht="14.45" customHeight="1" x14ac:dyDescent="0.25">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5" customHeight="1" x14ac:dyDescent="0.25">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5" customHeight="1" x14ac:dyDescent="0.25">
      <c r="B38" s="300">
        <v>31</v>
      </c>
      <c r="C38" s="307">
        <v>31</v>
      </c>
      <c r="D38" s="307" t="s">
        <v>108</v>
      </c>
      <c r="E38" s="317">
        <f t="shared" si="2"/>
        <v>44369.875</v>
      </c>
      <c r="F38" s="316">
        <v>44369.875</v>
      </c>
      <c r="G38" s="311" t="str">
        <f t="shared" si="13"/>
        <v>Netherlands</v>
      </c>
      <c r="H38" s="307">
        <f>IF('Player Game Board'!H40&lt;&gt;"",'Player Game Board'!H40,"")</f>
        <v>2</v>
      </c>
      <c r="I38" s="307">
        <f>IF('Player Game Board'!I40&lt;&gt;"",'Player Game Board'!I40,"")</f>
        <v>3</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5" customHeight="1" x14ac:dyDescent="0.25">
      <c r="B39" s="300">
        <v>32</v>
      </c>
      <c r="C39" s="307">
        <v>32</v>
      </c>
      <c r="D39" s="307" t="s">
        <v>108</v>
      </c>
      <c r="E39" s="317">
        <f t="shared" si="2"/>
        <v>44369.875</v>
      </c>
      <c r="F39" s="316">
        <v>44369.875</v>
      </c>
      <c r="G39" s="311" t="str">
        <f t="shared" si="13"/>
        <v>France</v>
      </c>
      <c r="H39" s="307">
        <f>IF('Player Game Board'!H41&lt;&gt;"",'Player Game Board'!H41,"")</f>
        <v>1</v>
      </c>
      <c r="I39" s="307">
        <f>IF('Player Game Board'!I41&lt;&gt;"",'Player Game Board'!I41,"")</f>
        <v>1</v>
      </c>
      <c r="J39" s="300" t="str">
        <f>G14</f>
        <v>Poland</v>
      </c>
      <c r="O39" s="307">
        <v>1</v>
      </c>
      <c r="P39" s="312" t="str">
        <f>INDEX('Dummy Table'!DH3:DH8,MATCH(Matches!O39,'Dummy Table'!DU3:DU8,0),0)</f>
        <v>Netherlands</v>
      </c>
      <c r="Q39" s="312"/>
      <c r="R39" s="312"/>
      <c r="S39" s="312"/>
      <c r="T39" s="307">
        <f>VLOOKUP(P39,P7:AB35,5,FALSE)</f>
        <v>3</v>
      </c>
      <c r="U39" s="307">
        <f>VLOOKUP(P39,P7:AB35,6,FALSE)</f>
        <v>1</v>
      </c>
      <c r="V39" s="307">
        <f>VLOOKUP(P39,P7:AB35,7,FALSE)</f>
        <v>1</v>
      </c>
      <c r="W39" s="307">
        <f>VLOOKUP(P39,P7:AB35,8,FALSE)</f>
        <v>1</v>
      </c>
      <c r="X39" s="307">
        <f>VLOOKUP(P39,P7:AB35,9,FALSE)</f>
        <v>4</v>
      </c>
      <c r="Y39" s="307" t="s">
        <v>160</v>
      </c>
      <c r="Z39" s="307">
        <f>VLOOKUP(P39,P7:AB35,11,FALSE)</f>
        <v>4</v>
      </c>
      <c r="AA39" s="307">
        <f>VLOOKUP(P39,P7:AB35,12,FALSE)</f>
        <v>0</v>
      </c>
      <c r="AB39" s="307">
        <f>VLOOKUP(P39,P7:AB35,13,FALSE)</f>
        <v>4</v>
      </c>
      <c r="AC39" s="307" t="str">
        <f>INDEX('Dummy Table'!DV3:DV8,MATCH(Matches!O39,'Dummy Table'!DU3:DU8,0),0)</f>
        <v>D</v>
      </c>
      <c r="AE39" s="302"/>
      <c r="CY39" s="302"/>
    </row>
    <row r="40" spans="2:103" s="300" customFormat="1" ht="14.45" customHeight="1" x14ac:dyDescent="0.25">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160</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5" customHeight="1" x14ac:dyDescent="0.25">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160</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45" customHeight="1" x14ac:dyDescent="0.25">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160</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45" customHeight="1" x14ac:dyDescent="0.25">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Croatia</v>
      </c>
      <c r="Q43" s="312"/>
      <c r="R43" s="312"/>
      <c r="S43" s="312"/>
      <c r="T43" s="307">
        <f>VLOOKUP(P43,P7:AB35,5,FALSE)</f>
        <v>3</v>
      </c>
      <c r="U43" s="307">
        <f>VLOOKUP(P43,P7:AB35,6,FALSE)</f>
        <v>0</v>
      </c>
      <c r="V43" s="307">
        <f>VLOOKUP(P43,P7:AB35,7,FALSE)</f>
        <v>2</v>
      </c>
      <c r="W43" s="307">
        <f>VLOOKUP(P43,P7:AB35,8,FALSE)</f>
        <v>1</v>
      </c>
      <c r="X43" s="307">
        <f>VLOOKUP(P43,P7:AB35,9,FALSE)</f>
        <v>3</v>
      </c>
      <c r="Y43" s="307" t="s">
        <v>160</v>
      </c>
      <c r="Z43" s="307">
        <f>VLOOKUP(P43,P7:AB35,11,FALSE)</f>
        <v>6</v>
      </c>
      <c r="AA43" s="307">
        <f>VLOOKUP(P43,P7:AB35,12,FALSE)</f>
        <v>-3</v>
      </c>
      <c r="AB43" s="307">
        <f>VLOOKUP(P43,P7:AB35,13,FALSE)</f>
        <v>2</v>
      </c>
      <c r="AC43" s="307" t="str">
        <f>INDEX('Dummy Table'!DV3:DV8,MATCH(Matches!O43,'Dummy Table'!DU3:DU8,0),0)</f>
        <v>B</v>
      </c>
      <c r="AE43" s="302"/>
      <c r="CY43" s="302"/>
    </row>
    <row r="44" spans="2:103" s="300" customFormat="1" ht="14.45" customHeight="1" x14ac:dyDescent="0.25">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160</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45" customHeight="1" x14ac:dyDescent="0.25">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Italy</v>
      </c>
      <c r="AC45" s="309"/>
      <c r="AE45" s="302"/>
      <c r="CV45" s="302"/>
    </row>
    <row r="46" spans="2:103" s="300" customFormat="1" ht="14.45" customHeight="1" x14ac:dyDescent="0.25">
      <c r="B46" s="300">
        <v>39</v>
      </c>
      <c r="E46" s="317">
        <f t="shared" si="15"/>
        <v>44374.75</v>
      </c>
      <c r="F46" s="316">
        <v>44374.75</v>
      </c>
      <c r="G46" s="311" t="str">
        <f>IF(SUM(T12:T15)=12,P12,'Language Table'!C52)</f>
        <v>Spain</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5" customHeight="1" x14ac:dyDescent="0.25">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5" customHeight="1" x14ac:dyDescent="0.25">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5" customHeight="1" x14ac:dyDescent="0.25">
      <c r="B49" s="300">
        <v>42</v>
      </c>
      <c r="E49" s="317">
        <f t="shared" si="15"/>
        <v>44375.875</v>
      </c>
      <c r="F49" s="316">
        <v>44375.875</v>
      </c>
      <c r="G49" s="318" t="str">
        <f>IF(SUM(T22:T25)=12,P23,'Language Table'!C60)</f>
        <v>France</v>
      </c>
      <c r="H49" s="307" t="str">
        <f>IF('Player Game Board'!H66&lt;&gt;"",'Player Game Board'!H66,"")</f>
        <v/>
      </c>
      <c r="I49" s="307" t="str">
        <f>IF('Player Game Board'!I66&lt;&gt;"",'Player Game Board'!I66,"")</f>
        <v/>
      </c>
      <c r="J49" s="302" t="str">
        <f>IF(SUM(T27:T30)=12,P28,'Language Table'!C61)</f>
        <v>Group E Runner Up</v>
      </c>
      <c r="V49" s="306"/>
    </row>
    <row r="50" spans="2:22" ht="14.45" customHeight="1" x14ac:dyDescent="0.25">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5" customHeight="1" x14ac:dyDescent="0.25">
      <c r="B51" s="300">
        <v>44</v>
      </c>
      <c r="E51" s="317">
        <f t="shared" si="15"/>
        <v>44376.875</v>
      </c>
      <c r="F51" s="316">
        <v>44376.875</v>
      </c>
      <c r="G51" s="318" t="str">
        <f>IF(SUM(T22:T25)=12,P22,'Language Table'!C54)</f>
        <v>Austria</v>
      </c>
      <c r="H51" s="307" t="str">
        <f>IF('Player Game Board'!H68&lt;&gt;"",'Player Game Board'!H68,"")</f>
        <v/>
      </c>
      <c r="I51" s="307" t="str">
        <f>IF('Player Game Board'!I68&lt;&gt;"",'Player Game Board'!I68,"")</f>
        <v/>
      </c>
      <c r="J51" s="302" t="str">
        <f>IF(SUM(T32:T35)=12,P33,'Language Table'!C62)</f>
        <v>Group F Runner Up</v>
      </c>
      <c r="V51" s="306"/>
    </row>
    <row r="52" spans="2:22" ht="14.45" customHeight="1" x14ac:dyDescent="0.25">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5" customHeight="1" x14ac:dyDescent="0.25">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5" customHeight="1" x14ac:dyDescent="0.25">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5" customHeight="1" x14ac:dyDescent="0.25">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5" customHeight="1" x14ac:dyDescent="0.25">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5" customHeight="1" x14ac:dyDescent="0.25">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5" customHeight="1" x14ac:dyDescent="0.25">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5" customHeight="1" x14ac:dyDescent="0.25"/>
    <row r="60" spans="2:22" x14ac:dyDescent="0.25">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162</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23" t="s">
        <v>163</v>
      </c>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17" t="s">
        <v>164</v>
      </c>
      <c r="AZ5" s="417"/>
      <c r="BA5" s="417"/>
      <c r="BB5" s="417"/>
      <c r="BC5" s="417"/>
      <c r="BD5" s="417"/>
      <c r="BE5" s="417"/>
      <c r="BF5" s="417"/>
      <c r="BG5" s="417" t="s">
        <v>165</v>
      </c>
      <c r="BH5" s="417"/>
      <c r="BI5" s="417"/>
      <c r="BJ5" s="417"/>
      <c r="BK5" s="417" t="s">
        <v>166</v>
      </c>
      <c r="BL5" s="417"/>
      <c r="BM5" s="120" t="s">
        <v>24</v>
      </c>
    </row>
    <row r="6" spans="1:65" ht="15" customHeight="1" x14ac:dyDescent="0.2">
      <c r="B6" s="419" t="s">
        <v>67</v>
      </c>
      <c r="C6" s="420" t="s">
        <v>68</v>
      </c>
      <c r="D6" s="418" t="s">
        <v>167</v>
      </c>
      <c r="E6" s="418" t="s">
        <v>168</v>
      </c>
      <c r="F6" s="418" t="s">
        <v>169</v>
      </c>
      <c r="G6" s="418" t="s">
        <v>69</v>
      </c>
      <c r="H6" s="418" t="s">
        <v>170</v>
      </c>
      <c r="I6" s="419" t="s">
        <v>171</v>
      </c>
      <c r="J6" s="419"/>
      <c r="K6" s="418" t="s">
        <v>172</v>
      </c>
      <c r="L6" s="419" t="s">
        <v>173</v>
      </c>
      <c r="M6" s="419"/>
      <c r="N6" s="419"/>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19"/>
      <c r="C7" s="420"/>
      <c r="D7" s="418"/>
      <c r="E7" s="418"/>
      <c r="F7" s="418"/>
      <c r="G7" s="418"/>
      <c r="H7" s="418"/>
      <c r="I7" s="418" t="s">
        <v>168</v>
      </c>
      <c r="J7" s="422" t="s">
        <v>170</v>
      </c>
      <c r="K7" s="418"/>
      <c r="L7" s="418" t="s">
        <v>168</v>
      </c>
      <c r="M7" s="418" t="s">
        <v>174</v>
      </c>
      <c r="N7" s="418"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19"/>
      <c r="C8" s="420"/>
      <c r="D8" s="418"/>
      <c r="E8" s="418"/>
      <c r="F8" s="418"/>
      <c r="G8" s="418"/>
      <c r="H8" s="418"/>
      <c r="I8" s="418"/>
      <c r="J8" s="422"/>
      <c r="K8" s="418"/>
      <c r="L8" s="418"/>
      <c r="M8" s="418"/>
      <c r="N8" s="418"/>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Ita</v>
      </c>
      <c r="BA8" s="120" t="str">
        <f ca="1">LEFT(OFFSET(Matches!G8,BA6-1,0),3)&amp;" - "&amp;LEFT(OFFSET(Matches!J8,BA6-1,0),3)</f>
        <v>Spa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Fra - Gro</v>
      </c>
      <c r="BE8" s="120" t="str">
        <f ca="1">LEFT(OFFSET(Matches!G8,BE6-1,0),3)&amp;" - "&amp;LEFT(OFFSET(Matches!J8,BE6-1,0),3)</f>
        <v>Gro - Gro</v>
      </c>
      <c r="BF8" s="120" t="str">
        <f ca="1">LEFT(OFFSET(Matches!G8,BF6-1,0),3)&amp;" - "&amp;LEFT(OFFSET(Matches!J8,BF6-1,0),3)</f>
        <v>Aus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19"/>
      <c r="C9" s="421"/>
      <c r="D9" s="418"/>
      <c r="E9" s="418"/>
      <c r="F9" s="418"/>
      <c r="G9" s="418"/>
      <c r="H9" s="418"/>
      <c r="I9" s="418"/>
      <c r="J9" s="422"/>
      <c r="K9" s="418"/>
      <c r="L9" s="418"/>
      <c r="M9" s="418"/>
      <c r="N9" s="418"/>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2 - 3</v>
      </c>
      <c r="AT9" s="120" t="str">
        <f ca="1">LEFT(OFFSET(Matches!H8,AT6-1,0),3)&amp;" - "&amp;LEFT(OFFSET(Matches!I8,AT6-1,0),3)</f>
        <v>1 - 1</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Håvard (ChatGPT)</v>
      </c>
      <c r="D10" s="30">
        <f ca="1">IFERROR(E10+F10+G10,"")</f>
        <v>150</v>
      </c>
      <c r="E10" s="23">
        <f t="shared" ref="E10" ca="1" si="3">IFERROR(I10+L10,"")</f>
        <v>54</v>
      </c>
      <c r="F10" s="23">
        <f ca="1">IFERROR(K10+M10,"")</f>
        <v>96</v>
      </c>
      <c r="G10" s="23">
        <f>IF(C10&lt;&gt;"",IF('Player Setup'!D6&lt;&gt;"",'Player Setup'!D6,0),"")</f>
        <v>0</v>
      </c>
      <c r="H10" s="23">
        <f t="shared" ref="H10" ca="1" si="4">IFERROR(J10+N10,"")</f>
        <v>4</v>
      </c>
      <c r="I10" s="24">
        <f ca="1">SUM(O10:AX10)</f>
        <v>54</v>
      </c>
      <c r="J10" s="22">
        <f ca="1">IF(C10&lt;&gt;"",OFFSET('Player Game Board'!N9,O6-1,A10),0)</f>
        <v>4</v>
      </c>
      <c r="K10" s="23">
        <f ca="1">IF(C10&lt;&gt;"",OFFSET('Player Game Board'!N50,O6-1,A10),0)</f>
        <v>80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f ca="1">IF(C10&lt;&gt;"",OFFSET('Player Game Board'!V10,AA6-1,A10),"")</f>
        <v>6</v>
      </c>
      <c r="AB10" s="24">
        <f ca="1">IF(C10&lt;&gt;"",OFFSET('Player Game Board'!V10,AB6-1,A10),"")</f>
        <v>4</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0</v>
      </c>
      <c r="AI10" s="24">
        <f ca="1">IF(C10&lt;&gt;"",OFFSET('Player Game Board'!V10,AI6-1,A10),"")</f>
        <v>0</v>
      </c>
      <c r="AJ10" s="24">
        <f ca="1">IF(C10&lt;&gt;"",OFFSET('Player Game Board'!V10,AJ6-1,A10),"")</f>
        <v>4</v>
      </c>
      <c r="AK10" s="24">
        <f ca="1">IF(C10&lt;&gt;"",OFFSET('Player Game Board'!V10,AK6-1,A10),"")</f>
        <v>2</v>
      </c>
      <c r="AL10" s="24">
        <f ca="1">IF(C10&lt;&gt;"",OFFSET('Player Game Board'!V10,AL6-1,A10),"")</f>
        <v>0</v>
      </c>
      <c r="AM10" s="24">
        <f ca="1">IF(C10&lt;&gt;"",OFFSET('Player Game Board'!V10,AM6-1,A10),"")</f>
        <v>0</v>
      </c>
      <c r="AN10" s="24">
        <f ca="1">IF(C10&lt;&gt;"",OFFSET('Player Game Board'!V10,AN6-1,A10),"")</f>
        <v>0</v>
      </c>
      <c r="AO10" s="24">
        <f ca="1">IF(C10&lt;&gt;"",OFFSET('Player Game Board'!V10,AO6-1,A10),"")</f>
        <v>2</v>
      </c>
      <c r="AP10" s="24">
        <f ca="1">IF(C10&lt;&gt;"",OFFSET('Player Game Board'!V10,AP6-1,A10),"")</f>
        <v>6</v>
      </c>
      <c r="AQ10" s="24" t="str">
        <f ca="1">IF(C10&lt;&gt;"",OFFSET('Player Game Board'!V10,AQ6-1,A10),"")</f>
        <v/>
      </c>
      <c r="AR10" s="24" t="str">
        <f ca="1">IF(C10&lt;&gt;"",OFFSET('Player Game Board'!V10,AR6-1,A10),"")</f>
        <v/>
      </c>
      <c r="AS10" s="24">
        <f ca="1">IF(C10&lt;&gt;"",OFFSET('Player Game Board'!V10,AS6-1,A10),"")</f>
        <v>0</v>
      </c>
      <c r="AT10" s="24">
        <f ca="1">IF(C10&lt;&gt;"",OFFSET('Player Game Board'!V10,AT6-1,A10),"")</f>
        <v>0</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Levi (happy go lucky)</v>
      </c>
      <c r="D11" s="30">
        <f t="shared" ref="D11:D19" ca="1" si="5">IFERROR(E11+F11+G11,"")</f>
        <v>134</v>
      </c>
      <c r="E11" s="23">
        <f t="shared" ref="E11:E19" ca="1" si="6">IFERROR(I11+L11,"")</f>
        <v>62</v>
      </c>
      <c r="F11" s="23">
        <f t="shared" ref="F11:F19" ca="1" si="7">IFERROR(K11+M11,"")</f>
        <v>72</v>
      </c>
      <c r="G11" s="23">
        <f>IF(C11&lt;&gt;"",IF('Player Setup'!D7&lt;&gt;"",'Player Setup'!D7,0),"")</f>
        <v>0</v>
      </c>
      <c r="H11" s="22">
        <f t="shared" ref="H11:H19" ca="1" si="8">IFERROR(J11+N11,"")</f>
        <v>4</v>
      </c>
      <c r="I11" s="23">
        <f t="shared" ref="I11:I19" ca="1" si="9">SUM(O11:AX11)</f>
        <v>62</v>
      </c>
      <c r="J11" s="22">
        <f ca="1">IF(C11&lt;&gt;"",OFFSET('Player Game Board'!N9,O6-1,A11),0)</f>
        <v>4</v>
      </c>
      <c r="K11" s="23">
        <f ca="1">IF(C11&lt;&gt;"",OFFSET('Player Game Board'!N50,O6-1,A11),0)</f>
        <v>72</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f ca="1">IF(C11&lt;&gt;"",OFFSET('Player Game Board'!V10,AA6-1,A11),"")</f>
        <v>6</v>
      </c>
      <c r="AB11" s="22">
        <f ca="1">IF(C11&lt;&gt;"",OFFSET('Player Game Board'!V10,AB6-1,A11),"")</f>
        <v>4</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0</v>
      </c>
      <c r="AJ11" s="22">
        <f ca="1">IF(C11&lt;&gt;"",OFFSET('Player Game Board'!V10,AJ6-1,A11),"")</f>
        <v>2</v>
      </c>
      <c r="AK11" s="22">
        <f ca="1">IF(C11&lt;&gt;"",OFFSET('Player Game Board'!V10,AK6-1,A11),"")</f>
        <v>2</v>
      </c>
      <c r="AL11" s="22">
        <f ca="1">IF(C11&lt;&gt;"",OFFSET('Player Game Board'!V10,AL6-1,A11),"")</f>
        <v>6</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t="str">
        <f ca="1">IF(C11&lt;&gt;"",OFFSET('Player Game Board'!V10,AQ6-1,A11),"")</f>
        <v/>
      </c>
      <c r="AR11" s="22" t="str">
        <f ca="1">IF(C11&lt;&gt;"",OFFSET('Player Game Board'!V10,AR6-1,A11),"")</f>
        <v/>
      </c>
      <c r="AS11" s="22">
        <f ca="1">IF(C11&lt;&gt;"",OFFSET('Player Game Board'!V10,AS6-1,A11),"")</f>
        <v>0</v>
      </c>
      <c r="AT11" s="22">
        <f ca="1">IF(C11&lt;&gt;"",OFFSET('Player Game Board'!V10,AT6-1,A11),"")</f>
        <v>0</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Iben</v>
      </c>
      <c r="D12" s="30">
        <f t="shared" ca="1" si="5"/>
        <v>116</v>
      </c>
      <c r="E12" s="23">
        <f t="shared" ca="1" si="6"/>
        <v>52</v>
      </c>
      <c r="F12" s="23">
        <f t="shared" ca="1" si="7"/>
        <v>64</v>
      </c>
      <c r="G12" s="23">
        <f>IF(C12&lt;&gt;"",IF('Player Setup'!D8&lt;&gt;"",'Player Setup'!D8,0),"")</f>
        <v>0</v>
      </c>
      <c r="H12" s="22">
        <f t="shared" ca="1" si="8"/>
        <v>2</v>
      </c>
      <c r="I12" s="23">
        <f t="shared" ca="1" si="9"/>
        <v>52</v>
      </c>
      <c r="J12" s="22">
        <f ca="1">IF(C12&lt;&gt;"",OFFSET('Player Game Board'!N9,O6-1,A12),0)</f>
        <v>2</v>
      </c>
      <c r="K12" s="23">
        <f ca="1">IF(C12&lt;&gt;"",OFFSET('Player Game Board'!N50,O6-1,A12),0)</f>
        <v>64</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f ca="1">IF(C12&lt;&gt;"",OFFSET('Player Game Board'!V10,AA6-1,A12),"")</f>
        <v>0</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2</v>
      </c>
      <c r="AH12" s="22">
        <f ca="1">IF(C12&lt;&gt;"",OFFSET('Player Game Board'!V10,AH6-1,A12),"")</f>
        <v>4</v>
      </c>
      <c r="AI12" s="22">
        <f ca="1">IF(C12&lt;&gt;"",OFFSET('Player Game Board'!V10,AI6-1,A12),"")</f>
        <v>4</v>
      </c>
      <c r="AJ12" s="22">
        <f ca="1">IF(C12&lt;&gt;"",OFFSET('Player Game Board'!V10,AJ6-1,A12),"")</f>
        <v>6</v>
      </c>
      <c r="AK12" s="22">
        <f ca="1">IF(C12&lt;&gt;"",OFFSET('Player Game Board'!V10,AK6-1,A12),"")</f>
        <v>2</v>
      </c>
      <c r="AL12" s="22">
        <f ca="1">IF(C12&lt;&gt;"",OFFSET('Player Game Board'!V10,AL6-1,A12),"")</f>
        <v>4</v>
      </c>
      <c r="AM12" s="22">
        <f ca="1">IF(C12&lt;&gt;"",OFFSET('Player Game Board'!V10,AM6-1,A12),"")</f>
        <v>0</v>
      </c>
      <c r="AN12" s="22">
        <f ca="1">IF(C12&lt;&gt;"",OFFSET('Player Game Board'!V10,AN6-1,A12),"")</f>
        <v>0</v>
      </c>
      <c r="AO12" s="22">
        <f ca="1">IF(C12&lt;&gt;"",OFFSET('Player Game Board'!V10,AO6-1,A12),"")</f>
        <v>2</v>
      </c>
      <c r="AP12" s="22">
        <f ca="1">IF(C12&lt;&gt;"",OFFSET('Player Game Board'!V10,AP6-1,A12),"")</f>
        <v>4</v>
      </c>
      <c r="AQ12" s="22" t="str">
        <f ca="1">IF(C12&lt;&gt;"",OFFSET('Player Game Board'!V10,AQ6-1,A12),"")</f>
        <v/>
      </c>
      <c r="AR12" s="22" t="str">
        <f ca="1">IF(C12&lt;&gt;"",OFFSET('Player Game Board'!V10,AR6-1,A12),"")</f>
        <v/>
      </c>
      <c r="AS12" s="22">
        <f ca="1">IF(C12&lt;&gt;"",OFFSET('Player Game Board'!V10,AS6-1,A12),"")</f>
        <v>0</v>
      </c>
      <c r="AT12" s="22">
        <f ca="1">IF(C12&lt;&gt;"",OFFSET('Player Game Board'!V10,AT6-1,A12),"")</f>
        <v>0</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Joakim</v>
      </c>
      <c r="D13" s="30">
        <f t="shared" ca="1" si="5"/>
        <v>122</v>
      </c>
      <c r="E13" s="23">
        <f t="shared" ca="1" si="6"/>
        <v>58</v>
      </c>
      <c r="F13" s="23">
        <f t="shared" ca="1" si="7"/>
        <v>64</v>
      </c>
      <c r="G13" s="23">
        <f>IF(C13&lt;&gt;"",IF('Player Setup'!D9&lt;&gt;"",'Player Setup'!D9,0),"")</f>
        <v>0</v>
      </c>
      <c r="H13" s="22">
        <f t="shared" ca="1" si="8"/>
        <v>4</v>
      </c>
      <c r="I13" s="23">
        <f t="shared" ca="1" si="9"/>
        <v>58</v>
      </c>
      <c r="J13" s="22">
        <f ca="1">IF(C13&lt;&gt;"",OFFSET('Player Game Board'!N9,O6-1,A13),0)</f>
        <v>4</v>
      </c>
      <c r="K13" s="23">
        <f ca="1">IF(C13&lt;&gt;"",OFFSET('Player Game Board'!N50,O6-1,A13),0)</f>
        <v>64</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f ca="1">IF(C13&lt;&gt;"",OFFSET('Player Game Board'!V10,AA6-1,A13),"")</f>
        <v>4</v>
      </c>
      <c r="AB13" s="22">
        <f ca="1">IF(C13&lt;&gt;"",OFFSET('Player Game Board'!V10,AB6-1,A13),"")</f>
        <v>6</v>
      </c>
      <c r="AC13" s="22">
        <f ca="1">IF(C13&lt;&gt;"",OFFSET('Player Game Board'!V10,AC6-1,A13),"")</f>
        <v>0</v>
      </c>
      <c r="AD13" s="22">
        <f ca="1">IF(C13&lt;&gt;"",OFFSET('Player Game Board'!V10,AD6-1,A13),"")</f>
        <v>2</v>
      </c>
      <c r="AE13" s="22">
        <f ca="1">IF(C13&lt;&gt;"",OFFSET('Player Game Board'!V10,AE6-1,A13),"")</f>
        <v>6</v>
      </c>
      <c r="AF13" s="22">
        <f ca="1">IF(C13&lt;&gt;"",OFFSET('Player Game Board'!V10,AF6-1,A13),"")</f>
        <v>0</v>
      </c>
      <c r="AG13" s="22">
        <f ca="1">IF(C13&lt;&gt;"",OFFSET('Player Game Board'!V10,AG6-1,A13),"")</f>
        <v>0</v>
      </c>
      <c r="AH13" s="22">
        <f ca="1">IF(C13&lt;&gt;"",OFFSET('Player Game Board'!V10,AH6-1,A13),"")</f>
        <v>0</v>
      </c>
      <c r="AI13" s="22">
        <f ca="1">IF(C13&lt;&gt;"",OFFSET('Player Game Board'!V10,AI6-1,A13),"")</f>
        <v>4</v>
      </c>
      <c r="AJ13" s="22">
        <f ca="1">IF(C13&lt;&gt;"",OFFSET('Player Game Board'!V10,AJ6-1,A13),"")</f>
        <v>2</v>
      </c>
      <c r="AK13" s="22">
        <f ca="1">IF(C13&lt;&gt;"",OFFSET('Player Game Board'!V10,AK6-1,A13),"")</f>
        <v>2</v>
      </c>
      <c r="AL13" s="22">
        <f ca="1">IF(C13&lt;&gt;"",OFFSET('Player Game Board'!V10,AL6-1,A13),"")</f>
        <v>0</v>
      </c>
      <c r="AM13" s="22">
        <f ca="1">IF(C13&lt;&gt;"",OFFSET('Player Game Board'!V10,AM6-1,A13),"")</f>
        <v>0</v>
      </c>
      <c r="AN13" s="22">
        <f ca="1">IF(C13&lt;&gt;"",OFFSET('Player Game Board'!V10,AN6-1,A13),"")</f>
        <v>0</v>
      </c>
      <c r="AO13" s="22">
        <f ca="1">IF(C13&lt;&gt;"",OFFSET('Player Game Board'!V10,AO6-1,A13),"")</f>
        <v>4</v>
      </c>
      <c r="AP13" s="22">
        <f ca="1">IF(C13&lt;&gt;"",OFFSET('Player Game Board'!V10,AP6-1,A13),"")</f>
        <v>6</v>
      </c>
      <c r="AQ13" s="22" t="str">
        <f ca="1">IF(C13&lt;&gt;"",OFFSET('Player Game Board'!V10,AQ6-1,A13),"")</f>
        <v/>
      </c>
      <c r="AR13" s="22" t="str">
        <f ca="1">IF(C13&lt;&gt;"",OFFSET('Player Game Board'!V10,AR6-1,A13),"")</f>
        <v/>
      </c>
      <c r="AS13" s="22">
        <f ca="1">IF(C13&lt;&gt;"",OFFSET('Player Game Board'!V10,AS6-1,A13),"")</f>
        <v>0</v>
      </c>
      <c r="AT13" s="22">
        <f ca="1">IF(C13&lt;&gt;"",OFFSET('Player Game Board'!V10,AT6-1,A13),"")</f>
        <v>0</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Kristoffer (Fasiten)</v>
      </c>
      <c r="D14" s="30">
        <f t="shared" ca="1" si="5"/>
        <v>78</v>
      </c>
      <c r="E14" s="23">
        <f t="shared" ca="1" si="6"/>
        <v>38</v>
      </c>
      <c r="F14" s="23">
        <f t="shared" ca="1" si="7"/>
        <v>40</v>
      </c>
      <c r="G14" s="23">
        <f>IF(C14&lt;&gt;"",IF('Player Setup'!D10&lt;&gt;"",'Player Setup'!D10,0),"")</f>
        <v>0</v>
      </c>
      <c r="H14" s="22">
        <f t="shared" ca="1" si="8"/>
        <v>4</v>
      </c>
      <c r="I14" s="23">
        <f t="shared" ca="1" si="9"/>
        <v>38</v>
      </c>
      <c r="J14" s="22">
        <f ca="1">IF(C14&lt;&gt;"",OFFSET('Player Game Board'!N9,O6-1,A14),0)</f>
        <v>4</v>
      </c>
      <c r="K14" s="23">
        <f ca="1">IF(C14&lt;&gt;"",OFFSET('Player Game Board'!N50,O6-1,A14),0)</f>
        <v>40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f ca="1">IF(C14&lt;&gt;"",OFFSET('Player Game Board'!V10,AM6-1,A14),"")</f>
        <v>0</v>
      </c>
      <c r="AN14" s="22">
        <f ca="1">IF(C14&lt;&gt;"",OFFSET('Player Game Board'!V10,AN6-1,A14),"")</f>
        <v>0</v>
      </c>
      <c r="AO14" s="22">
        <f ca="1">IF(C14&lt;&gt;"",OFFSET('Player Game Board'!V10,AO6-1,A14),"")</f>
        <v>2</v>
      </c>
      <c r="AP14" s="22">
        <f ca="1">IF(C14&lt;&gt;"",OFFSET('Player Game Board'!V10,AP6-1,A14),"")</f>
        <v>0</v>
      </c>
      <c r="AQ14" s="22" t="str">
        <f ca="1">IF(C14&lt;&gt;"",OFFSET('Player Game Board'!V10,AQ6-1,A14),"")</f>
        <v/>
      </c>
      <c r="AR14" s="22" t="str">
        <f ca="1">IF(C14&lt;&gt;"",OFFSET('Player Game Board'!V10,AR6-1,A14),"")</f>
        <v/>
      </c>
      <c r="AS14" s="22">
        <f ca="1">IF(C14&lt;&gt;"",OFFSET('Player Game Board'!V10,AS6-1,A14),"")</f>
        <v>0</v>
      </c>
      <c r="AT14" s="22">
        <f ca="1">IF(C14&lt;&gt;"",OFFSET('Player Game Board'!V10,AT6-1,A14),"")</f>
        <v>0</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George</v>
      </c>
      <c r="D15" s="30">
        <f t="shared" ca="1" si="5"/>
        <v>112</v>
      </c>
      <c r="E15" s="23">
        <f t="shared" ca="1" si="6"/>
        <v>56</v>
      </c>
      <c r="F15" s="23">
        <f t="shared" ca="1" si="7"/>
        <v>56</v>
      </c>
      <c r="G15" s="23">
        <f>IF(C15&lt;&gt;"",IF('Player Setup'!D11&lt;&gt;"",'Player Setup'!D11,0),"")</f>
        <v>0</v>
      </c>
      <c r="H15" s="22">
        <f t="shared" ca="1" si="8"/>
        <v>5</v>
      </c>
      <c r="I15" s="23">
        <f t="shared" ca="1" si="9"/>
        <v>56</v>
      </c>
      <c r="J15" s="22">
        <f ca="1">IF(C15&lt;&gt;"",OFFSET('Player Game Board'!N9,O6-1,A15),0)</f>
        <v>5</v>
      </c>
      <c r="K15" s="23">
        <f ca="1">IF(C15&lt;&gt;"",OFFSET('Player Game Board'!N50,O6-1,A15),0)</f>
        <v>56</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f ca="1">IF(C15&lt;&gt;"",OFFSET('Player Game Board'!V10,AA6-1,A15),"")</f>
        <v>0</v>
      </c>
      <c r="AB15" s="22">
        <f ca="1">IF(C15&lt;&gt;"",OFFSET('Player Game Board'!V10,AB6-1,A15),"")</f>
        <v>2</v>
      </c>
      <c r="AC15" s="22">
        <f ca="1">IF(C15&lt;&gt;"",OFFSET('Player Game Board'!V10,AC6-1,A15),"")</f>
        <v>0</v>
      </c>
      <c r="AD15" s="22">
        <f ca="1">IF(C15&lt;&gt;"",OFFSET('Player Game Board'!V10,AD6-1,A15),"")</f>
        <v>4</v>
      </c>
      <c r="AE15" s="22">
        <f ca="1">IF(C15&lt;&gt;"",OFFSET('Player Game Board'!V10,AE6-1,A15),"")</f>
        <v>0</v>
      </c>
      <c r="AF15" s="22">
        <f ca="1">IF(C15&lt;&gt;"",OFFSET('Player Game Board'!V10,AF6-1,A15),"")</f>
        <v>4</v>
      </c>
      <c r="AG15" s="22">
        <f ca="1">IF(C15&lt;&gt;"",OFFSET('Player Game Board'!V10,AG6-1,A15),"")</f>
        <v>0</v>
      </c>
      <c r="AH15" s="22">
        <f ca="1">IF(C15&lt;&gt;"",OFFSET('Player Game Board'!V10,AH6-1,A15),"")</f>
        <v>4</v>
      </c>
      <c r="AI15" s="22">
        <f ca="1">IF(C15&lt;&gt;"",OFFSET('Player Game Board'!V10,AI6-1,A15),"")</f>
        <v>0</v>
      </c>
      <c r="AJ15" s="22">
        <f ca="1">IF(C15&lt;&gt;"",OFFSET('Player Game Board'!V10,AJ6-1,A15),"")</f>
        <v>6</v>
      </c>
      <c r="AK15" s="22">
        <f ca="1">IF(C15&lt;&gt;"",OFFSET('Player Game Board'!V10,AK6-1,A15),"")</f>
        <v>0</v>
      </c>
      <c r="AL15" s="22">
        <f ca="1">IF(C15&lt;&gt;"",OFFSET('Player Game Board'!V10,AL6-1,A15),"")</f>
        <v>0</v>
      </c>
      <c r="AM15" s="22">
        <f ca="1">IF(C15&lt;&gt;"",OFFSET('Player Game Board'!V10,AM6-1,A15),"")</f>
        <v>0</v>
      </c>
      <c r="AN15" s="22">
        <f ca="1">IF(C15&lt;&gt;"",OFFSET('Player Game Board'!V10,AN6-1,A15),"")</f>
        <v>0</v>
      </c>
      <c r="AO15" s="22">
        <f ca="1">IF(C15&lt;&gt;"",OFFSET('Player Game Board'!V10,AO6-1,A15),"")</f>
        <v>6</v>
      </c>
      <c r="AP15" s="22">
        <f ca="1">IF(C15&lt;&gt;"",OFFSET('Player Game Board'!V10,AP6-1,A15),"")</f>
        <v>4</v>
      </c>
      <c r="AQ15" s="22" t="str">
        <f ca="1">IF(C15&lt;&gt;"",OFFSET('Player Game Board'!V10,AQ6-1,A15),"")</f>
        <v/>
      </c>
      <c r="AR15" s="22" t="str">
        <f ca="1">IF(C15&lt;&gt;"",OFFSET('Player Game Board'!V10,AR6-1,A15),"")</f>
        <v/>
      </c>
      <c r="AS15" s="22">
        <f ca="1">IF(C15&lt;&gt;"",OFFSET('Player Game Board'!V10,AS6-1,A15),"")</f>
        <v>0</v>
      </c>
      <c r="AT15" s="22">
        <f ca="1">IF(C15&lt;&gt;"",OFFSET('Player Game Board'!V10,AT6-1,A15),"")</f>
        <v>0</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Sverre</v>
      </c>
      <c r="D16" s="30">
        <f t="shared" ca="1" si="5"/>
        <v>78</v>
      </c>
      <c r="E16" s="23">
        <f t="shared" ca="1" si="6"/>
        <v>54</v>
      </c>
      <c r="F16" s="23">
        <f t="shared" ca="1" si="7"/>
        <v>24</v>
      </c>
      <c r="G16" s="23">
        <f>IF(C16&lt;&gt;"",IF('Player Setup'!D12&lt;&gt;"",'Player Setup'!D12,0),"")</f>
        <v>0</v>
      </c>
      <c r="H16" s="22">
        <f t="shared" ca="1" si="8"/>
        <v>1</v>
      </c>
      <c r="I16" s="23">
        <f t="shared" ca="1" si="9"/>
        <v>54</v>
      </c>
      <c r="J16" s="22">
        <f ca="1">IF(C16&lt;&gt;"",OFFSET('Player Game Board'!N9,O6-1,A16),0)</f>
        <v>1</v>
      </c>
      <c r="K16" s="23">
        <f ca="1">IF(C16&lt;&gt;"",OFFSET('Player Game Board'!N50,O6-1,A16),0)</f>
        <v>24</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f ca="1">IF(C16&lt;&gt;"",OFFSET('Player Game Board'!V10,AA6-1,A16),"")</f>
        <v>0</v>
      </c>
      <c r="AB16" s="22">
        <f ca="1">IF(C16&lt;&gt;"",OFFSET('Player Game Board'!V10,AB6-1,A16),"")</f>
        <v>4</v>
      </c>
      <c r="AC16" s="22">
        <f ca="1">IF(C16&lt;&gt;"",OFFSET('Player Game Board'!V10,AC6-1,A16),"")</f>
        <v>0</v>
      </c>
      <c r="AD16" s="22">
        <f ca="1">IF(C16&lt;&gt;"",OFFSET('Player Game Board'!V10,AD6-1,A16),"")</f>
        <v>0</v>
      </c>
      <c r="AE16" s="22">
        <f ca="1">IF(C16&lt;&gt;"",OFFSET('Player Game Board'!V10,AE6-1,A16),"")</f>
        <v>0</v>
      </c>
      <c r="AF16" s="22">
        <f ca="1">IF(C16&lt;&gt;"",OFFSET('Player Game Board'!V10,AF6-1,A16),"")</f>
        <v>4</v>
      </c>
      <c r="AG16" s="22">
        <f ca="1">IF(C16&lt;&gt;"",OFFSET('Player Game Board'!V10,AG6-1,A16),"")</f>
        <v>2</v>
      </c>
      <c r="AH16" s="22">
        <f ca="1">IF(C16&lt;&gt;"",OFFSET('Player Game Board'!V10,AH6-1,A16),"")</f>
        <v>4</v>
      </c>
      <c r="AI16" s="22">
        <f ca="1">IF(C16&lt;&gt;"",OFFSET('Player Game Board'!V10,AI6-1,A16),"")</f>
        <v>0</v>
      </c>
      <c r="AJ16" s="22">
        <f ca="1">IF(C16&lt;&gt;"",OFFSET('Player Game Board'!V10,AJ6-1,A16),"")</f>
        <v>2</v>
      </c>
      <c r="AK16" s="22">
        <f ca="1">IF(C16&lt;&gt;"",OFFSET('Player Game Board'!V10,AK6-1,A16),"")</f>
        <v>2</v>
      </c>
      <c r="AL16" s="22">
        <f ca="1">IF(C16&lt;&gt;"",OFFSET('Player Game Board'!V10,AL6-1,A16),"")</f>
        <v>4</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t="str">
        <f ca="1">IF(C16&lt;&gt;"",OFFSET('Player Game Board'!V10,AQ6-1,A16),"")</f>
        <v/>
      </c>
      <c r="AR16" s="22" t="str">
        <f ca="1">IF(C16&lt;&gt;"",OFFSET('Player Game Board'!V10,AR6-1,A16),"")</f>
        <v/>
      </c>
      <c r="AS16" s="22">
        <f ca="1">IF(C16&lt;&gt;"",OFFSET('Player Game Board'!V10,AS6-1,A16),"")</f>
        <v>0</v>
      </c>
      <c r="AT16" s="22">
        <f ca="1">IF(C16&lt;&gt;"",OFFSET('Player Game Board'!V10,AT6-1,A16),"")</f>
        <v>0</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Therese</v>
      </c>
      <c r="D17" s="30">
        <f t="shared" ca="1" si="5"/>
        <v>124</v>
      </c>
      <c r="E17" s="23">
        <f t="shared" ca="1" si="6"/>
        <v>60</v>
      </c>
      <c r="F17" s="23">
        <f t="shared" ca="1" si="7"/>
        <v>64</v>
      </c>
      <c r="G17" s="23">
        <f>IF(C17&lt;&gt;"",IF('Player Setup'!D13&lt;&gt;"",'Player Setup'!D13,0),"")</f>
        <v>0</v>
      </c>
      <c r="H17" s="22">
        <f t="shared" ca="1" si="8"/>
        <v>4</v>
      </c>
      <c r="I17" s="23">
        <f t="shared" ca="1" si="9"/>
        <v>60</v>
      </c>
      <c r="J17" s="22">
        <f ca="1">IF(C17&lt;&gt;"",OFFSET('Player Game Board'!N9,O6-1,A17),0)</f>
        <v>4</v>
      </c>
      <c r="K17" s="23">
        <f ca="1">IF(C17&lt;&gt;"",OFFSET('Player Game Board'!N50,O6-1,A17),0)</f>
        <v>64</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f ca="1">IF(C17&lt;&gt;"",OFFSET('Player Game Board'!V10,AA6-1,A17),"")</f>
        <v>6</v>
      </c>
      <c r="AB17" s="22">
        <f ca="1">IF(C17&lt;&gt;"",OFFSET('Player Game Board'!V10,AB6-1,A17),"")</f>
        <v>2</v>
      </c>
      <c r="AC17" s="22">
        <f ca="1">IF(C17&lt;&gt;"",OFFSET('Player Game Board'!V10,AC6-1,A17),"")</f>
        <v>0</v>
      </c>
      <c r="AD17" s="22">
        <f ca="1">IF(C17&lt;&gt;"",OFFSET('Player Game Board'!V10,AD6-1,A17),"")</f>
        <v>4</v>
      </c>
      <c r="AE17" s="22">
        <f ca="1">IF(C17&lt;&gt;"",OFFSET('Player Game Board'!V10,AE6-1,A17),"")</f>
        <v>6</v>
      </c>
      <c r="AF17" s="22">
        <f ca="1">IF(C17&lt;&gt;"",OFFSET('Player Game Board'!V10,AF6-1,A17),"")</f>
        <v>4</v>
      </c>
      <c r="AG17" s="22">
        <f ca="1">IF(C17&lt;&gt;"",OFFSET('Player Game Board'!V10,AG6-1,A17),"")</f>
        <v>0</v>
      </c>
      <c r="AH17" s="22">
        <f ca="1">IF(C17&lt;&gt;"",OFFSET('Player Game Board'!V10,AH6-1,A17),"")</f>
        <v>0</v>
      </c>
      <c r="AI17" s="22">
        <f ca="1">IF(C17&lt;&gt;"",OFFSET('Player Game Board'!V10,AI6-1,A17),"")</f>
        <v>0</v>
      </c>
      <c r="AJ17" s="22">
        <f ca="1">IF(C17&lt;&gt;"",OFFSET('Player Game Board'!V10,AJ6-1,A17),"")</f>
        <v>4</v>
      </c>
      <c r="AK17" s="22">
        <f ca="1">IF(C17&lt;&gt;"",OFFSET('Player Game Board'!V10,AK6-1,A17),"")</f>
        <v>2</v>
      </c>
      <c r="AL17" s="22">
        <f ca="1">IF(C17&lt;&gt;"",OFFSET('Player Game Board'!V10,AL6-1,A17),"")</f>
        <v>0</v>
      </c>
      <c r="AM17" s="22">
        <f ca="1">IF(C17&lt;&gt;"",OFFSET('Player Game Board'!V10,AM6-1,A17),"")</f>
        <v>6</v>
      </c>
      <c r="AN17" s="22">
        <f ca="1">IF(C17&lt;&gt;"",OFFSET('Player Game Board'!V10,AN6-1,A17),"")</f>
        <v>0</v>
      </c>
      <c r="AO17" s="22">
        <f ca="1">IF(C17&lt;&gt;"",OFFSET('Player Game Board'!V10,AO6-1,A17),"")</f>
        <v>2</v>
      </c>
      <c r="AP17" s="22">
        <f ca="1">IF(C17&lt;&gt;"",OFFSET('Player Game Board'!V10,AP6-1,A17),"")</f>
        <v>4</v>
      </c>
      <c r="AQ17" s="22" t="str">
        <f ca="1">IF(C17&lt;&gt;"",OFFSET('Player Game Board'!V10,AQ6-1,A17),"")</f>
        <v/>
      </c>
      <c r="AR17" s="22" t="str">
        <f ca="1">IF(C17&lt;&gt;"",OFFSET('Player Game Board'!V10,AR6-1,A17),"")</f>
        <v/>
      </c>
      <c r="AS17" s="22">
        <f ca="1">IF(C17&lt;&gt;"",OFFSET('Player Game Board'!V10,AS6-1,A17),"")</f>
        <v>0</v>
      </c>
      <c r="AT17" s="22">
        <f ca="1">IF(C17&lt;&gt;"",OFFSET('Player Game Board'!V10,AT6-1,A17),"")</f>
        <v>0</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2" t="str">
        <f>IF('Player Setup'!C14&lt;&gt;"",'Player Setup'!C14,"")</f>
        <v>Wanja</v>
      </c>
      <c r="D18" s="30">
        <f t="shared" ca="1" si="5"/>
        <v>76</v>
      </c>
      <c r="E18" s="23">
        <f t="shared" ca="1" si="6"/>
        <v>36</v>
      </c>
      <c r="F18" s="23">
        <f t="shared" ca="1" si="7"/>
        <v>40</v>
      </c>
      <c r="G18" s="23">
        <f>IF(C18&lt;&gt;"",IF('Player Setup'!D14&lt;&gt;"",'Player Setup'!D14,0),"")</f>
        <v>0</v>
      </c>
      <c r="H18" s="22">
        <f t="shared" ca="1" si="8"/>
        <v>1</v>
      </c>
      <c r="I18" s="23">
        <f t="shared" ca="1" si="9"/>
        <v>36</v>
      </c>
      <c r="J18" s="22">
        <f ca="1">IF(C18&lt;&gt;"",OFFSET('Player Game Board'!N9,O6-1,A18),0)</f>
        <v>1</v>
      </c>
      <c r="K18" s="23">
        <f ca="1">IF(C18&lt;&gt;"",OFFSET('Player Game Board'!N50,O6-1,A18),0)</f>
        <v>40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f ca="1">IF(C18&lt;&gt;"",OFFSET('Player Game Board'!V10,AA6-1,A18),"")</f>
        <v>0</v>
      </c>
      <c r="AB18" s="22">
        <f ca="1">IF(C18&lt;&gt;"",OFFSET('Player Game Board'!V10,AB6-1,A18),"")</f>
        <v>0</v>
      </c>
      <c r="AC18" s="22">
        <f ca="1">IF(C18&lt;&gt;"",OFFSET('Player Game Board'!V10,AC6-1,A18),"")</f>
        <v>0</v>
      </c>
      <c r="AD18" s="22">
        <f ca="1">IF(C18&lt;&gt;"",OFFSET('Player Game Board'!V10,AD6-1,A18),"")</f>
        <v>0</v>
      </c>
      <c r="AE18" s="22">
        <f ca="1">IF(C18&lt;&gt;"",OFFSET('Player Game Board'!V10,AE6-1,A18),"")</f>
        <v>0</v>
      </c>
      <c r="AF18" s="22">
        <f ca="1">IF(C18&lt;&gt;"",OFFSET('Player Game Board'!V10,AF6-1,A18),"")</f>
        <v>6</v>
      </c>
      <c r="AG18" s="22">
        <f ca="1">IF(C18&lt;&gt;"",OFFSET('Player Game Board'!V10,AG6-1,A18),"")</f>
        <v>0</v>
      </c>
      <c r="AH18" s="22">
        <f ca="1">IF(C18&lt;&gt;"",OFFSET('Player Game Board'!V10,AH6-1,A18),"")</f>
        <v>0</v>
      </c>
      <c r="AI18" s="22">
        <f ca="1">IF(C18&lt;&gt;"",OFFSET('Player Game Board'!V10,AI6-1,A18),"")</f>
        <v>0</v>
      </c>
      <c r="AJ18" s="22">
        <f ca="1">IF(C18&lt;&gt;"",OFFSET('Player Game Board'!V10,AJ6-1,A18),"")</f>
        <v>2</v>
      </c>
      <c r="AK18" s="22">
        <f ca="1">IF(C18&lt;&gt;"",OFFSET('Player Game Board'!V10,AK6-1,A18),"")</f>
        <v>0</v>
      </c>
      <c r="AL18" s="22">
        <f ca="1">IF(C18&lt;&gt;"",OFFSET('Player Game Board'!V10,AL6-1,A18),"")</f>
        <v>4</v>
      </c>
      <c r="AM18" s="22">
        <f ca="1">IF(C18&lt;&gt;"",OFFSET('Player Game Board'!V10,AM6-1,A18),"")</f>
        <v>0</v>
      </c>
      <c r="AN18" s="22">
        <f ca="1">IF(C18&lt;&gt;"",OFFSET('Player Game Board'!V10,AN6-1,A18),"")</f>
        <v>0</v>
      </c>
      <c r="AO18" s="22">
        <f ca="1">IF(C18&lt;&gt;"",OFFSET('Player Game Board'!V10,AO6-1,A18),"")</f>
        <v>0</v>
      </c>
      <c r="AP18" s="22">
        <f ca="1">IF(C18&lt;&gt;"",OFFSET('Player Game Board'!V10,AP6-1,A18),"")</f>
        <v>4</v>
      </c>
      <c r="AQ18" s="22" t="str">
        <f ca="1">IF(C18&lt;&gt;"",OFFSET('Player Game Board'!V10,AQ6-1,A18),"")</f>
        <v/>
      </c>
      <c r="AR18" s="22" t="str">
        <f ca="1">IF(C18&lt;&gt;"",OFFSET('Player Game Board'!V10,AR6-1,A18),"")</f>
        <v/>
      </c>
      <c r="AS18" s="22">
        <f ca="1">IF(C18&lt;&gt;"",OFFSET('Player Game Board'!V10,AS6-1,A18),"")</f>
        <v>0</v>
      </c>
      <c r="AT18" s="22">
        <f ca="1">IF(C18&lt;&gt;"",OFFSET('Player Game Board'!V10,AT6-1,A18),"")</f>
        <v>0</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2" t="str">
        <f>IF('Player Setup'!C15&lt;&gt;"",'Player Setup'!C15,"")</f>
        <v>Baptiste</v>
      </c>
      <c r="D19" s="30">
        <f t="shared" ca="1" si="5"/>
        <v>68</v>
      </c>
      <c r="E19" s="23">
        <f t="shared" ca="1" si="6"/>
        <v>36</v>
      </c>
      <c r="F19" s="23">
        <f t="shared" ca="1" si="7"/>
        <v>32</v>
      </c>
      <c r="G19" s="23">
        <f>IF(C19&lt;&gt;"",IF('Player Setup'!D15&lt;&gt;"",'Player Setup'!D15,0),"")</f>
        <v>0</v>
      </c>
      <c r="H19" s="22">
        <f t="shared" ca="1" si="8"/>
        <v>2</v>
      </c>
      <c r="I19" s="23">
        <f t="shared" ca="1" si="9"/>
        <v>36</v>
      </c>
      <c r="J19" s="22">
        <f ca="1">IF(C19&lt;&gt;"",OFFSET('Player Game Board'!N9,O6-1,A19),0)</f>
        <v>2</v>
      </c>
      <c r="K19" s="23">
        <f ca="1">IF(C19&lt;&gt;"",OFFSET('Player Game Board'!N50,O6-1,A19),0)</f>
        <v>32</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f ca="1">IF(C19&lt;&gt;"",OFFSET('Player Game Board'!V10,AA6-1,A19),"")</f>
        <v>0</v>
      </c>
      <c r="AB19" s="22">
        <f ca="1">IF(C19&lt;&gt;"",OFFSET('Player Game Board'!V10,AB6-1,A19),"")</f>
        <v>2</v>
      </c>
      <c r="AC19" s="22">
        <f ca="1">IF(C19&lt;&gt;"",OFFSET('Player Game Board'!V10,AC6-1,A19),"")</f>
        <v>0</v>
      </c>
      <c r="AD19" s="22">
        <f ca="1">IF(C19&lt;&gt;"",OFFSET('Player Game Board'!V10,AD6-1,A19),"")</f>
        <v>0</v>
      </c>
      <c r="AE19" s="22">
        <f ca="1">IF(C19&lt;&gt;"",OFFSET('Player Game Board'!V10,AE6-1,A19),"")</f>
        <v>0</v>
      </c>
      <c r="AF19" s="22">
        <f ca="1">IF(C19&lt;&gt;"",OFFSET('Player Game Board'!V10,AF6-1,A19),"")</f>
        <v>0</v>
      </c>
      <c r="AG19" s="22">
        <f ca="1">IF(C19&lt;&gt;"",OFFSET('Player Game Board'!V10,AG6-1,A19),"")</f>
        <v>0</v>
      </c>
      <c r="AH19" s="22">
        <f ca="1">IF(C19&lt;&gt;"",OFFSET('Player Game Board'!V10,AH6-1,A19),"")</f>
        <v>0</v>
      </c>
      <c r="AI19" s="22">
        <f ca="1">IF(C19&lt;&gt;"",OFFSET('Player Game Board'!V10,AI6-1,A19),"")</f>
        <v>0</v>
      </c>
      <c r="AJ19" s="22">
        <f ca="1">IF(C19&lt;&gt;"",OFFSET('Player Game Board'!V10,AJ6-1,A19),"")</f>
        <v>4</v>
      </c>
      <c r="AK19" s="22">
        <f ca="1">IF(C19&lt;&gt;"",OFFSET('Player Game Board'!V10,AK6-1,A19),"")</f>
        <v>2</v>
      </c>
      <c r="AL19" s="22">
        <f ca="1">IF(C19&lt;&gt;"",OFFSET('Player Game Board'!V10,AL6-1,A19),"")</f>
        <v>0</v>
      </c>
      <c r="AM19" s="22">
        <f ca="1">IF(C19&lt;&gt;"",OFFSET('Player Game Board'!V10,AM6-1,A19),"")</f>
        <v>0</v>
      </c>
      <c r="AN19" s="22">
        <f ca="1">IF(C19&lt;&gt;"",OFFSET('Player Game Board'!V10,AN6-1,A19),"")</f>
        <v>0</v>
      </c>
      <c r="AO19" s="22">
        <f ca="1">IF(C19&lt;&gt;"",OFFSET('Player Game Board'!V10,AO6-1,A19),"")</f>
        <v>2</v>
      </c>
      <c r="AP19" s="22">
        <f ca="1">IF(C19&lt;&gt;"",OFFSET('Player Game Board'!V10,AP6-1,A19),"")</f>
        <v>0</v>
      </c>
      <c r="AQ19" s="22" t="str">
        <f ca="1">IF(C19&lt;&gt;"",OFFSET('Player Game Board'!V10,AQ6-1,A19),"")</f>
        <v/>
      </c>
      <c r="AR19" s="22" t="str">
        <f ca="1">IF(C19&lt;&gt;"",OFFSET('Player Game Board'!V10,AR6-1,A19),"")</f>
        <v/>
      </c>
      <c r="AS19" s="22">
        <f ca="1">IF(C19&lt;&gt;"",OFFSET('Player Game Board'!V10,AS6-1,A19),"")</f>
        <v>0</v>
      </c>
      <c r="AT19" s="22">
        <f ca="1">IF(C19&lt;&gt;"",OFFSET('Player Game Board'!V10,AT6-1,A19),"")</f>
        <v>0</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19" t="s">
        <v>67</v>
      </c>
      <c r="C5" s="419" t="s">
        <v>68</v>
      </c>
      <c r="D5" s="418" t="s">
        <v>167</v>
      </c>
      <c r="E5" s="418" t="s">
        <v>168</v>
      </c>
      <c r="F5" s="418" t="s">
        <v>169</v>
      </c>
      <c r="G5" s="418" t="s">
        <v>170</v>
      </c>
      <c r="H5" s="419" t="s">
        <v>171</v>
      </c>
      <c r="I5" s="419"/>
      <c r="J5" s="418" t="s">
        <v>176</v>
      </c>
      <c r="K5" s="419" t="s">
        <v>173</v>
      </c>
      <c r="L5" s="419"/>
      <c r="M5" s="419"/>
    </row>
    <row r="6" spans="2:13" ht="15" customHeight="1" x14ac:dyDescent="0.2">
      <c r="B6" s="419"/>
      <c r="C6" s="419"/>
      <c r="D6" s="418"/>
      <c r="E6" s="418"/>
      <c r="F6" s="418"/>
      <c r="G6" s="418"/>
      <c r="H6" s="418" t="s">
        <v>168</v>
      </c>
      <c r="I6" s="422" t="s">
        <v>170</v>
      </c>
      <c r="J6" s="418"/>
      <c r="K6" s="418" t="s">
        <v>168</v>
      </c>
      <c r="L6" s="418" t="s">
        <v>177</v>
      </c>
      <c r="M6" s="418" t="s">
        <v>170</v>
      </c>
    </row>
    <row r="7" spans="2:13" ht="15" customHeight="1" x14ac:dyDescent="0.2">
      <c r="B7" s="419"/>
      <c r="C7" s="419"/>
      <c r="D7" s="418"/>
      <c r="E7" s="418"/>
      <c r="F7" s="418"/>
      <c r="G7" s="418"/>
      <c r="H7" s="418"/>
      <c r="I7" s="422"/>
      <c r="J7" s="418"/>
      <c r="K7" s="418"/>
      <c r="L7" s="418"/>
      <c r="M7" s="418"/>
    </row>
    <row r="8" spans="2:13" ht="15" customHeight="1" x14ac:dyDescent="0.2">
      <c r="B8" s="419"/>
      <c r="C8" s="419"/>
      <c r="D8" s="418"/>
      <c r="E8" s="418"/>
      <c r="F8" s="418"/>
      <c r="G8" s="418"/>
      <c r="H8" s="418"/>
      <c r="I8" s="422"/>
      <c r="J8" s="418"/>
      <c r="K8" s="418"/>
      <c r="L8" s="418"/>
      <c r="M8" s="418"/>
    </row>
    <row r="9" spans="2:13" ht="15" customHeight="1" x14ac:dyDescent="0.2">
      <c r="B9" s="22">
        <v>1</v>
      </c>
      <c r="C9" s="35" t="str">
        <f ca="1">IFERROR(INDEX('Dummy Rank'!F7:F16,MATCH('Player Leaderboard'!B9,'Dummy Rank'!E7:E16,0),0),"")</f>
        <v>Håvard (ChatGPT)</v>
      </c>
      <c r="D9" s="23">
        <f ca="1">IFERROR(VLOOKUP(C9,'Player Scoreboard'!C10:N19,2,FALSE),"")</f>
        <v>150</v>
      </c>
      <c r="E9" s="23">
        <f ca="1">IFERROR(VLOOKUP(C9,'Player Scoreboard'!C10:N19,3,FALSE),"")</f>
        <v>54</v>
      </c>
      <c r="F9" s="23">
        <f ca="1">IFERROR(VLOOKUP(C9,'Player Scoreboard'!C10:N19,4,FALSE),"")</f>
        <v>96</v>
      </c>
      <c r="G9" s="23">
        <f ca="1">IFERROR(VLOOKUP(C9,'Player Scoreboard'!C$10:N$19,6,FALSE),"")</f>
        <v>4</v>
      </c>
      <c r="H9" s="23">
        <f ca="1">IFERROR(VLOOKUP(C9,'Player Scoreboard'!C$10:N$19,7,FALSE),"")</f>
        <v>54</v>
      </c>
      <c r="I9" s="23">
        <f ca="1">IFERROR(VLOOKUP(C9,'Player Scoreboard'!C$10:N$19,8,FALSE),"")</f>
        <v>4</v>
      </c>
      <c r="J9" s="23">
        <f ca="1">IFERROR(VLOOKUP(C9,'Player Scoreboard'!C$10:N$19,9,FALSE),"")</f>
        <v>80</v>
      </c>
      <c r="K9" s="23">
        <f ca="1">IFERROR(VLOOKUP(C9,'Player Scoreboard'!C$10:N$19,10,FALSE),"")</f>
        <v>0</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Levi (happy go lucky)</v>
      </c>
      <c r="D10" s="23">
        <f ca="1">IFERROR(VLOOKUP(C10,'Player Scoreboard'!C10:N19,2,FALSE),"")</f>
        <v>134</v>
      </c>
      <c r="E10" s="23">
        <f ca="1">IFERROR(VLOOKUP(C10,'Player Scoreboard'!C10:N19,3,FALSE),"")</f>
        <v>62</v>
      </c>
      <c r="F10" s="23">
        <f ca="1">IFERROR(VLOOKUP(C10,'Player Scoreboard'!C10:N19,4,FALSE),"")</f>
        <v>72</v>
      </c>
      <c r="G10" s="22">
        <f ca="1">IFERROR(VLOOKUP(C10,'Player Scoreboard'!C$10:N$19,6,FALSE),"")</f>
        <v>4</v>
      </c>
      <c r="H10" s="23">
        <f ca="1">IFERROR(VLOOKUP(C10,'Player Scoreboard'!C$10:N$19,7,FALSE),"")</f>
        <v>62</v>
      </c>
      <c r="I10" s="23">
        <f ca="1">IFERROR(VLOOKUP(C10,'Player Scoreboard'!C$10:N$19,8,FALSE),"")</f>
        <v>4</v>
      </c>
      <c r="J10" s="23">
        <f ca="1">IFERROR(VLOOKUP(C10,'Player Scoreboard'!C$10:N$19,9,FALSE),"")</f>
        <v>72</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Therese</v>
      </c>
      <c r="D11" s="23">
        <f ca="1">IFERROR(VLOOKUP(C11,'Player Scoreboard'!C10:N19,2,FALSE),"")</f>
        <v>124</v>
      </c>
      <c r="E11" s="23">
        <f ca="1">IFERROR(VLOOKUP(C11,'Player Scoreboard'!C10:N19,3,FALSE),"")</f>
        <v>60</v>
      </c>
      <c r="F11" s="23">
        <f ca="1">IFERROR(VLOOKUP(C11,'Player Scoreboard'!C10:N19,4,FALSE),"")</f>
        <v>64</v>
      </c>
      <c r="G11" s="23">
        <f ca="1">IFERROR(VLOOKUP(C11,'Player Scoreboard'!C$10:N$19,6,FALSE),"")</f>
        <v>4</v>
      </c>
      <c r="H11" s="23">
        <f ca="1">IFERROR(VLOOKUP(C11,'Player Scoreboard'!C$10:N$19,7,FALSE),"")</f>
        <v>60</v>
      </c>
      <c r="I11" s="23">
        <f ca="1">IFERROR(VLOOKUP(C11,'Player Scoreboard'!C$10:N$19,8,FALSE),"")</f>
        <v>4</v>
      </c>
      <c r="J11" s="23">
        <f ca="1">IFERROR(VLOOKUP(C11,'Player Scoreboard'!C$10:N$19,9,FALSE),"")</f>
        <v>64</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Joakim</v>
      </c>
      <c r="D12" s="23">
        <f ca="1">IFERROR(VLOOKUP(C12,'Player Scoreboard'!C10:N19,2,FALSE),"")</f>
        <v>122</v>
      </c>
      <c r="E12" s="23">
        <f ca="1">IFERROR(VLOOKUP(C12,'Player Scoreboard'!C10:N19,3,FALSE),"")</f>
        <v>58</v>
      </c>
      <c r="F12" s="23">
        <f ca="1">IFERROR(VLOOKUP(C12,'Player Scoreboard'!C10:N19,4,FALSE),"")</f>
        <v>64</v>
      </c>
      <c r="G12" s="22">
        <f ca="1">IFERROR(VLOOKUP(C12,'Player Scoreboard'!C$10:N$19,6,FALSE),"")</f>
        <v>4</v>
      </c>
      <c r="H12" s="23">
        <f ca="1">IFERROR(VLOOKUP(C12,'Player Scoreboard'!C$10:N$19,7,FALSE),"")</f>
        <v>58</v>
      </c>
      <c r="I12" s="23">
        <f ca="1">IFERROR(VLOOKUP(C12,'Player Scoreboard'!C$10:N$19,8,FALSE),"")</f>
        <v>4</v>
      </c>
      <c r="J12" s="23">
        <f ca="1">IFERROR(VLOOKUP(C12,'Player Scoreboard'!C$10:N$19,9,FALSE),"")</f>
        <v>64</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Iben</v>
      </c>
      <c r="D13" s="23">
        <f ca="1">IFERROR(VLOOKUP(C13,'Player Scoreboard'!C10:N19,2,FALSE),"")</f>
        <v>116</v>
      </c>
      <c r="E13" s="23">
        <f ca="1">IFERROR(VLOOKUP(C13,'Player Scoreboard'!C10:N19,3,FALSE),"")</f>
        <v>52</v>
      </c>
      <c r="F13" s="23">
        <f ca="1">IFERROR(VLOOKUP(C13,'Player Scoreboard'!C10:N19,4,FALSE),"")</f>
        <v>64</v>
      </c>
      <c r="G13" s="23">
        <f ca="1">IFERROR(VLOOKUP(C13,'Player Scoreboard'!C$10:N$19,6,FALSE),"")</f>
        <v>2</v>
      </c>
      <c r="H13" s="23">
        <f ca="1">IFERROR(VLOOKUP(C13,'Player Scoreboard'!C$10:N$19,7,FALSE),"")</f>
        <v>52</v>
      </c>
      <c r="I13" s="23">
        <f ca="1">IFERROR(VLOOKUP(C13,'Player Scoreboard'!C$10:N$19,8,FALSE),"")</f>
        <v>2</v>
      </c>
      <c r="J13" s="23">
        <f ca="1">IFERROR(VLOOKUP(C13,'Player Scoreboard'!C$10:N$19,9,FALSE),"")</f>
        <v>64</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George</v>
      </c>
      <c r="D14" s="23">
        <f ca="1">IFERROR(VLOOKUP(C14,'Player Scoreboard'!C10:N19,2,FALSE),"")</f>
        <v>112</v>
      </c>
      <c r="E14" s="23">
        <f ca="1">IFERROR(VLOOKUP(C14,'Player Scoreboard'!C10:N19,3,FALSE),"")</f>
        <v>56</v>
      </c>
      <c r="F14" s="23">
        <f ca="1">IFERROR(VLOOKUP(C14,'Player Scoreboard'!C10:N19,4,FALSE),"")</f>
        <v>56</v>
      </c>
      <c r="G14" s="22">
        <f ca="1">IFERROR(VLOOKUP(C14,'Player Scoreboard'!C$10:N$19,6,FALSE),"")</f>
        <v>5</v>
      </c>
      <c r="H14" s="23">
        <f ca="1">IFERROR(VLOOKUP(C14,'Player Scoreboard'!C$10:N$19,7,FALSE),"")</f>
        <v>56</v>
      </c>
      <c r="I14" s="23">
        <f ca="1">IFERROR(VLOOKUP(C14,'Player Scoreboard'!C$10:N$19,8,FALSE),"")</f>
        <v>5</v>
      </c>
      <c r="J14" s="23">
        <f ca="1">IFERROR(VLOOKUP(C14,'Player Scoreboard'!C$10:N$19,9,FALSE),"")</f>
        <v>56</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Kristoffer (Fasiten)</v>
      </c>
      <c r="D15" s="23">
        <f ca="1">IFERROR(VLOOKUP(C15,'Player Scoreboard'!C10:N19,2,FALSE),"")</f>
        <v>78</v>
      </c>
      <c r="E15" s="23">
        <f ca="1">IFERROR(VLOOKUP(C15,'Player Scoreboard'!C10:N19,3,FALSE),"")</f>
        <v>38</v>
      </c>
      <c r="F15" s="23">
        <f ca="1">IFERROR(VLOOKUP(C15,'Player Scoreboard'!C10:N19,4,FALSE),"")</f>
        <v>40</v>
      </c>
      <c r="G15" s="23">
        <f ca="1">IFERROR(VLOOKUP(C15,'Player Scoreboard'!C$10:N$19,6,FALSE),"")</f>
        <v>4</v>
      </c>
      <c r="H15" s="23">
        <f ca="1">IFERROR(VLOOKUP(C15,'Player Scoreboard'!C$10:N$19,7,FALSE),"")</f>
        <v>38</v>
      </c>
      <c r="I15" s="23">
        <f ca="1">IFERROR(VLOOKUP(C15,'Player Scoreboard'!C$10:N$19,8,FALSE),"")</f>
        <v>4</v>
      </c>
      <c r="J15" s="23">
        <f ca="1">IFERROR(VLOOKUP(C15,'Player Scoreboard'!C$10:N$19,9,FALSE),"")</f>
        <v>40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Sverre</v>
      </c>
      <c r="D16" s="23">
        <f ca="1">IFERROR(VLOOKUP(C16,'Player Scoreboard'!C10:N19,2,FALSE),"")</f>
        <v>78</v>
      </c>
      <c r="E16" s="23">
        <f ca="1">IFERROR(VLOOKUP(C16,'Player Scoreboard'!C10:N19,3,FALSE),"")</f>
        <v>54</v>
      </c>
      <c r="F16" s="23">
        <f ca="1">IFERROR(VLOOKUP(C16,'Player Scoreboard'!C10:N19,4,FALSE),"")</f>
        <v>24</v>
      </c>
      <c r="G16" s="22">
        <f ca="1">IFERROR(VLOOKUP(C16,'Player Scoreboard'!C$10:N$19,6,FALSE),"")</f>
        <v>1</v>
      </c>
      <c r="H16" s="23">
        <f ca="1">IFERROR(VLOOKUP(C16,'Player Scoreboard'!C$10:N$19,7,FALSE),"")</f>
        <v>54</v>
      </c>
      <c r="I16" s="23">
        <f ca="1">IFERROR(VLOOKUP(C16,'Player Scoreboard'!C$10:N$19,8,FALSE),"")</f>
        <v>1</v>
      </c>
      <c r="J16" s="23">
        <f ca="1">IFERROR(VLOOKUP(C16,'Player Scoreboard'!C$10:N$19,9,FALSE),"")</f>
        <v>24</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Wanja</v>
      </c>
      <c r="D17" s="23">
        <f ca="1">IFERROR(VLOOKUP(C17,'Player Scoreboard'!C10:N19,2,FALSE),"")</f>
        <v>76</v>
      </c>
      <c r="E17" s="23">
        <f ca="1">IFERROR(VLOOKUP(C17,'Player Scoreboard'!C10:N19,3,FALSE),"")</f>
        <v>36</v>
      </c>
      <c r="F17" s="23">
        <f ca="1">IFERROR(VLOOKUP(C17,'Player Scoreboard'!C10:N19,4,FALSE),"")</f>
        <v>40</v>
      </c>
      <c r="G17" s="23">
        <f ca="1">IFERROR(VLOOKUP(C17,'Player Scoreboard'!C$10:N$19,6,FALSE),"")</f>
        <v>1</v>
      </c>
      <c r="H17" s="23">
        <f ca="1">IFERROR(VLOOKUP(C17,'Player Scoreboard'!C$10:N$19,7,FALSE),"")</f>
        <v>36</v>
      </c>
      <c r="I17" s="23">
        <f ca="1">IFERROR(VLOOKUP(C17,'Player Scoreboard'!C$10:N$19,8,FALSE),"")</f>
        <v>1</v>
      </c>
      <c r="J17" s="23">
        <f ca="1">IFERROR(VLOOKUP(C17,'Player Scoreboard'!C$10:N$19,9,FALSE),"")</f>
        <v>40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Baptiste</v>
      </c>
      <c r="D18" s="23">
        <f ca="1">IFERROR(VLOOKUP(C18,'Player Scoreboard'!C10:N19,2,FALSE),"")</f>
        <v>68</v>
      </c>
      <c r="E18" s="23">
        <f ca="1">IFERROR(VLOOKUP(C18,'Player Scoreboard'!C10:N19,3,FALSE),"")</f>
        <v>36</v>
      </c>
      <c r="F18" s="23">
        <f ca="1">IFERROR(VLOOKUP(C18,'Player Scoreboard'!C10:N19,4,FALSE),"")</f>
        <v>32</v>
      </c>
      <c r="G18" s="22">
        <f ca="1">IFERROR(VLOOKUP(C18,'Player Scoreboard'!C$10:N$19,6,FALSE),"")</f>
        <v>2</v>
      </c>
      <c r="H18" s="23">
        <f ca="1">IFERROR(VLOOKUP(C18,'Player Scoreboard'!C$10:N$19,7,FALSE),"")</f>
        <v>36</v>
      </c>
      <c r="I18" s="23">
        <f ca="1">IFERROR(VLOOKUP(C18,'Player Scoreboard'!C$10:N$19,8,FALSE),"")</f>
        <v>2</v>
      </c>
      <c r="J18" s="23">
        <f ca="1">IFERROR(VLOOKUP(C18,'Player Scoreboard'!C$10:N$19,9,FALSE),"")</f>
        <v>32</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5546875"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178</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423" t="s">
        <v>163</v>
      </c>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17" t="s">
        <v>164</v>
      </c>
      <c r="AR5" s="417"/>
      <c r="AS5" s="417"/>
      <c r="AT5" s="417"/>
      <c r="AU5" s="417"/>
      <c r="AV5" s="417"/>
      <c r="AW5" s="417"/>
      <c r="AX5" s="417"/>
      <c r="AY5" s="417" t="s">
        <v>165</v>
      </c>
      <c r="AZ5" s="417"/>
      <c r="BA5" s="417"/>
      <c r="BB5" s="417"/>
      <c r="BC5" s="417" t="s">
        <v>166</v>
      </c>
      <c r="BD5" s="417"/>
      <c r="BE5" s="120" t="s">
        <v>24</v>
      </c>
    </row>
    <row r="6" spans="1:57" s="7" customFormat="1" ht="15" customHeight="1" x14ac:dyDescent="0.2">
      <c r="A6" s="133"/>
      <c r="B6" s="419" t="s">
        <v>67</v>
      </c>
      <c r="C6" s="420" t="s">
        <v>68</v>
      </c>
      <c r="D6" s="419" t="s">
        <v>179</v>
      </c>
      <c r="E6" s="419"/>
      <c r="F6" s="419"/>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19"/>
      <c r="C7" s="420"/>
      <c r="D7" s="418" t="s">
        <v>180</v>
      </c>
      <c r="E7" s="418" t="s">
        <v>181</v>
      </c>
      <c r="F7" s="418"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19"/>
      <c r="C8" s="420"/>
      <c r="D8" s="418"/>
      <c r="E8" s="418"/>
      <c r="F8" s="418"/>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Ita</v>
      </c>
      <c r="AS8" s="120" t="str">
        <f ca="1">LEFT(OFFSET(Matches!G8,AS6-1,0),3)&amp;" - "&amp;LEFT(OFFSET(Matches!J8,AS6-1,0),3)</f>
        <v>Spa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Fra - Gro</v>
      </c>
      <c r="AW8" s="120" t="str">
        <f ca="1">LEFT(OFFSET(Matches!G8,AW6-1,0),3)&amp;" - "&amp;LEFT(OFFSET(Matches!J8,AW6-1,0),3)</f>
        <v>Gro - Gro</v>
      </c>
      <c r="AX8" s="120" t="str">
        <f ca="1">LEFT(OFFSET(Matches!G8,AX6-1,0),3)&amp;" - "&amp;LEFT(OFFSET(Matches!J8,AX6-1,0),3)</f>
        <v>Aus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19"/>
      <c r="C9" s="421"/>
      <c r="D9" s="418"/>
      <c r="E9" s="418"/>
      <c r="F9" s="418"/>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2 - 3</v>
      </c>
      <c r="AL9" s="120" t="str">
        <f ca="1">LEFT(OFFSET(Matches!H8,AL6-1,0),3)&amp;" - "&amp;LEFT(OFFSET(Matches!I8,AL6-1,0),3)</f>
        <v>1 - 1</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Håvard (ChatGPT)</v>
      </c>
      <c r="D10" s="24">
        <f ca="1">SUM(E10:F10)</f>
        <v>4</v>
      </c>
      <c r="E10" s="22">
        <f ca="1">IF(C10&lt;&gt;"",OFFSET('Player Game Board'!N9,G6-1,A10),0)</f>
        <v>4</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2" t="str">
        <f>IF('Player Setup'!C7&lt;&gt;"",'Player Setup'!C7,"")</f>
        <v>Levi (happy go lucky)</v>
      </c>
      <c r="D11" s="22">
        <f t="shared" ref="D11:D19" ca="1" si="3">SUM(E11:F11)</f>
        <v>4</v>
      </c>
      <c r="E11" s="23">
        <f ca="1">IF(C11&lt;&gt;"",OFFSET('Player Game Board'!N9,G6-1,A11),0)</f>
        <v>4</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3 - 1</v>
      </c>
      <c r="AR11" s="22" t="str">
        <f ca="1">IF(C11&lt;&gt;"",OFFSET('Player Game Board'!P10,AR6+14,A11)&amp;" - "&amp;OFFSET('Player Game Board'!Q10,AR6+14,A11),"")</f>
        <v>1 - 2</v>
      </c>
      <c r="AS11" s="22" t="str">
        <f ca="1">IF(C11&lt;&gt;"",OFFSET('Player Game Board'!P10,AS6+14,A11)&amp;" - "&amp;OFFSET('Player Game Board'!Q10,AS6+14,A11),"")</f>
        <v>3 - 1</v>
      </c>
      <c r="AT11" s="22" t="str">
        <f ca="1">IF(C11&lt;&gt;"",OFFSET('Player Game Board'!P10,AT6+14,A11)&amp;" - "&amp;OFFSET('Player Game Board'!Q10,AT6+14,A11),"")</f>
        <v>2 - 0</v>
      </c>
      <c r="AU11" s="22" t="str">
        <f ca="1">IF(C11&lt;&gt;"",OFFSET('Player Game Board'!P10,AU6+14,A11)&amp;" - "&amp;OFFSET('Player Game Board'!Q10,AU6+14,A11),"")</f>
        <v>2 - 2</v>
      </c>
      <c r="AV11" s="22" t="str">
        <f ca="1">IF(C11&lt;&gt;"",OFFSET('Player Game Board'!P10,AV6+14,A11)&amp;" - "&amp;OFFSET('Player Game Board'!Q10,AV6+14,A11),"")</f>
        <v>2 - 0</v>
      </c>
      <c r="AW11" s="22" t="str">
        <f ca="1">IF(C11&lt;&gt;"",OFFSET('Player Game Board'!P10,AW6+14,A11)&amp;" - "&amp;OFFSET('Player Game Board'!Q10,AW6+14,A11),"")</f>
        <v>3 - 1</v>
      </c>
      <c r="AX11" s="22" t="str">
        <f ca="1">IF(C11&lt;&gt;"",OFFSET('Player Game Board'!P10,AX6+14,A11)&amp;" - "&amp;OFFSET('Player Game Board'!Q10,AX6+14,A11),"")</f>
        <v>2 - 1</v>
      </c>
      <c r="AY11" s="22" t="str">
        <f ca="1">IF(C11&lt;&gt;"",OFFSET('Player Game Board'!P10,AY6+14,A11)&amp;" - "&amp;OFFSET('Player Game Board'!Q10,AY6+14,A11),"")</f>
        <v>2 - 3</v>
      </c>
      <c r="AZ11" s="22" t="str">
        <f ca="1">IF(C11&lt;&gt;"",OFFSET('Player Game Board'!P10,AZ6+14,A11)&amp;" - "&amp;OFFSET('Player Game Board'!Q10,AZ6+14,A11),"")</f>
        <v>1 - 2</v>
      </c>
      <c r="BA11" s="22" t="str">
        <f ca="1">IF(C11&lt;&gt;"",OFFSET('Player Game Board'!P10,BA6+14,A11)&amp;" - "&amp;OFFSET('Player Game Board'!Q10,BA6+14,A11),"")</f>
        <v>3 - 1</v>
      </c>
      <c r="BB11" s="22" t="str">
        <f ca="1">IF(C11&lt;&gt;"",OFFSET('Player Game Board'!P10,BB6+14,A11)&amp;" - "&amp;OFFSET('Player Game Board'!Q10,BB6+14,A11),"")</f>
        <v>2 - 2</v>
      </c>
      <c r="BC11" s="22" t="str">
        <f ca="1">IF(C11&lt;&gt;"",OFFSET('Player Game Board'!P10,BC6+14,A11)&amp;" - "&amp;OFFSET('Player Game Board'!Q10,BC6+14,A11),"")</f>
        <v>1 - 2</v>
      </c>
      <c r="BD11" s="22" t="str">
        <f ca="1">IF(C11&lt;&gt;"",OFFSET('Player Game Board'!P10,BD6+14,A11)&amp;" - "&amp;OFFSET('Player Game Board'!Q10,BD6+14,A11),"")</f>
        <v>2 - 1</v>
      </c>
      <c r="BE11" s="22" t="str">
        <f ca="1">IF(C11&lt;&gt;"",OFFSET('Player Game Board'!P10,BE6+14,A11)&amp;" - "&amp;OFFSET('Player Game Board'!Q10,BE6+14,A11),"")</f>
        <v>1 - 0</v>
      </c>
    </row>
    <row r="12" spans="1:57" ht="15" x14ac:dyDescent="0.2">
      <c r="A12" s="133">
        <f t="shared" ref="A12:A19" si="4">A11+10</f>
        <v>20</v>
      </c>
      <c r="B12" s="29">
        <v>3</v>
      </c>
      <c r="C12" s="272" t="str">
        <f>IF('Player Setup'!C8&lt;&gt;"",'Player Setup'!C8,"")</f>
        <v>Iben</v>
      </c>
      <c r="D12" s="22">
        <f t="shared" ca="1" si="3"/>
        <v>2</v>
      </c>
      <c r="E12" s="23">
        <f ca="1">IF(C12&lt;&gt;"",OFFSET('Player Game Board'!N9,G6-1,A12),0)</f>
        <v>2</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5" x14ac:dyDescent="0.2">
      <c r="A13" s="133">
        <f t="shared" si="4"/>
        <v>30</v>
      </c>
      <c r="B13" s="29">
        <v>4</v>
      </c>
      <c r="C13" s="272" t="str">
        <f>IF('Player Setup'!C9&lt;&gt;"",'Player Setup'!C9,"")</f>
        <v>Joakim</v>
      </c>
      <c r="D13" s="22">
        <f t="shared" ca="1" si="3"/>
        <v>4</v>
      </c>
      <c r="E13" s="23">
        <f ca="1">IF(C13&lt;&gt;"",OFFSET('Player Game Board'!N9,G6-1,A13),0)</f>
        <v>4</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5" x14ac:dyDescent="0.2">
      <c r="A14" s="133">
        <f t="shared" si="4"/>
        <v>40</v>
      </c>
      <c r="B14" s="29">
        <v>5</v>
      </c>
      <c r="C14" s="272" t="str">
        <f>IF('Player Setup'!C10&lt;&gt;"",'Player Setup'!C10,"")</f>
        <v>Kristoffer (Fasiten)</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5" x14ac:dyDescent="0.2">
      <c r="A15" s="133">
        <f t="shared" si="4"/>
        <v>50</v>
      </c>
      <c r="B15" s="29">
        <v>6</v>
      </c>
      <c r="C15" s="272" t="str">
        <f>IF('Player Setup'!C11&lt;&gt;"",'Player Setup'!C11,"")</f>
        <v>George</v>
      </c>
      <c r="D15" s="22">
        <f t="shared" ca="1" si="3"/>
        <v>5</v>
      </c>
      <c r="E15" s="23">
        <f ca="1">IF(C15&lt;&gt;"",OFFSET('Player Game Board'!N9,G6-1,A15),0)</f>
        <v>5</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5" x14ac:dyDescent="0.2">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5" x14ac:dyDescent="0.2">
      <c r="A17" s="133">
        <f t="shared" si="4"/>
        <v>70</v>
      </c>
      <c r="B17" s="29">
        <v>8</v>
      </c>
      <c r="C17" s="272" t="str">
        <f>IF('Player Setup'!C13&lt;&gt;"",'Player Setup'!C13,"")</f>
        <v>Therese</v>
      </c>
      <c r="D17" s="22">
        <f t="shared" ca="1" si="3"/>
        <v>4</v>
      </c>
      <c r="E17" s="23">
        <f ca="1">IF(C17&lt;&gt;"",OFFSET('Player Game Board'!N9,G6-1,A17),0)</f>
        <v>4</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3 - 1</v>
      </c>
      <c r="AR17" s="22" t="str">
        <f ca="1">IF(C17&lt;&gt;"",OFFSET('Player Game Board'!P10,AR6+14,A17)&amp;" - "&amp;OFFSET('Player Game Board'!Q10,AR6+14,A17),"")</f>
        <v>0 - 2</v>
      </c>
      <c r="AS17" s="22" t="str">
        <f ca="1">IF(C17&lt;&gt;"",OFFSET('Player Game Board'!P10,AS6+14,A17)&amp;" - "&amp;OFFSET('Player Game Board'!Q10,AS6+14,A17),"")</f>
        <v>3 - 0</v>
      </c>
      <c r="AT17" s="22" t="str">
        <f ca="1">IF(C17&lt;&gt;"",OFFSET('Player Game Board'!P10,AT6+14,A17)&amp;" - "&amp;OFFSET('Player Game Board'!Q10,AT6+14,A17),"")</f>
        <v>1 - 1</v>
      </c>
      <c r="AU17" s="22" t="str">
        <f ca="1">IF(C17&lt;&gt;"",OFFSET('Player Game Board'!P10,AU6+14,A17)&amp;" - "&amp;OFFSET('Player Game Board'!Q10,AU6+14,A17),"")</f>
        <v>2 - 2</v>
      </c>
      <c r="AV17" s="22" t="str">
        <f ca="1">IF(C17&lt;&gt;"",OFFSET('Player Game Board'!P10,AV6+14,A17)&amp;" - "&amp;OFFSET('Player Game Board'!Q10,AV6+14,A17),"")</f>
        <v>2 - 1</v>
      </c>
      <c r="AW17" s="22" t="str">
        <f ca="1">IF(C17&lt;&gt;"",OFFSET('Player Game Board'!P10,AW6+14,A17)&amp;" - "&amp;OFFSET('Player Game Board'!Q10,AW6+14,A17),"")</f>
        <v>0 - 0</v>
      </c>
      <c r="AX17" s="22" t="str">
        <f ca="1">IF(C17&lt;&gt;"",OFFSET('Player Game Board'!P10,AX6+14,A17)&amp;" - "&amp;OFFSET('Player Game Board'!Q10,AX6+14,A17),"")</f>
        <v>3 - 0</v>
      </c>
      <c r="AY17" s="22" t="str">
        <f ca="1">IF(C17&lt;&gt;"",OFFSET('Player Game Board'!P10,AY6+14,A17)&amp;" - "&amp;OFFSET('Player Game Board'!Q10,AY6+14,A17),"")</f>
        <v>0 - 1</v>
      </c>
      <c r="AZ17" s="22" t="str">
        <f ca="1">IF(C17&lt;&gt;"",OFFSET('Player Game Board'!P10,AZ6+14,A17)&amp;" - "&amp;OFFSET('Player Game Board'!Q10,AZ6+14,A17),"")</f>
        <v>1 - 1</v>
      </c>
      <c r="BA17" s="22" t="str">
        <f ca="1">IF(C17&lt;&gt;"",OFFSET('Player Game Board'!P10,BA6+14,A17)&amp;" - "&amp;OFFSET('Player Game Board'!Q10,BA6+14,A17),"")</f>
        <v>0 - 3</v>
      </c>
      <c r="BB17" s="22" t="str">
        <f ca="1">IF(C17&lt;&gt;"",OFFSET('Player Game Board'!P10,BB6+14,A17)&amp;" - "&amp;OFFSET('Player Game Board'!Q10,BB6+14,A17),"")</f>
        <v>1 - 2</v>
      </c>
      <c r="BC17" s="22" t="str">
        <f ca="1">IF(C17&lt;&gt;"",OFFSET('Player Game Board'!P10,BC6+14,A17)&amp;" - "&amp;OFFSET('Player Game Board'!Q10,BC6+14,A17),"")</f>
        <v>2 - 0</v>
      </c>
      <c r="BD17" s="22" t="str">
        <f ca="1">IF(C17&lt;&gt;"",OFFSET('Player Game Board'!P10,BD6+14,A17)&amp;" - "&amp;OFFSET('Player Game Board'!Q10,BD6+14,A17),"")</f>
        <v>1 - 1</v>
      </c>
      <c r="BE17" s="22" t="str">
        <f ca="1">IF(C17&lt;&gt;"",OFFSET('Player Game Board'!P10,BE6+14,A17)&amp;" - "&amp;OFFSET('Player Game Board'!Q10,BE6+14,A17),"")</f>
        <v>2 - 1</v>
      </c>
    </row>
    <row r="18" spans="1:57" ht="15" x14ac:dyDescent="0.2">
      <c r="A18" s="133">
        <f t="shared" si="4"/>
        <v>80</v>
      </c>
      <c r="B18" s="29">
        <v>9</v>
      </c>
      <c r="C18" s="272" t="str">
        <f>IF('Player Setup'!C14&lt;&gt;"",'Player Setup'!C14,"")</f>
        <v>Wanja</v>
      </c>
      <c r="D18" s="22">
        <f t="shared" ca="1" si="3"/>
        <v>1</v>
      </c>
      <c r="E18" s="23">
        <f ca="1">IF(C18&lt;&gt;"",OFFSET('Player Game Board'!N9,G6-1,A18),0)</f>
        <v>1</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2" t="str">
        <f>IF('Player Setup'!C15&lt;&gt;"",'Player Setup'!C15,"")</f>
        <v>Baptiste</v>
      </c>
      <c r="D19" s="22">
        <f t="shared" ca="1" si="3"/>
        <v>2</v>
      </c>
      <c r="E19" s="23">
        <f ca="1">IF(C19&lt;&gt;"",OFFSET('Player Game Board'!N9,G6-1,A19),0)</f>
        <v>2</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183</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184</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185</v>
      </c>
      <c r="C5" s="138"/>
    </row>
    <row r="6" spans="2:8" ht="15" customHeight="1" x14ac:dyDescent="0.2">
      <c r="B6" s="137">
        <v>1</v>
      </c>
      <c r="C6" s="39" t="s">
        <v>186</v>
      </c>
      <c r="D6" s="188" t="s">
        <v>14</v>
      </c>
      <c r="E6" s="424" t="s">
        <v>187</v>
      </c>
    </row>
    <row r="7" spans="2:8" ht="15" customHeight="1" x14ac:dyDescent="0.2">
      <c r="B7" s="137">
        <v>2</v>
      </c>
      <c r="C7" s="39" t="s">
        <v>188</v>
      </c>
      <c r="E7" s="424"/>
    </row>
    <row r="8" spans="2:8" ht="15" customHeight="1" x14ac:dyDescent="0.2">
      <c r="B8" s="137">
        <v>3</v>
      </c>
      <c r="C8" s="39" t="s">
        <v>189</v>
      </c>
      <c r="E8" s="424"/>
    </row>
    <row r="9" spans="2:8" ht="15" customHeight="1" x14ac:dyDescent="0.2">
      <c r="B9" s="137">
        <v>4</v>
      </c>
      <c r="C9" s="39" t="s">
        <v>190</v>
      </c>
      <c r="E9" s="424"/>
    </row>
    <row r="10" spans="2:8" ht="15" customHeight="1" x14ac:dyDescent="0.2">
      <c r="B10" s="137">
        <v>5</v>
      </c>
      <c r="C10" s="39" t="s">
        <v>191</v>
      </c>
      <c r="E10" s="424"/>
    </row>
    <row r="11" spans="2:8" ht="15" customHeight="1" x14ac:dyDescent="0.2">
      <c r="B11" s="137">
        <v>6</v>
      </c>
      <c r="C11" s="39" t="s">
        <v>192</v>
      </c>
      <c r="E11" s="424"/>
    </row>
    <row r="12" spans="2:8" ht="15" customHeight="1" x14ac:dyDescent="0.2">
      <c r="B12" s="137">
        <v>7</v>
      </c>
      <c r="C12" s="39" t="s">
        <v>193</v>
      </c>
      <c r="E12" s="424"/>
    </row>
    <row r="13" spans="2:8" ht="15" customHeight="1" x14ac:dyDescent="0.2">
      <c r="B13" s="137">
        <v>8</v>
      </c>
      <c r="C13" s="39" t="s">
        <v>194</v>
      </c>
      <c r="E13" s="424"/>
    </row>
    <row r="14" spans="2:8" ht="15" customHeight="1" x14ac:dyDescent="0.2">
      <c r="B14" s="137">
        <v>9</v>
      </c>
      <c r="C14" s="39" t="s">
        <v>195</v>
      </c>
      <c r="E14" s="424"/>
    </row>
    <row r="15" spans="2:8" ht="15" customHeight="1" x14ac:dyDescent="0.2">
      <c r="B15" s="137">
        <v>10</v>
      </c>
      <c r="C15" s="39" t="s">
        <v>196</v>
      </c>
    </row>
    <row r="16" spans="2:8" ht="15" customHeight="1" x14ac:dyDescent="0.2">
      <c r="B16" s="137">
        <v>11</v>
      </c>
      <c r="C16" s="39" t="s">
        <v>197</v>
      </c>
    </row>
    <row r="17" spans="2:3" ht="15" customHeight="1" x14ac:dyDescent="0.2">
      <c r="B17" s="137">
        <v>12</v>
      </c>
      <c r="C17" s="39" t="s">
        <v>198</v>
      </c>
    </row>
    <row r="18" spans="2:3" ht="15" customHeight="1" x14ac:dyDescent="0.2">
      <c r="B18" s="137">
        <v>13</v>
      </c>
      <c r="C18" s="39" t="s">
        <v>199</v>
      </c>
    </row>
    <row r="19" spans="2:3" ht="15" customHeight="1" x14ac:dyDescent="0.2">
      <c r="B19" s="137">
        <v>14</v>
      </c>
      <c r="C19" s="39" t="s">
        <v>200</v>
      </c>
    </row>
    <row r="20" spans="2:3" ht="15" customHeight="1" x14ac:dyDescent="0.2">
      <c r="B20" s="137">
        <v>15</v>
      </c>
      <c r="C20" s="39" t="s">
        <v>201</v>
      </c>
    </row>
    <row r="21" spans="2:3" ht="15" customHeight="1" x14ac:dyDescent="0.2">
      <c r="B21" s="137">
        <v>16</v>
      </c>
      <c r="C21" s="39" t="s">
        <v>202</v>
      </c>
    </row>
    <row r="22" spans="2:3" ht="15" customHeight="1" x14ac:dyDescent="0.2">
      <c r="B22" s="137">
        <v>17</v>
      </c>
      <c r="C22" s="39" t="s">
        <v>203</v>
      </c>
    </row>
    <row r="23" spans="2:3" ht="15" customHeight="1" x14ac:dyDescent="0.2">
      <c r="B23" s="137">
        <v>18</v>
      </c>
      <c r="C23" s="39" t="s">
        <v>204</v>
      </c>
    </row>
    <row r="24" spans="2:3" ht="15" customHeight="1" x14ac:dyDescent="0.2">
      <c r="B24" s="137">
        <v>19</v>
      </c>
      <c r="C24" s="39" t="s">
        <v>205</v>
      </c>
    </row>
    <row r="25" spans="2:3" ht="15" customHeight="1" x14ac:dyDescent="0.2">
      <c r="B25" s="137">
        <v>20</v>
      </c>
      <c r="C25" s="39" t="s">
        <v>206</v>
      </c>
    </row>
    <row r="26" spans="2:3" ht="15" customHeight="1" x14ac:dyDescent="0.2">
      <c r="B26" s="137">
        <v>21</v>
      </c>
      <c r="C26" s="39" t="s">
        <v>207</v>
      </c>
    </row>
    <row r="27" spans="2:3" ht="15" customHeight="1" x14ac:dyDescent="0.2">
      <c r="B27" s="137">
        <v>22</v>
      </c>
      <c r="C27" s="39" t="s">
        <v>208</v>
      </c>
    </row>
    <row r="28" spans="2:3" ht="15" customHeight="1" x14ac:dyDescent="0.2">
      <c r="B28" s="137">
        <v>23</v>
      </c>
      <c r="C28" s="39" t="s">
        <v>209</v>
      </c>
    </row>
    <row r="29" spans="2:3" ht="15" customHeight="1" x14ac:dyDescent="0.2">
      <c r="B29" s="137">
        <v>24</v>
      </c>
      <c r="C29" s="39" t="s">
        <v>210</v>
      </c>
    </row>
    <row r="30" spans="2:3" ht="15" customHeight="1" x14ac:dyDescent="0.2">
      <c r="B30" s="137">
        <v>25</v>
      </c>
      <c r="C30" s="39" t="s">
        <v>185</v>
      </c>
    </row>
    <row r="31" spans="2:3" ht="15" customHeight="1" x14ac:dyDescent="0.2">
      <c r="B31" s="137">
        <v>26</v>
      </c>
      <c r="C31" s="39" t="s">
        <v>211</v>
      </c>
    </row>
    <row r="32" spans="2:3" ht="15" customHeight="1" x14ac:dyDescent="0.2">
      <c r="B32" s="137">
        <v>27</v>
      </c>
      <c r="C32" s="39" t="s">
        <v>171</v>
      </c>
    </row>
    <row r="33" spans="2:3" ht="15" customHeight="1" x14ac:dyDescent="0.2">
      <c r="B33" s="137">
        <v>28</v>
      </c>
      <c r="C33" s="39" t="s">
        <v>212</v>
      </c>
    </row>
    <row r="34" spans="2:3" ht="15" customHeight="1" x14ac:dyDescent="0.2">
      <c r="B34" s="137">
        <v>29</v>
      </c>
      <c r="C34" s="39" t="s">
        <v>213</v>
      </c>
    </row>
    <row r="35" spans="2:3" ht="15" customHeight="1" x14ac:dyDescent="0.2">
      <c r="B35" s="137">
        <v>30</v>
      </c>
      <c r="C35" s="39" t="s">
        <v>181</v>
      </c>
    </row>
    <row r="36" spans="2:3" ht="15" customHeight="1" x14ac:dyDescent="0.2">
      <c r="B36" s="137">
        <v>31</v>
      </c>
      <c r="C36" s="39" t="s">
        <v>214</v>
      </c>
    </row>
    <row r="37" spans="2:3" ht="15" customHeight="1" x14ac:dyDescent="0.2">
      <c r="B37" s="137">
        <v>32</v>
      </c>
      <c r="C37" s="39" t="s">
        <v>215</v>
      </c>
    </row>
    <row r="38" spans="2:3" ht="15" customHeight="1" x14ac:dyDescent="0.2">
      <c r="B38" s="137">
        <v>33</v>
      </c>
      <c r="C38" s="39" t="s">
        <v>104</v>
      </c>
    </row>
    <row r="39" spans="2:3" ht="15" customHeight="1" x14ac:dyDescent="0.2">
      <c r="B39" s="137">
        <v>34</v>
      </c>
      <c r="C39" s="39" t="s">
        <v>216</v>
      </c>
    </row>
    <row r="40" spans="2:3" ht="15" customHeight="1" x14ac:dyDescent="0.2">
      <c r="B40" s="137">
        <v>35</v>
      </c>
      <c r="C40" s="39" t="s">
        <v>164</v>
      </c>
    </row>
    <row r="41" spans="2:3" ht="15" customHeight="1" x14ac:dyDescent="0.2">
      <c r="B41" s="137">
        <v>36</v>
      </c>
      <c r="C41" s="39" t="s">
        <v>217</v>
      </c>
    </row>
    <row r="42" spans="2:3" ht="15" customHeight="1" x14ac:dyDescent="0.2">
      <c r="B42" s="137">
        <v>37</v>
      </c>
      <c r="C42" s="39" t="s">
        <v>218</v>
      </c>
    </row>
    <row r="43" spans="2:3" ht="15" customHeight="1" x14ac:dyDescent="0.2">
      <c r="B43" s="137">
        <v>38</v>
      </c>
      <c r="C43" s="39" t="s">
        <v>219</v>
      </c>
    </row>
    <row r="44" spans="2:3" ht="15" customHeight="1" x14ac:dyDescent="0.2">
      <c r="B44" s="137">
        <v>39</v>
      </c>
      <c r="C44" s="39" t="s">
        <v>111</v>
      </c>
    </row>
    <row r="45" spans="2:3" ht="15" customHeight="1" x14ac:dyDescent="0.2">
      <c r="B45" s="137">
        <v>40</v>
      </c>
      <c r="C45" s="39" t="s">
        <v>112</v>
      </c>
    </row>
    <row r="46" spans="2:3" ht="15" customHeight="1" x14ac:dyDescent="0.2">
      <c r="B46" s="137">
        <v>41</v>
      </c>
      <c r="C46" s="39" t="s">
        <v>220</v>
      </c>
    </row>
    <row r="47" spans="2:3" ht="15" customHeight="1" x14ac:dyDescent="0.2">
      <c r="B47" s="137">
        <v>42</v>
      </c>
      <c r="C47" s="39" t="s">
        <v>221</v>
      </c>
    </row>
    <row r="48" spans="2:3" ht="15" customHeight="1" x14ac:dyDescent="0.2">
      <c r="B48" s="137">
        <v>43</v>
      </c>
      <c r="C48" s="39" t="s">
        <v>222</v>
      </c>
    </row>
    <row r="49" spans="2:3" ht="15" customHeight="1" x14ac:dyDescent="0.2">
      <c r="B49" s="137">
        <v>44</v>
      </c>
      <c r="C49" s="39" t="s">
        <v>223</v>
      </c>
    </row>
    <row r="50" spans="2:3" ht="15" customHeight="1" x14ac:dyDescent="0.2">
      <c r="B50" s="137">
        <v>45</v>
      </c>
      <c r="C50" s="39" t="s">
        <v>224</v>
      </c>
    </row>
    <row r="51" spans="2:3" ht="15" customHeight="1" x14ac:dyDescent="0.2">
      <c r="B51" s="137">
        <v>46</v>
      </c>
      <c r="C51" s="39" t="s">
        <v>225</v>
      </c>
    </row>
    <row r="52" spans="2:3" ht="15" customHeight="1" x14ac:dyDescent="0.2">
      <c r="B52" s="137">
        <v>47</v>
      </c>
      <c r="C52" s="39" t="s">
        <v>226</v>
      </c>
    </row>
    <row r="53" spans="2:3" ht="15" customHeight="1" x14ac:dyDescent="0.2">
      <c r="B53" s="137">
        <v>48</v>
      </c>
      <c r="C53" s="39" t="s">
        <v>227</v>
      </c>
    </row>
    <row r="54" spans="2:3" ht="15" customHeight="1" x14ac:dyDescent="0.2">
      <c r="B54" s="137">
        <v>49</v>
      </c>
      <c r="C54" s="39" t="s">
        <v>228</v>
      </c>
    </row>
    <row r="55" spans="2:3" ht="15" customHeight="1" x14ac:dyDescent="0.2">
      <c r="B55" s="137">
        <v>50</v>
      </c>
      <c r="C55" s="39" t="s">
        <v>229</v>
      </c>
    </row>
    <row r="56" spans="2:3" ht="15" customHeight="1" x14ac:dyDescent="0.2">
      <c r="B56" s="137">
        <v>51</v>
      </c>
      <c r="C56" s="39" t="s">
        <v>230</v>
      </c>
    </row>
    <row r="57" spans="2:3" ht="15" customHeight="1" x14ac:dyDescent="0.2">
      <c r="B57" s="137">
        <v>52</v>
      </c>
      <c r="C57" s="39" t="s">
        <v>231</v>
      </c>
    </row>
    <row r="58" spans="2:3" ht="15" customHeight="1" x14ac:dyDescent="0.2">
      <c r="B58" s="137">
        <v>53</v>
      </c>
      <c r="C58" s="39" t="s">
        <v>232</v>
      </c>
    </row>
    <row r="59" spans="2:3" ht="15" customHeight="1" x14ac:dyDescent="0.2">
      <c r="B59" s="137">
        <v>54</v>
      </c>
      <c r="C59" s="39" t="s">
        <v>233</v>
      </c>
    </row>
    <row r="60" spans="2:3" ht="15" customHeight="1" x14ac:dyDescent="0.2">
      <c r="B60" s="137">
        <v>55</v>
      </c>
      <c r="C60" s="39" t="s">
        <v>234</v>
      </c>
    </row>
    <row r="61" spans="2:3" ht="15" customHeight="1" x14ac:dyDescent="0.2">
      <c r="B61" s="137">
        <v>56</v>
      </c>
      <c r="C61" s="39" t="s">
        <v>235</v>
      </c>
    </row>
    <row r="62" spans="2:3" ht="15" customHeight="1" x14ac:dyDescent="0.2">
      <c r="B62" s="137">
        <v>57</v>
      </c>
      <c r="C62" s="39" t="s">
        <v>236</v>
      </c>
    </row>
    <row r="63" spans="2:3" ht="15" customHeight="1" x14ac:dyDescent="0.2">
      <c r="B63" s="137">
        <v>58</v>
      </c>
      <c r="C63" s="39" t="s">
        <v>237</v>
      </c>
    </row>
    <row r="64" spans="2:3" ht="15" customHeight="1" x14ac:dyDescent="0.2">
      <c r="B64" s="137">
        <v>59</v>
      </c>
      <c r="C64" s="39" t="s">
        <v>238</v>
      </c>
    </row>
    <row r="65" spans="2:3" ht="15" customHeight="1" x14ac:dyDescent="0.2">
      <c r="B65" s="137">
        <v>60</v>
      </c>
      <c r="C65" s="39" t="s">
        <v>239</v>
      </c>
    </row>
    <row r="66" spans="2:3" ht="15" customHeight="1" x14ac:dyDescent="0.2">
      <c r="B66" s="137">
        <v>61</v>
      </c>
      <c r="C66" s="39" t="s">
        <v>240</v>
      </c>
    </row>
    <row r="67" spans="2:3" ht="15" customHeight="1" x14ac:dyDescent="0.2">
      <c r="B67" s="137">
        <v>62</v>
      </c>
      <c r="C67" s="39" t="s">
        <v>241</v>
      </c>
    </row>
    <row r="68" spans="2:3" ht="15" customHeight="1" x14ac:dyDescent="0.2">
      <c r="B68" s="137">
        <v>63</v>
      </c>
      <c r="C68" s="39" t="s">
        <v>242</v>
      </c>
    </row>
    <row r="69" spans="2:3" ht="15" customHeight="1" x14ac:dyDescent="0.2">
      <c r="B69" s="137">
        <v>64</v>
      </c>
      <c r="C69" s="39" t="s">
        <v>243</v>
      </c>
    </row>
    <row r="70" spans="2:3" ht="15" customHeight="1" x14ac:dyDescent="0.2">
      <c r="B70" s="137">
        <v>65</v>
      </c>
      <c r="C70" s="39" t="s">
        <v>244</v>
      </c>
    </row>
    <row r="71" spans="2:3" ht="15" customHeight="1" x14ac:dyDescent="0.2">
      <c r="B71" s="137">
        <v>66</v>
      </c>
      <c r="C71" s="39" t="s">
        <v>245</v>
      </c>
    </row>
    <row r="72" spans="2:3" ht="15" customHeight="1" x14ac:dyDescent="0.2">
      <c r="B72" s="137">
        <v>67</v>
      </c>
      <c r="C72" s="39" t="s">
        <v>246</v>
      </c>
    </row>
    <row r="73" spans="2:3" ht="15" customHeight="1" x14ac:dyDescent="0.2">
      <c r="B73" s="137">
        <v>68</v>
      </c>
      <c r="C73" s="39" t="s">
        <v>247</v>
      </c>
    </row>
    <row r="74" spans="2:3" ht="15" customHeight="1" x14ac:dyDescent="0.2">
      <c r="B74" s="137">
        <v>69</v>
      </c>
      <c r="C74" s="39" t="s">
        <v>248</v>
      </c>
    </row>
    <row r="75" spans="2:3" ht="15" customHeight="1" x14ac:dyDescent="0.2">
      <c r="B75" s="137">
        <v>70</v>
      </c>
      <c r="C75" s="39" t="s">
        <v>249</v>
      </c>
    </row>
    <row r="76" spans="2:3" ht="15" customHeight="1" x14ac:dyDescent="0.2">
      <c r="B76" s="137">
        <v>71</v>
      </c>
      <c r="C76" s="39" t="s">
        <v>250</v>
      </c>
    </row>
    <row r="77" spans="2:3" ht="15" customHeight="1" x14ac:dyDescent="0.2">
      <c r="B77" s="137">
        <v>72</v>
      </c>
      <c r="C77" s="39" t="s">
        <v>251</v>
      </c>
    </row>
    <row r="78" spans="2:3" ht="15" customHeight="1" x14ac:dyDescent="0.2">
      <c r="B78" s="137">
        <v>73</v>
      </c>
      <c r="C78" s="39" t="s">
        <v>252</v>
      </c>
    </row>
    <row r="79" spans="2:3" ht="15" customHeight="1" x14ac:dyDescent="0.2">
      <c r="B79" s="137">
        <v>74</v>
      </c>
      <c r="C79" s="39" t="s">
        <v>253</v>
      </c>
    </row>
    <row r="80" spans="2:3" ht="15" customHeight="1" x14ac:dyDescent="0.2">
      <c r="B80" s="137">
        <v>75</v>
      </c>
      <c r="C80" s="39" t="s">
        <v>254</v>
      </c>
    </row>
    <row r="81" spans="2:3" ht="15" customHeight="1" x14ac:dyDescent="0.2">
      <c r="B81" s="137">
        <v>76</v>
      </c>
      <c r="C81" s="39" t="s">
        <v>255</v>
      </c>
    </row>
    <row r="82" spans="2:3" ht="15" customHeight="1" x14ac:dyDescent="0.2">
      <c r="B82" s="137">
        <v>77</v>
      </c>
      <c r="C82" s="39" t="s">
        <v>256</v>
      </c>
    </row>
    <row r="83" spans="2:3" ht="15" customHeight="1" x14ac:dyDescent="0.2">
      <c r="B83" s="137">
        <v>78</v>
      </c>
      <c r="C83" s="39" t="s">
        <v>257</v>
      </c>
    </row>
    <row r="84" spans="2:3" ht="15" customHeight="1" x14ac:dyDescent="0.2">
      <c r="B84" s="137">
        <v>79</v>
      </c>
      <c r="C84" s="39" t="s">
        <v>258</v>
      </c>
    </row>
    <row r="85" spans="2:3" ht="15" customHeight="1" x14ac:dyDescent="0.2">
      <c r="B85" s="137">
        <v>80</v>
      </c>
      <c r="C85" s="39" t="s">
        <v>259</v>
      </c>
    </row>
    <row r="86" spans="2:3" ht="15" customHeight="1" x14ac:dyDescent="0.2">
      <c r="B86" s="137">
        <v>81</v>
      </c>
      <c r="C86" s="39" t="s">
        <v>260</v>
      </c>
    </row>
    <row r="87" spans="2:3" ht="15" customHeight="1" x14ac:dyDescent="0.2">
      <c r="B87" s="137">
        <v>82</v>
      </c>
      <c r="C87" s="39" t="s">
        <v>261</v>
      </c>
    </row>
    <row r="88" spans="2:3" ht="15" customHeight="1" x14ac:dyDescent="0.2">
      <c r="B88" s="137">
        <v>83</v>
      </c>
      <c r="C88" s="39" t="s">
        <v>262</v>
      </c>
    </row>
    <row r="89" spans="2:3" ht="15" customHeight="1" x14ac:dyDescent="0.2">
      <c r="B89" s="137">
        <v>84</v>
      </c>
      <c r="C89" s="39" t="s">
        <v>263</v>
      </c>
    </row>
    <row r="90" spans="2:3" ht="15" customHeight="1" x14ac:dyDescent="0.2">
      <c r="B90" s="137">
        <v>85</v>
      </c>
      <c r="C90" s="39" t="s">
        <v>264</v>
      </c>
    </row>
    <row r="91" spans="2:3" ht="15" customHeight="1" x14ac:dyDescent="0.2">
      <c r="B91" s="137">
        <v>86</v>
      </c>
      <c r="C91" s="39" t="s">
        <v>265</v>
      </c>
    </row>
    <row r="92" spans="2:3" ht="15" customHeight="1" x14ac:dyDescent="0.2">
      <c r="B92" s="137">
        <v>87</v>
      </c>
      <c r="C92" s="39" t="s">
        <v>266</v>
      </c>
    </row>
    <row r="93" spans="2:3" ht="15" customHeight="1" x14ac:dyDescent="0.2">
      <c r="B93" s="137">
        <v>88</v>
      </c>
      <c r="C93" s="39" t="s">
        <v>267</v>
      </c>
    </row>
    <row r="94" spans="2:3" ht="15" customHeight="1" x14ac:dyDescent="0.2">
      <c r="B94" s="137">
        <v>89</v>
      </c>
      <c r="C94" s="39" t="s">
        <v>268</v>
      </c>
    </row>
    <row r="95" spans="2:3" ht="15" customHeight="1" x14ac:dyDescent="0.2">
      <c r="B95" s="137">
        <v>90</v>
      </c>
      <c r="C95" s="39" t="s">
        <v>269</v>
      </c>
    </row>
    <row r="96" spans="2:3" ht="15" customHeight="1" x14ac:dyDescent="0.2">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271</v>
      </c>
    </row>
    <row r="4" spans="1:12" ht="5.0999999999999996" customHeight="1" x14ac:dyDescent="0.25"/>
    <row r="5" spans="1:12" x14ac:dyDescent="0.25">
      <c r="B5" s="425" t="s">
        <v>272</v>
      </c>
      <c r="C5" s="425"/>
      <c r="E5" s="425" t="s">
        <v>273</v>
      </c>
      <c r="F5" s="425"/>
    </row>
    <row r="6" spans="1:12" x14ac:dyDescent="0.25">
      <c r="B6" s="136"/>
      <c r="C6" s="136" t="s">
        <v>274</v>
      </c>
      <c r="E6" s="136"/>
      <c r="F6" s="136" t="s">
        <v>274</v>
      </c>
    </row>
    <row r="7" spans="1:12" x14ac:dyDescent="0.25">
      <c r="B7" s="134">
        <v>1</v>
      </c>
      <c r="C7" s="135" t="s">
        <v>275</v>
      </c>
      <c r="E7" s="134">
        <v>1</v>
      </c>
      <c r="F7" s="135" t="s">
        <v>275</v>
      </c>
      <c r="H7" s="190" t="s">
        <v>14</v>
      </c>
      <c r="I7" s="426" t="s">
        <v>276</v>
      </c>
      <c r="J7" s="426"/>
      <c r="K7" s="426"/>
      <c r="L7" s="426"/>
    </row>
    <row r="8" spans="1:12" x14ac:dyDescent="0.25">
      <c r="B8" s="38">
        <v>2</v>
      </c>
      <c r="C8" s="39" t="s">
        <v>277</v>
      </c>
      <c r="E8" s="38">
        <v>2</v>
      </c>
      <c r="F8" s="39" t="s">
        <v>277</v>
      </c>
      <c r="H8" s="191"/>
      <c r="I8" s="426"/>
      <c r="J8" s="426"/>
      <c r="K8" s="426"/>
      <c r="L8" s="426"/>
    </row>
    <row r="9" spans="1:12" x14ac:dyDescent="0.25">
      <c r="B9" s="38">
        <v>3</v>
      </c>
      <c r="C9" s="39" t="s">
        <v>278</v>
      </c>
      <c r="E9" s="38">
        <v>3</v>
      </c>
      <c r="F9" s="39" t="s">
        <v>278</v>
      </c>
      <c r="H9" s="191"/>
      <c r="I9" s="426"/>
      <c r="J9" s="426"/>
      <c r="K9" s="426"/>
      <c r="L9" s="426"/>
    </row>
    <row r="10" spans="1:12" x14ac:dyDescent="0.25">
      <c r="B10" s="38">
        <v>4</v>
      </c>
      <c r="C10" s="39" t="s">
        <v>279</v>
      </c>
      <c r="E10" s="38">
        <v>4</v>
      </c>
      <c r="F10" s="39" t="s">
        <v>279</v>
      </c>
      <c r="H10" s="192"/>
      <c r="I10" s="426"/>
      <c r="J10" s="426"/>
      <c r="K10" s="426"/>
      <c r="L10" s="426"/>
    </row>
    <row r="11" spans="1:12" x14ac:dyDescent="0.25">
      <c r="B11" s="38">
        <v>5</v>
      </c>
      <c r="C11" s="39" t="s">
        <v>280</v>
      </c>
      <c r="E11" s="38">
        <v>5</v>
      </c>
      <c r="F11" s="39" t="s">
        <v>280</v>
      </c>
      <c r="H11" s="191"/>
      <c r="I11" s="426"/>
      <c r="J11" s="426"/>
      <c r="K11" s="426"/>
      <c r="L11" s="426"/>
    </row>
    <row r="12" spans="1:12" x14ac:dyDescent="0.25">
      <c r="B12" s="38">
        <v>6</v>
      </c>
      <c r="C12" s="39" t="s">
        <v>281</v>
      </c>
      <c r="E12" s="38">
        <v>6</v>
      </c>
      <c r="F12" s="39" t="s">
        <v>281</v>
      </c>
      <c r="H12" s="191"/>
      <c r="I12" s="426"/>
      <c r="J12" s="426"/>
      <c r="K12" s="426"/>
      <c r="L12" s="426"/>
    </row>
    <row r="13" spans="1:12" x14ac:dyDescent="0.25">
      <c r="B13" s="38">
        <v>7</v>
      </c>
      <c r="C13" s="39" t="s">
        <v>282</v>
      </c>
      <c r="E13" s="38">
        <v>7</v>
      </c>
      <c r="F13" s="39" t="s">
        <v>282</v>
      </c>
      <c r="H13" s="191"/>
      <c r="I13" s="426"/>
      <c r="J13" s="426"/>
      <c r="K13" s="426"/>
      <c r="L13" s="426"/>
    </row>
    <row r="14" spans="1:12" x14ac:dyDescent="0.25">
      <c r="B14" s="38">
        <v>8</v>
      </c>
      <c r="C14" s="39" t="s">
        <v>283</v>
      </c>
      <c r="E14" s="38">
        <v>8</v>
      </c>
      <c r="F14" s="39" t="s">
        <v>283</v>
      </c>
      <c r="H14" s="191"/>
      <c r="I14" s="426"/>
      <c r="J14" s="426"/>
      <c r="K14" s="426"/>
      <c r="L14" s="426"/>
    </row>
    <row r="15" spans="1:12" x14ac:dyDescent="0.25">
      <c r="B15" s="38">
        <v>9</v>
      </c>
      <c r="C15" s="39"/>
      <c r="E15" s="38">
        <v>9</v>
      </c>
      <c r="F15" s="39"/>
      <c r="H15" s="191"/>
      <c r="I15" s="426"/>
      <c r="J15" s="426"/>
      <c r="K15" s="426"/>
      <c r="L15" s="426"/>
    </row>
    <row r="16" spans="1:12" x14ac:dyDescent="0.25">
      <c r="B16" s="38">
        <v>10</v>
      </c>
      <c r="C16" s="39"/>
      <c r="E16" s="38">
        <v>10</v>
      </c>
      <c r="F16" s="39"/>
      <c r="H16" s="190" t="s">
        <v>14</v>
      </c>
      <c r="I16" s="426" t="s">
        <v>284</v>
      </c>
      <c r="J16" s="426"/>
      <c r="K16" s="426"/>
      <c r="L16" s="426"/>
    </row>
    <row r="17" spans="2:12" x14ac:dyDescent="0.25">
      <c r="B17" s="38">
        <v>11</v>
      </c>
      <c r="C17" s="39"/>
      <c r="E17" s="38">
        <v>11</v>
      </c>
      <c r="F17" s="39"/>
      <c r="H17" s="191"/>
      <c r="I17" s="426"/>
      <c r="J17" s="426"/>
      <c r="K17" s="426"/>
      <c r="L17" s="426"/>
    </row>
    <row r="18" spans="2:12" x14ac:dyDescent="0.25">
      <c r="H18" s="191"/>
      <c r="I18" s="426"/>
      <c r="J18" s="426"/>
      <c r="K18" s="426"/>
      <c r="L18" s="426"/>
    </row>
    <row r="19" spans="2:12" x14ac:dyDescent="0.25">
      <c r="H19" s="191"/>
      <c r="I19" s="426"/>
      <c r="J19" s="426"/>
      <c r="K19" s="426"/>
      <c r="L19" s="426"/>
    </row>
    <row r="20" spans="2:12" x14ac:dyDescent="0.25">
      <c r="H20" s="191"/>
      <c r="I20" s="426"/>
      <c r="J20" s="426"/>
      <c r="K20" s="426"/>
      <c r="L20" s="426"/>
    </row>
    <row r="21" spans="2:12" x14ac:dyDescent="0.25">
      <c r="H21" s="191"/>
      <c r="I21" s="426"/>
      <c r="J21" s="426"/>
      <c r="K21" s="426"/>
      <c r="L21" s="426"/>
    </row>
    <row r="22" spans="2:12" x14ac:dyDescent="0.25">
      <c r="H22" s="191"/>
      <c r="I22" s="426"/>
      <c r="J22" s="426"/>
      <c r="K22" s="426"/>
      <c r="L22" s="426"/>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287</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288</v>
      </c>
      <c r="I7" s="19"/>
      <c r="J7" s="37"/>
      <c r="K7" s="37"/>
      <c r="L7" s="37"/>
      <c r="M7" s="37"/>
      <c r="N7" s="37"/>
      <c r="O7" s="37"/>
    </row>
    <row r="8" spans="2:15" x14ac:dyDescent="0.25">
      <c r="B8" s="194"/>
      <c r="C8" s="194" t="s">
        <v>289</v>
      </c>
      <c r="D8" s="194" t="s">
        <v>290</v>
      </c>
      <c r="E8" s="194" t="s">
        <v>291</v>
      </c>
      <c r="F8" s="194"/>
      <c r="G8" s="194"/>
      <c r="H8" s="238" t="s">
        <v>292</v>
      </c>
      <c r="I8" s="239"/>
      <c r="J8" s="238"/>
      <c r="K8" s="238"/>
      <c r="L8" s="238"/>
      <c r="M8" s="238"/>
      <c r="N8" s="238"/>
      <c r="O8" s="37"/>
    </row>
    <row r="9" spans="2:15" x14ac:dyDescent="0.25">
      <c r="B9" s="194"/>
      <c r="C9" s="194" t="s">
        <v>293</v>
      </c>
      <c r="D9" s="194" t="s">
        <v>290</v>
      </c>
      <c r="E9" s="195" t="s">
        <v>294</v>
      </c>
      <c r="F9" s="194"/>
      <c r="G9" s="194"/>
      <c r="H9" s="218"/>
      <c r="I9" s="19"/>
      <c r="J9" s="37"/>
      <c r="K9" s="37"/>
      <c r="L9" s="37"/>
      <c r="M9" s="37"/>
      <c r="N9" s="37"/>
      <c r="O9" s="37"/>
    </row>
    <row r="10" spans="2:15" x14ac:dyDescent="0.25">
      <c r="B10" s="194"/>
      <c r="C10" s="194" t="s">
        <v>295</v>
      </c>
      <c r="D10" s="194" t="s">
        <v>290</v>
      </c>
      <c r="E10" s="194" t="s">
        <v>296</v>
      </c>
      <c r="F10" s="194"/>
      <c r="G10" s="194"/>
      <c r="H10" s="218"/>
      <c r="I10" s="19"/>
      <c r="J10" s="37"/>
      <c r="K10" s="37"/>
      <c r="L10" s="37"/>
      <c r="M10" s="37"/>
      <c r="N10" s="37"/>
      <c r="O10" s="37"/>
    </row>
    <row r="11" spans="2:15" x14ac:dyDescent="0.25">
      <c r="B11" s="194"/>
      <c r="C11" s="194" t="s">
        <v>297</v>
      </c>
      <c r="D11" s="194" t="s">
        <v>290</v>
      </c>
      <c r="E11" s="221" t="s">
        <v>298</v>
      </c>
      <c r="F11" s="196"/>
      <c r="G11" s="194"/>
      <c r="H11" s="218"/>
      <c r="I11" s="19"/>
      <c r="J11" s="37"/>
      <c r="K11" s="37"/>
      <c r="L11" s="37"/>
      <c r="M11" s="37"/>
      <c r="N11" s="37"/>
      <c r="O11" s="37"/>
    </row>
    <row r="12" spans="2:15" x14ac:dyDescent="0.25">
      <c r="B12" s="194"/>
      <c r="C12" s="194" t="s">
        <v>299</v>
      </c>
      <c r="D12" s="194" t="s">
        <v>290</v>
      </c>
      <c r="E12" s="218" t="s">
        <v>300</v>
      </c>
      <c r="F12" s="218"/>
      <c r="G12" s="194"/>
      <c r="H12" s="218"/>
      <c r="I12" s="19"/>
      <c r="J12" s="37"/>
      <c r="K12" s="37"/>
      <c r="L12" s="37"/>
      <c r="M12" s="37"/>
      <c r="N12" s="37"/>
      <c r="O12" s="37"/>
    </row>
    <row r="13" spans="2:15" x14ac:dyDescent="0.25">
      <c r="B13" s="194"/>
      <c r="C13" s="194" t="s">
        <v>301</v>
      </c>
      <c r="D13" s="194" t="s">
        <v>290</v>
      </c>
      <c r="E13" s="222" t="s">
        <v>302</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303</v>
      </c>
      <c r="G16" s="206" t="s">
        <v>304</v>
      </c>
      <c r="H16" s="233" t="s">
        <v>305</v>
      </c>
    </row>
    <row r="17" spans="2:8" ht="15" customHeight="1" x14ac:dyDescent="0.25">
      <c r="B17" s="214" t="s">
        <v>306</v>
      </c>
      <c r="C17" s="214"/>
      <c r="D17" s="214"/>
      <c r="E17" s="214"/>
      <c r="F17" s="228">
        <v>10</v>
      </c>
      <c r="G17" s="215">
        <v>100</v>
      </c>
      <c r="H17" s="225">
        <v>100</v>
      </c>
    </row>
    <row r="18" spans="2:8" ht="15" customHeight="1" x14ac:dyDescent="0.25">
      <c r="B18" s="214" t="s">
        <v>307</v>
      </c>
      <c r="C18" s="214"/>
      <c r="D18" s="214"/>
      <c r="E18" s="219"/>
      <c r="F18" s="229"/>
      <c r="G18" s="219"/>
      <c r="H18" s="226"/>
    </row>
    <row r="19" spans="2:8" ht="15" customHeight="1" x14ac:dyDescent="0.25">
      <c r="B19" s="220" t="s">
        <v>131</v>
      </c>
      <c r="C19" s="214" t="s">
        <v>308</v>
      </c>
      <c r="D19" s="214"/>
      <c r="E19" s="219"/>
      <c r="F19" s="228" t="s">
        <v>17</v>
      </c>
      <c r="G19" s="215" t="s">
        <v>17</v>
      </c>
      <c r="H19" s="225" t="s">
        <v>17</v>
      </c>
    </row>
    <row r="20" spans="2:8" ht="15" customHeight="1" x14ac:dyDescent="0.25">
      <c r="B20" s="220" t="s">
        <v>131</v>
      </c>
      <c r="C20" s="214" t="s">
        <v>309</v>
      </c>
      <c r="D20" s="214"/>
      <c r="E20" s="219"/>
      <c r="F20" s="228" t="s">
        <v>17</v>
      </c>
      <c r="G20" s="215" t="s">
        <v>17</v>
      </c>
      <c r="H20" s="225" t="s">
        <v>17</v>
      </c>
    </row>
    <row r="21" spans="2:8" ht="15" customHeight="1" x14ac:dyDescent="0.25">
      <c r="B21" s="220" t="s">
        <v>131</v>
      </c>
      <c r="C21" s="214" t="s">
        <v>310</v>
      </c>
      <c r="D21" s="214"/>
      <c r="E21" s="219"/>
      <c r="F21" s="228" t="s">
        <v>17</v>
      </c>
      <c r="G21" s="215" t="s">
        <v>17</v>
      </c>
      <c r="H21" s="225" t="s">
        <v>17</v>
      </c>
    </row>
    <row r="22" spans="2:8" ht="15" customHeight="1" x14ac:dyDescent="0.25">
      <c r="B22" s="220" t="s">
        <v>131</v>
      </c>
      <c r="C22" s="214" t="s">
        <v>311</v>
      </c>
      <c r="D22" s="214"/>
      <c r="E22" s="219"/>
      <c r="F22" s="228" t="s">
        <v>17</v>
      </c>
      <c r="G22" s="215" t="s">
        <v>17</v>
      </c>
      <c r="H22" s="225" t="s">
        <v>17</v>
      </c>
    </row>
    <row r="23" spans="2:8" ht="15" customHeight="1" x14ac:dyDescent="0.25">
      <c r="B23" s="220" t="s">
        <v>131</v>
      </c>
      <c r="C23" s="214" t="s">
        <v>312</v>
      </c>
      <c r="D23" s="214"/>
      <c r="E23" s="219"/>
      <c r="F23" s="228" t="s">
        <v>17</v>
      </c>
      <c r="G23" s="215" t="s">
        <v>17</v>
      </c>
      <c r="H23" s="225" t="s">
        <v>17</v>
      </c>
    </row>
    <row r="24" spans="2:8" ht="15" customHeight="1" x14ac:dyDescent="0.25">
      <c r="B24" s="220" t="s">
        <v>131</v>
      </c>
      <c r="C24" s="214" t="s">
        <v>313</v>
      </c>
      <c r="D24" s="214"/>
      <c r="E24" s="214"/>
      <c r="F24" s="230" t="s">
        <v>314</v>
      </c>
      <c r="G24" s="216" t="s">
        <v>315</v>
      </c>
      <c r="H24" s="227" t="s">
        <v>315</v>
      </c>
    </row>
    <row r="25" spans="2:8" ht="15" customHeight="1" x14ac:dyDescent="0.25">
      <c r="B25" s="214" t="s">
        <v>316</v>
      </c>
      <c r="C25" s="214"/>
      <c r="D25" s="214"/>
      <c r="E25" s="214"/>
      <c r="F25" s="228" t="s">
        <v>317</v>
      </c>
      <c r="G25" s="215" t="s">
        <v>317</v>
      </c>
      <c r="H25" s="225" t="s">
        <v>318</v>
      </c>
    </row>
    <row r="26" spans="2:8" ht="15" customHeight="1" x14ac:dyDescent="0.25">
      <c r="B26" s="214" t="s">
        <v>319</v>
      </c>
      <c r="C26" s="214"/>
      <c r="D26" s="214"/>
      <c r="E26" s="214"/>
      <c r="F26" s="228" t="s">
        <v>67</v>
      </c>
      <c r="G26" s="215" t="s">
        <v>320</v>
      </c>
      <c r="H26" s="225" t="s">
        <v>321</v>
      </c>
    </row>
    <row r="27" spans="2:8" ht="15" customHeight="1" x14ac:dyDescent="0.25">
      <c r="B27" s="214" t="s">
        <v>322</v>
      </c>
      <c r="C27" s="214"/>
      <c r="D27" s="214"/>
      <c r="E27" s="214"/>
      <c r="F27" s="228" t="s">
        <v>67</v>
      </c>
      <c r="G27" s="215" t="s">
        <v>67</v>
      </c>
      <c r="H27" s="225" t="s">
        <v>17</v>
      </c>
    </row>
    <row r="28" spans="2:8" ht="15" customHeight="1" x14ac:dyDescent="0.25">
      <c r="B28" s="214" t="s">
        <v>323</v>
      </c>
      <c r="C28" s="214"/>
      <c r="D28" s="214"/>
      <c r="E28" s="214"/>
      <c r="F28" s="228" t="s">
        <v>317</v>
      </c>
      <c r="G28" s="215" t="s">
        <v>324</v>
      </c>
      <c r="H28" s="225" t="s">
        <v>324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325</v>
      </c>
      <c r="H33" s="217" t="s">
        <v>326</v>
      </c>
    </row>
    <row r="35" spans="2:8" ht="15.75" x14ac:dyDescent="0.25">
      <c r="B35" s="427" t="s">
        <v>327</v>
      </c>
      <c r="C35" s="427"/>
      <c r="D35" s="427"/>
      <c r="E35" s="427"/>
      <c r="F35" s="427"/>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40625" defaultRowHeight="12.75" x14ac:dyDescent="0.2"/>
  <cols>
    <col min="1" max="1" width="3.85546875" style="321" customWidth="1"/>
    <col min="2" max="112" width="8.85546875" style="321" customWidth="1"/>
    <col min="113" max="119" width="8.85546875" style="327" customWidth="1"/>
    <col min="120" max="240" width="8.85546875" style="321" customWidth="1"/>
    <col min="241" max="247" width="8.85546875" style="327" customWidth="1"/>
    <col min="248" max="368" width="8.85546875" style="321" customWidth="1"/>
    <col min="369" max="375" width="8.85546875" style="327" customWidth="1"/>
    <col min="376" max="496" width="8.85546875" style="321" customWidth="1"/>
    <col min="497" max="503" width="8.85546875" style="327" customWidth="1"/>
    <col min="504" max="624" width="8.85546875" style="321" customWidth="1"/>
    <col min="625" max="631" width="8.85546875" style="327" customWidth="1"/>
    <col min="632" max="752" width="8.85546875" style="321" customWidth="1"/>
    <col min="753" max="759" width="8.85546875" style="327" customWidth="1"/>
    <col min="760" max="880" width="8.85546875" style="321" customWidth="1"/>
    <col min="881" max="887" width="8.85546875" style="327" customWidth="1"/>
    <col min="888" max="1008" width="8.85546875" style="321" customWidth="1"/>
    <col min="1009" max="1015" width="8.85546875" style="327" customWidth="1"/>
    <col min="1016" max="1136" width="8.85546875" style="321" customWidth="1"/>
    <col min="1137" max="1143" width="8.85546875" style="327" customWidth="1"/>
    <col min="1144" max="1264" width="8.85546875" style="321" customWidth="1"/>
    <col min="1265" max="1271" width="8.85546875" style="327" customWidth="1"/>
    <col min="1272" max="1392" width="8.85546875" style="321" customWidth="1"/>
    <col min="1393" max="1399" width="8.85546875" style="327" customWidth="1"/>
    <col min="1400" max="1520" width="8.85546875" style="321" customWidth="1"/>
    <col min="1521" max="1527" width="8.85546875" style="327" customWidth="1"/>
    <col min="1528" max="1536" width="8.85546875" style="321" customWidth="1"/>
    <col min="1537" max="16384" width="9.140625" style="321"/>
  </cols>
  <sheetData>
    <row r="1" spans="1:1536"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x14ac:dyDescent="0.2">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x14ac:dyDescent="0.2">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2</v>
      </c>
      <c r="DR3" s="319">
        <f>SUMPRODUCT((DQ3:DQ8=DQ3)*(DN3:DN8&gt;DN3))</f>
        <v>1</v>
      </c>
      <c r="DS3" s="319">
        <f>SUMPRODUCT((DQ3:DQ8=DQ3)*(DN3:DN8=DN3)*(DL3:DL8&gt;DL3))</f>
        <v>0</v>
      </c>
      <c r="DT3" s="319">
        <f>SUMPRODUCT((DQ3:DQ8=DQ3)*(DN3:DN8=DN3)*(DL3:DL8=DL3)*(DP3:DP8&gt;DP3))</f>
        <v>0</v>
      </c>
      <c r="DU3" s="319">
        <f>IF('Player Scoreboard'!B20="© 2024 | journalSHEET.com",SUM(DQ3:DT3),1)</f>
        <v>3</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Croatia</v>
      </c>
      <c r="DI4" s="320">
        <f>Matches!U14</f>
        <v>0</v>
      </c>
      <c r="DJ4" s="320">
        <f>Matches!V14</f>
        <v>2</v>
      </c>
      <c r="DK4" s="320">
        <f>Matches!W14</f>
        <v>1</v>
      </c>
      <c r="DL4" s="320">
        <f>Matches!X14</f>
        <v>3</v>
      </c>
      <c r="DM4" s="320">
        <f>Matches!Z14</f>
        <v>6</v>
      </c>
      <c r="DN4" s="320">
        <f>Matches!AA14</f>
        <v>-3</v>
      </c>
      <c r="DO4" s="320">
        <f>Matches!AB14</f>
        <v>2</v>
      </c>
      <c r="DP4" s="319">
        <f>VLOOKUP(DH4,B4:J40,9,FALSE)</f>
        <v>40</v>
      </c>
      <c r="DQ4" s="319">
        <f>RANK(DO4,DO3:DO8)</f>
        <v>4</v>
      </c>
      <c r="DR4" s="319">
        <f>SUMPRODUCT((DQ3:DQ8=DQ4)*(DN3:DN8&gt;DN4))</f>
        <v>1</v>
      </c>
      <c r="DS4" s="319">
        <f>SUMPRODUCT((DQ3:DQ8=DQ4)*(DN3:DN8=DN4)*(DL3:DL8&gt;DL4))</f>
        <v>0</v>
      </c>
      <c r="DT4" s="319">
        <f>SUMPRODUCT((DQ3:DQ8=DQ4)*(DN3:DN8=DN4)*(DL3:DL8=DL4)*(DP3:DP8&gt;DP4))</f>
        <v>0</v>
      </c>
      <c r="DU4" s="319">
        <f t="shared" ref="DU4:DU8" si="163">SUM(DQ4:DT4)</f>
        <v>5</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Netherlands</v>
      </c>
      <c r="DI6" s="320">
        <f>Matches!U24</f>
        <v>1</v>
      </c>
      <c r="DJ6" s="320">
        <f>Matches!V24</f>
        <v>1</v>
      </c>
      <c r="DK6" s="320">
        <f>Matches!W24</f>
        <v>1</v>
      </c>
      <c r="DL6" s="320">
        <f>Matches!X24</f>
        <v>4</v>
      </c>
      <c r="DM6" s="320">
        <f>Matches!Z24</f>
        <v>4</v>
      </c>
      <c r="DN6" s="320">
        <f>Matches!AA24</f>
        <v>0</v>
      </c>
      <c r="DO6" s="320">
        <f>Matches!AB24</f>
        <v>4</v>
      </c>
      <c r="DP6" s="319">
        <f>VLOOKUP(DH6,B4:J40,9,FALSE)</f>
        <v>42</v>
      </c>
      <c r="DQ6" s="319">
        <f>RANK(DO6,DO3:DO8)</f>
        <v>1</v>
      </c>
      <c r="DR6" s="319">
        <f>SUMPRODUCT((DQ3:DQ8=DQ6)*(DN3:DN8&gt;DN6))</f>
        <v>0</v>
      </c>
      <c r="DS6" s="319">
        <f>SUMPRODUCT((DQ3:DQ8=DQ6)*(DN3:DN8=DN6)*(DL3:DL8&gt;DL6))</f>
        <v>0</v>
      </c>
      <c r="DT6" s="319">
        <f>SUMPRODUCT((DQ3:DQ8=DQ6)*(DN3:DN8=DN6)*(DL3:DL8=DL6)*(DP3:DP8&gt;DP6))</f>
        <v>0</v>
      </c>
      <c r="DU6" s="319">
        <f t="shared" si="163"/>
        <v>1</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2</v>
      </c>
      <c r="DR7" s="319">
        <f>SUMPRODUCT((DQ3:DQ8=DQ7)*(DN3:DN8&gt;DN7))</f>
        <v>0</v>
      </c>
      <c r="DS7" s="319">
        <f>SUMPRODUCT((DQ3:DQ8=DQ7)*(DN3:DN8=DN7)*(DL3:DL8&gt;DL7))</f>
        <v>0</v>
      </c>
      <c r="DT7" s="319">
        <f>SUMPRODUCT((DQ3:DQ8=DQ7)*(DN3:DN8=DN7)*(DL3:DL8=DL7)*(DP3:DP8&gt;DP7))</f>
        <v>0</v>
      </c>
      <c r="DU7" s="319">
        <f t="shared" si="163"/>
        <v>2</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x14ac:dyDescent="0.2">
      <c r="A11" s="319">
        <f>VLOOKUP(B11,CW11:CX15,2,FALSE)</f>
        <v>2</v>
      </c>
      <c r="B11" s="319" t="str">
        <f>'Language Table'!C16</f>
        <v>Italy</v>
      </c>
      <c r="C11" s="319">
        <f>SUMPRODUCT((CZ3:CZ42=B11)*(DD3:DD42="W"))+SUMPRODUCT((DC3:DC42=B11)*(DE3:DE42="W"))</f>
        <v>1</v>
      </c>
      <c r="D11" s="319">
        <f>SUMPRODUCT((CZ3:CZ42=B11)*(DD3:DD42="D"))+SUMPRODUCT((DC3:DC42=B11)*(DE3:DE42="D"))</f>
        <v>1</v>
      </c>
      <c r="E11" s="319">
        <f>SUMPRODUCT((CZ3:CZ42=B11)*(DD3:DD42="L"))+SUMPRODUCT((DC3:DC42=B11)*(DE3:DE42="L"))</f>
        <v>1</v>
      </c>
      <c r="F11" s="319">
        <f>SUMIF(CZ3:CZ60,B11,DA3:DA60)+SUMIF(DC3:DC60,B11,DB3:DB60)</f>
        <v>3</v>
      </c>
      <c r="G11" s="319">
        <f>SUMIF(DC3:DC60,B11,DA3:DA60)+SUMIF(CZ3:CZ60,B11,DB3:DB60)</f>
        <v>3</v>
      </c>
      <c r="H11" s="319">
        <f t="shared" ref="H11:H14" si="2706">F11-G11+1000</f>
        <v>1000</v>
      </c>
      <c r="I11" s="319">
        <f t="shared" ref="I11:I14" si="2707">C11*3+D11*1</f>
        <v>4</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2">
      <c r="A12" s="319">
        <f>VLOOKUP(B12,CW11:CX15,2,FALSE)</f>
        <v>4</v>
      </c>
      <c r="B12" s="319" t="str">
        <f>'Language Table'!C6</f>
        <v>Albania</v>
      </c>
      <c r="C12" s="319">
        <f>SUMPRODUCT((CZ3:CZ42=B12)*(DD3:DD42="W"))+SUMPRODUCT((DC3:DC42=B12)*(DE3:DE42="W"))</f>
        <v>0</v>
      </c>
      <c r="D12" s="319">
        <f>SUMPRODUCT((CZ3:CZ42=B12)*(DD3:DD42="D"))+SUMPRODUCT((DC3:DC42=B12)*(DE3:DE42="D"))</f>
        <v>1</v>
      </c>
      <c r="E12" s="319">
        <f>SUMPRODUCT((CZ3:CZ42=B12)*(DD3:DD42="L"))+SUMPRODUCT((DC3:DC42=B12)*(DE3:DE42="L"))</f>
        <v>2</v>
      </c>
      <c r="F12" s="319">
        <f>SUMIF(CZ3:CZ60,B12,DA3:DA60)+SUMIF(DC3:DC60,B12,DB3:DB60)</f>
        <v>3</v>
      </c>
      <c r="G12" s="319">
        <f>SUMIF(DC3:DC60,B12,DA3:DA60)+SUMIF(CZ3:CZ60,B12,DB3:DB60)</f>
        <v>5</v>
      </c>
      <c r="H12" s="319">
        <f t="shared" si="2706"/>
        <v>998</v>
      </c>
      <c r="I12" s="319">
        <f t="shared" si="2707"/>
        <v>1</v>
      </c>
      <c r="J12" s="319">
        <v>44</v>
      </c>
      <c r="K12" s="319">
        <f>IF(COUNTIF(I11:I15,4)&lt;&gt;4,RANK(I12,I11:I15),I52)</f>
        <v>4</v>
      </c>
      <c r="L12" s="319"/>
      <c r="M12" s="319">
        <f>SUMPRODUCT((K11:K14=K12)*(J11:J14&lt;J12))+K12</f>
        <v>4</v>
      </c>
      <c r="N12" s="319" t="str">
        <f>INDEX(B11:B15,MATCH(2,M11:M15,0),0)</f>
        <v>Italy</v>
      </c>
      <c r="O12" s="319">
        <f>INDEX(K11:K15,MATCH(N12,B11:B15,0),0)</f>
        <v>2</v>
      </c>
      <c r="P12" s="319" t="str">
        <f>IF(P11&lt;&gt;"",N12,"")</f>
        <v/>
      </c>
      <c r="Q12" s="319" t="str">
        <f>IF(Q11&lt;&gt;"",N13,"")</f>
        <v/>
      </c>
      <c r="R12" s="319" t="str">
        <f>IF(R11&lt;&gt;"",N14,"")</f>
        <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356</v>
      </c>
      <c r="DI12" s="323"/>
      <c r="DJ12" s="323"/>
      <c r="DK12" s="323"/>
      <c r="DL12" s="324" t="s">
        <v>357</v>
      </c>
      <c r="DM12" s="324" t="s">
        <v>358</v>
      </c>
      <c r="DN12" s="324" t="s">
        <v>359</v>
      </c>
      <c r="DO12" s="324" t="s">
        <v>360</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x14ac:dyDescent="0.2">
      <c r="A13" s="319">
        <f>VLOOKUP(B13,CW11:CX15,2,FALSE)</f>
        <v>1</v>
      </c>
      <c r="B13" s="319" t="str">
        <f>'Language Table'!C24</f>
        <v>Spain</v>
      </c>
      <c r="C13" s="319">
        <f>SUMPRODUCT((CZ3:CZ42=B13)*(DD3:DD42="W"))+SUMPRODUCT((DC3:DC42=B13)*(DE3:DE42="W"))</f>
        <v>3</v>
      </c>
      <c r="D13" s="319">
        <f>SUMPRODUCT((CZ3:CZ42=B13)*(DD3:DD42="D"))+SUMPRODUCT((DC3:DC42=B13)*(DE3:DE42="D"))</f>
        <v>0</v>
      </c>
      <c r="E13" s="319">
        <f>SUMPRODUCT((CZ3:CZ42=B13)*(DD3:DD42="L"))+SUMPRODUCT((DC3:DC42=B13)*(DE3:DE42="L"))</f>
        <v>0</v>
      </c>
      <c r="F13" s="319">
        <f>SUMIF(CZ3:CZ60,B13,DA3:DA60)+SUMIF(DC3:DC60,B13,DB3:DB60)</f>
        <v>5</v>
      </c>
      <c r="G13" s="319">
        <f>SUMIF(DC3:DC60,B13,DA3:DA60)+SUMIF(CZ3:CZ60,B13,DB3:DB60)</f>
        <v>0</v>
      </c>
      <c r="H13" s="319">
        <f t="shared" si="2706"/>
        <v>1005</v>
      </c>
      <c r="I13" s="319">
        <f t="shared" si="2707"/>
        <v>9</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t="str">
        <f t="shared" ref="BP13:BP14" si="3539">IF(BI13&lt;&gt;"",BJ13*3+BK13*1,"")</f>
        <v/>
      </c>
      <c r="BQ13" s="319" t="str">
        <f>IF(BI13&lt;&gt;"",VLOOKUP(BI13,B4:H40,7,FALSE),"")</f>
        <v/>
      </c>
      <c r="BR13" s="319" t="str">
        <f>IF(BI13&lt;&gt;"",VLOOKUP(BI13,B4:H40,5,FALSE),"")</f>
        <v/>
      </c>
      <c r="BS13" s="319" t="str">
        <f>IF(BI13&lt;&gt;"",VLOOKUP(BI13,B4:J40,9,FALSE),"")</f>
        <v/>
      </c>
      <c r="BT13" s="319" t="str">
        <f t="shared" ref="BT13:BT14" si="3540">BP13</f>
        <v/>
      </c>
      <c r="BU13" s="319" t="str">
        <f>IF(BI13&lt;&gt;"",RANK(BT13,BT11:BT15),"")</f>
        <v/>
      </c>
      <c r="BV13" s="319" t="str">
        <f>IF(BI13&lt;&gt;"",SUMPRODUCT((BT11:BT15=BT13)*(BO11:BO15&gt;BO13)),"")</f>
        <v/>
      </c>
      <c r="BW13" s="319" t="str">
        <f>IF(BI13&lt;&gt;"",SUMPRODUCT((BT11:BT15=BT13)*(BO11:BO15=BO13)*(BM11:BM15&gt;BM13)),"")</f>
        <v/>
      </c>
      <c r="BX13" s="319" t="str">
        <f>IF(BI13&lt;&gt;"",SUMPRODUCT((BT11:BT15=BT13)*(BO11:BO15=BO13)*(BM11:BM15=BM13)*(BQ11:BQ15&gt;BQ13)),"")</f>
        <v/>
      </c>
      <c r="BY13" s="319" t="str">
        <f>IF(BI13&lt;&gt;"",SUMPRODUCT((BT11:BT15=BT13)*(BO11:BO15=BO13)*(BM11:BM15=BM13)*(BQ11:BQ15=BQ13)*(BR11:BR15&gt;BR13)),"")</f>
        <v/>
      </c>
      <c r="BZ13" s="319" t="str">
        <f>IF(BI13&lt;&gt;"",SUMPRODUCT((BT11:BT15=BT13)*(BO11:BO15=BO13)*(BM11:BM15=BM13)*(BQ11:BQ15=BQ13)*(BR11:BR15=BR13)*(BS11:BS15&gt;BS13)),"")</f>
        <v/>
      </c>
      <c r="CA13" s="319" t="str">
        <f>IF(BI13&lt;&gt;"",SUM(BU13:BZ13)+2,"")</f>
        <v/>
      </c>
      <c r="CB13" s="319" t="str">
        <f>IF(BI13&lt;&gt;"",INDEX(BI13:BI15,MATCH(3,CA13:CA15,0),0),"")</f>
        <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Croatia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105</v>
      </c>
      <c r="DI13" s="325" t="s">
        <v>106</v>
      </c>
      <c r="DJ13" s="325" t="s">
        <v>107</v>
      </c>
      <c r="DK13" s="325" t="s">
        <v>108</v>
      </c>
      <c r="DL13" s="324" t="s">
        <v>105</v>
      </c>
      <c r="DM13" s="324" t="s">
        <v>108</v>
      </c>
      <c r="DN13" s="324" t="s">
        <v>106</v>
      </c>
      <c r="DO13" s="324" t="s">
        <v>107</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Netherlands</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x14ac:dyDescent="0.2">
      <c r="A14" s="319">
        <f>IF('Player Game Board'!B90="© 2024 | journalSHEET.com",VLOOKUP(B14,CW11:CX15,2,FALSE),1)</f>
        <v>3</v>
      </c>
      <c r="B14" s="319" t="str">
        <f>'Language Table'!C9</f>
        <v>Croatia</v>
      </c>
      <c r="C14" s="319">
        <f>SUMPRODUCT((CZ3:CZ42=B14)*(DD3:DD42="W"))+SUMPRODUCT((DC3:DC42=B14)*(DE3:DE42="W"))</f>
        <v>0</v>
      </c>
      <c r="D14" s="319">
        <f>SUMPRODUCT((CZ3:CZ42=B14)*(DD3:DD42="D"))+SUMPRODUCT((DC3:DC42=B14)*(DE3:DE42="D"))</f>
        <v>2</v>
      </c>
      <c r="E14" s="319">
        <f>SUMPRODUCT((CZ3:CZ42=B14)*(DD3:DD42="L"))+SUMPRODUCT((DC3:DC42=B14)*(DE3:DE42="L"))</f>
        <v>1</v>
      </c>
      <c r="F14" s="319">
        <f>SUMIF(CZ3:CZ60,B14,DA3:DA60)+SUMIF(DC3:DC60,B14,DB3:DB60)</f>
        <v>3</v>
      </c>
      <c r="G14" s="319">
        <f>SUMIF(DC3:DC60,B14,DA3:DA60)+SUMIF(CZ3:CZ60,B14,DB3:DB60)</f>
        <v>6</v>
      </c>
      <c r="H14" s="319">
        <f t="shared" si="2706"/>
        <v>997</v>
      </c>
      <c r="I14" s="319">
        <f t="shared" si="2707"/>
        <v>2</v>
      </c>
      <c r="J14" s="319">
        <v>40</v>
      </c>
      <c r="K14" s="319">
        <f>IF(COUNTIF(I11:I15,4)&lt;&gt;4,RANK(I14,I11:I15),I54)</f>
        <v>3</v>
      </c>
      <c r="L14" s="319"/>
      <c r="M14" s="319">
        <f>SUMPRODUCT((K11:K14=K14)*(J11:J14&lt;J14))+K14</f>
        <v>3</v>
      </c>
      <c r="N14" s="319" t="str">
        <f>INDEX(B11:B15,MATCH(4,M11:M15,0),0)</f>
        <v>Albania</v>
      </c>
      <c r="O14" s="319">
        <f>INDEX(K11:K15,MATCH(N14,B11:B15,0),0)</f>
        <v>4</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t="str">
        <f t="shared" si="3539"/>
        <v/>
      </c>
      <c r="BQ14" s="319" t="str">
        <f>IF(BI14&lt;&gt;"",VLOOKUP(BI14,B4:H40,7,FALSE),"")</f>
        <v/>
      </c>
      <c r="BR14" s="319" t="str">
        <f>IF(BI14&lt;&gt;"",VLOOKUP(BI14,B4:H40,5,FALSE),"")</f>
        <v/>
      </c>
      <c r="BS14" s="319" t="str">
        <f>IF(BI14&lt;&gt;"",VLOOKUP(BI14,B4:J40,9,FALSE),"")</f>
        <v/>
      </c>
      <c r="BT14" s="319" t="str">
        <f t="shared" si="3540"/>
        <v/>
      </c>
      <c r="BU14" s="319" t="str">
        <f>IF(BI14&lt;&gt;"",RANK(BT14,BT11:BT15),"")</f>
        <v/>
      </c>
      <c r="BV14" s="319" t="str">
        <f>IF(BI14&lt;&gt;"",SUMPRODUCT((BT11:BT15=BT14)*(BO11:BO15&gt;BO14)),"")</f>
        <v/>
      </c>
      <c r="BW14" s="319" t="str">
        <f>IF(BI14&lt;&gt;"",SUMPRODUCT((BT11:BT15=BT14)*(BO11:BO15=BO14)*(BM11:BM15&gt;BM14)),"")</f>
        <v/>
      </c>
      <c r="BX14" s="319" t="str">
        <f>IF(BI14&lt;&gt;"",SUMPRODUCT((BT11:BT15=BT14)*(BO11:BO15=BO14)*(BM11:BM15=BM14)*(BQ11:BQ15&gt;BQ14)),"")</f>
        <v/>
      </c>
      <c r="BY14" s="319" t="str">
        <f>IF(BI14&lt;&gt;"",SUMPRODUCT((BT11:BT15=BT14)*(BO11:BO15=BO14)*(BM11:BM15=BM14)*(BQ11:BQ15=BQ14)*(BR11:BR15&gt;BR14)),"")</f>
        <v/>
      </c>
      <c r="BZ14" s="319" t="str">
        <f>IF(BI14&lt;&gt;"",SUMPRODUCT((BT11:BT15=BT14)*(BO11:BO15=BO14)*(BM11:BM15=BM14)*(BQ11:BQ15=BQ14)*(BR11:BR15=BR14)*(BS11:BS15&gt;BS14)),"")</f>
        <v/>
      </c>
      <c r="CA14" s="319" t="str">
        <f>IF(BI14&lt;&gt;"",SUM(BU14:BZ14)+2,"")</f>
        <v/>
      </c>
      <c r="CB14" s="319" t="str">
        <f>IF(BI14&lt;&gt;"",INDEX(BI13:BI15,MATCH(4,CA13:CA15,0),0),"")</f>
        <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Albania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105</v>
      </c>
      <c r="DI14" s="325" t="s">
        <v>106</v>
      </c>
      <c r="DJ14" s="325" t="s">
        <v>107</v>
      </c>
      <c r="DK14" s="325" t="s">
        <v>109</v>
      </c>
      <c r="DL14" s="324" t="s">
        <v>105</v>
      </c>
      <c r="DM14" s="324" t="s">
        <v>109</v>
      </c>
      <c r="DN14" s="324" t="s">
        <v>106</v>
      </c>
      <c r="DO14" s="324" t="s">
        <v>107</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105</v>
      </c>
      <c r="DI15" s="325" t="s">
        <v>106</v>
      </c>
      <c r="DJ15" s="325" t="s">
        <v>107</v>
      </c>
      <c r="DK15" s="325" t="s">
        <v>110</v>
      </c>
      <c r="DL15" s="324" t="s">
        <v>105</v>
      </c>
      <c r="DM15" s="324" t="s">
        <v>110</v>
      </c>
      <c r="DN15" s="324" t="s">
        <v>106</v>
      </c>
      <c r="DO15" s="324" t="s">
        <v>107</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x14ac:dyDescent="0.2">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105</v>
      </c>
      <c r="DI16" s="325" t="s">
        <v>106</v>
      </c>
      <c r="DJ16" s="325" t="s">
        <v>108</v>
      </c>
      <c r="DK16" s="325" t="s">
        <v>109</v>
      </c>
      <c r="DL16" s="324" t="s">
        <v>108</v>
      </c>
      <c r="DM16" s="324" t="s">
        <v>109</v>
      </c>
      <c r="DN16" s="324" t="s">
        <v>105</v>
      </c>
      <c r="DO16" s="324" t="s">
        <v>106</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105</v>
      </c>
      <c r="DI17" s="325" t="s">
        <v>106</v>
      </c>
      <c r="DJ17" s="325" t="s">
        <v>108</v>
      </c>
      <c r="DK17" s="325" t="s">
        <v>110</v>
      </c>
      <c r="DL17" s="324" t="s">
        <v>108</v>
      </c>
      <c r="DM17" s="324" t="s">
        <v>110</v>
      </c>
      <c r="DN17" s="324" t="s">
        <v>105</v>
      </c>
      <c r="DO17" s="324" t="s">
        <v>106</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3</v>
      </c>
      <c r="DS18" s="326">
        <f>IFERROR(MATCH(DS12,DH18:DK18,0),0)</f>
        <v>1</v>
      </c>
      <c r="DT18" s="326">
        <f>IFERROR(MATCH(DT12,DH18:DK18,0),0)</f>
        <v>0</v>
      </c>
      <c r="DU18" s="326">
        <f t="shared" si="3541"/>
        <v>4</v>
      </c>
      <c r="DV18" s="325" t="s">
        <v>362</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0</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0</v>
      </c>
    </row>
    <row r="19" spans="1:1536"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105</v>
      </c>
      <c r="DI19" s="325" t="s">
        <v>107</v>
      </c>
      <c r="DJ19" s="325" t="s">
        <v>108</v>
      </c>
      <c r="DK19" s="325" t="s">
        <v>109</v>
      </c>
      <c r="DL19" s="324" t="s">
        <v>109</v>
      </c>
      <c r="DM19" s="324" t="s">
        <v>108</v>
      </c>
      <c r="DN19" s="324" t="s">
        <v>107</v>
      </c>
      <c r="DO19" s="324" t="s">
        <v>105</v>
      </c>
      <c r="DP19" s="325"/>
      <c r="DQ19" s="326">
        <f>IFERROR(MATCH(DQ12,DH19:DK19,0),0)</f>
        <v>3</v>
      </c>
      <c r="DR19" s="326">
        <f>IFERROR(MATCH(DR12,DH19:DK19,0),0)</f>
        <v>4</v>
      </c>
      <c r="DS19" s="326">
        <f>IFERROR(MATCH(DS12,DH19:DK19,0),0)</f>
        <v>1</v>
      </c>
      <c r="DT19" s="326">
        <f>IFERROR(MATCH(DT12,DH19:DK19,0),0)</f>
        <v>2</v>
      </c>
      <c r="DU19" s="326">
        <f t="shared" si="3541"/>
        <v>10</v>
      </c>
      <c r="DV19" s="325" t="s">
        <v>357</v>
      </c>
      <c r="DW19" s="325" t="str">
        <f>INDEX(DH3:DH8,MATCH(INDEX(DM13:DM27,MATCH(10,DU13:DU27,0),0),DV3:DV8,0),0)</f>
        <v>Netherlands</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1</v>
      </c>
    </row>
    <row r="20" spans="1:1536"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105</v>
      </c>
      <c r="DI20" s="325" t="s">
        <v>107</v>
      </c>
      <c r="DJ20" s="325" t="s">
        <v>108</v>
      </c>
      <c r="DK20" s="325" t="s">
        <v>110</v>
      </c>
      <c r="DL20" s="324" t="s">
        <v>110</v>
      </c>
      <c r="DM20" s="324" t="s">
        <v>108</v>
      </c>
      <c r="DN20" s="324" t="s">
        <v>107</v>
      </c>
      <c r="DO20" s="324" t="s">
        <v>105</v>
      </c>
      <c r="DP20" s="325"/>
      <c r="DQ20" s="326">
        <f>IFERROR(MATCH(DQ12,DH20:DK20,0),0)</f>
        <v>3</v>
      </c>
      <c r="DR20" s="326">
        <f>IFERROR(MATCH(DR12,DH20:DK20,0),0)</f>
        <v>0</v>
      </c>
      <c r="DS20" s="326">
        <f>IFERROR(MATCH(DS12,DH20:DK20,0),0)</f>
        <v>1</v>
      </c>
      <c r="DT20" s="326">
        <f>IFERROR(MATCH(DT12,DH20:DK20,0),0)</f>
        <v>2</v>
      </c>
      <c r="DU20" s="326">
        <f t="shared" si="3541"/>
        <v>6</v>
      </c>
      <c r="DV20" s="325" t="s">
        <v>358</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1</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105</v>
      </c>
      <c r="DI21" s="325" t="s">
        <v>107</v>
      </c>
      <c r="DJ21" s="325" t="s">
        <v>109</v>
      </c>
      <c r="DK21" s="325" t="s">
        <v>110</v>
      </c>
      <c r="DL21" s="324" t="s">
        <v>109</v>
      </c>
      <c r="DM21" s="324" t="s">
        <v>110</v>
      </c>
      <c r="DN21" s="324" t="s">
        <v>107</v>
      </c>
      <c r="DO21" s="324" t="s">
        <v>105</v>
      </c>
      <c r="DP21" s="325"/>
      <c r="DQ21" s="326">
        <f>IFERROR(MATCH(DQ12,DH21:DK21,0),0)</f>
        <v>0</v>
      </c>
      <c r="DR21" s="326">
        <f>IFERROR(MATCH(DR12,DH21:DK21,0),0)</f>
        <v>3</v>
      </c>
      <c r="DS21" s="326">
        <f>IFERROR(MATCH(DS12,DH21:DK21,0),0)</f>
        <v>1</v>
      </c>
      <c r="DT21" s="326">
        <f>IFERROR(MATCH(DT12,DH21:DK21,0),0)</f>
        <v>2</v>
      </c>
      <c r="DU21" s="326">
        <f t="shared" si="3541"/>
        <v>6</v>
      </c>
      <c r="DV21" s="325" t="s">
        <v>363</v>
      </c>
      <c r="DW21" s="325" t="str">
        <f>INDEX(DH3:DH8,MATCH(INDEX(DO13:DO27,MATCH(10,DU13:DU27,0),0),DV3:DV8,0),0)</f>
        <v>Hungary</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105</v>
      </c>
      <c r="DI22" s="325" t="s">
        <v>108</v>
      </c>
      <c r="DJ22" s="325" t="s">
        <v>109</v>
      </c>
      <c r="DK22" s="325" t="s">
        <v>110</v>
      </c>
      <c r="DL22" s="324" t="s">
        <v>109</v>
      </c>
      <c r="DM22" s="324" t="s">
        <v>110</v>
      </c>
      <c r="DN22" s="324" t="s">
        <v>108</v>
      </c>
      <c r="DO22" s="324" t="s">
        <v>105</v>
      </c>
      <c r="DP22" s="325"/>
      <c r="DQ22" s="326">
        <f>IFERROR(MATCH(DQ12,DH22:DK22,0),0)</f>
        <v>2</v>
      </c>
      <c r="DR22" s="326">
        <f>IFERROR(MATCH(DR12,DH22:DK22,0),0)</f>
        <v>3</v>
      </c>
      <c r="DS22" s="326">
        <f>IFERROR(MATCH(DS12,DH22:DK22,0),0)</f>
        <v>1</v>
      </c>
      <c r="DT22" s="326">
        <f>IFERROR(MATCH(DT12,DH22:DK22,0),0)</f>
        <v>0</v>
      </c>
      <c r="DU22" s="326">
        <f t="shared" si="3541"/>
        <v>6</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106</v>
      </c>
      <c r="DI23" s="325" t="s">
        <v>107</v>
      </c>
      <c r="DJ23" s="325" t="s">
        <v>108</v>
      </c>
      <c r="DK23" s="325" t="s">
        <v>109</v>
      </c>
      <c r="DL23" s="324" t="s">
        <v>109</v>
      </c>
      <c r="DM23" s="324" t="s">
        <v>108</v>
      </c>
      <c r="DN23" s="324" t="s">
        <v>106</v>
      </c>
      <c r="DO23" s="324" t="s">
        <v>107</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106</v>
      </c>
      <c r="DI24" s="325" t="s">
        <v>107</v>
      </c>
      <c r="DJ24" s="325" t="s">
        <v>108</v>
      </c>
      <c r="DK24" s="325" t="s">
        <v>110</v>
      </c>
      <c r="DL24" s="324" t="s">
        <v>110</v>
      </c>
      <c r="DM24" s="324" t="s">
        <v>108</v>
      </c>
      <c r="DN24" s="324" t="s">
        <v>107</v>
      </c>
      <c r="DO24" s="324" t="s">
        <v>106</v>
      </c>
      <c r="DP24" s="325"/>
      <c r="DQ24" s="326">
        <f>IFERROR(MATCH(DQ12,DH24:DK24,0),0)</f>
        <v>3</v>
      </c>
      <c r="DR24" s="326">
        <f>IFERROR(MATCH(DR12,DH24:DK24,0),0)</f>
        <v>0</v>
      </c>
      <c r="DS24" s="326">
        <f>IFERROR(MATCH(DS12,DH24:DK24,0),0)</f>
        <v>0</v>
      </c>
      <c r="DT24" s="326">
        <f>IFERROR(MATCH(DT12,DH24:DK24,0),0)</f>
        <v>2</v>
      </c>
      <c r="DU24" s="326">
        <f t="shared" si="3541"/>
        <v>5</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x14ac:dyDescent="0.2">
      <c r="A25" s="319">
        <f>VLOOKUP(B25,CW25:CX29,2,FALSE)</f>
        <v>4</v>
      </c>
      <c r="B25" s="319" t="str">
        <f>'Language Table'!C27</f>
        <v>Poland</v>
      </c>
      <c r="C25" s="319">
        <f>SUMPRODUCT((CZ3:CZ42=B25)*(DD3:DD42="W"))+SUMPRODUCT((DC3:DC42=B25)*(DE3:DE42="W"))</f>
        <v>0</v>
      </c>
      <c r="D25" s="319">
        <f>SUMPRODUCT((CZ3:CZ42=B25)*(DD3:DD42="D"))+SUMPRODUCT((DC3:DC42=B25)*(DE3:DE42="D"))</f>
        <v>1</v>
      </c>
      <c r="E25" s="319">
        <f>SUMPRODUCT((CZ3:CZ42=B25)*(DD3:DD42="L"))+SUMPRODUCT((DC3:DC42=B25)*(DE3:DE42="L"))</f>
        <v>2</v>
      </c>
      <c r="F25" s="319">
        <f>SUMIF(CZ3:CZ60,B25,DA3:DA60)+SUMIF(DC3:DC60,B25,DB3:DB60)</f>
        <v>3</v>
      </c>
      <c r="G25" s="319">
        <f>SUMIF(DC3:DC60,B25,DA3:DA60)+SUMIF(CZ3:CZ60,B25,DB3:DB60)</f>
        <v>6</v>
      </c>
      <c r="H25" s="319">
        <f t="shared" ref="H25:H28" si="7443">F25-G25+1000</f>
        <v>997</v>
      </c>
      <c r="I25" s="319">
        <f t="shared" ref="I25:I28" si="7444">C25*3+D25*1</f>
        <v>1</v>
      </c>
      <c r="J25" s="319">
        <v>0</v>
      </c>
      <c r="K25" s="319">
        <f>IF(COUNTIF(I25:I29,4)&lt;&gt;4,RANK(I25,I25:I29),I65)</f>
        <v>4</v>
      </c>
      <c r="L25" s="319"/>
      <c r="M25" s="319">
        <f>SUMPRODUCT((K25:K28=K25)*(J25:J28&lt;J25))+K25</f>
        <v>4</v>
      </c>
      <c r="N25" s="319" t="str">
        <f>INDEX(B25:B29,MATCH(1,M25:M29,0),0)</f>
        <v>Austria</v>
      </c>
      <c r="O25" s="319">
        <f>INDEX(K25:K29,MATCH(N25,B25:B29,0),0)</f>
        <v>1</v>
      </c>
      <c r="P25" s="319" t="str">
        <f>IF(O26=1,N25,"")</f>
        <v/>
      </c>
      <c r="Q25" s="319" t="str">
        <f>IF(O27=2,N26,"")</f>
        <v/>
      </c>
      <c r="R25" s="319" t="str">
        <f>IF(O28=3,N27,"")</f>
        <v/>
      </c>
      <c r="S25" s="319" t="str">
        <f>IF(O29=4,N28,"")</f>
        <v/>
      </c>
      <c r="T25" s="319"/>
      <c r="U25" s="319" t="str">
        <f>IF(P25&lt;&gt;"",P25,"")</f>
        <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t="str">
        <f t="shared" ref="AB25:AB28" si="7445">IF(U25&lt;&gt;"",V25*3+W25*1,"")</f>
        <v/>
      </c>
      <c r="AC25" s="319" t="str">
        <f>IF(U25&lt;&gt;"",VLOOKUP(U25,B4:H40,7,FALSE),"")</f>
        <v/>
      </c>
      <c r="AD25" s="319" t="str">
        <f>IF(U25&lt;&gt;"",VLOOKUP(U25,B4:H40,5,FALSE),"")</f>
        <v/>
      </c>
      <c r="AE25" s="319" t="str">
        <f>IF(U25&lt;&gt;"",VLOOKUP(U25,B4:J40,9,FALSE),"")</f>
        <v/>
      </c>
      <c r="AF25" s="319" t="str">
        <f t="shared" ref="AF25:AF28" si="7446">AB25</f>
        <v/>
      </c>
      <c r="AG25" s="319" t="str">
        <f>IF(U25&lt;&gt;"",RANK(AF25,AF25:AF29),"")</f>
        <v/>
      </c>
      <c r="AH25" s="319" t="str">
        <f>IF(U25&lt;&gt;"",SUMPRODUCT((AF25:AF29=AF25)*(AA25:AA29&gt;AA25)),"")</f>
        <v/>
      </c>
      <c r="AI25" s="319" t="str">
        <f>IF(U25&lt;&gt;"",SUMPRODUCT((AF25:AF29=AF25)*(AA25:AA29=AA25)*(Y25:Y29&gt;Y25)),"")</f>
        <v/>
      </c>
      <c r="AJ25" s="319" t="str">
        <f>IF(U25&lt;&gt;"",SUMPRODUCT((AF25:AF29=AF25)*(AA25:AA29=AA25)*(Y25:Y29=Y25)*(AC25:AC29&gt;AC25)),"")</f>
        <v/>
      </c>
      <c r="AK25" s="319" t="str">
        <f>IF(U25&lt;&gt;"",SUMPRODUCT((AF25:AF29=AF25)*(AA25:AA29=AA25)*(Y25:Y29=Y25)*(AC25:AC29=AC25)*(AD25:AD29&gt;AD25)),"")</f>
        <v/>
      </c>
      <c r="AL25" s="319" t="str">
        <f>IF(U25&lt;&gt;"",SUMPRODUCT((AF25:AF29=AF25)*(AA25:AA29=AA25)*(Y25:Y29=Y25)*(AC25:AC29=AC25)*(AD25:AD29=AD25)*(AE25:AE29&gt;AE25)),"")</f>
        <v/>
      </c>
      <c r="AM25" s="319" t="str">
        <f>IF(U25&lt;&gt;"",IF(AM65&lt;&gt;"",IF(T64=3,AM65,AM65+T64),SUM(AG25:AL25)),"")</f>
        <v/>
      </c>
      <c r="AN25" s="319" t="str">
        <f>IF(U25&lt;&gt;"",INDEX(U25:U29,MATCH(1,AM25:AM29,0),0),"")</f>
        <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Austria</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106</v>
      </c>
      <c r="DI25" s="325" t="s">
        <v>107</v>
      </c>
      <c r="DJ25" s="325" t="s">
        <v>109</v>
      </c>
      <c r="DK25" s="325" t="s">
        <v>110</v>
      </c>
      <c r="DL25" s="324" t="s">
        <v>110</v>
      </c>
      <c r="DM25" s="324" t="s">
        <v>109</v>
      </c>
      <c r="DN25" s="324" t="s">
        <v>107</v>
      </c>
      <c r="DO25" s="324" t="s">
        <v>106</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x14ac:dyDescent="0.2">
      <c r="A26" s="319">
        <f>VLOOKUP(B26,CW25:CX29,2,FALSE)</f>
        <v>3</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1</v>
      </c>
      <c r="F26" s="319">
        <f>SUMIF(CZ3:CZ60,B26,DA3:DA60)+SUMIF(DC3:DC60,B26,DB3:DB60)</f>
        <v>4</v>
      </c>
      <c r="G26" s="319">
        <f>SUMIF(DC3:DC60,B26,DA3:DA60)+SUMIF(CZ3:CZ60,B26,DB3:DB60)</f>
        <v>4</v>
      </c>
      <c r="H26" s="319">
        <f t="shared" si="7443"/>
        <v>1000</v>
      </c>
      <c r="I26" s="319">
        <f t="shared" si="7444"/>
        <v>4</v>
      </c>
      <c r="J26" s="319">
        <v>42</v>
      </c>
      <c r="K26" s="319">
        <f>IF(COUNTIF(I25:I29,4)&lt;&gt;4,RANK(I26,I25:I29),I66)</f>
        <v>3</v>
      </c>
      <c r="L26" s="319"/>
      <c r="M26" s="319">
        <f>SUMPRODUCT((K25:K28=K26)*(J25:J28&lt;J26))+K26</f>
        <v>3</v>
      </c>
      <c r="N26" s="319" t="str">
        <f>INDEX(B25:B29,MATCH(2,M25:M29,0),0)</f>
        <v>France</v>
      </c>
      <c r="O26" s="319">
        <f>INDEX(K25:K29,MATCH(N26,B25:B29,0),0)</f>
        <v>2</v>
      </c>
      <c r="P26" s="319" t="str">
        <f>IF(P25&lt;&gt;"",N26,"")</f>
        <v/>
      </c>
      <c r="Q26" s="319" t="str">
        <f>IF(Q25&lt;&gt;"",N27,"")</f>
        <v/>
      </c>
      <c r="R26" s="319" t="str">
        <f>IF(R25&lt;&gt;"",N28,"")</f>
        <v/>
      </c>
      <c r="S26" s="319" t="str">
        <f>IF(S25&lt;&gt;"",N29,"")</f>
        <v/>
      </c>
      <c r="T26" s="319"/>
      <c r="U26" s="319" t="str">
        <f t="shared" ref="U26:U28" si="7833">IF(P26&lt;&gt;"",P26,"")</f>
        <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t="str">
        <f t="shared" si="7445"/>
        <v/>
      </c>
      <c r="AC26" s="319" t="str">
        <f>IF(U26&lt;&gt;"",VLOOKUP(U26,B4:H40,7,FALSE),"")</f>
        <v/>
      </c>
      <c r="AD26" s="319" t="str">
        <f>IF(U26&lt;&gt;"",VLOOKUP(U26,B4:H40,5,FALSE),"")</f>
        <v/>
      </c>
      <c r="AE26" s="319" t="str">
        <f>IF(U26&lt;&gt;"",VLOOKUP(U26,B4:J40,9,FALSE),"")</f>
        <v/>
      </c>
      <c r="AF26" s="319" t="str">
        <f t="shared" si="7446"/>
        <v/>
      </c>
      <c r="AG26" s="319" t="str">
        <f>IF(U26&lt;&gt;"",RANK(AF26,AF25:AF29),"")</f>
        <v/>
      </c>
      <c r="AH26" s="319" t="str">
        <f>IF(U26&lt;&gt;"",SUMPRODUCT((AF25:AF29=AF26)*(AA25:AA29&gt;AA26)),"")</f>
        <v/>
      </c>
      <c r="AI26" s="319" t="str">
        <f>IF(U26&lt;&gt;"",SUMPRODUCT((AF25:AF29=AF26)*(AA25:AA29=AA26)*(Y25:Y29&gt;Y26)),"")</f>
        <v/>
      </c>
      <c r="AJ26" s="319" t="str">
        <f>IF(U26&lt;&gt;"",SUMPRODUCT((AF25:AF29=AF26)*(AA25:AA29=AA26)*(Y25:Y29=Y26)*(AC25:AC29&gt;AC26)),"")</f>
        <v/>
      </c>
      <c r="AK26" s="319" t="str">
        <f>IF(U26&lt;&gt;"",SUMPRODUCT((AF25:AF29=AF26)*(AA25:AA29=AA26)*(Y25:Y29=Y26)*(AC25:AC29=AC26)*(AD25:AD29&gt;AD26)),"")</f>
        <v/>
      </c>
      <c r="AL26" s="319" t="str">
        <f>IF(U26&lt;&gt;"",SUMPRODUCT((AF25:AF29=AF26)*(AA25:AA29=AA26)*(Y25:Y29=Y26)*(AC25:AC29=AC26)*(AD25:AD29=AD26)*(AE25:AE29&gt;AE26)),"")</f>
        <v/>
      </c>
      <c r="AM26" s="319" t="str">
        <f>IF(U26&lt;&gt;"",IF(AM66&lt;&gt;"",IF(T64=3,AM66,AM66+T64),SUM(AG26:AL26)),"")</f>
        <v/>
      </c>
      <c r="AN26" s="319" t="str">
        <f>IF(U26&lt;&gt;"",INDEX(U25:U29,MATCH(2,AM25:AM29,0),0),"")</f>
        <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106</v>
      </c>
      <c r="DI26" s="325" t="s">
        <v>108</v>
      </c>
      <c r="DJ26" s="325" t="s">
        <v>109</v>
      </c>
      <c r="DK26" s="325" t="s">
        <v>110</v>
      </c>
      <c r="DL26" s="324" t="s">
        <v>110</v>
      </c>
      <c r="DM26" s="324" t="s">
        <v>109</v>
      </c>
      <c r="DN26" s="324" t="s">
        <v>108</v>
      </c>
      <c r="DO26" s="324" t="s">
        <v>106</v>
      </c>
      <c r="DP26" s="325"/>
      <c r="DQ26" s="326">
        <f>IFERROR(MATCH(DQ12,DH26:DK26,0),0)</f>
        <v>2</v>
      </c>
      <c r="DR26" s="326">
        <f>IFERROR(MATCH(DR12,DH26:DK26,0),0)</f>
        <v>3</v>
      </c>
      <c r="DS26" s="326">
        <f>IFERROR(MATCH(DS12,DH26:DK26,0),0)</f>
        <v>0</v>
      </c>
      <c r="DT26" s="326">
        <f>IFERROR(MATCH(DT12,DH26:DK26,0),0)</f>
        <v>0</v>
      </c>
      <c r="DU26" s="326">
        <f t="shared" si="3541"/>
        <v>5</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x14ac:dyDescent="0.2">
      <c r="A27" s="319">
        <f>VLOOKUP(B27,CW25:CX29,2,FALSE)</f>
        <v>1</v>
      </c>
      <c r="B27" s="319" t="str">
        <f>'Language Table'!C7</f>
        <v>Austria</v>
      </c>
      <c r="C27" s="319">
        <f>SUMPRODUCT((CZ3:CZ42=B27)*(DD3:DD42="W"))+SUMPRODUCT((DC3:DC42=B27)*(DE3:DE42="W"))</f>
        <v>2</v>
      </c>
      <c r="D27" s="319">
        <f>SUMPRODUCT((CZ3:CZ42=B27)*(DD3:DD42="D"))+SUMPRODUCT((DC3:DC42=B27)*(DE3:DE42="D"))</f>
        <v>0</v>
      </c>
      <c r="E27" s="319">
        <f>SUMPRODUCT((CZ3:CZ42=B27)*(DD3:DD42="L"))+SUMPRODUCT((DC3:DC42=B27)*(DE3:DE42="L"))</f>
        <v>1</v>
      </c>
      <c r="F27" s="319">
        <f>SUMIF(CZ3:CZ60,B27,DA3:DA60)+SUMIF(DC3:DC60,B27,DB3:DB60)</f>
        <v>6</v>
      </c>
      <c r="G27" s="319">
        <f>SUMIF(DC3:DC60,B27,DA3:DA60)+SUMIF(CZ3:CZ60,B27,DB3:DB60)</f>
        <v>4</v>
      </c>
      <c r="H27" s="319">
        <f t="shared" si="7443"/>
        <v>1002</v>
      </c>
      <c r="I27" s="319">
        <f t="shared" si="7444"/>
        <v>6</v>
      </c>
      <c r="J27" s="319">
        <v>41</v>
      </c>
      <c r="K27" s="319">
        <f>IF(COUNTIF(I25:I29,4)&lt;&gt;4,RANK(I27,I25:I29),I67)</f>
        <v>1</v>
      </c>
      <c r="L27" s="319"/>
      <c r="M27" s="319">
        <f>SUMPRODUCT((K25:K28=K27)*(J25:J28&lt;J27))+K27</f>
        <v>1</v>
      </c>
      <c r="N27" s="319" t="str">
        <f>INDEX(B25:B29,MATCH(3,M25:M29,0),0)</f>
        <v>Netherlands</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Netherlands</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107</v>
      </c>
      <c r="DI27" s="325" t="s">
        <v>108</v>
      </c>
      <c r="DJ27" s="325" t="s">
        <v>109</v>
      </c>
      <c r="DK27" s="325" t="s">
        <v>110</v>
      </c>
      <c r="DL27" s="324" t="s">
        <v>110</v>
      </c>
      <c r="DM27" s="324" t="s">
        <v>109</v>
      </c>
      <c r="DN27" s="324" t="s">
        <v>108</v>
      </c>
      <c r="DO27" s="324" t="s">
        <v>107</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x14ac:dyDescent="0.2">
      <c r="A28" s="319">
        <f>VLOOKUP(B28,CW25:CX29,2,FALSE)</f>
        <v>2</v>
      </c>
      <c r="B28" s="319" t="str">
        <f>'Language Table'!C13</f>
        <v>France</v>
      </c>
      <c r="C28" s="319">
        <f>SUMPRODUCT((CZ3:CZ42=B28)*(DD3:DD42="W"))+SUMPRODUCT((DC3:DC42=B28)*(DE3:DE42="W"))</f>
        <v>1</v>
      </c>
      <c r="D28" s="319">
        <f>SUMPRODUCT((CZ3:CZ42=B28)*(DD3:DD42="D"))+SUMPRODUCT((DC3:DC42=B28)*(DE3:DE42="D"))</f>
        <v>2</v>
      </c>
      <c r="E28" s="319">
        <f>SUMPRODUCT((CZ3:CZ42=B28)*(DD3:DD42="L"))+SUMPRODUCT((DC3:DC42=B28)*(DE3:DE42="L"))</f>
        <v>0</v>
      </c>
      <c r="F28" s="319">
        <f>SUMIF(CZ3:CZ60,B28,DA3:DA60)+SUMIF(DC3:DC60,B28,DB3:DB60)</f>
        <v>2</v>
      </c>
      <c r="G28" s="319">
        <f>SUMIF(DC3:DC60,B28,DA3:DA60)+SUMIF(CZ3:CZ60,B28,DB3:DB60)</f>
        <v>1</v>
      </c>
      <c r="H28" s="319">
        <f t="shared" si="7443"/>
        <v>1001</v>
      </c>
      <c r="I28" s="319">
        <f t="shared" si="7444"/>
        <v>5</v>
      </c>
      <c r="J28" s="319">
        <v>52</v>
      </c>
      <c r="K28" s="319">
        <f>IF(COUNTIF(I25:I29,4)&lt;&gt;4,RANK(I28,I25:I29),I68)</f>
        <v>2</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108</v>
      </c>
      <c r="DW28" s="319" t="str">
        <f>VLOOKUP(1,A25:B28,2,FALSE)</f>
        <v>Austria</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1</v>
      </c>
      <c r="DC29" s="319" t="str">
        <f>Matches!J34</f>
        <v>Spain</v>
      </c>
      <c r="DD29" s="319" t="str">
        <f>IF(AND(Matches!H34&lt;&gt;"",Matches!I34&lt;&gt;""),IF(DA29&gt;DB29,"W",IF(DA29=DB29,"D","L")),"")</f>
        <v>L</v>
      </c>
      <c r="DE29" s="319" t="str">
        <f t="shared" si="162"/>
        <v>W</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1</v>
      </c>
      <c r="DB30" s="319">
        <f>IF(AND(Matches!I35&lt;&gt;"",Matches!H35&lt;&gt;""),Matches!I35,0)</f>
        <v>1</v>
      </c>
      <c r="DC30" s="319" t="str">
        <f>Matches!J35</f>
        <v>Italy</v>
      </c>
      <c r="DD30" s="319" t="str">
        <f>IF(AND(Matches!H35&lt;&gt;"",Matches!I35&lt;&gt;""),IF(DA30&gt;DB30,"W",IF(DA30=DB30,"D","L")),"")</f>
        <v>D</v>
      </c>
      <c r="DE30" s="319" t="str">
        <f t="shared" si="162"/>
        <v>D</v>
      </c>
      <c r="DF30" s="319"/>
      <c r="DG30" s="319"/>
      <c r="DH30" s="319"/>
      <c r="DI30" s="320"/>
      <c r="DJ30" s="320"/>
      <c r="DK30" s="320"/>
      <c r="DL30" s="320"/>
      <c r="DM30" s="320"/>
      <c r="DN30" s="320"/>
      <c r="DO30" s="320"/>
      <c r="DP30" s="319"/>
      <c r="DQ30" s="319"/>
      <c r="DR30" s="319"/>
      <c r="DS30" s="319"/>
      <c r="DT30" s="319"/>
      <c r="DU30" s="319"/>
      <c r="DV30" s="319" t="s">
        <v>109</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1</v>
      </c>
    </row>
    <row r="31" spans="1:1536"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0</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Portugal</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2</v>
      </c>
      <c r="DB33" s="319">
        <f>IF(AND(Matches!I38&lt;&gt;"",Matches!H38&lt;&gt;""),Matches!I38,0)</f>
        <v>3</v>
      </c>
      <c r="DC33" s="319" t="str">
        <f>Matches!J38</f>
        <v>Austria</v>
      </c>
      <c r="DD33" s="319" t="str">
        <f>IF(AND(Matches!H38&lt;&gt;"",Matches!I38&lt;&gt;""),IF(DA33&gt;DB33,"W",IF(DA33=DB33,"D","L")),"")</f>
        <v>L</v>
      </c>
      <c r="DE33" s="319" t="str">
        <f t="shared" si="162"/>
        <v>W</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0</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0</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0</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1</v>
      </c>
      <c r="DB34" s="319">
        <f>IF(AND(Matches!I39&lt;&gt;"",Matches!H39&lt;&gt;""),Matches!I39,0)</f>
        <v>1</v>
      </c>
      <c r="DC34" s="319" t="str">
        <f>Matches!J39</f>
        <v>Poland</v>
      </c>
      <c r="DD34" s="319" t="str">
        <f>IF(AND(Matches!H39&lt;&gt;"",Matches!I39&lt;&gt;""),IF(DA34&gt;DB34,"W",IF(DA34=DB34,"D","L")),"")</f>
        <v>D</v>
      </c>
      <c r="DE34" s="319" t="str">
        <f t="shared" si="162"/>
        <v>D</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14</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5"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t="str">
        <f>IF(U25&lt;&gt;"",SUMPRODUCT((AB25:AB28=AB25)*(AA25:AA28=AA25)*(Y25:Y28=Y25)*(Z25:Z28=Z25)),"")</f>
        <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t="str">
        <f>IF(U26&lt;&gt;"",SUMPRODUCT((AB25:AB28=AB26)*(AA25:AA28=AA26)*(Y25:Y28=Y26)*(Z25:Z28=Z26)),"")</f>
        <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1</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376</v>
      </c>
    </row>
    <row r="3" spans="1:7" ht="4.7" customHeight="1" x14ac:dyDescent="0.25"/>
    <row r="4" spans="1:7" ht="3" customHeight="1" x14ac:dyDescent="0.25"/>
    <row r="5" spans="1:7" ht="6.6" customHeight="1" x14ac:dyDescent="0.25">
      <c r="B5" s="141"/>
      <c r="C5" s="141"/>
      <c r="D5" s="141"/>
      <c r="E5" s="141"/>
    </row>
    <row r="6" spans="1:7" ht="60" x14ac:dyDescent="0.2">
      <c r="A6" s="142" t="s">
        <v>67</v>
      </c>
      <c r="B6" s="143" t="s">
        <v>377</v>
      </c>
      <c r="C6" s="143" t="s">
        <v>378</v>
      </c>
      <c r="D6" s="143" t="s">
        <v>379</v>
      </c>
      <c r="E6" s="143" t="s">
        <v>380</v>
      </c>
      <c r="F6" s="142" t="s">
        <v>274</v>
      </c>
      <c r="G6" s="142" t="s">
        <v>380</v>
      </c>
    </row>
    <row r="7" spans="1:7" x14ac:dyDescent="0.25">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Håvard (ChatGPT)</v>
      </c>
      <c r="G7" s="146">
        <f ca="1">E7</f>
        <v>1</v>
      </c>
    </row>
    <row r="8" spans="1:7" x14ac:dyDescent="0.25">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Levi (happy go lucky)</v>
      </c>
      <c r="G8" s="146">
        <f t="shared" ref="G8:G16" ca="1" si="1">E8</f>
        <v>2</v>
      </c>
    </row>
    <row r="9" spans="1:7" x14ac:dyDescent="0.25">
      <c r="A9" s="144">
        <f>IF('Player Scoreboard'!C12&lt;&gt;"",'Player Scoreboard'!B12,"")</f>
        <v>3</v>
      </c>
      <c r="B9" s="144">
        <f ca="1">IF('Player Scoreboard'!C12&lt;&gt;"",RANK('Player Scoreboard'!D12,'Player Scoreboard'!D10:D19),"")</f>
        <v>5</v>
      </c>
      <c r="C9" s="144">
        <f ca="1">SUMPRODUCT((B7:B16=B9)*('Player Scoreboard'!H10:H19&gt;'Player Scoreboard'!H12))</f>
        <v>0</v>
      </c>
      <c r="D9" s="144">
        <f ca="1">SUMPRODUCT((B7:B16=B9)*(C7:C16=C9)*(A7:A16&lt;A9))</f>
        <v>0</v>
      </c>
      <c r="E9" s="144">
        <f t="shared" ca="1" si="0"/>
        <v>5</v>
      </c>
      <c r="F9" s="145" t="str">
        <f>'Player Scoreboard'!C12</f>
        <v>Iben</v>
      </c>
      <c r="G9" s="146">
        <f t="shared" ca="1" si="1"/>
        <v>5</v>
      </c>
    </row>
    <row r="10" spans="1:7" x14ac:dyDescent="0.25">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0</v>
      </c>
      <c r="E10" s="144">
        <f t="shared" ca="1" si="0"/>
        <v>4</v>
      </c>
      <c r="F10" s="145" t="str">
        <f>'Player Scoreboard'!C13</f>
        <v>Joakim</v>
      </c>
      <c r="G10" s="146">
        <f t="shared" ca="1" si="1"/>
        <v>4</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Kristoffer (Fasiten)</v>
      </c>
      <c r="G11" s="146">
        <f t="shared" ca="1" si="1"/>
        <v>7</v>
      </c>
    </row>
    <row r="12" spans="1:7" x14ac:dyDescent="0.25">
      <c r="A12" s="144">
        <f>IF('Player Scoreboard'!C15&lt;&gt;"",'Player Scoreboard'!B15,"")</f>
        <v>6</v>
      </c>
      <c r="B12" s="144">
        <f ca="1">IF('Player Scoreboard'!C15&lt;&gt;"",RANK('Player Scoreboard'!D15,'Player Scoreboard'!D10:D19),"")</f>
        <v>6</v>
      </c>
      <c r="C12" s="144">
        <f ca="1">SUMPRODUCT((B7:B16=B12)*('Player Scoreboard'!H10:H19&gt;'Player Scoreboard'!H15))</f>
        <v>0</v>
      </c>
      <c r="D12" s="144">
        <f ca="1">SUMPRODUCT((B7:B16=B12)*(C7:C16=C12)*(A7:A16&lt;A12))</f>
        <v>0</v>
      </c>
      <c r="E12" s="144">
        <f t="shared" ca="1" si="0"/>
        <v>6</v>
      </c>
      <c r="F12" s="145" t="str">
        <f>'Player Scoreboard'!C15</f>
        <v>George</v>
      </c>
      <c r="G12" s="146">
        <f t="shared" ca="1" si="1"/>
        <v>6</v>
      </c>
    </row>
    <row r="13" spans="1:7" x14ac:dyDescent="0.25">
      <c r="A13" s="144">
        <f>IF('Player Scoreboard'!C16&lt;&gt;"",'Player Scoreboard'!B16,"")</f>
        <v>7</v>
      </c>
      <c r="B13" s="144">
        <f ca="1">IF('Player Scoreboard'!C16&lt;&gt;"",RANK('Player Scoreboard'!D16,'Player Scoreboard'!D10:D19),"")</f>
        <v>7</v>
      </c>
      <c r="C13" s="144">
        <f ca="1">SUMPRODUCT((B7:B16=B13)*('Player Scoreboard'!H10:H19&gt;'Player Scoreboard'!H16))</f>
        <v>1</v>
      </c>
      <c r="D13" s="144">
        <f ca="1">SUMPRODUCT((B7:B16=B13)*(C7:C16=C13)*(A7:A16&lt;A13))</f>
        <v>0</v>
      </c>
      <c r="E13" s="144">
        <f t="shared" ca="1" si="0"/>
        <v>8</v>
      </c>
      <c r="F13" s="145" t="str">
        <f>'Player Scoreboard'!C16</f>
        <v>Sverre</v>
      </c>
      <c r="G13" s="146">
        <f t="shared" ca="1" si="1"/>
        <v>8</v>
      </c>
    </row>
    <row r="14" spans="1:7" x14ac:dyDescent="0.25">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0</v>
      </c>
      <c r="E14" s="144">
        <f t="shared" ca="1" si="0"/>
        <v>3</v>
      </c>
      <c r="F14" s="145" t="str">
        <f>'Player Scoreboard'!C17</f>
        <v>Therese</v>
      </c>
      <c r="G14" s="146">
        <f t="shared" ca="1" si="1"/>
        <v>3</v>
      </c>
    </row>
    <row r="15" spans="1:7" x14ac:dyDescent="0.25">
      <c r="A15" s="144">
        <f>IF('Player Scoreboard'!C18&lt;&gt;"",'Player Scoreboard'!B18,"")</f>
        <v>9</v>
      </c>
      <c r="B15" s="144">
        <f ca="1">IF('Player Scoreboard'!C18&lt;&gt;"",RANK('Player Scoreboard'!D18,'Player Scoreboard'!D10:D19),"")</f>
        <v>9</v>
      </c>
      <c r="C15" s="144">
        <f ca="1">SUMPRODUCT((B7:B16=B15)*('Player Scoreboard'!H10:H19&gt;'Player Scoreboard'!H18))</f>
        <v>0</v>
      </c>
      <c r="D15" s="144">
        <f ca="1">SUMPRODUCT((B7:B16=B15)*(C7:C16=C15)*(A7:A16&lt;A15))</f>
        <v>0</v>
      </c>
      <c r="E15" s="144">
        <f t="shared" ca="1" si="0"/>
        <v>9</v>
      </c>
      <c r="F15" s="145" t="str">
        <f>'Player Scoreboard'!C18</f>
        <v>Wanja</v>
      </c>
      <c r="G15" s="146">
        <f t="shared" ca="1" si="1"/>
        <v>9</v>
      </c>
    </row>
    <row r="16" spans="1:7" x14ac:dyDescent="0.25">
      <c r="A16" s="144">
        <f>IF('Player Scoreboard'!C19&lt;&gt;"",'Player Scoreboard'!B19,"")</f>
        <v>10</v>
      </c>
      <c r="B16" s="144">
        <f ca="1">IF('Player Scoreboard'!C19&lt;&gt;"",RANK('Player Scoreboard'!D19,'Player Scoreboard'!D10:D19),"")</f>
        <v>10</v>
      </c>
      <c r="C16" s="144">
        <f ca="1">SUMPRODUCT((B7:B16=B16)*('Player Scoreboard'!H10:H19&gt;'Player Scoreboard'!H19))</f>
        <v>0</v>
      </c>
      <c r="D16" s="144">
        <f ca="1">SUMPRODUCT((B7:B16=B16)*(C7:C16=C16)*(A7:A16&lt;A16))</f>
        <v>0</v>
      </c>
      <c r="E16" s="144">
        <f t="shared" ca="1" si="0"/>
        <v>10</v>
      </c>
      <c r="F16" s="145" t="str">
        <f>'Player Scoreboard'!C19</f>
        <v>Baptiste</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Joakim Lund</cp:lastModifiedBy>
  <cp:revision/>
  <dcterms:created xsi:type="dcterms:W3CDTF">2008-04-13T01:23:18Z</dcterms:created>
  <dcterms:modified xsi:type="dcterms:W3CDTF">2024-06-25T18:24:16Z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