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24226"/>
  <mc:AlternateContent xmlns:mc="http://schemas.openxmlformats.org/markup-compatibility/2006">
    <mc:Choice Requires="x15">
      <x15ac:absPath xmlns:x15ac="http://schemas.microsoft.com/office/spreadsheetml/2010/11/ac" url="https://avinor-my.sharepoint.com/personal/joakim_lund_avinor_no/Documents/Dokumenter/EuroPrediction/"/>
    </mc:Choice>
  </mc:AlternateContent>
  <xr:revisionPtr revIDLastSave="15" documentId="13_ncr:1_{5B0BA8E9-3A93-46DD-8A3A-946421113F67}" xr6:coauthVersionLast="47" xr6:coauthVersionMax="47" xr10:uidLastSave="{0319795D-98BF-4591-828D-C88C820EE23B}"/>
  <workbookProtection workbookAlgorithmName="SHA-512" workbookHashValue="hCBMdfbWOkbA/VAq8+TdNnNn6yDZkrM9rj0MksObCHvCY7TT/LAWrr57exTZXhvv70BMSwUTbrrDEaKVnEviRw==" workbookSaltValue="959trsHucnJJG857LOUScQ==" workbookSpinCount="100000" lockStructure="1"/>
  <bookViews>
    <workbookView xWindow="-108" yWindow="-108" windowWidth="30936" windowHeight="16896" firstSheet="1" activeTab="1"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CM27" i="28"/>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CM32"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JN38" i="2"/>
  <c r="JN39" i="2" s="1"/>
  <c r="TJ18" i="2"/>
  <c r="VA20" i="2" s="1"/>
  <c r="VJ20" i="2" s="1"/>
  <c r="U11" i="2"/>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21" i="2"/>
  <c r="U21" i="2" s="1"/>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R33" i="2"/>
  <c r="BM33" i="2"/>
  <c r="BJ33" i="2"/>
  <c r="BK33" i="2"/>
  <c r="BL33" i="2"/>
  <c r="AE20" i="2"/>
  <c r="AD20" i="2"/>
  <c r="AC20"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E11" i="2"/>
  <c r="AD11" i="2"/>
  <c r="AC11" i="2"/>
  <c r="AC31" i="2"/>
  <c r="AE31" i="2"/>
  <c r="AD31" i="2"/>
  <c r="AY38" i="2"/>
  <c r="AX38" i="2"/>
  <c r="AW38" i="2"/>
  <c r="BL14" i="2"/>
  <c r="AW34" i="2"/>
  <c r="BS34" i="2"/>
  <c r="BM34" i="2"/>
  <c r="BR34" i="2"/>
  <c r="BL34" i="2"/>
  <c r="BQ34" i="2"/>
  <c r="BK34" i="2"/>
  <c r="BN34" i="2"/>
  <c r="BJ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AX32" i="2" l="1"/>
  <c r="AW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I28" i="2"/>
  <c r="OK28"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AX14"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AC27"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AU32" i="2"/>
  <c r="CI21" i="2"/>
  <c r="CI7" i="2"/>
  <c r="BP21" i="2"/>
  <c r="BT21" i="2" s="1"/>
  <c r="BP20" i="2"/>
  <c r="BT20" i="2" s="1"/>
  <c r="BO34" i="2"/>
  <c r="BO33" i="2"/>
  <c r="AU33" i="2"/>
  <c r="U34" i="2"/>
  <c r="BO7" i="2" l="1"/>
  <c r="BO13" i="2"/>
  <c r="AU34" i="2"/>
  <c r="BO6" i="2"/>
  <c r="FT34" i="2"/>
  <c r="FX34" i="2" s="1"/>
  <c r="KR21" i="2"/>
  <c r="KV21" i="2" s="1"/>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Q28" i="2"/>
  <c r="AP27" i="2"/>
  <c r="Y27" i="2"/>
  <c r="AS28" i="2"/>
  <c r="Z28" i="2"/>
  <c r="Z27" i="2"/>
  <c r="AA27" i="2" s="1"/>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AB26" i="2" s="1"/>
  <c r="AF26" i="2" s="1"/>
  <c r="BP39" i="2"/>
  <c r="BT39" i="2" s="1"/>
  <c r="BO28" i="2"/>
  <c r="UG40" i="2"/>
  <c r="UG21" i="2"/>
  <c r="AMW21" i="2"/>
  <c r="EW11" i="2"/>
  <c r="EX11" i="2"/>
  <c r="U39" i="2"/>
  <c r="W38" i="2" s="1"/>
  <c r="KQ21" i="2"/>
  <c r="KR20" i="2"/>
  <c r="KV20" i="2" s="1"/>
  <c r="AV40" i="2"/>
  <c r="AZ40" i="2" s="1"/>
  <c r="AV38" i="2"/>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AZ38" i="2"/>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7" i="2"/>
  <c r="AT19" i="2"/>
  <c r="AR19" i="2"/>
  <c r="AP19" i="2"/>
  <c r="AR20" i="2"/>
  <c r="AP20" i="2"/>
  <c r="AQ19" i="2"/>
  <c r="AS20" i="2"/>
  <c r="AS19" i="2"/>
  <c r="AQ20" i="2"/>
  <c r="AT20" i="2"/>
  <c r="Y5" i="2"/>
  <c r="Z31" i="2"/>
  <c r="Z5" i="2"/>
  <c r="X31" i="2"/>
  <c r="V32" i="2"/>
  <c r="W33" i="2"/>
  <c r="V6" i="2"/>
  <c r="W6" i="2"/>
  <c r="X32" i="2"/>
  <c r="W5" i="2"/>
  <c r="V31" i="2"/>
  <c r="Z32" i="2"/>
  <c r="V33" i="2"/>
  <c r="Y33" i="2"/>
  <c r="Z6" i="2"/>
  <c r="Y32" i="2"/>
  <c r="CE34" i="2"/>
  <c r="CD34" i="2"/>
  <c r="CF34" i="2"/>
  <c r="AE34" i="2"/>
  <c r="AD34" i="2"/>
  <c r="AC34" i="2"/>
  <c r="X34" i="2"/>
  <c r="W34" i="2"/>
  <c r="Z34" i="2"/>
  <c r="V34" i="2"/>
  <c r="Y34" i="2"/>
  <c r="AD7" i="2"/>
  <c r="X7" i="2"/>
  <c r="AE7" i="2"/>
  <c r="W7" i="2"/>
  <c r="Z7" i="2"/>
  <c r="V7" i="2"/>
  <c r="Y7" i="2"/>
  <c r="AY21" i="2"/>
  <c r="AS21" i="2"/>
  <c r="AX21" i="2"/>
  <c r="AR21" i="2"/>
  <c r="AW21" i="2"/>
  <c r="AQ21" i="2"/>
  <c r="AT21" i="2"/>
  <c r="AP21" i="2"/>
  <c r="AE40" i="2"/>
  <c r="AD40" i="2"/>
  <c r="AC40" i="2"/>
  <c r="Y39" i="2"/>
  <c r="AD39" i="2"/>
  <c r="X39"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26" i="2"/>
  <c r="AA12" i="2"/>
  <c r="AA11" i="2"/>
  <c r="AV33" i="2"/>
  <c r="AA14" i="2"/>
  <c r="AA21" i="2"/>
  <c r="CU14" i="2"/>
  <c r="CV14" i="2"/>
  <c r="CC30" i="2"/>
  <c r="ZZ21" i="2" l="1"/>
  <c r="AAB20" i="2"/>
  <c r="AA28" i="2"/>
  <c r="ZE7" i="2"/>
  <c r="ZG6" i="2" s="1"/>
  <c r="AU26" i="2"/>
  <c r="AU12" i="2"/>
  <c r="AA25" i="2"/>
  <c r="AU28" i="2"/>
  <c r="FL74" i="2"/>
  <c r="FM74" i="2" s="1"/>
  <c r="FV74" i="2" s="1"/>
  <c r="JX25" i="2"/>
  <c r="KB25" i="2" s="1"/>
  <c r="AID18" i="2"/>
  <c r="AJU20" i="2" s="1"/>
  <c r="LK39" i="2"/>
  <c r="ZE14" i="2"/>
  <c r="ZW14" i="2" s="1"/>
  <c r="LK40" i="2"/>
  <c r="AB28" i="2"/>
  <c r="AF28" i="2" s="1"/>
  <c r="AIB31" i="2"/>
  <c r="AIG31" i="2" s="1"/>
  <c r="AE39" i="2"/>
  <c r="Z4" i="2"/>
  <c r="Y6" i="2"/>
  <c r="AA6" i="2" s="1"/>
  <c r="AC39" i="2"/>
  <c r="V40" i="2"/>
  <c r="V38" i="2"/>
  <c r="AB38" i="2" s="1"/>
  <c r="AF38" i="2" s="1"/>
  <c r="Y40" i="2"/>
  <c r="Z40" i="2"/>
  <c r="Y38" i="2"/>
  <c r="V37" i="2"/>
  <c r="W40" i="2"/>
  <c r="AC7" i="2"/>
  <c r="V5" i="2"/>
  <c r="X40" i="2"/>
  <c r="X37" i="2"/>
  <c r="Y37" i="2"/>
  <c r="AA37" i="2" s="1"/>
  <c r="V39" i="2"/>
  <c r="X38" i="2"/>
  <c r="Z39" i="2"/>
  <c r="AA39" i="2" s="1"/>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AID19" i="2"/>
  <c r="AID20" i="2" s="1"/>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V19" i="2"/>
  <c r="AZ19"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Z26" i="2"/>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ZH12"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O14" i="2"/>
  <c r="ZG14" i="2"/>
  <c r="ZF14" i="2"/>
  <c r="ZH14" i="2"/>
  <c r="ZN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ZG13" i="2"/>
  <c r="BBL33" i="2"/>
  <c r="BBM7" i="2"/>
  <c r="AKE20" i="2"/>
  <c r="AKC20" i="2"/>
  <c r="AKD20" i="2"/>
  <c r="PO13" i="2"/>
  <c r="PH52" i="2" s="1"/>
  <c r="PI52" i="2" s="1"/>
  <c r="ADE6" i="2"/>
  <c r="AEC6" i="2"/>
  <c r="OT12" i="2"/>
  <c r="YT12" i="2"/>
  <c r="YS12" i="2"/>
  <c r="YU12" i="2"/>
  <c r="OP38" i="2"/>
  <c r="AWO44" i="2"/>
  <c r="AWO45" i="2"/>
  <c r="AWQ4" i="2"/>
  <c r="AWQ5" i="2"/>
  <c r="AWO47" i="2"/>
  <c r="AWQ7" i="2"/>
  <c r="AWO46" i="2"/>
  <c r="AWQ6" i="2" s="1"/>
  <c r="ZI6" i="2"/>
  <c r="BBL25" i="2"/>
  <c r="BBM34" i="2"/>
  <c r="AIB32"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Z39" i="2"/>
  <c r="BA40" i="2" s="1"/>
  <c r="AN79" i="2"/>
  <c r="AO79" i="2" s="1"/>
  <c r="AZ33" i="2"/>
  <c r="AF11" i="2"/>
  <c r="AK14" i="2" s="1"/>
  <c r="T52" i="2"/>
  <c r="U52" i="2" s="1"/>
  <c r="T51" i="2"/>
  <c r="U51" i="2" s="1"/>
  <c r="T54" i="2"/>
  <c r="U54" i="2" s="1"/>
  <c r="T53" i="2"/>
  <c r="U53" i="2" s="1"/>
  <c r="AF25" i="2"/>
  <c r="AK27" i="2" s="1"/>
  <c r="T66" i="2"/>
  <c r="U66" i="2" s="1"/>
  <c r="T65" i="2"/>
  <c r="U65"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4" i="2"/>
  <c r="AA40" i="2"/>
  <c r="AA31" i="2"/>
  <c r="AB39" i="2"/>
  <c r="AF39" i="2" s="1"/>
  <c r="AB34" i="2"/>
  <c r="AF34" i="2" s="1"/>
  <c r="AB40" i="2"/>
  <c r="AF40" i="2" s="1"/>
  <c r="AB33" i="2"/>
  <c r="AF33" i="2" s="1"/>
  <c r="AV34" i="2"/>
  <c r="AB32" i="2"/>
  <c r="AF32" i="2" s="1"/>
  <c r="AB31" i="2"/>
  <c r="BP28" i="2"/>
  <c r="BT28" i="2" s="1"/>
  <c r="AU20" i="2"/>
  <c r="AU21" i="2"/>
  <c r="AU19" i="2"/>
  <c r="AA7" i="2"/>
  <c r="AA32" i="2"/>
  <c r="AB5" i="2"/>
  <c r="AF5" i="2" s="1"/>
  <c r="AB4" i="2"/>
  <c r="AA34" i="2"/>
  <c r="CU21" i="2"/>
  <c r="CV21" i="2"/>
  <c r="FU74" i="2" l="1"/>
  <c r="FW74" i="2"/>
  <c r="ZJ13" i="2"/>
  <c r="ZI13" i="2"/>
  <c r="ZI14" i="2"/>
  <c r="ZJ14" i="2"/>
  <c r="ZF13" i="2"/>
  <c r="ZG12" i="2"/>
  <c r="ZF12" i="2"/>
  <c r="ZH13" i="2"/>
  <c r="ZI12" i="2"/>
  <c r="ZM14" i="2"/>
  <c r="AB37" i="2"/>
  <c r="AF37" i="2" s="1"/>
  <c r="AH38" i="2" s="1"/>
  <c r="AS80" i="2"/>
  <c r="AY78" i="2"/>
  <c r="AA38" i="2"/>
  <c r="FN74" i="2"/>
  <c r="FP74" i="2"/>
  <c r="FO74" i="2"/>
  <c r="VH21" i="2"/>
  <c r="VL21" i="2" s="1"/>
  <c r="PW47" i="2"/>
  <c r="UN34" i="2"/>
  <c r="UR34" i="2" s="1"/>
  <c r="AAF7" i="2"/>
  <c r="AAJ7" i="2" s="1"/>
  <c r="AAE6" i="2"/>
  <c r="AY53" i="2"/>
  <c r="PZ47" i="2"/>
  <c r="PQ47" i="2"/>
  <c r="PX47" i="2"/>
  <c r="PR47" i="2"/>
  <c r="PU47" i="2"/>
  <c r="QA47" i="2" s="1"/>
  <c r="PV47" i="2"/>
  <c r="PY47" i="2"/>
  <c r="ZK13" i="2"/>
  <c r="VM21"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AN43" i="2" s="1"/>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BA20" i="2"/>
  <c r="BA19" i="2"/>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ZK12"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C7" i="2"/>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Y67" i="2"/>
  <c r="W67" i="2"/>
  <c r="Z67" i="2"/>
  <c r="AE67" i="2"/>
  <c r="X67" i="2"/>
  <c r="V67" i="2"/>
  <c r="Z52" i="2"/>
  <c r="X52" i="2"/>
  <c r="V52" i="2"/>
  <c r="AE52" i="2"/>
  <c r="AD52" i="2"/>
  <c r="AC52" i="2"/>
  <c r="W52" i="2"/>
  <c r="Y52" i="2"/>
  <c r="X61" i="2"/>
  <c r="V58" i="2"/>
  <c r="Y58" i="2"/>
  <c r="AC58" i="2"/>
  <c r="AE58" i="2"/>
  <c r="Z58" i="2"/>
  <c r="W58" i="2"/>
  <c r="X58" i="2"/>
  <c r="AD58" i="2"/>
  <c r="Z68" i="2"/>
  <c r="AE68" i="2"/>
  <c r="AC68" i="2"/>
  <c r="X68" i="2"/>
  <c r="W68" i="2"/>
  <c r="Y68" i="2"/>
  <c r="V68" i="2"/>
  <c r="AD68" i="2"/>
  <c r="AD53" i="2"/>
  <c r="W53" i="2"/>
  <c r="AE53" i="2"/>
  <c r="V53" i="2"/>
  <c r="AC53" i="2"/>
  <c r="Y53" i="2"/>
  <c r="X53" i="2"/>
  <c r="Z53" i="2"/>
  <c r="V59" i="2"/>
  <c r="W59" i="2"/>
  <c r="AC59" i="2"/>
  <c r="X59" i="2"/>
  <c r="Z59" i="2"/>
  <c r="AD59" i="2"/>
  <c r="AE59" i="2"/>
  <c r="Y59" i="2"/>
  <c r="AD65" i="2"/>
  <c r="W65" i="2"/>
  <c r="X65" i="2"/>
  <c r="AE65" i="2"/>
  <c r="AC65" i="2"/>
  <c r="Y65" i="2"/>
  <c r="Z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78" i="2"/>
  <c r="U78" i="2" s="1"/>
  <c r="T80" i="2"/>
  <c r="U80" i="2" s="1"/>
  <c r="T79" i="2"/>
  <c r="U79" i="2" s="1"/>
  <c r="W61" i="2"/>
  <c r="AC61" i="2"/>
  <c r="Z61" i="2"/>
  <c r="AD61" i="2"/>
  <c r="V61" i="2"/>
  <c r="AE61" i="2"/>
  <c r="Y61" i="2"/>
  <c r="W66" i="2"/>
  <c r="AD66" i="2"/>
  <c r="V66" i="2"/>
  <c r="X66" i="2"/>
  <c r="Z66" i="2"/>
  <c r="AC66" i="2"/>
  <c r="Y66" i="2"/>
  <c r="AE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B19" i="2"/>
  <c r="BF20" i="2"/>
  <c r="BC20" i="2"/>
  <c r="BC33" i="2"/>
  <c r="BE19" i="2"/>
  <c r="BB20" i="2"/>
  <c r="BE33" i="2"/>
  <c r="BD19" i="2"/>
  <c r="BE20" i="2"/>
  <c r="BC19" i="2"/>
  <c r="BC32" i="2"/>
  <c r="BB32" i="2"/>
  <c r="BD20" i="2"/>
  <c r="BB33" i="2"/>
  <c r="BF19"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T77" i="2" l="1"/>
  <c r="U77" i="2" s="1"/>
  <c r="T57" i="2"/>
  <c r="T50" i="2"/>
  <c r="FT72" i="2"/>
  <c r="FX72" i="2" s="1"/>
  <c r="FT73" i="2"/>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V60" i="2" s="1"/>
  <c r="AZ60"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BE78"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FY74" i="2"/>
  <c r="BE80" i="2"/>
  <c r="BF80" i="2"/>
  <c r="BB80" i="2"/>
  <c r="BF79" i="2"/>
  <c r="BD80" i="2"/>
  <c r="BF78" i="2"/>
  <c r="BC78" i="2"/>
  <c r="BA78" i="2"/>
  <c r="BA79" i="2"/>
  <c r="BD78" i="2"/>
  <c r="BC80" i="2"/>
  <c r="BA80" i="2"/>
  <c r="BC79" i="2"/>
  <c r="BD79" i="2"/>
  <c r="BB79" i="2"/>
  <c r="BB78" i="2"/>
  <c r="AA53" i="2"/>
  <c r="AQ72" i="2"/>
  <c r="AR72" i="2"/>
  <c r="AT72" i="2"/>
  <c r="AP72" i="2"/>
  <c r="AX72" i="2"/>
  <c r="AS72" i="2"/>
  <c r="AY72" i="2"/>
  <c r="AW72" i="2"/>
  <c r="AT73" i="2"/>
  <c r="AN57"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FY73" i="2"/>
  <c r="GD66" i="2"/>
  <c r="GC66" i="2"/>
  <c r="GB67" i="2"/>
  <c r="GB66" i="2"/>
  <c r="GA67" i="2"/>
  <c r="GA66" i="2"/>
  <c r="GD67" i="2"/>
  <c r="FZ66" i="2"/>
  <c r="GC67" i="2"/>
  <c r="EZ60" i="2"/>
  <c r="FD60" i="2" s="1"/>
  <c r="EZ61" i="2"/>
  <c r="FD6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VS21" i="2" l="1"/>
  <c r="EZ51" i="2"/>
  <c r="FD51" i="2" s="1"/>
  <c r="T70" i="2"/>
  <c r="AFD34" i="2"/>
  <c r="AFH34" i="2" s="1"/>
  <c r="T76" i="2"/>
  <c r="BE79" i="2"/>
  <c r="AJC14" i="2"/>
  <c r="AJK14" i="2"/>
  <c r="AN70" i="2"/>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AKI33" i="2" s="1"/>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FZ67" i="2"/>
  <c r="GE67" i="2" s="1"/>
  <c r="GE27" i="2" s="1"/>
  <c r="AOZ33" i="2"/>
  <c r="APD33" i="2" s="1"/>
  <c r="AFK40" i="2"/>
  <c r="AFJ40" i="2"/>
  <c r="AFM40" i="2"/>
  <c r="AFL40" i="2"/>
  <c r="AFJ33" i="2"/>
  <c r="AFL33" i="2"/>
  <c r="AFI33" i="2"/>
  <c r="AFN33" i="2"/>
  <c r="AFK33" i="2"/>
  <c r="AFM33" i="2"/>
  <c r="AFL39" i="2"/>
  <c r="AFI34" i="2"/>
  <c r="AFM39" i="2"/>
  <c r="AFM34" i="2"/>
  <c r="AFL34" i="2"/>
  <c r="AFN39" i="2"/>
  <c r="AFJ39" i="2"/>
  <c r="AFJ34" i="2"/>
  <c r="AFN34" i="2"/>
  <c r="UN66" i="2"/>
  <c r="UR66" i="2" s="1"/>
  <c r="AFN40" i="2"/>
  <c r="AFK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FE47" i="2"/>
  <c r="FE67" i="2"/>
  <c r="FE44" i="2"/>
  <c r="FE65" i="2"/>
  <c r="FE58" i="2"/>
  <c r="FE61" i="2"/>
  <c r="FE45" i="2"/>
  <c r="FE59"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KJ34" i="2" l="1"/>
  <c r="AKK33" i="2"/>
  <c r="AKL33" i="2"/>
  <c r="AKL34" i="2"/>
  <c r="AKJ33" i="2"/>
  <c r="AKI34" i="2"/>
  <c r="AKH33" i="2"/>
  <c r="AFK34" i="2"/>
  <c r="AKK34" i="2"/>
  <c r="AKH34" i="2"/>
  <c r="GE74" i="2"/>
  <c r="GE34" i="2" s="1"/>
  <c r="FE51" i="2"/>
  <c r="GE72" i="2"/>
  <c r="GE32" i="2" s="1"/>
  <c r="AEB79" i="2"/>
  <c r="AEC79" i="2" s="1"/>
  <c r="AAQ39" i="2"/>
  <c r="PU59" i="2"/>
  <c r="FF52" i="2"/>
  <c r="AKL7" i="2"/>
  <c r="AKK6" i="2"/>
  <c r="AKI6" i="2"/>
  <c r="AKL6" i="2"/>
  <c r="AOZ21" i="2"/>
  <c r="APD21" i="2" s="1"/>
  <c r="AKG6" i="2"/>
  <c r="AKH7"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AKM33" i="2"/>
  <c r="YY38" i="2"/>
  <c r="US66" i="2"/>
  <c r="PX67" i="2"/>
  <c r="PW66" i="2"/>
  <c r="AKM39" i="2"/>
  <c r="AKN40" i="2" s="1"/>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AKM34" i="2" l="1"/>
  <c r="AKM6" i="2"/>
  <c r="AAR39" i="2"/>
  <c r="FK52" i="2"/>
  <c r="FK12" i="2" s="1"/>
  <c r="APF20" i="2"/>
  <c r="APF21" i="2"/>
  <c r="APG21" i="2"/>
  <c r="API20" i="2"/>
  <c r="GF6" i="2"/>
  <c r="AKM7" i="2"/>
  <c r="AIZ53" i="2"/>
  <c r="AJA53" i="2" s="1"/>
  <c r="AJI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K52" i="2"/>
  <c r="AJC52" i="2"/>
  <c r="AJD52" i="2"/>
  <c r="AJF54" i="2"/>
  <c r="AJQ12" i="2"/>
  <c r="AJR12" i="2"/>
  <c r="AJN12" i="2"/>
  <c r="AJO12" i="2"/>
  <c r="AJP12" i="2"/>
  <c r="AJM12" i="2"/>
  <c r="AJJ53" i="2"/>
  <c r="AJK53" i="2"/>
  <c r="AJE53" i="2"/>
  <c r="AJB53" i="2"/>
  <c r="AJF53" i="2"/>
  <c r="AJC53"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JD53" i="2" l="1"/>
  <c r="AEJ45" i="2"/>
  <c r="AEN45" i="2" s="1"/>
  <c r="AJF52" i="2"/>
  <c r="APE27" i="2"/>
  <c r="AJE52" i="2"/>
  <c r="AJE54" i="2"/>
  <c r="AJG54" i="2" s="1"/>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AJG52" i="2" l="1"/>
  <c r="ANQ26" i="2"/>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P15" i="1" l="1"/>
  <c r="IU26" i="2"/>
  <c r="Q55" i="28"/>
  <c r="R66" i="28" s="1"/>
  <c r="AOF52" i="2"/>
  <c r="AOJ52" i="2" s="1"/>
  <c r="AOF53" i="2"/>
  <c r="AOJ53" i="2" s="1"/>
  <c r="AUJ20" i="2"/>
  <c r="AJH74" i="2"/>
  <c r="AJL74" i="2" s="1"/>
  <c r="ANO68" i="2"/>
  <c r="WO39" i="2"/>
  <c r="ANM67" i="2"/>
  <c r="ANO67" i="2"/>
  <c r="WO38" i="2"/>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Z13" i="1"/>
  <c r="V13" i="1"/>
  <c r="W13" i="1"/>
  <c r="P35" i="1"/>
  <c r="P32" i="1"/>
  <c r="P33" i="1"/>
  <c r="P34" i="1"/>
  <c r="P9" i="1"/>
  <c r="P8" i="1"/>
  <c r="P7" i="1"/>
  <c r="P10" i="1"/>
  <c r="Z23" i="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SS39"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A23" i="1"/>
  <c r="AA25" i="1"/>
  <c r="T15" i="1"/>
  <c r="T22" i="1"/>
  <c r="T23" i="1"/>
  <c r="AB22" i="1"/>
  <c r="AB23" i="1"/>
  <c r="AB24" i="1"/>
  <c r="DO6" i="2" s="1"/>
  <c r="AB15" i="1"/>
  <c r="AA24" i="1"/>
  <c r="DN6" i="2" s="1"/>
  <c r="AA15" i="1"/>
  <c r="T25" i="1" l="1"/>
  <c r="W14" i="1"/>
  <c r="DK4" i="2" s="1"/>
  <c r="AB25" i="1"/>
  <c r="T24" i="1"/>
  <c r="X13" i="1"/>
  <c r="AA13" i="1" s="1"/>
  <c r="DW30" i="2"/>
  <c r="NS32" i="2"/>
  <c r="AA22" i="1"/>
  <c r="U13" i="1"/>
  <c r="IG7" i="2"/>
  <c r="AI55" i="28"/>
  <c r="AI67" i="28" s="1"/>
  <c r="SS38" i="2"/>
  <c r="WZ8" i="2" s="1"/>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YD47" i="2"/>
  <c r="W9" i="1"/>
  <c r="V9" i="1"/>
  <c r="U9" i="1"/>
  <c r="X9" i="1"/>
  <c r="Z9" i="1"/>
  <c r="Z35" i="1"/>
  <c r="W35" i="1"/>
  <c r="X35" i="1"/>
  <c r="V35" i="1"/>
  <c r="U35" i="1"/>
  <c r="Z10" i="1"/>
  <c r="X10" i="1"/>
  <c r="U10" i="1"/>
  <c r="V10" i="1"/>
  <c r="W10" i="1"/>
  <c r="W34" i="1"/>
  <c r="V34" i="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M8" i="2"/>
  <c r="DJ8" i="2"/>
  <c r="DK8" i="2"/>
  <c r="D51" i="28"/>
  <c r="G56" i="28"/>
  <c r="DJ3" i="2"/>
  <c r="DM3" i="2"/>
  <c r="DK3" i="2"/>
  <c r="DH3" i="2"/>
  <c r="DP3" i="2" s="1"/>
  <c r="D56" i="28"/>
  <c r="IL3" i="2"/>
  <c r="IM3" i="2"/>
  <c r="IL6" i="2"/>
  <c r="IM6" i="2"/>
  <c r="AH62" i="28" l="1"/>
  <c r="G51" i="1"/>
  <c r="G49" i="1"/>
  <c r="W29" i="1"/>
  <c r="DK7" i="2" s="1"/>
  <c r="V27" i="1"/>
  <c r="U30" i="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K53" i="28"/>
  <c r="AL61"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AI72" i="28"/>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27" i="1" l="1"/>
  <c r="AB27" i="1"/>
  <c r="AB28" i="1"/>
  <c r="T28" i="1"/>
  <c r="T27" i="1"/>
  <c r="XQ19" i="2"/>
  <c r="AGK39" i="2"/>
  <c r="ACO39" i="2" s="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C57" i="28"/>
  <c r="J49" i="1"/>
  <c r="BD8" i="26" s="1"/>
  <c r="DQ8" i="2"/>
  <c r="ACO40" i="2"/>
  <c r="BC53" i="28"/>
  <c r="BB60" i="28" s="1"/>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V8" i="34"/>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DS6" i="2" l="1"/>
  <c r="DT3" i="2"/>
  <c r="DT7" i="2"/>
  <c r="DT8" i="2"/>
  <c r="DR7" i="2"/>
  <c r="DS8" i="2"/>
  <c r="DS7" i="2"/>
  <c r="DR6" i="2"/>
  <c r="DT6" i="2"/>
  <c r="DS4" i="2"/>
  <c r="DT4" i="2"/>
  <c r="DR5" i="2"/>
  <c r="DR4" i="2"/>
  <c r="DR3" i="2"/>
  <c r="DT5" i="2"/>
  <c r="DS3" i="2"/>
  <c r="DR8" i="2"/>
  <c r="DS5" i="2"/>
  <c r="AQ8" i="34"/>
  <c r="W61" i="28"/>
  <c r="BC64" i="28"/>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6" i="2"/>
  <c r="DU4" i="2" l="1"/>
  <c r="DU5"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2" i="1"/>
  <c r="DT12" i="2" s="1"/>
  <c r="AC40" i="1"/>
  <c r="DR12" i="2" s="1"/>
  <c r="P44" i="1"/>
  <c r="P42" i="1"/>
  <c r="P40" i="1"/>
  <c r="AC43" i="1"/>
  <c r="AC41" i="1"/>
  <c r="DS12" i="2" s="1"/>
  <c r="AC39" i="1"/>
  <c r="DQ12" i="2" s="1"/>
  <c r="P43" i="1"/>
  <c r="P41" i="1"/>
  <c r="P39"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4" i="2"/>
  <c r="DW13" i="2"/>
  <c r="DW16" i="2"/>
  <c r="DW15" i="2"/>
  <c r="CG63" i="28" l="1"/>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D78" i="28"/>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X39" i="1"/>
  <c r="T39" i="1"/>
  <c r="AB39" i="1"/>
  <c r="W39" i="1"/>
  <c r="X44" i="1"/>
  <c r="T44" i="1"/>
  <c r="AB44" i="1"/>
  <c r="W44" i="1"/>
  <c r="AA44" i="1"/>
  <c r="V44" i="1"/>
  <c r="Z44" i="1"/>
  <c r="U44" i="1"/>
  <c r="AA41" i="1"/>
  <c r="V41" i="1"/>
  <c r="Z41" i="1"/>
  <c r="U41" i="1"/>
  <c r="X41" i="1"/>
  <c r="T41" i="1"/>
  <c r="AB41" i="1"/>
  <c r="W41" i="1"/>
  <c r="AA43" i="1"/>
  <c r="V43" i="1"/>
  <c r="Z43" i="1"/>
  <c r="U43" i="1"/>
  <c r="X43" i="1"/>
  <c r="T43" i="1"/>
  <c r="AB43" i="1"/>
  <c r="W43" i="1"/>
  <c r="X40" i="1"/>
  <c r="T40" i="1"/>
  <c r="AB40" i="1"/>
  <c r="W40" i="1"/>
  <c r="AA40" i="1"/>
  <c r="V40" i="1"/>
  <c r="Z40" i="1"/>
  <c r="U40" i="1"/>
  <c r="X42" i="1"/>
  <c r="T42" i="1"/>
  <c r="AB42" i="1"/>
  <c r="W42" i="1"/>
  <c r="AA42" i="1"/>
  <c r="V42" i="1"/>
  <c r="Z42" i="1"/>
  <c r="U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I53" i="28"/>
  <c r="W53" i="28" s="1"/>
  <c r="I54" i="28"/>
  <c r="W54" i="28" s="1"/>
  <c r="I52" i="28"/>
  <c r="W52" i="28" s="1"/>
  <c r="I55" i="28"/>
  <c r="W55" i="28" s="1"/>
  <c r="I51" i="28"/>
  <c r="W51" i="28" s="1"/>
  <c r="I56" i="28"/>
  <c r="W56" i="28" s="1"/>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4" i="2"/>
  <c r="DR16" i="2"/>
  <c r="DR27" i="2"/>
  <c r="DR23" i="2"/>
  <c r="DR19" i="2"/>
  <c r="DR15" i="2"/>
  <c r="DR21" i="2"/>
  <c r="DR13" i="2"/>
  <c r="DR26" i="2"/>
  <c r="DR22" i="2"/>
  <c r="DR18" i="2"/>
  <c r="DR14" i="2"/>
  <c r="DR20" i="2"/>
  <c r="DR25" i="2"/>
  <c r="DR17" i="2"/>
  <c r="DS25" i="2"/>
  <c r="DS17" i="2"/>
  <c r="DS24" i="2"/>
  <c r="DS20" i="2"/>
  <c r="DS16" i="2"/>
  <c r="DS26" i="2"/>
  <c r="DS22" i="2"/>
  <c r="DS14" i="2"/>
  <c r="DS27" i="2"/>
  <c r="DS23" i="2"/>
  <c r="DS19" i="2"/>
  <c r="DS15" i="2"/>
  <c r="DS21" i="2"/>
  <c r="DS13" i="2"/>
  <c r="DS18" i="2"/>
  <c r="DQ22" i="2"/>
  <c r="DQ25" i="2"/>
  <c r="DQ21" i="2"/>
  <c r="DQ17" i="2"/>
  <c r="DQ13" i="2"/>
  <c r="DQ27" i="2"/>
  <c r="DQ23" i="2"/>
  <c r="DQ19" i="2"/>
  <c r="DQ18" i="2"/>
  <c r="DQ24" i="2"/>
  <c r="DQ20" i="2"/>
  <c r="DQ16" i="2"/>
  <c r="DQ26" i="2"/>
  <c r="DQ14" i="2"/>
  <c r="DQ15" i="2"/>
  <c r="DT19" i="2"/>
  <c r="DT26" i="2"/>
  <c r="DT22" i="2"/>
  <c r="DT18" i="2"/>
  <c r="DT14" i="2"/>
  <c r="DT24" i="2"/>
  <c r="DT20" i="2"/>
  <c r="DT16" i="2"/>
  <c r="DT25" i="2"/>
  <c r="DT21" i="2"/>
  <c r="DT17" i="2"/>
  <c r="DT13" i="2"/>
  <c r="DT27" i="2"/>
  <c r="DT23" i="2"/>
  <c r="DT15" i="2"/>
  <c r="AQY6" i="2" l="1"/>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5" i="2"/>
  <c r="DU20" i="2"/>
  <c r="DU23" i="2"/>
  <c r="DU21" i="2"/>
  <c r="DU14" i="2"/>
  <c r="DU24" i="2"/>
  <c r="DU27" i="2"/>
  <c r="DU25" i="2"/>
  <c r="DU26" i="2"/>
  <c r="DU18" i="2"/>
  <c r="DU13" i="2"/>
  <c r="DU22" i="2"/>
  <c r="DU16" i="2"/>
  <c r="DU19" i="2"/>
  <c r="DU17" i="2"/>
  <c r="BAP7" i="2" l="1"/>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c r="DW18" i="2"/>
  <c r="W70" i="28" l="1"/>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Z80" i="28"/>
  <c r="AF73" i="28"/>
  <c r="AG73" i="28"/>
  <c r="AF70" i="28"/>
  <c r="AG70" i="28"/>
  <c r="AF69" i="28"/>
  <c r="AG69" i="28"/>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71" i="28"/>
  <c r="BI14" i="26"/>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K11" i="26" l="1"/>
  <c r="AE73" i="28"/>
  <c r="AE70" i="28"/>
  <c r="BH11" i="26"/>
  <c r="BG11" i="26"/>
  <c r="AE69" i="28"/>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K14" i="26" l="1"/>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X53" i="28" l="1"/>
  <c r="M11" i="26" s="1"/>
  <c r="F11" i="26" s="1"/>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<sst xmlns="http://schemas.openxmlformats.org/spreadsheetml/2006/main" count="4230" uniqueCount="378">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</sst>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cellStyleXfs>
  <cellXfs count="413">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2" fillId="0" borderId="14" xfId="0" applyFont="1" applyBorder="1" applyProtection="1">
      <protection locked="0"/>
    </xf>
    <xf numFmtId="0" fontId="2" fillId="0" borderId="26" xfId="0" applyFont="1" applyBorder="1" applyProtection="1">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9" xfId="3" applyFont="1" applyBorder="1" applyAlignment="1" applyProtection="1">
      <alignment horizontal="center" vertical="center"/>
      <protection locked="0"/>
    </xf>
    <xf numFmtId="0" fontId="60" fillId="0" borderId="4"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15" fillId="8" borderId="0" xfId="3" applyFont="1" applyFill="1" applyAlignment="1" applyProtection="1">
      <alignment horizontal="center" vertical="center"/>
      <protection hidden="1"/>
    </xf>
    <xf numFmtId="0" fontId="13" fillId="9" borderId="19" xfId="3" applyFont="1" applyFill="1" applyBorder="1" applyAlignment="1" applyProtection="1">
      <alignment horizontal="center" vertical="center"/>
      <protection hidden="1"/>
    </xf>
    <xf numFmtId="0" fontId="13" fillId="9" borderId="20"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5" fillId="8" borderId="19"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xf numFmtId="0" fontId="1" fillId="0" borderId="14" xfId="0" applyFont="1" applyBorder="1" applyProtection="1">
      <protection locked="0"/>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88671875" defaultRowHeight="14.4" customHeight="1" x14ac:dyDescent="0.25"/>
  <cols>
    <col min="1" max="1" width="1.44140625" style="4" customWidth="1"/>
    <col min="2" max="3" width="3.44140625" style="4" customWidth="1"/>
    <col min="4" max="4" width="77.109375" style="4" customWidth="1"/>
    <col min="5" max="5" width="2.109375" style="4" customWidth="1"/>
    <col min="6" max="9" width="14.44140625" style="4" customWidth="1"/>
    <col min="10" max="10" width="1.44140625" style="4" customWidth="1"/>
    <col min="11" max="11" width="3.44140625" style="4" customWidth="1"/>
    <col min="12" max="12" width="87.4414062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53" t="s">
        <v>4</v>
      </c>
      <c r="L7" s="353"/>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43" t="s">
        <v>13</v>
      </c>
      <c r="G15" s="343"/>
      <c r="H15" s="343"/>
      <c r="I15" s="343"/>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ht="28.8"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44" t="s">
        <v>36</v>
      </c>
      <c r="H41" s="345"/>
      <c r="I41" s="346"/>
    </row>
    <row r="42" spans="2:9" ht="15" customHeight="1" x14ac:dyDescent="0.25">
      <c r="B42" s="284"/>
      <c r="C42" s="285" t="s">
        <v>31</v>
      </c>
      <c r="D42" s="286" t="s">
        <v>37</v>
      </c>
      <c r="E42" s="287"/>
      <c r="F42" s="297">
        <v>8</v>
      </c>
      <c r="G42" s="347"/>
      <c r="H42" s="348"/>
      <c r="I42" s="349"/>
    </row>
    <row r="43" spans="2:9" ht="15" customHeight="1" x14ac:dyDescent="0.25">
      <c r="B43" s="284"/>
      <c r="C43" s="285" t="s">
        <v>31</v>
      </c>
      <c r="D43" s="286" t="s">
        <v>38</v>
      </c>
      <c r="E43" s="287"/>
      <c r="F43" s="297">
        <v>4</v>
      </c>
      <c r="G43" s="347"/>
      <c r="H43" s="348"/>
      <c r="I43" s="349"/>
    </row>
    <row r="44" spans="2:9" ht="15" customHeight="1" x14ac:dyDescent="0.25">
      <c r="B44" s="284"/>
      <c r="C44" s="285" t="s">
        <v>31</v>
      </c>
      <c r="D44" s="286" t="s">
        <v>39</v>
      </c>
      <c r="E44" s="287"/>
      <c r="F44" s="297">
        <v>2</v>
      </c>
      <c r="G44" s="347"/>
      <c r="H44" s="348"/>
      <c r="I44" s="349"/>
    </row>
    <row r="45" spans="2:9" ht="15" customHeight="1" x14ac:dyDescent="0.25">
      <c r="B45" s="284">
        <v>6</v>
      </c>
      <c r="C45" s="286" t="s">
        <v>40</v>
      </c>
      <c r="D45" s="286"/>
      <c r="E45" s="287"/>
      <c r="F45" s="297"/>
      <c r="G45" s="347"/>
      <c r="H45" s="348"/>
      <c r="I45" s="349"/>
    </row>
    <row r="46" spans="2:9" ht="15" customHeight="1" x14ac:dyDescent="0.25">
      <c r="B46" s="284"/>
      <c r="C46" s="285" t="s">
        <v>31</v>
      </c>
      <c r="D46" s="286" t="s">
        <v>41</v>
      </c>
      <c r="E46" s="287"/>
      <c r="F46" s="297">
        <v>8</v>
      </c>
      <c r="G46" s="347"/>
      <c r="H46" s="348"/>
      <c r="I46" s="349"/>
    </row>
    <row r="47" spans="2:9" ht="15" customHeight="1" x14ac:dyDescent="0.25">
      <c r="B47" s="284"/>
      <c r="C47" s="285" t="s">
        <v>31</v>
      </c>
      <c r="D47" s="286" t="s">
        <v>42</v>
      </c>
      <c r="E47" s="287"/>
      <c r="F47" s="297">
        <v>4</v>
      </c>
      <c r="G47" s="347"/>
      <c r="H47" s="348"/>
      <c r="I47" s="349"/>
    </row>
    <row r="48" spans="2:9" ht="15" customHeight="1" x14ac:dyDescent="0.25">
      <c r="B48" s="284">
        <v>7</v>
      </c>
      <c r="C48" s="286" t="s">
        <v>43</v>
      </c>
      <c r="D48" s="286"/>
      <c r="E48" s="287"/>
      <c r="F48" s="297"/>
      <c r="G48" s="347"/>
      <c r="H48" s="348"/>
      <c r="I48" s="349"/>
    </row>
    <row r="49" spans="2:9" ht="15" customHeight="1" x14ac:dyDescent="0.25">
      <c r="B49" s="284"/>
      <c r="C49" s="285" t="s">
        <v>31</v>
      </c>
      <c r="D49" s="286" t="s">
        <v>44</v>
      </c>
      <c r="E49" s="287"/>
      <c r="F49" s="297">
        <v>8</v>
      </c>
      <c r="G49" s="347"/>
      <c r="H49" s="348"/>
      <c r="I49" s="349"/>
    </row>
    <row r="50" spans="2:9" ht="15" customHeight="1" thickBot="1" x14ac:dyDescent="0.3">
      <c r="B50" s="288"/>
      <c r="C50" s="289" t="s">
        <v>31</v>
      </c>
      <c r="D50" s="290" t="s">
        <v>45</v>
      </c>
      <c r="E50" s="291"/>
      <c r="F50" s="298">
        <v>4</v>
      </c>
      <c r="G50" s="350"/>
      <c r="H50" s="351"/>
      <c r="I50" s="352"/>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44" t="s">
        <v>36</v>
      </c>
      <c r="H52" s="345"/>
      <c r="I52" s="346"/>
    </row>
    <row r="53" spans="2:9" ht="15" customHeight="1" x14ac:dyDescent="0.25">
      <c r="B53" s="284">
        <v>10</v>
      </c>
      <c r="C53" s="286" t="s">
        <v>48</v>
      </c>
      <c r="D53" s="292"/>
      <c r="E53" s="287"/>
      <c r="F53" s="297">
        <v>24</v>
      </c>
      <c r="G53" s="347"/>
      <c r="H53" s="348"/>
      <c r="I53" s="349"/>
    </row>
    <row r="54" spans="2:9" ht="15" customHeight="1" x14ac:dyDescent="0.25">
      <c r="B54" s="284">
        <v>11</v>
      </c>
      <c r="C54" s="286" t="s">
        <v>49</v>
      </c>
      <c r="D54" s="292"/>
      <c r="E54" s="287"/>
      <c r="F54" s="299">
        <f>SUM(F55:F58)</f>
        <v>90</v>
      </c>
      <c r="G54" s="347"/>
      <c r="H54" s="348"/>
      <c r="I54" s="349"/>
    </row>
    <row r="55" spans="2:9" ht="15" customHeight="1" x14ac:dyDescent="0.25">
      <c r="B55" s="293"/>
      <c r="C55" s="285" t="s">
        <v>31</v>
      </c>
      <c r="D55" s="294" t="s">
        <v>50</v>
      </c>
      <c r="E55" s="287"/>
      <c r="F55" s="297">
        <v>6</v>
      </c>
      <c r="G55" s="347"/>
      <c r="H55" s="348"/>
      <c r="I55" s="349"/>
    </row>
    <row r="56" spans="2:9" ht="15" customHeight="1" x14ac:dyDescent="0.25">
      <c r="B56" s="293"/>
      <c r="C56" s="285" t="s">
        <v>31</v>
      </c>
      <c r="D56" s="294" t="s">
        <v>51</v>
      </c>
      <c r="E56" s="287"/>
      <c r="F56" s="297">
        <v>12</v>
      </c>
      <c r="G56" s="347"/>
      <c r="H56" s="348"/>
      <c r="I56" s="349"/>
    </row>
    <row r="57" spans="2:9" ht="15" customHeight="1" x14ac:dyDescent="0.25">
      <c r="B57" s="293"/>
      <c r="C57" s="285" t="s">
        <v>31</v>
      </c>
      <c r="D57" s="294" t="s">
        <v>52</v>
      </c>
      <c r="E57" s="287"/>
      <c r="F57" s="297">
        <v>24</v>
      </c>
      <c r="G57" s="347"/>
      <c r="H57" s="348"/>
      <c r="I57" s="349"/>
    </row>
    <row r="58" spans="2:9" ht="15" customHeight="1" x14ac:dyDescent="0.25">
      <c r="B58" s="293"/>
      <c r="C58" s="285" t="s">
        <v>31</v>
      </c>
      <c r="D58" s="294" t="s">
        <v>53</v>
      </c>
      <c r="E58" s="287"/>
      <c r="F58" s="297">
        <v>48</v>
      </c>
      <c r="G58" s="347"/>
      <c r="H58" s="348"/>
      <c r="I58" s="349"/>
    </row>
    <row r="59" spans="2:9" ht="15" customHeight="1" x14ac:dyDescent="0.25">
      <c r="B59" s="284">
        <v>12</v>
      </c>
      <c r="C59" s="292" t="s">
        <v>54</v>
      </c>
      <c r="D59" s="292"/>
      <c r="E59" s="287"/>
      <c r="F59" s="299">
        <f>SUM(F60:F62)</f>
        <v>42</v>
      </c>
      <c r="G59" s="347"/>
      <c r="H59" s="348"/>
      <c r="I59" s="349"/>
    </row>
    <row r="60" spans="2:9" ht="15" customHeight="1" x14ac:dyDescent="0.25">
      <c r="B60" s="293"/>
      <c r="C60" s="285" t="s">
        <v>31</v>
      </c>
      <c r="D60" s="294" t="s">
        <v>50</v>
      </c>
      <c r="E60" s="287"/>
      <c r="F60" s="297">
        <v>6</v>
      </c>
      <c r="G60" s="347"/>
      <c r="H60" s="348"/>
      <c r="I60" s="349"/>
    </row>
    <row r="61" spans="2:9" ht="15" customHeight="1" x14ac:dyDescent="0.25">
      <c r="B61" s="293"/>
      <c r="C61" s="285" t="s">
        <v>31</v>
      </c>
      <c r="D61" s="294" t="s">
        <v>55</v>
      </c>
      <c r="E61" s="287"/>
      <c r="F61" s="297">
        <v>12</v>
      </c>
      <c r="G61" s="347"/>
      <c r="H61" s="348"/>
      <c r="I61" s="349"/>
    </row>
    <row r="62" spans="2:9" ht="15" customHeight="1" x14ac:dyDescent="0.25">
      <c r="B62" s="293"/>
      <c r="C62" s="285" t="s">
        <v>31</v>
      </c>
      <c r="D62" s="294" t="s">
        <v>56</v>
      </c>
      <c r="E62" s="287"/>
      <c r="F62" s="297">
        <v>24</v>
      </c>
      <c r="G62" s="347"/>
      <c r="H62" s="348"/>
      <c r="I62" s="349"/>
    </row>
    <row r="63" spans="2:9" ht="15" customHeight="1" x14ac:dyDescent="0.25">
      <c r="B63" s="284">
        <v>13</v>
      </c>
      <c r="C63" s="292" t="s">
        <v>57</v>
      </c>
      <c r="D63" s="292"/>
      <c r="E63" s="287"/>
      <c r="F63" s="299">
        <f>SUM(F64:F65)</f>
        <v>18</v>
      </c>
      <c r="G63" s="347"/>
      <c r="H63" s="348"/>
      <c r="I63" s="349"/>
    </row>
    <row r="64" spans="2:9" ht="15" customHeight="1" x14ac:dyDescent="0.25">
      <c r="B64" s="293"/>
      <c r="C64" s="285" t="s">
        <v>31</v>
      </c>
      <c r="D64" s="294" t="s">
        <v>50</v>
      </c>
      <c r="E64" s="287"/>
      <c r="F64" s="297">
        <v>6</v>
      </c>
      <c r="G64" s="347"/>
      <c r="H64" s="348"/>
      <c r="I64" s="349"/>
    </row>
    <row r="65" spans="2:9" ht="15" customHeight="1" x14ac:dyDescent="0.25">
      <c r="B65" s="293"/>
      <c r="C65" s="285" t="s">
        <v>31</v>
      </c>
      <c r="D65" s="294" t="s">
        <v>55</v>
      </c>
      <c r="E65" s="287"/>
      <c r="F65" s="297">
        <v>12</v>
      </c>
      <c r="G65" s="347"/>
      <c r="H65" s="348"/>
      <c r="I65" s="349"/>
    </row>
    <row r="66" spans="2:9" ht="15" customHeight="1" thickBot="1" x14ac:dyDescent="0.3">
      <c r="B66" s="288">
        <v>14</v>
      </c>
      <c r="C66" s="290" t="s">
        <v>58</v>
      </c>
      <c r="D66" s="295"/>
      <c r="E66" s="291"/>
      <c r="F66" s="298">
        <v>0</v>
      </c>
      <c r="G66" s="350"/>
      <c r="H66" s="351"/>
      <c r="I66" s="352"/>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tabSelected="1" workbookViewId="0">
      <pane ySplit="5" topLeftCell="A6" activePane="bottomLeft" state="frozen"/>
      <selection pane="bottomLeft" activeCell="C12" sqref="C12"/>
    </sheetView>
  </sheetViews>
  <sheetFormatPr defaultColWidth="9.109375" defaultRowHeight="14.4" x14ac:dyDescent="0.3"/>
  <cols>
    <col min="1" max="1" width="1.44140625" style="255" customWidth="1"/>
    <col min="2" max="2" width="4.44140625" style="255" customWidth="1"/>
    <col min="3" max="3" width="28.88671875" style="255" customWidth="1"/>
    <col min="4" max="4" width="12.44140625" style="255" customWidth="1"/>
    <col min="5" max="5" width="12.44140625" style="265" customWidth="1"/>
    <col min="6" max="7" width="20.44140625" style="256" customWidth="1"/>
    <col min="8" max="8" width="1.44140625" style="255" customWidth="1"/>
    <col min="9" max="9" width="0.88671875" style="264" customWidth="1"/>
    <col min="10" max="10" width="1.44140625" style="2" customWidth="1"/>
    <col min="11" max="12" width="2.4414062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80</v>
      </c>
      <c r="D9" s="266">
        <v>0</v>
      </c>
      <c r="E9" s="267">
        <v>0</v>
      </c>
      <c r="F9" s="269"/>
      <c r="G9" s="269"/>
      <c r="K9" s="257" t="s">
        <v>74</v>
      </c>
      <c r="L9" s="2" t="s">
        <v>81</v>
      </c>
    </row>
    <row r="10" spans="2:14" ht="15" customHeight="1" x14ac:dyDescent="0.3">
      <c r="B10" s="271">
        <v>5</v>
      </c>
      <c r="C10" s="329" t="s">
        <v>82</v>
      </c>
      <c r="D10" s="266">
        <v>0</v>
      </c>
      <c r="E10" s="267">
        <v>0</v>
      </c>
      <c r="F10" s="269"/>
      <c r="G10" s="269"/>
      <c r="L10" s="2" t="s">
        <v>83</v>
      </c>
    </row>
    <row r="11" spans="2:14" ht="15" customHeight="1" x14ac:dyDescent="0.3">
      <c r="B11" s="271">
        <v>6</v>
      </c>
      <c r="C11" s="329" t="s">
        <v>84</v>
      </c>
      <c r="D11" s="266">
        <v>0</v>
      </c>
      <c r="E11" s="267">
        <v>0</v>
      </c>
      <c r="F11" s="269"/>
      <c r="G11" s="269"/>
      <c r="K11" s="257"/>
      <c r="L11" s="2" t="s">
        <v>85</v>
      </c>
    </row>
    <row r="12" spans="2:14" ht="15" customHeight="1" x14ac:dyDescent="0.3">
      <c r="B12" s="271">
        <v>7</v>
      </c>
      <c r="C12" s="412" t="s">
        <v>377</v>
      </c>
      <c r="D12" s="266">
        <v>0</v>
      </c>
      <c r="E12" s="267">
        <v>0</v>
      </c>
      <c r="F12" s="269"/>
      <c r="G12" s="269"/>
      <c r="L12" s="2" t="s">
        <v>86</v>
      </c>
    </row>
    <row r="13" spans="2:14" ht="15" customHeight="1" x14ac:dyDescent="0.3">
      <c r="B13" s="271">
        <v>8</v>
      </c>
      <c r="C13" s="329"/>
      <c r="D13" s="266">
        <v>0</v>
      </c>
      <c r="E13" s="267">
        <v>0</v>
      </c>
      <c r="F13" s="269"/>
      <c r="G13" s="269"/>
      <c r="L13" s="258" t="s">
        <v>87</v>
      </c>
      <c r="M13" s="2" t="s">
        <v>88</v>
      </c>
    </row>
    <row r="14" spans="2:14" ht="15" customHeight="1" x14ac:dyDescent="0.3">
      <c r="B14" s="271">
        <v>9</v>
      </c>
      <c r="C14" s="329"/>
      <c r="D14" s="266">
        <v>0</v>
      </c>
      <c r="E14" s="267">
        <v>0</v>
      </c>
      <c r="F14" s="269"/>
      <c r="G14" s="269"/>
      <c r="L14" s="258" t="s">
        <v>87</v>
      </c>
      <c r="M14" s="2" t="s">
        <v>89</v>
      </c>
    </row>
    <row r="15" spans="2:14" ht="15" customHeight="1" x14ac:dyDescent="0.3">
      <c r="B15" s="271">
        <v>10</v>
      </c>
      <c r="C15" s="329"/>
      <c r="D15" s="266">
        <v>0</v>
      </c>
      <c r="E15" s="267">
        <v>0</v>
      </c>
      <c r="F15" s="269"/>
      <c r="G15" s="269"/>
      <c r="L15" s="258" t="s">
        <v>87</v>
      </c>
      <c r="M15" s="2" t="s">
        <v>90</v>
      </c>
    </row>
    <row r="16" spans="2:14" ht="15" customHeight="1" x14ac:dyDescent="0.3">
      <c r="E16" s="255"/>
      <c r="F16" s="255"/>
      <c r="G16" s="255"/>
      <c r="K16" s="257" t="s">
        <v>74</v>
      </c>
      <c r="L16" s="259" t="s">
        <v>91</v>
      </c>
    </row>
    <row r="17" spans="5:13" ht="15" customHeight="1" x14ac:dyDescent="0.3">
      <c r="E17" s="255"/>
      <c r="F17" s="255"/>
      <c r="G17" s="255"/>
    </row>
    <row r="18" spans="5:13" ht="15" customHeight="1" x14ac:dyDescent="0.3">
      <c r="E18" s="255"/>
      <c r="F18" s="255"/>
      <c r="G18" s="255"/>
      <c r="K18" s="249" t="s">
        <v>74</v>
      </c>
      <c r="L18" s="250" t="s">
        <v>92</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zoomScale="95" zoomScaleNormal="95" workbookViewId="0">
      <pane xSplit="13" ySplit="8" topLeftCell="BM9" activePane="bottomRight" state="frozen"/>
      <selection pane="topRight" activeCell="N1" sqref="N1"/>
      <selection pane="bottomLeft" activeCell="A9" sqref="A9"/>
      <selection pane="bottomRight" activeCell="BX10" sqref="BX10:BY45"/>
    </sheetView>
  </sheetViews>
  <sheetFormatPr defaultColWidth="9.109375" defaultRowHeight="0" customHeight="1" zeroHeight="1" x14ac:dyDescent="0.3"/>
  <cols>
    <col min="1" max="1" width="1.44140625" style="111" customWidth="1"/>
    <col min="2" max="2" width="3.44140625" style="112" customWidth="1"/>
    <col min="3" max="3" width="4.109375" style="112" customWidth="1"/>
    <col min="4" max="4" width="6.44140625" style="112" customWidth="1"/>
    <col min="5" max="5" width="8.109375" style="112" customWidth="1"/>
    <col min="6" max="6" width="6.88671875" style="112" customWidth="1"/>
    <col min="7" max="7" width="18.44140625" style="112" customWidth="1"/>
    <col min="8" max="9" width="3.44140625" style="112" customWidth="1"/>
    <col min="10" max="10" width="18.44140625" style="112" customWidth="1"/>
    <col min="11" max="12" width="3.44140625" style="112" customWidth="1"/>
    <col min="13" max="13" width="1.44140625" style="112" customWidth="1"/>
    <col min="14" max="14" width="3.88671875" style="112" customWidth="1"/>
    <col min="15" max="15" width="18.44140625" style="112" customWidth="1"/>
    <col min="16" max="17" width="3.88671875" style="112" customWidth="1"/>
    <col min="18" max="18" width="18.44140625" style="112" customWidth="1"/>
    <col min="19" max="20" width="3.88671875" style="112" customWidth="1"/>
    <col min="21" max="21" width="11.44140625" style="112" customWidth="1"/>
    <col min="22" max="23" width="9.109375" style="112" customWidth="1"/>
    <col min="24" max="24" width="3.88671875" style="112" customWidth="1"/>
    <col min="25" max="25" width="18.44140625" style="112" customWidth="1"/>
    <col min="26" max="27" width="3.88671875" style="112" customWidth="1"/>
    <col min="28" max="28" width="18.44140625" style="112" customWidth="1"/>
    <col min="29" max="30" width="3.88671875" style="112" customWidth="1"/>
    <col min="31" max="31" width="11.44140625" style="112" customWidth="1"/>
    <col min="32" max="33" width="9.109375" style="112" customWidth="1"/>
    <col min="34" max="34" width="3.88671875" style="112" customWidth="1"/>
    <col min="35" max="35" width="18.44140625" style="112" customWidth="1"/>
    <col min="36" max="37" width="3.88671875" style="112" customWidth="1"/>
    <col min="38" max="38" width="18.44140625" style="112" customWidth="1"/>
    <col min="39" max="40" width="3.88671875" style="112" customWidth="1"/>
    <col min="41" max="41" width="11.44140625" style="112" customWidth="1"/>
    <col min="42" max="43" width="9.109375" style="112" customWidth="1"/>
    <col min="44" max="44" width="3.88671875" style="112" customWidth="1"/>
    <col min="45" max="45" width="18.44140625" style="112" customWidth="1"/>
    <col min="46" max="47" width="3.88671875" style="112" customWidth="1"/>
    <col min="48" max="48" width="18.44140625" style="112" customWidth="1"/>
    <col min="49" max="50" width="3.88671875" style="112" customWidth="1"/>
    <col min="51" max="51" width="11.44140625" style="112" customWidth="1"/>
    <col min="52" max="53" width="9.109375" style="112" customWidth="1"/>
    <col min="54" max="54" width="3.88671875" style="112" customWidth="1"/>
    <col min="55" max="55" width="18.44140625" style="112" customWidth="1"/>
    <col min="56" max="57" width="3.88671875" style="112" customWidth="1"/>
    <col min="58" max="58" width="18.44140625" style="112" customWidth="1"/>
    <col min="59" max="60" width="3.88671875" style="112" customWidth="1"/>
    <col min="61" max="61" width="11.44140625" style="112" customWidth="1"/>
    <col min="62" max="63" width="9.109375" style="112" customWidth="1"/>
    <col min="64" max="64" width="3.88671875" style="112" customWidth="1"/>
    <col min="65" max="65" width="18.44140625" style="112" customWidth="1"/>
    <col min="66" max="67" width="3.88671875" style="112" customWidth="1"/>
    <col min="68" max="68" width="18.44140625" style="112" customWidth="1"/>
    <col min="69" max="70" width="3.88671875" style="112" customWidth="1"/>
    <col min="71" max="71" width="11.44140625" style="112" customWidth="1"/>
    <col min="72" max="73" width="9.109375" style="112" customWidth="1"/>
    <col min="74" max="74" width="3.88671875" style="112" customWidth="1"/>
    <col min="75" max="75" width="18.44140625" style="112" customWidth="1"/>
    <col min="76" max="77" width="3.88671875" style="112" customWidth="1"/>
    <col min="78" max="78" width="18.44140625" style="112" customWidth="1"/>
    <col min="79" max="80" width="3.88671875" style="112" customWidth="1"/>
    <col min="81" max="81" width="11.44140625" style="112" customWidth="1"/>
    <col min="82" max="83" width="9.109375" style="112" customWidth="1"/>
    <col min="84" max="84" width="3.88671875" style="112" customWidth="1"/>
    <col min="85" max="85" width="18.44140625" style="112" customWidth="1"/>
    <col min="86" max="87" width="3.88671875" style="112" customWidth="1"/>
    <col min="88" max="88" width="18.44140625" style="112" customWidth="1"/>
    <col min="89" max="90" width="3.88671875" style="112" customWidth="1"/>
    <col min="91" max="91" width="11.44140625" style="112" customWidth="1"/>
    <col min="92" max="93" width="9.109375" style="112" customWidth="1"/>
    <col min="94" max="94" width="3.88671875" style="112" customWidth="1"/>
    <col min="95" max="95" width="18.44140625" style="112" customWidth="1"/>
    <col min="96" max="97" width="3.88671875" style="112" customWidth="1"/>
    <col min="98" max="98" width="18.44140625" style="112" customWidth="1"/>
    <col min="99" max="100" width="3.88671875" style="112" customWidth="1"/>
    <col min="101" max="101" width="11.44140625" style="112" customWidth="1"/>
    <col min="102" max="103" width="9.109375" style="112" customWidth="1"/>
    <col min="104" max="104" width="3.88671875" style="112" customWidth="1"/>
    <col min="105" max="105" width="18.44140625" style="112" customWidth="1"/>
    <col min="106" max="107" width="3.88671875" style="112" customWidth="1"/>
    <col min="108" max="108" width="18.44140625" style="112" customWidth="1"/>
    <col min="109" max="110" width="3.88671875" style="112" customWidth="1"/>
    <col min="111" max="111" width="11.44140625" style="112" customWidth="1"/>
    <col min="112" max="113" width="9.109375" style="112" customWidth="1"/>
    <col min="114" max="16384" width="9.109375" style="112"/>
  </cols>
  <sheetData>
    <row r="1" spans="1:113" s="40" customFormat="1" ht="5.0999999999999996" customHeight="1" x14ac:dyDescent="0.25">
      <c r="N1" s="40" t="s">
        <v>93</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81" t="s">
        <v>94</v>
      </c>
      <c r="C3" s="381"/>
      <c r="D3" s="381"/>
      <c r="E3" s="381"/>
      <c r="F3" s="381"/>
      <c r="G3" s="381"/>
      <c r="H3" s="381"/>
      <c r="I3" s="381"/>
      <c r="J3" s="125"/>
      <c r="K3" s="125"/>
      <c r="L3" s="125"/>
      <c r="M3" s="125"/>
      <c r="N3" s="354" t="s">
        <v>95</v>
      </c>
      <c r="O3" s="355"/>
      <c r="P3" s="355"/>
      <c r="Q3" s="355"/>
      <c r="R3" s="355"/>
      <c r="S3" s="355"/>
      <c r="T3" s="355"/>
      <c r="U3" s="355"/>
      <c r="V3" s="355"/>
      <c r="W3" s="355"/>
      <c r="X3" s="355"/>
      <c r="Y3" s="355"/>
      <c r="Z3" s="355"/>
      <c r="AA3" s="355"/>
      <c r="AB3" s="355"/>
      <c r="AC3" s="355"/>
      <c r="AD3" s="355"/>
      <c r="AE3" s="44"/>
      <c r="AF3" s="44"/>
      <c r="AG3" s="44"/>
      <c r="AH3" s="390"/>
      <c r="AI3" s="391"/>
      <c r="AJ3" s="391"/>
      <c r="AK3" s="391"/>
      <c r="AL3" s="391"/>
      <c r="AM3" s="44"/>
      <c r="AN3" s="44"/>
      <c r="AO3" s="44"/>
      <c r="AP3" s="44"/>
      <c r="AQ3" s="44"/>
      <c r="AR3" s="390"/>
      <c r="AS3" s="391"/>
      <c r="AT3" s="391"/>
      <c r="AU3" s="391"/>
      <c r="AV3" s="391"/>
      <c r="AW3" s="44"/>
      <c r="AX3" s="44"/>
      <c r="AY3" s="44"/>
      <c r="AZ3" s="44"/>
      <c r="BA3" s="44"/>
      <c r="BB3" s="390"/>
      <c r="BC3" s="391"/>
      <c r="BD3" s="391"/>
      <c r="BE3" s="391"/>
      <c r="BF3" s="391"/>
      <c r="BG3" s="44"/>
      <c r="BH3" s="44"/>
      <c r="BI3" s="44"/>
      <c r="BJ3" s="44"/>
      <c r="BK3" s="44"/>
      <c r="BL3" s="390"/>
      <c r="BM3" s="391"/>
      <c r="BN3" s="391"/>
      <c r="BO3" s="391"/>
      <c r="BP3" s="391"/>
      <c r="BQ3" s="44"/>
      <c r="BR3" s="44"/>
      <c r="BS3" s="44"/>
      <c r="BT3" s="44"/>
      <c r="BU3" s="44"/>
      <c r="BV3" s="390"/>
      <c r="BW3" s="391"/>
      <c r="BX3" s="391"/>
      <c r="BY3" s="391"/>
      <c r="BZ3" s="391"/>
      <c r="CA3" s="44"/>
      <c r="CB3" s="44"/>
      <c r="CC3" s="44"/>
      <c r="CD3" s="44"/>
      <c r="CE3" s="44"/>
      <c r="CF3" s="390"/>
      <c r="CG3" s="391"/>
      <c r="CH3" s="391"/>
      <c r="CI3" s="391"/>
      <c r="CJ3" s="391"/>
      <c r="CK3" s="44"/>
      <c r="CL3" s="44"/>
      <c r="CM3" s="44"/>
      <c r="CN3" s="44"/>
      <c r="CO3" s="44"/>
      <c r="CP3" s="390"/>
      <c r="CQ3" s="391"/>
      <c r="CR3" s="391"/>
      <c r="CS3" s="391"/>
      <c r="CT3" s="391"/>
      <c r="CU3" s="44"/>
      <c r="CV3" s="44"/>
      <c r="CW3" s="44"/>
      <c r="CX3" s="44"/>
      <c r="CY3" s="44"/>
      <c r="CZ3" s="390"/>
      <c r="DA3" s="391"/>
      <c r="DB3" s="391"/>
      <c r="DC3" s="391"/>
      <c r="DD3" s="391"/>
      <c r="DE3" s="44"/>
      <c r="DF3" s="44"/>
      <c r="DG3" s="44"/>
      <c r="DH3" s="44"/>
      <c r="DI3" s="44"/>
    </row>
    <row r="4" spans="1:113" s="43" customFormat="1" ht="15" customHeight="1" x14ac:dyDescent="0.25">
      <c r="A4" s="41"/>
      <c r="B4" s="381"/>
      <c r="C4" s="381"/>
      <c r="D4" s="381"/>
      <c r="E4" s="381"/>
      <c r="F4" s="381"/>
      <c r="G4" s="381"/>
      <c r="H4" s="381"/>
      <c r="I4" s="381"/>
      <c r="J4" s="125"/>
      <c r="K4" s="125"/>
      <c r="L4" s="125"/>
      <c r="M4" s="125"/>
      <c r="N4" s="354"/>
      <c r="O4" s="355"/>
      <c r="P4" s="355"/>
      <c r="Q4" s="355"/>
      <c r="R4" s="355"/>
      <c r="S4" s="355"/>
      <c r="T4" s="355"/>
      <c r="U4" s="355"/>
      <c r="V4" s="355"/>
      <c r="W4" s="355"/>
      <c r="X4" s="355"/>
      <c r="Y4" s="355"/>
      <c r="Z4" s="355"/>
      <c r="AA4" s="355"/>
      <c r="AB4" s="355"/>
      <c r="AC4" s="355"/>
      <c r="AD4" s="355"/>
      <c r="AE4" s="46"/>
      <c r="AF4" s="45"/>
      <c r="AG4" s="45"/>
      <c r="AH4" s="390"/>
      <c r="AI4" s="391"/>
      <c r="AJ4" s="391"/>
      <c r="AK4" s="391"/>
      <c r="AL4" s="391"/>
      <c r="AM4" s="46"/>
      <c r="AN4" s="46"/>
      <c r="AO4" s="46"/>
      <c r="AP4" s="45"/>
      <c r="AQ4" s="45"/>
      <c r="AR4" s="390"/>
      <c r="AS4" s="391"/>
      <c r="AT4" s="391"/>
      <c r="AU4" s="391"/>
      <c r="AV4" s="391"/>
      <c r="AW4" s="46"/>
      <c r="AX4" s="46"/>
      <c r="AY4" s="46"/>
      <c r="AZ4" s="45"/>
      <c r="BA4" s="45"/>
      <c r="BB4" s="390"/>
      <c r="BC4" s="391"/>
      <c r="BD4" s="391"/>
      <c r="BE4" s="391"/>
      <c r="BF4" s="391"/>
      <c r="BG4" s="46"/>
      <c r="BH4" s="46"/>
      <c r="BI4" s="46"/>
      <c r="BJ4" s="45"/>
      <c r="BK4" s="45"/>
      <c r="BL4" s="390"/>
      <c r="BM4" s="391"/>
      <c r="BN4" s="391"/>
      <c r="BO4" s="391"/>
      <c r="BP4" s="391"/>
      <c r="BQ4" s="46"/>
      <c r="BR4" s="46"/>
      <c r="BS4" s="46"/>
      <c r="BT4" s="45"/>
      <c r="BU4" s="45"/>
      <c r="BV4" s="390"/>
      <c r="BW4" s="391"/>
      <c r="BX4" s="391"/>
      <c r="BY4" s="391"/>
      <c r="BZ4" s="391"/>
      <c r="CA4" s="46"/>
      <c r="CB4" s="46"/>
      <c r="CC4" s="46"/>
      <c r="CD4" s="45"/>
      <c r="CE4" s="45"/>
      <c r="CF4" s="390"/>
      <c r="CG4" s="391"/>
      <c r="CH4" s="391"/>
      <c r="CI4" s="391"/>
      <c r="CJ4" s="391"/>
      <c r="CK4" s="46"/>
      <c r="CL4" s="46"/>
      <c r="CM4" s="46"/>
      <c r="CN4" s="45"/>
      <c r="CO4" s="45"/>
      <c r="CP4" s="390"/>
      <c r="CQ4" s="391"/>
      <c r="CR4" s="391"/>
      <c r="CS4" s="391"/>
      <c r="CT4" s="391"/>
      <c r="CU4" s="46"/>
      <c r="CV4" s="46"/>
      <c r="CW4" s="46"/>
      <c r="CX4" s="45"/>
      <c r="CY4" s="45"/>
      <c r="CZ4" s="390"/>
      <c r="DA4" s="391"/>
      <c r="DB4" s="391"/>
      <c r="DC4" s="391"/>
      <c r="DD4" s="391"/>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25">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Kjell Tore (Too Little Too Late)</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87" t="str">
        <f>'Language Table'!C38</f>
        <v>Score</v>
      </c>
      <c r="I7" s="387"/>
      <c r="J7" s="123" t="str">
        <f>G7</f>
        <v>Country</v>
      </c>
      <c r="K7" s="56"/>
      <c r="L7" s="56"/>
      <c r="M7" s="55"/>
      <c r="N7" s="51"/>
      <c r="O7" s="52" t="s">
        <v>99</v>
      </c>
      <c r="P7" s="57">
        <f ca="1">VLOOKUP(P6,'Dummy Rank'!F7:G16,2,FALSE)</f>
        <v>2</v>
      </c>
      <c r="Q7" s="52"/>
      <c r="R7" s="52"/>
      <c r="S7" s="52"/>
      <c r="T7" s="52"/>
      <c r="U7" s="58">
        <f ca="1">V7+W7</f>
        <v>34</v>
      </c>
      <c r="V7" s="58">
        <f ca="1">SUM(V10:V75)</f>
        <v>34</v>
      </c>
      <c r="W7" s="59">
        <f ca="1">SUM(W10:W88)</f>
        <v>0</v>
      </c>
      <c r="X7" s="51"/>
      <c r="Y7" s="52" t="s">
        <v>99</v>
      </c>
      <c r="Z7" s="148">
        <f ca="1">VLOOKUP(Z6,'Dummy Rank'!F7:G16,2,FALSE)</f>
        <v>5</v>
      </c>
      <c r="AA7" s="52"/>
      <c r="AB7" s="52"/>
      <c r="AC7" s="52"/>
      <c r="AD7" s="52"/>
      <c r="AE7" s="58">
        <f ca="1">AF7+AG7</f>
        <v>20</v>
      </c>
      <c r="AF7" s="58">
        <f ca="1">SUM(AF10:AF75)</f>
        <v>20</v>
      </c>
      <c r="AG7" s="59">
        <f ca="1">SUM(AG10:AG88)</f>
        <v>0</v>
      </c>
      <c r="AH7" s="51"/>
      <c r="AI7" s="52" t="s">
        <v>99</v>
      </c>
      <c r="AJ7" s="148">
        <f ca="1">VLOOKUP(AJ6,'Dummy Rank'!F7:G16,2,FALSE)</f>
        <v>4</v>
      </c>
      <c r="AK7" s="52"/>
      <c r="AL7" s="52"/>
      <c r="AM7" s="52"/>
      <c r="AN7" s="52"/>
      <c r="AO7" s="58">
        <f t="shared" ref="AO7" ca="1" si="72">AP7+AQ7</f>
        <v>30</v>
      </c>
      <c r="AP7" s="58">
        <f t="shared" ref="AP7" ca="1" si="73">SUM(AP10:AP75)</f>
        <v>30</v>
      </c>
      <c r="AQ7" s="59">
        <f t="shared" ref="AQ7" ca="1" si="74">SUM(AQ10:AQ88)</f>
        <v>0</v>
      </c>
      <c r="AR7" s="51"/>
      <c r="AS7" s="52" t="s">
        <v>99</v>
      </c>
      <c r="AT7" s="148">
        <f ca="1">VLOOKUP(AT6,'Dummy Rank'!F7:G16,2,FALSE)</f>
        <v>6</v>
      </c>
      <c r="AU7" s="52"/>
      <c r="AV7" s="52"/>
      <c r="AW7" s="52"/>
      <c r="AX7" s="52"/>
      <c r="AY7" s="58">
        <f t="shared" ref="AY7" ca="1" si="75">AZ7+BA7</f>
        <v>20</v>
      </c>
      <c r="AZ7" s="58">
        <f t="shared" ref="AZ7" ca="1" si="76">SUM(AZ10:AZ75)</f>
        <v>20</v>
      </c>
      <c r="BA7" s="59">
        <f t="shared" ref="BA7" ca="1" si="77">SUM(BA10:BA88)</f>
        <v>0</v>
      </c>
      <c r="BB7" s="51"/>
      <c r="BC7" s="52" t="s">
        <v>99</v>
      </c>
      <c r="BD7" s="148">
        <f ca="1">VLOOKUP(BD6,'Dummy Rank'!F7:G16,2,FALSE)</f>
        <v>7</v>
      </c>
      <c r="BE7" s="52"/>
      <c r="BF7" s="52"/>
      <c r="BG7" s="52"/>
      <c r="BH7" s="52"/>
      <c r="BI7" s="58">
        <f t="shared" ref="BI7" ca="1" si="78">BJ7+BK7</f>
        <v>16</v>
      </c>
      <c r="BJ7" s="58">
        <f t="shared" ref="BJ7" ca="1" si="79">SUM(BJ10:BJ75)</f>
        <v>16</v>
      </c>
      <c r="BK7" s="59">
        <f t="shared" ref="BK7" ca="1" si="80">SUM(BK10:BK88)</f>
        <v>0</v>
      </c>
      <c r="BL7" s="51"/>
      <c r="BM7" s="52" t="s">
        <v>99</v>
      </c>
      <c r="BN7" s="148">
        <f ca="1">VLOOKUP(BN6,'Dummy Rank'!F7:G16,2,FALSE)</f>
        <v>1</v>
      </c>
      <c r="BO7" s="52"/>
      <c r="BP7" s="52"/>
      <c r="BQ7" s="52"/>
      <c r="BR7" s="52"/>
      <c r="BS7" s="58">
        <f t="shared" ref="BS7" ca="1" si="81">BT7+BU7</f>
        <v>36</v>
      </c>
      <c r="BT7" s="58">
        <f t="shared" ref="BT7" ca="1" si="82">SUM(BT10:BT75)</f>
        <v>36</v>
      </c>
      <c r="BU7" s="59">
        <f t="shared" ref="BU7" ca="1" si="83">SUM(BU10:BU88)</f>
        <v>0</v>
      </c>
      <c r="BV7" s="51"/>
      <c r="BW7" s="52" t="s">
        <v>99</v>
      </c>
      <c r="BX7" s="148">
        <f ca="1">VLOOKUP(BX6,'Dummy Rank'!F7:G16,2,FALSE)</f>
        <v>3</v>
      </c>
      <c r="BY7" s="52"/>
      <c r="BZ7" s="52"/>
      <c r="CA7" s="52"/>
      <c r="CB7" s="52"/>
      <c r="CC7" s="58">
        <f t="shared" ref="CC7" ca="1" si="84">CD7+CE7</f>
        <v>30</v>
      </c>
      <c r="CD7" s="58">
        <f t="shared" ref="CD7" ca="1" si="85">SUM(CD10:CD75)</f>
        <v>30</v>
      </c>
      <c r="CE7" s="59">
        <f t="shared" ref="CE7" ca="1" si="86">SUM(CE10:CE88)</f>
        <v>0</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2</v>
      </c>
      <c r="V9" s="68"/>
      <c r="W9" s="69"/>
      <c r="X9" s="126">
        <f>SUM(AE10:AE45)</f>
        <v>2</v>
      </c>
      <c r="Z9" s="43" t="s">
        <v>100</v>
      </c>
      <c r="AF9" s="68"/>
      <c r="AG9" s="69"/>
      <c r="AH9" s="126">
        <f t="shared" ref="AH9" si="96">SUM(AO10:AO45)</f>
        <v>1</v>
      </c>
      <c r="AJ9" s="43" t="s">
        <v>100</v>
      </c>
      <c r="AP9" s="68"/>
      <c r="AQ9" s="69"/>
      <c r="AR9" s="126">
        <f t="shared" ref="AR9" si="97">SUM(AY10:AY45)</f>
        <v>0</v>
      </c>
      <c r="AT9" s="43" t="s">
        <v>100</v>
      </c>
      <c r="AZ9" s="68"/>
      <c r="BA9" s="69"/>
      <c r="BB9" s="126">
        <f t="shared" ref="BB9" si="98">SUM(BI10:BI45)</f>
        <v>0</v>
      </c>
      <c r="BD9" s="43" t="s">
        <v>100</v>
      </c>
      <c r="BJ9" s="68"/>
      <c r="BK9" s="69"/>
      <c r="BL9" s="126">
        <f t="shared" ref="BL9" si="99">SUM(BS10:BS45)</f>
        <v>3</v>
      </c>
      <c r="BN9" s="43" t="s">
        <v>100</v>
      </c>
      <c r="BT9" s="68"/>
      <c r="BU9" s="69"/>
      <c r="BV9" s="126">
        <f t="shared" ref="BV9" si="100">SUM(CC10:CC45)</f>
        <v>2</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25">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31">
        <v>3</v>
      </c>
      <c r="BO10" s="332">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33">
        <v>1</v>
      </c>
      <c r="BO11" s="334">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33">
        <v>2</v>
      </c>
      <c r="BO12" s="334">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33">
        <v>3</v>
      </c>
      <c r="BO13" s="334">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33">
        <v>1</v>
      </c>
      <c r="BO14" s="334">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33">
        <v>0</v>
      </c>
      <c r="BO15" s="334">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33">
        <v>1</v>
      </c>
      <c r="BO16" s="334">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33">
        <v>0</v>
      </c>
      <c r="BO17" s="334">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33">
        <v>3</v>
      </c>
      <c r="BO18" s="334">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33">
        <v>1</v>
      </c>
      <c r="BO19" s="334">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106</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5</v>
      </c>
      <c r="Q20" s="331">
        <v>0</v>
      </c>
      <c r="R20" s="76" t="str">
        <f t="shared" si="105"/>
        <v>Georgia</v>
      </c>
      <c r="U20" s="77">
        <f t="shared" si="106"/>
        <v>0</v>
      </c>
      <c r="V20" s="78">
        <f t="shared" si="107"/>
        <v>2</v>
      </c>
      <c r="W20" s="69"/>
      <c r="X20" s="127"/>
      <c r="Y20" s="74" t="str">
        <f t="shared" si="108"/>
        <v>Türkiye</v>
      </c>
      <c r="Z20" s="333">
        <v>2</v>
      </c>
      <c r="AA20" s="334">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333">
        <v>2</v>
      </c>
      <c r="BE20" s="334">
        <v>0</v>
      </c>
      <c r="BF20" s="76" t="str">
        <f t="shared" si="121"/>
        <v>Georgia</v>
      </c>
      <c r="BI20" s="77">
        <f t="shared" si="122"/>
        <v>0</v>
      </c>
      <c r="BJ20" s="78">
        <f t="shared" si="123"/>
        <v>4</v>
      </c>
      <c r="BK20" s="69"/>
      <c r="BL20" s="127"/>
      <c r="BM20" s="74" t="str">
        <f t="shared" si="124"/>
        <v>Türkiye</v>
      </c>
      <c r="BN20" s="333">
        <v>2</v>
      </c>
      <c r="BO20" s="334">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106</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1</v>
      </c>
      <c r="R21" s="76" t="str">
        <f t="shared" si="105"/>
        <v>Czechia</v>
      </c>
      <c r="U21" s="77">
        <f t="shared" si="106"/>
        <v>0</v>
      </c>
      <c r="V21" s="78">
        <f t="shared" si="107"/>
        <v>2</v>
      </c>
      <c r="W21" s="69"/>
      <c r="X21" s="127"/>
      <c r="Y21" s="74" t="str">
        <f t="shared" si="108"/>
        <v>Portugal</v>
      </c>
      <c r="Z21" s="333">
        <v>1</v>
      </c>
      <c r="AA21" s="334">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333">
        <v>3</v>
      </c>
      <c r="BE21" s="334">
        <v>1</v>
      </c>
      <c r="BF21" s="76" t="str">
        <f t="shared" si="121"/>
        <v>Czechia</v>
      </c>
      <c r="BI21" s="77">
        <f t="shared" si="122"/>
        <v>0</v>
      </c>
      <c r="BJ21" s="78">
        <f t="shared" si="123"/>
        <v>2</v>
      </c>
      <c r="BK21" s="69"/>
      <c r="BL21" s="127"/>
      <c r="BM21" s="74" t="str">
        <f t="shared" si="124"/>
        <v>Portugal</v>
      </c>
      <c r="BN21" s="333">
        <v>3</v>
      </c>
      <c r="BO21" s="334">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101</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2</v>
      </c>
      <c r="R22" s="76" t="str">
        <f t="shared" si="105"/>
        <v>Switzerland</v>
      </c>
      <c r="U22" s="77">
        <f t="shared" si="106"/>
        <v>0</v>
      </c>
      <c r="V22" s="78">
        <f t="shared" si="107"/>
        <v>4</v>
      </c>
      <c r="W22" s="69"/>
      <c r="X22" s="127"/>
      <c r="Y22" s="74" t="str">
        <f t="shared" si="108"/>
        <v>Scotland</v>
      </c>
      <c r="Z22" s="333">
        <v>1</v>
      </c>
      <c r="AA22" s="334">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333">
        <v>3</v>
      </c>
      <c r="BE22" s="334">
        <v>2</v>
      </c>
      <c r="BF22" s="76" t="str">
        <f t="shared" si="121"/>
        <v>Switzerland</v>
      </c>
      <c r="BI22" s="77">
        <f t="shared" si="122"/>
        <v>0</v>
      </c>
      <c r="BJ22" s="78">
        <f t="shared" si="123"/>
        <v>0</v>
      </c>
      <c r="BK22" s="69"/>
      <c r="BL22" s="127"/>
      <c r="BM22" s="74" t="str">
        <f t="shared" si="124"/>
        <v>Scotland</v>
      </c>
      <c r="BN22" s="333">
        <v>1</v>
      </c>
      <c r="BO22" s="334">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101</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3</v>
      </c>
      <c r="Q23" s="331">
        <v>0</v>
      </c>
      <c r="R23" s="76" t="str">
        <f t="shared" si="105"/>
        <v>Hungary</v>
      </c>
      <c r="U23" s="77">
        <f t="shared" si="106"/>
        <v>0</v>
      </c>
      <c r="V23" s="78">
        <f t="shared" si="107"/>
        <v>2</v>
      </c>
      <c r="W23" s="69"/>
      <c r="X23" s="127"/>
      <c r="Y23" s="74" t="str">
        <f t="shared" si="108"/>
        <v>Germany</v>
      </c>
      <c r="Z23" s="333">
        <v>1</v>
      </c>
      <c r="AA23" s="334">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333">
        <v>4</v>
      </c>
      <c r="BE23" s="334">
        <v>0</v>
      </c>
      <c r="BF23" s="76" t="str">
        <f t="shared" si="121"/>
        <v>Hungary</v>
      </c>
      <c r="BI23" s="77">
        <f t="shared" si="122"/>
        <v>0</v>
      </c>
      <c r="BJ23" s="78">
        <f t="shared" si="123"/>
        <v>2</v>
      </c>
      <c r="BK23" s="69"/>
      <c r="BL23" s="127"/>
      <c r="BM23" s="74" t="str">
        <f t="shared" si="124"/>
        <v>Germany</v>
      </c>
      <c r="BN23" s="333">
        <v>2</v>
      </c>
      <c r="BO23" s="334">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102</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2</v>
      </c>
      <c r="Q24" s="331">
        <v>0</v>
      </c>
      <c r="R24" s="76" t="str">
        <f t="shared" si="105"/>
        <v>Albania</v>
      </c>
      <c r="U24" s="77">
        <f t="shared" si="106"/>
        <v>0</v>
      </c>
      <c r="V24" s="78">
        <f t="shared" si="107"/>
        <v>0</v>
      </c>
      <c r="W24" s="69"/>
      <c r="X24" s="127"/>
      <c r="Y24" s="74" t="str">
        <f t="shared" si="108"/>
        <v>Croatia</v>
      </c>
      <c r="Z24" s="333">
        <v>3</v>
      </c>
      <c r="AA24" s="334">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333">
        <v>2</v>
      </c>
      <c r="BE24" s="334">
        <v>0</v>
      </c>
      <c r="BF24" s="76" t="str">
        <f t="shared" si="121"/>
        <v>Albania</v>
      </c>
      <c r="BI24" s="77">
        <f t="shared" si="122"/>
        <v>0</v>
      </c>
      <c r="BJ24" s="78">
        <f t="shared" si="123"/>
        <v>0</v>
      </c>
      <c r="BK24" s="69"/>
      <c r="BL24" s="127"/>
      <c r="BM24" s="74" t="str">
        <f t="shared" si="124"/>
        <v>Croatia</v>
      </c>
      <c r="BN24" s="333">
        <v>2</v>
      </c>
      <c r="BO24" s="334">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102</v>
      </c>
      <c r="E25" s="157">
        <f t="shared" si="144"/>
        <v>45463.875</v>
      </c>
      <c r="F25" s="158">
        <v>45463.875</v>
      </c>
      <c r="G25" s="72" t="str">
        <f>Matches!G23</f>
        <v>Spain</v>
      </c>
      <c r="H25" s="75"/>
      <c r="I25" s="75"/>
      <c r="J25" s="73" t="str">
        <f>Matches!J23</f>
        <v>Italy</v>
      </c>
      <c r="K25" s="55"/>
      <c r="L25" s="55"/>
      <c r="M25" s="67"/>
      <c r="N25" s="127"/>
      <c r="O25" s="74" t="str">
        <f t="shared" si="104"/>
        <v>Spain</v>
      </c>
      <c r="P25" s="331">
        <v>2</v>
      </c>
      <c r="Q25" s="331">
        <v>2</v>
      </c>
      <c r="R25" s="76" t="str">
        <f t="shared" si="105"/>
        <v>Italy</v>
      </c>
      <c r="U25" s="77">
        <f t="shared" si="106"/>
        <v>0</v>
      </c>
      <c r="V25" s="78" t="str">
        <f t="shared" si="107"/>
        <v/>
      </c>
      <c r="W25" s="69"/>
      <c r="X25" s="127"/>
      <c r="Y25" s="74" t="str">
        <f t="shared" si="108"/>
        <v>Spain</v>
      </c>
      <c r="Z25" s="333">
        <v>0</v>
      </c>
      <c r="AA25" s="334">
        <v>0</v>
      </c>
      <c r="AB25" s="76" t="str">
        <f t="shared" si="109"/>
        <v>Italy</v>
      </c>
      <c r="AE25" s="77">
        <f t="shared" si="110"/>
        <v>0</v>
      </c>
      <c r="AF25" s="78" t="str">
        <f t="shared" si="111"/>
        <v/>
      </c>
      <c r="AG25" s="69"/>
      <c r="AH25" s="127"/>
      <c r="AI25" s="74" t="str">
        <f t="shared" si="112"/>
        <v>Spain</v>
      </c>
      <c r="AJ25" s="75">
        <v>1</v>
      </c>
      <c r="AK25" s="75">
        <v>1</v>
      </c>
      <c r="AL25" s="76" t="str">
        <f t="shared" si="113"/>
        <v>Italy</v>
      </c>
      <c r="AO25" s="77">
        <f t="shared" si="114"/>
        <v>0</v>
      </c>
      <c r="AP25" s="78" t="str">
        <f t="shared" si="115"/>
        <v/>
      </c>
      <c r="AQ25" s="69"/>
      <c r="AR25" s="127"/>
      <c r="AS25" s="74" t="str">
        <f t="shared" si="116"/>
        <v>Spain</v>
      </c>
      <c r="AT25" s="75">
        <v>1</v>
      </c>
      <c r="AU25" s="75">
        <v>1</v>
      </c>
      <c r="AV25" s="76" t="str">
        <f t="shared" si="117"/>
        <v>Italy</v>
      </c>
      <c r="AY25" s="77">
        <f t="shared" si="118"/>
        <v>0</v>
      </c>
      <c r="AZ25" s="78" t="str">
        <f t="shared" si="119"/>
        <v/>
      </c>
      <c r="BA25" s="69"/>
      <c r="BB25" s="127"/>
      <c r="BC25" s="74" t="str">
        <f t="shared" si="120"/>
        <v>Spain</v>
      </c>
      <c r="BD25" s="333">
        <v>1</v>
      </c>
      <c r="BE25" s="334">
        <v>2</v>
      </c>
      <c r="BF25" s="76" t="str">
        <f t="shared" si="121"/>
        <v>Italy</v>
      </c>
      <c r="BI25" s="77">
        <f t="shared" si="122"/>
        <v>0</v>
      </c>
      <c r="BJ25" s="78" t="str">
        <f t="shared" si="123"/>
        <v/>
      </c>
      <c r="BK25" s="69"/>
      <c r="BL25" s="127"/>
      <c r="BM25" s="74" t="str">
        <f t="shared" si="124"/>
        <v>Spain</v>
      </c>
      <c r="BN25" s="333">
        <v>1</v>
      </c>
      <c r="BO25" s="334">
        <v>1</v>
      </c>
      <c r="BP25" s="76" t="str">
        <f t="shared" si="125"/>
        <v>Italy</v>
      </c>
      <c r="BS25" s="77">
        <f t="shared" si="126"/>
        <v>0</v>
      </c>
      <c r="BT25" s="78" t="str">
        <f t="shared" si="127"/>
        <v/>
      </c>
      <c r="BU25" s="69"/>
      <c r="BV25" s="127"/>
      <c r="BW25" s="74" t="str">
        <f t="shared" si="128"/>
        <v>Spain</v>
      </c>
      <c r="BX25" s="75">
        <v>1</v>
      </c>
      <c r="BY25" s="75">
        <v>1</v>
      </c>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103</v>
      </c>
      <c r="E26" s="157">
        <f t="shared" si="144"/>
        <v>45463.75</v>
      </c>
      <c r="F26" s="158">
        <v>45463.75</v>
      </c>
      <c r="G26" s="72" t="str">
        <f>Matches!G24</f>
        <v>Denmark</v>
      </c>
      <c r="H26" s="75"/>
      <c r="I26" s="75"/>
      <c r="J26" s="73" t="str">
        <f>Matches!J24</f>
        <v>England</v>
      </c>
      <c r="K26" s="55"/>
      <c r="L26" s="55"/>
      <c r="M26" s="67"/>
      <c r="N26" s="127"/>
      <c r="O26" s="74" t="str">
        <f t="shared" si="104"/>
        <v>Denmark</v>
      </c>
      <c r="P26" s="331">
        <v>3</v>
      </c>
      <c r="Q26" s="331">
        <v>2</v>
      </c>
      <c r="R26" s="76" t="str">
        <f t="shared" si="105"/>
        <v>England</v>
      </c>
      <c r="U26" s="77">
        <f t="shared" si="106"/>
        <v>0</v>
      </c>
      <c r="V26" s="78" t="str">
        <f t="shared" si="107"/>
        <v/>
      </c>
      <c r="W26" s="69"/>
      <c r="X26" s="127"/>
      <c r="Y26" s="74" t="str">
        <f t="shared" si="108"/>
        <v>Denmark</v>
      </c>
      <c r="Z26" s="333">
        <v>1</v>
      </c>
      <c r="AA26" s="334">
        <v>2</v>
      </c>
      <c r="AB26" s="76" t="str">
        <f t="shared" si="109"/>
        <v>England</v>
      </c>
      <c r="AE26" s="77">
        <f t="shared" si="110"/>
        <v>0</v>
      </c>
      <c r="AF26" s="78" t="str">
        <f t="shared" si="111"/>
        <v/>
      </c>
      <c r="AG26" s="69"/>
      <c r="AH26" s="127"/>
      <c r="AI26" s="74" t="str">
        <f t="shared" si="112"/>
        <v>Denmark</v>
      </c>
      <c r="AJ26" s="75">
        <v>1</v>
      </c>
      <c r="AK26" s="75">
        <v>2</v>
      </c>
      <c r="AL26" s="76" t="str">
        <f t="shared" si="113"/>
        <v>England</v>
      </c>
      <c r="AO26" s="77">
        <f t="shared" si="114"/>
        <v>0</v>
      </c>
      <c r="AP26" s="78" t="str">
        <f t="shared" si="115"/>
        <v/>
      </c>
      <c r="AQ26" s="69"/>
      <c r="AR26" s="127"/>
      <c r="AS26" s="74" t="str">
        <f t="shared" si="116"/>
        <v>Denmark</v>
      </c>
      <c r="AT26" s="75">
        <v>1</v>
      </c>
      <c r="AU26" s="75">
        <v>2</v>
      </c>
      <c r="AV26" s="76" t="str">
        <f t="shared" si="117"/>
        <v>England</v>
      </c>
      <c r="AY26" s="77">
        <f t="shared" si="118"/>
        <v>0</v>
      </c>
      <c r="AZ26" s="78" t="str">
        <f t="shared" si="119"/>
        <v/>
      </c>
      <c r="BA26" s="69"/>
      <c r="BB26" s="127"/>
      <c r="BC26" s="74" t="str">
        <f t="shared" si="120"/>
        <v>Denmark</v>
      </c>
      <c r="BD26" s="333">
        <v>1</v>
      </c>
      <c r="BE26" s="334">
        <v>1</v>
      </c>
      <c r="BF26" s="76" t="str">
        <f t="shared" si="121"/>
        <v>England</v>
      </c>
      <c r="BI26" s="77">
        <f t="shared" si="122"/>
        <v>0</v>
      </c>
      <c r="BJ26" s="78" t="str">
        <f t="shared" si="123"/>
        <v/>
      </c>
      <c r="BK26" s="69"/>
      <c r="BL26" s="127"/>
      <c r="BM26" s="74" t="str">
        <f t="shared" si="124"/>
        <v>Denmark</v>
      </c>
      <c r="BN26" s="333">
        <v>1</v>
      </c>
      <c r="BO26" s="334">
        <v>2</v>
      </c>
      <c r="BP26" s="76" t="str">
        <f t="shared" si="125"/>
        <v>England</v>
      </c>
      <c r="BS26" s="77">
        <f t="shared" si="126"/>
        <v>0</v>
      </c>
      <c r="BT26" s="78" t="str">
        <f t="shared" si="127"/>
        <v/>
      </c>
      <c r="BU26" s="69"/>
      <c r="BV26" s="127"/>
      <c r="BW26" s="74" t="str">
        <f t="shared" si="128"/>
        <v>Denmark</v>
      </c>
      <c r="BX26" s="75">
        <v>1</v>
      </c>
      <c r="BY26" s="75">
        <v>2</v>
      </c>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103</v>
      </c>
      <c r="E27" s="157">
        <f t="shared" si="144"/>
        <v>45463.625</v>
      </c>
      <c r="F27" s="158">
        <v>45463.625</v>
      </c>
      <c r="G27" s="72" t="str">
        <f>Matches!G25</f>
        <v>Slovenia</v>
      </c>
      <c r="H27" s="75"/>
      <c r="I27" s="75"/>
      <c r="J27" s="73" t="str">
        <f>Matches!J25</f>
        <v>Serbia</v>
      </c>
      <c r="K27" s="55"/>
      <c r="L27" s="55"/>
      <c r="M27" s="67"/>
      <c r="N27" s="127"/>
      <c r="O27" s="74" t="str">
        <f t="shared" si="104"/>
        <v>Slovenia</v>
      </c>
      <c r="P27" s="331">
        <v>1</v>
      </c>
      <c r="Q27" s="331">
        <v>1</v>
      </c>
      <c r="R27" s="76" t="str">
        <f t="shared" si="105"/>
        <v>Serbia</v>
      </c>
      <c r="U27" s="77">
        <f t="shared" si="106"/>
        <v>0</v>
      </c>
      <c r="V27" s="78" t="str">
        <f t="shared" si="107"/>
        <v/>
      </c>
      <c r="W27" s="69"/>
      <c r="X27" s="127"/>
      <c r="Y27" s="74" t="str">
        <f t="shared" si="108"/>
        <v>Slovenia</v>
      </c>
      <c r="Z27" s="333">
        <v>1</v>
      </c>
      <c r="AA27" s="334">
        <v>1</v>
      </c>
      <c r="AB27" s="76" t="str">
        <f t="shared" si="109"/>
        <v>Serbia</v>
      </c>
      <c r="AE27" s="77">
        <f t="shared" si="110"/>
        <v>0</v>
      </c>
      <c r="AF27" s="78" t="str">
        <f t="shared" si="111"/>
        <v/>
      </c>
      <c r="AG27" s="69"/>
      <c r="AH27" s="127"/>
      <c r="AI27" s="74" t="str">
        <f t="shared" si="112"/>
        <v>Slovenia</v>
      </c>
      <c r="AJ27" s="75">
        <v>0</v>
      </c>
      <c r="AK27" s="75">
        <v>2</v>
      </c>
      <c r="AL27" s="76" t="str">
        <f t="shared" si="113"/>
        <v>Serbia</v>
      </c>
      <c r="AO27" s="77">
        <f t="shared" si="114"/>
        <v>0</v>
      </c>
      <c r="AP27" s="78" t="str">
        <f t="shared" si="115"/>
        <v/>
      </c>
      <c r="AQ27" s="69"/>
      <c r="AR27" s="127"/>
      <c r="AS27" s="74" t="str">
        <f t="shared" si="116"/>
        <v>Slovenia</v>
      </c>
      <c r="AT27" s="75">
        <v>0</v>
      </c>
      <c r="AU27" s="75">
        <v>0</v>
      </c>
      <c r="AV27" s="76" t="str">
        <f t="shared" si="117"/>
        <v>Serbia</v>
      </c>
      <c r="AY27" s="77">
        <f t="shared" si="118"/>
        <v>0</v>
      </c>
      <c r="AZ27" s="78" t="str">
        <f t="shared" si="119"/>
        <v/>
      </c>
      <c r="BA27" s="69"/>
      <c r="BB27" s="127"/>
      <c r="BC27" s="74" t="str">
        <f t="shared" si="120"/>
        <v>Slovenia</v>
      </c>
      <c r="BD27" s="333">
        <v>0</v>
      </c>
      <c r="BE27" s="334">
        <v>2</v>
      </c>
      <c r="BF27" s="76" t="str">
        <f t="shared" si="121"/>
        <v>Serbia</v>
      </c>
      <c r="BI27" s="77">
        <f t="shared" si="122"/>
        <v>0</v>
      </c>
      <c r="BJ27" s="78" t="str">
        <f t="shared" si="123"/>
        <v/>
      </c>
      <c r="BK27" s="69"/>
      <c r="BL27" s="127"/>
      <c r="BM27" s="74" t="str">
        <f t="shared" si="124"/>
        <v>Slovenia</v>
      </c>
      <c r="BN27" s="333">
        <v>1</v>
      </c>
      <c r="BO27" s="334">
        <v>2</v>
      </c>
      <c r="BP27" s="76" t="str">
        <f t="shared" si="125"/>
        <v>Serbia</v>
      </c>
      <c r="BS27" s="77">
        <f t="shared" si="126"/>
        <v>0</v>
      </c>
      <c r="BT27" s="78" t="str">
        <f t="shared" si="127"/>
        <v/>
      </c>
      <c r="BU27" s="69"/>
      <c r="BV27" s="127"/>
      <c r="BW27" s="74" t="str">
        <f t="shared" si="128"/>
        <v>Slovenia</v>
      </c>
      <c r="BX27" s="75">
        <v>0</v>
      </c>
      <c r="BY27" s="75">
        <v>2</v>
      </c>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104</v>
      </c>
      <c r="E28" s="157">
        <f t="shared" si="144"/>
        <v>45464.75</v>
      </c>
      <c r="F28" s="158">
        <v>45464.75</v>
      </c>
      <c r="G28" s="72" t="str">
        <f>Matches!G26</f>
        <v>Poland</v>
      </c>
      <c r="H28" s="75"/>
      <c r="I28" s="75"/>
      <c r="J28" s="73" t="str">
        <f>Matches!J26</f>
        <v>Austria</v>
      </c>
      <c r="K28" s="55"/>
      <c r="L28" s="55"/>
      <c r="M28" s="67"/>
      <c r="N28" s="127"/>
      <c r="O28" s="74" t="str">
        <f t="shared" si="104"/>
        <v>Poland</v>
      </c>
      <c r="P28" s="331">
        <v>1</v>
      </c>
      <c r="Q28" s="331">
        <v>2</v>
      </c>
      <c r="R28" s="76" t="str">
        <f t="shared" si="105"/>
        <v>Austria</v>
      </c>
      <c r="U28" s="77">
        <f t="shared" si="106"/>
        <v>0</v>
      </c>
      <c r="V28" s="78" t="str">
        <f t="shared" si="107"/>
        <v/>
      </c>
      <c r="W28" s="69"/>
      <c r="X28" s="127"/>
      <c r="Y28" s="74" t="str">
        <f t="shared" si="108"/>
        <v>Poland</v>
      </c>
      <c r="Z28" s="333">
        <v>1</v>
      </c>
      <c r="AA28" s="334">
        <v>0</v>
      </c>
      <c r="AB28" s="76" t="str">
        <f t="shared" si="109"/>
        <v>Austria</v>
      </c>
      <c r="AE28" s="77">
        <f t="shared" si="110"/>
        <v>0</v>
      </c>
      <c r="AF28" s="78" t="str">
        <f t="shared" si="111"/>
        <v/>
      </c>
      <c r="AG28" s="69"/>
      <c r="AH28" s="127"/>
      <c r="AI28" s="74" t="str">
        <f t="shared" si="112"/>
        <v>Poland</v>
      </c>
      <c r="AJ28" s="75">
        <v>1</v>
      </c>
      <c r="AK28" s="75">
        <v>1</v>
      </c>
      <c r="AL28" s="76" t="str">
        <f t="shared" si="113"/>
        <v>Austria</v>
      </c>
      <c r="AO28" s="77">
        <f t="shared" si="114"/>
        <v>0</v>
      </c>
      <c r="AP28" s="78" t="str">
        <f t="shared" si="115"/>
        <v/>
      </c>
      <c r="AQ28" s="69"/>
      <c r="AR28" s="127"/>
      <c r="AS28" s="74" t="str">
        <f t="shared" si="116"/>
        <v>Poland</v>
      </c>
      <c r="AT28" s="75">
        <v>2</v>
      </c>
      <c r="AU28" s="75">
        <v>2</v>
      </c>
      <c r="AV28" s="76" t="str">
        <f t="shared" si="117"/>
        <v>Austria</v>
      </c>
      <c r="AY28" s="77">
        <f t="shared" si="118"/>
        <v>0</v>
      </c>
      <c r="AZ28" s="78" t="str">
        <f t="shared" si="119"/>
        <v/>
      </c>
      <c r="BA28" s="69"/>
      <c r="BB28" s="127"/>
      <c r="BC28" s="74" t="str">
        <f t="shared" si="120"/>
        <v>Poland</v>
      </c>
      <c r="BD28" s="333">
        <v>0</v>
      </c>
      <c r="BE28" s="334">
        <v>3</v>
      </c>
      <c r="BF28" s="76" t="str">
        <f t="shared" si="121"/>
        <v>Austria</v>
      </c>
      <c r="BI28" s="77">
        <f t="shared" si="122"/>
        <v>0</v>
      </c>
      <c r="BJ28" s="78" t="str">
        <f t="shared" si="123"/>
        <v/>
      </c>
      <c r="BK28" s="69"/>
      <c r="BL28" s="127"/>
      <c r="BM28" s="74" t="str">
        <f t="shared" si="124"/>
        <v>Poland</v>
      </c>
      <c r="BN28" s="333">
        <v>1</v>
      </c>
      <c r="BO28" s="334">
        <v>1</v>
      </c>
      <c r="BP28" s="76" t="str">
        <f t="shared" si="125"/>
        <v>Austria</v>
      </c>
      <c r="BS28" s="77">
        <f t="shared" si="126"/>
        <v>0</v>
      </c>
      <c r="BT28" s="78" t="str">
        <f t="shared" si="127"/>
        <v/>
      </c>
      <c r="BU28" s="69"/>
      <c r="BV28" s="127"/>
      <c r="BW28" s="74" t="str">
        <f t="shared" si="128"/>
        <v>Poland</v>
      </c>
      <c r="BX28" s="75">
        <v>1</v>
      </c>
      <c r="BY28" s="75">
        <v>1</v>
      </c>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104</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2</v>
      </c>
      <c r="R29" s="76" t="str">
        <f t="shared" si="105"/>
        <v>France</v>
      </c>
      <c r="U29" s="77">
        <f t="shared" si="106"/>
        <v>0</v>
      </c>
      <c r="V29" s="78" t="str">
        <f t="shared" si="107"/>
        <v/>
      </c>
      <c r="W29" s="69"/>
      <c r="X29" s="127"/>
      <c r="Y29" s="74" t="str">
        <f t="shared" si="108"/>
        <v>Netherlands</v>
      </c>
      <c r="Z29" s="333">
        <v>0</v>
      </c>
      <c r="AA29" s="334">
        <v>1</v>
      </c>
      <c r="AB29" s="76" t="str">
        <f t="shared" si="109"/>
        <v>France</v>
      </c>
      <c r="AE29" s="77">
        <f t="shared" si="110"/>
        <v>0</v>
      </c>
      <c r="AF29" s="78" t="str">
        <f t="shared" si="111"/>
        <v/>
      </c>
      <c r="AG29" s="69"/>
      <c r="AH29" s="127"/>
      <c r="AI29" s="74" t="str">
        <f t="shared" si="112"/>
        <v>Netherlands</v>
      </c>
      <c r="AJ29" s="75">
        <v>1</v>
      </c>
      <c r="AK29" s="75">
        <v>2</v>
      </c>
      <c r="AL29" s="76" t="str">
        <f t="shared" si="113"/>
        <v>France</v>
      </c>
      <c r="AO29" s="77">
        <f t="shared" si="114"/>
        <v>0</v>
      </c>
      <c r="AP29" s="78" t="str">
        <f t="shared" si="115"/>
        <v/>
      </c>
      <c r="AQ29" s="69"/>
      <c r="AR29" s="127"/>
      <c r="AS29" s="74" t="str">
        <f t="shared" si="116"/>
        <v>Netherlands</v>
      </c>
      <c r="AT29" s="75">
        <v>1</v>
      </c>
      <c r="AU29" s="75">
        <v>2</v>
      </c>
      <c r="AV29" s="76" t="str">
        <f t="shared" si="117"/>
        <v>France</v>
      </c>
      <c r="AY29" s="77">
        <f t="shared" si="118"/>
        <v>0</v>
      </c>
      <c r="AZ29" s="78" t="str">
        <f t="shared" si="119"/>
        <v/>
      </c>
      <c r="BA29" s="69"/>
      <c r="BB29" s="127"/>
      <c r="BC29" s="74" t="str">
        <f t="shared" si="120"/>
        <v>Netherlands</v>
      </c>
      <c r="BD29" s="333">
        <v>2</v>
      </c>
      <c r="BE29" s="334">
        <v>3</v>
      </c>
      <c r="BF29" s="76" t="str">
        <f t="shared" si="121"/>
        <v>France</v>
      </c>
      <c r="BI29" s="77">
        <f t="shared" si="122"/>
        <v>0</v>
      </c>
      <c r="BJ29" s="78" t="str">
        <f t="shared" si="123"/>
        <v/>
      </c>
      <c r="BK29" s="69"/>
      <c r="BL29" s="127"/>
      <c r="BM29" s="74" t="str">
        <f t="shared" si="124"/>
        <v>Netherlands</v>
      </c>
      <c r="BN29" s="333">
        <v>2</v>
      </c>
      <c r="BO29" s="334">
        <v>1</v>
      </c>
      <c r="BP29" s="76" t="str">
        <f t="shared" si="125"/>
        <v>France</v>
      </c>
      <c r="BS29" s="77">
        <f t="shared" si="126"/>
        <v>0</v>
      </c>
      <c r="BT29" s="78" t="str">
        <f t="shared" si="127"/>
        <v/>
      </c>
      <c r="BU29" s="69"/>
      <c r="BV29" s="127"/>
      <c r="BW29" s="74" t="str">
        <f t="shared" si="128"/>
        <v>Netherlands</v>
      </c>
      <c r="BX29" s="75">
        <v>0</v>
      </c>
      <c r="BY29" s="75">
        <v>0</v>
      </c>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105</v>
      </c>
      <c r="E30" s="157">
        <f t="shared" si="144"/>
        <v>45464.625</v>
      </c>
      <c r="F30" s="158">
        <v>45464.625</v>
      </c>
      <c r="G30" s="72" t="str">
        <f>Matches!G28</f>
        <v>Slovakia</v>
      </c>
      <c r="H30" s="75"/>
      <c r="I30" s="75"/>
      <c r="J30" s="73" t="str">
        <f>Matches!J28</f>
        <v>Ukraine</v>
      </c>
      <c r="K30" s="55"/>
      <c r="L30" s="55"/>
      <c r="M30" s="67"/>
      <c r="N30" s="127"/>
      <c r="O30" s="74" t="str">
        <f t="shared" si="104"/>
        <v>Slovakia</v>
      </c>
      <c r="P30" s="331">
        <v>1</v>
      </c>
      <c r="Q30" s="331">
        <v>1</v>
      </c>
      <c r="R30" s="76" t="str">
        <f t="shared" si="105"/>
        <v>Ukraine</v>
      </c>
      <c r="U30" s="77">
        <f t="shared" si="106"/>
        <v>0</v>
      </c>
      <c r="V30" s="78" t="str">
        <f t="shared" si="107"/>
        <v/>
      </c>
      <c r="W30" s="69"/>
      <c r="X30" s="127"/>
      <c r="Y30" s="74" t="str">
        <f t="shared" si="108"/>
        <v>Slovakia</v>
      </c>
      <c r="Z30" s="333">
        <v>0</v>
      </c>
      <c r="AA30" s="334">
        <v>0</v>
      </c>
      <c r="AB30" s="76" t="str">
        <f t="shared" si="109"/>
        <v>Ukraine</v>
      </c>
      <c r="AE30" s="77">
        <f t="shared" si="110"/>
        <v>0</v>
      </c>
      <c r="AF30" s="78" t="str">
        <f t="shared" si="111"/>
        <v/>
      </c>
      <c r="AG30" s="69"/>
      <c r="AH30" s="127"/>
      <c r="AI30" s="74" t="str">
        <f t="shared" si="112"/>
        <v>Slovakia</v>
      </c>
      <c r="AJ30" s="75">
        <v>0</v>
      </c>
      <c r="AK30" s="75">
        <v>1</v>
      </c>
      <c r="AL30" s="76" t="str">
        <f t="shared" si="113"/>
        <v>Ukraine</v>
      </c>
      <c r="AO30" s="77">
        <f t="shared" si="114"/>
        <v>0</v>
      </c>
      <c r="AP30" s="78" t="str">
        <f t="shared" si="115"/>
        <v/>
      </c>
      <c r="AQ30" s="69"/>
      <c r="AR30" s="127"/>
      <c r="AS30" s="74" t="str">
        <f t="shared" si="116"/>
        <v>Slovakia</v>
      </c>
      <c r="AT30" s="75">
        <v>0</v>
      </c>
      <c r="AU30" s="75">
        <v>1</v>
      </c>
      <c r="AV30" s="76" t="str">
        <f t="shared" si="117"/>
        <v>Ukraine</v>
      </c>
      <c r="AY30" s="77">
        <f t="shared" si="118"/>
        <v>0</v>
      </c>
      <c r="AZ30" s="78" t="str">
        <f t="shared" si="119"/>
        <v/>
      </c>
      <c r="BA30" s="69"/>
      <c r="BB30" s="127"/>
      <c r="BC30" s="74" t="str">
        <f t="shared" si="120"/>
        <v>Slovakia</v>
      </c>
      <c r="BD30" s="333">
        <v>1</v>
      </c>
      <c r="BE30" s="334">
        <v>2</v>
      </c>
      <c r="BF30" s="76" t="str">
        <f t="shared" si="121"/>
        <v>Ukraine</v>
      </c>
      <c r="BI30" s="77">
        <f t="shared" si="122"/>
        <v>0</v>
      </c>
      <c r="BJ30" s="78" t="str">
        <f t="shared" si="123"/>
        <v/>
      </c>
      <c r="BK30" s="69"/>
      <c r="BL30" s="127"/>
      <c r="BM30" s="74" t="str">
        <f t="shared" si="124"/>
        <v>Slovakia</v>
      </c>
      <c r="BN30" s="333">
        <v>0</v>
      </c>
      <c r="BO30" s="334">
        <v>2</v>
      </c>
      <c r="BP30" s="76" t="str">
        <f t="shared" si="125"/>
        <v>Ukraine</v>
      </c>
      <c r="BS30" s="77">
        <f t="shared" si="126"/>
        <v>0</v>
      </c>
      <c r="BT30" s="78" t="str">
        <f t="shared" si="127"/>
        <v/>
      </c>
      <c r="BU30" s="69"/>
      <c r="BV30" s="127"/>
      <c r="BW30" s="74" t="str">
        <f t="shared" si="128"/>
        <v>Slovakia</v>
      </c>
      <c r="BX30" s="75">
        <v>1</v>
      </c>
      <c r="BY30" s="75">
        <v>3</v>
      </c>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105</v>
      </c>
      <c r="E31" s="157">
        <f t="shared" si="144"/>
        <v>45465.875</v>
      </c>
      <c r="F31" s="158">
        <v>45465.875</v>
      </c>
      <c r="G31" s="72" t="str">
        <f>Matches!G29</f>
        <v>Belgium</v>
      </c>
      <c r="H31" s="75"/>
      <c r="I31" s="75"/>
      <c r="J31" s="73" t="str">
        <f>Matches!J29</f>
        <v>Romania</v>
      </c>
      <c r="K31" s="55"/>
      <c r="L31" s="55"/>
      <c r="M31" s="67"/>
      <c r="N31" s="127"/>
      <c r="O31" s="74" t="str">
        <f t="shared" si="104"/>
        <v>Belgium</v>
      </c>
      <c r="P31" s="331">
        <v>5</v>
      </c>
      <c r="Q31" s="331">
        <v>1</v>
      </c>
      <c r="R31" s="76" t="str">
        <f t="shared" si="105"/>
        <v>Romania</v>
      </c>
      <c r="U31" s="77">
        <f t="shared" si="106"/>
        <v>0</v>
      </c>
      <c r="V31" s="78" t="str">
        <f t="shared" si="107"/>
        <v/>
      </c>
      <c r="W31" s="69"/>
      <c r="X31" s="127"/>
      <c r="Y31" s="74" t="str">
        <f t="shared" si="108"/>
        <v>Belgium</v>
      </c>
      <c r="Z31" s="333">
        <v>2</v>
      </c>
      <c r="AA31" s="334">
        <v>1</v>
      </c>
      <c r="AB31" s="76" t="str">
        <f t="shared" si="109"/>
        <v>Romania</v>
      </c>
      <c r="AE31" s="77">
        <f t="shared" si="110"/>
        <v>0</v>
      </c>
      <c r="AF31" s="78" t="str">
        <f t="shared" si="111"/>
        <v/>
      </c>
      <c r="AG31" s="69"/>
      <c r="AH31" s="127"/>
      <c r="AI31" s="74" t="str">
        <f t="shared" si="112"/>
        <v>Belgium</v>
      </c>
      <c r="AJ31" s="75">
        <v>0</v>
      </c>
      <c r="AK31" s="75">
        <v>1</v>
      </c>
      <c r="AL31" s="76" t="str">
        <f t="shared" si="113"/>
        <v>Romania</v>
      </c>
      <c r="AO31" s="77">
        <f t="shared" si="114"/>
        <v>0</v>
      </c>
      <c r="AP31" s="78" t="str">
        <f t="shared" si="115"/>
        <v/>
      </c>
      <c r="AQ31" s="69"/>
      <c r="AR31" s="127"/>
      <c r="AS31" s="74" t="str">
        <f t="shared" si="116"/>
        <v>Belgium</v>
      </c>
      <c r="AT31" s="75">
        <v>3</v>
      </c>
      <c r="AU31" s="75">
        <v>1</v>
      </c>
      <c r="AV31" s="76" t="str">
        <f t="shared" si="117"/>
        <v>Romania</v>
      </c>
      <c r="AY31" s="77">
        <f t="shared" si="118"/>
        <v>0</v>
      </c>
      <c r="AZ31" s="78" t="str">
        <f t="shared" si="119"/>
        <v/>
      </c>
      <c r="BA31" s="69"/>
      <c r="BB31" s="127"/>
      <c r="BC31" s="74" t="str">
        <f t="shared" si="120"/>
        <v>Belgium</v>
      </c>
      <c r="BD31" s="333">
        <v>4</v>
      </c>
      <c r="BE31" s="334">
        <v>1</v>
      </c>
      <c r="BF31" s="76" t="str">
        <f t="shared" si="121"/>
        <v>Romania</v>
      </c>
      <c r="BI31" s="77">
        <f t="shared" si="122"/>
        <v>0</v>
      </c>
      <c r="BJ31" s="78" t="str">
        <f t="shared" si="123"/>
        <v/>
      </c>
      <c r="BK31" s="69"/>
      <c r="BL31" s="127"/>
      <c r="BM31" s="74" t="str">
        <f t="shared" si="124"/>
        <v>Belgium</v>
      </c>
      <c r="BN31" s="333">
        <v>2</v>
      </c>
      <c r="BO31" s="334">
        <v>0</v>
      </c>
      <c r="BP31" s="76" t="str">
        <f t="shared" si="125"/>
        <v>Romania</v>
      </c>
      <c r="BS31" s="77">
        <f t="shared" si="126"/>
        <v>0</v>
      </c>
      <c r="BT31" s="78" t="str">
        <f t="shared" si="127"/>
        <v/>
      </c>
      <c r="BU31" s="69"/>
      <c r="BV31" s="127"/>
      <c r="BW31" s="74" t="str">
        <f t="shared" si="128"/>
        <v>Belgium</v>
      </c>
      <c r="BX31" s="75">
        <v>3</v>
      </c>
      <c r="BY31" s="75">
        <v>0</v>
      </c>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106</v>
      </c>
      <c r="E32" s="157">
        <f t="shared" si="144"/>
        <v>45465.75</v>
      </c>
      <c r="F32" s="158">
        <v>45465.75</v>
      </c>
      <c r="G32" s="72" t="str">
        <f>Matches!G30</f>
        <v>Türkiye</v>
      </c>
      <c r="H32" s="75"/>
      <c r="I32" s="75"/>
      <c r="J32" s="73" t="str">
        <f>Matches!J30</f>
        <v>Portugal</v>
      </c>
      <c r="K32" s="55"/>
      <c r="L32" s="55"/>
      <c r="M32" s="67"/>
      <c r="N32" s="127"/>
      <c r="O32" s="74" t="str">
        <f t="shared" si="104"/>
        <v>Türkiye</v>
      </c>
      <c r="P32" s="331">
        <v>1</v>
      </c>
      <c r="Q32" s="331">
        <v>3</v>
      </c>
      <c r="R32" s="76" t="str">
        <f t="shared" si="105"/>
        <v>Portugal</v>
      </c>
      <c r="U32" s="77">
        <f t="shared" si="106"/>
        <v>0</v>
      </c>
      <c r="V32" s="78" t="str">
        <f t="shared" si="107"/>
        <v/>
      </c>
      <c r="W32" s="69"/>
      <c r="X32" s="127"/>
      <c r="Y32" s="74" t="str">
        <f t="shared" si="108"/>
        <v>Türkiye</v>
      </c>
      <c r="Z32" s="333">
        <v>0</v>
      </c>
      <c r="AA32" s="334">
        <v>1</v>
      </c>
      <c r="AB32" s="76" t="str">
        <f t="shared" si="109"/>
        <v>Portugal</v>
      </c>
      <c r="AE32" s="77">
        <f t="shared" si="110"/>
        <v>0</v>
      </c>
      <c r="AF32" s="78" t="str">
        <f t="shared" si="111"/>
        <v/>
      </c>
      <c r="AG32" s="69"/>
      <c r="AH32" s="127"/>
      <c r="AI32" s="74" t="str">
        <f t="shared" si="112"/>
        <v>Türkiye</v>
      </c>
      <c r="AJ32" s="75">
        <v>1</v>
      </c>
      <c r="AK32" s="75">
        <v>1</v>
      </c>
      <c r="AL32" s="76" t="str">
        <f t="shared" si="113"/>
        <v>Portugal</v>
      </c>
      <c r="AO32" s="77">
        <f t="shared" si="114"/>
        <v>0</v>
      </c>
      <c r="AP32" s="78" t="str">
        <f t="shared" si="115"/>
        <v/>
      </c>
      <c r="AQ32" s="69"/>
      <c r="AR32" s="127"/>
      <c r="AS32" s="74" t="str">
        <f t="shared" si="116"/>
        <v>Türkiye</v>
      </c>
      <c r="AT32" s="75">
        <v>1</v>
      </c>
      <c r="AU32" s="75">
        <v>1</v>
      </c>
      <c r="AV32" s="76" t="str">
        <f t="shared" si="117"/>
        <v>Portugal</v>
      </c>
      <c r="AY32" s="77">
        <f t="shared" si="118"/>
        <v>0</v>
      </c>
      <c r="AZ32" s="78" t="str">
        <f t="shared" si="119"/>
        <v/>
      </c>
      <c r="BA32" s="69"/>
      <c r="BB32" s="127"/>
      <c r="BC32" s="74" t="str">
        <f t="shared" si="120"/>
        <v>Türkiye</v>
      </c>
      <c r="BD32" s="333">
        <v>2</v>
      </c>
      <c r="BE32" s="334">
        <v>2</v>
      </c>
      <c r="BF32" s="76" t="str">
        <f t="shared" si="121"/>
        <v>Portugal</v>
      </c>
      <c r="BI32" s="77">
        <f t="shared" si="122"/>
        <v>0</v>
      </c>
      <c r="BJ32" s="78" t="str">
        <f t="shared" si="123"/>
        <v/>
      </c>
      <c r="BK32" s="69"/>
      <c r="BL32" s="127"/>
      <c r="BM32" s="74" t="str">
        <f t="shared" si="124"/>
        <v>Türkiye</v>
      </c>
      <c r="BN32" s="333">
        <v>1</v>
      </c>
      <c r="BO32" s="334">
        <v>3</v>
      </c>
      <c r="BP32" s="76" t="str">
        <f t="shared" si="125"/>
        <v>Portugal</v>
      </c>
      <c r="BS32" s="77">
        <f t="shared" si="126"/>
        <v>0</v>
      </c>
      <c r="BT32" s="78" t="str">
        <f t="shared" si="127"/>
        <v/>
      </c>
      <c r="BU32" s="69"/>
      <c r="BV32" s="127"/>
      <c r="BW32" s="74" t="str">
        <f t="shared" si="128"/>
        <v>Türkiye</v>
      </c>
      <c r="BX32" s="75">
        <v>2</v>
      </c>
      <c r="BY32" s="75">
        <v>2</v>
      </c>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106</v>
      </c>
      <c r="E33" s="157">
        <f t="shared" si="144"/>
        <v>45465.625</v>
      </c>
      <c r="F33" s="158">
        <v>45465.625</v>
      </c>
      <c r="G33" s="72" t="str">
        <f>Matches!G31</f>
        <v>Georgia</v>
      </c>
      <c r="H33" s="75"/>
      <c r="I33" s="75"/>
      <c r="J33" s="73" t="str">
        <f>Matches!J31</f>
        <v>Czechia</v>
      </c>
      <c r="K33" s="55"/>
      <c r="L33" s="55"/>
      <c r="M33" s="67"/>
      <c r="N33" s="127"/>
      <c r="O33" s="74" t="str">
        <f t="shared" si="104"/>
        <v>Georgia</v>
      </c>
      <c r="P33" s="331">
        <v>1</v>
      </c>
      <c r="Q33" s="331">
        <v>2</v>
      </c>
      <c r="R33" s="76" t="str">
        <f t="shared" si="105"/>
        <v>Czechia</v>
      </c>
      <c r="U33" s="77">
        <f t="shared" si="106"/>
        <v>0</v>
      </c>
      <c r="V33" s="78" t="str">
        <f t="shared" si="107"/>
        <v/>
      </c>
      <c r="W33" s="69"/>
      <c r="X33" s="127"/>
      <c r="Y33" s="74" t="str">
        <f t="shared" si="108"/>
        <v>Georgia</v>
      </c>
      <c r="Z33" s="333">
        <v>0</v>
      </c>
      <c r="AA33" s="334">
        <v>2</v>
      </c>
      <c r="AB33" s="76" t="str">
        <f t="shared" si="109"/>
        <v>Czechia</v>
      </c>
      <c r="AE33" s="77">
        <f t="shared" si="110"/>
        <v>0</v>
      </c>
      <c r="AF33" s="78" t="str">
        <f t="shared" si="111"/>
        <v/>
      </c>
      <c r="AG33" s="69"/>
      <c r="AH33" s="127"/>
      <c r="AI33" s="74" t="str">
        <f t="shared" si="112"/>
        <v>Georgia</v>
      </c>
      <c r="AJ33" s="75">
        <v>0</v>
      </c>
      <c r="AK33" s="75">
        <v>1</v>
      </c>
      <c r="AL33" s="76" t="str">
        <f t="shared" si="113"/>
        <v>Czechia</v>
      </c>
      <c r="AO33" s="77">
        <f t="shared" si="114"/>
        <v>0</v>
      </c>
      <c r="AP33" s="78" t="str">
        <f t="shared" si="115"/>
        <v/>
      </c>
      <c r="AQ33" s="69"/>
      <c r="AR33" s="127"/>
      <c r="AS33" s="74" t="str">
        <f t="shared" si="116"/>
        <v>Georgia</v>
      </c>
      <c r="AT33" s="75">
        <v>0</v>
      </c>
      <c r="AU33" s="75">
        <v>1</v>
      </c>
      <c r="AV33" s="76" t="str">
        <f t="shared" si="117"/>
        <v>Czechia</v>
      </c>
      <c r="AY33" s="77">
        <f t="shared" si="118"/>
        <v>0</v>
      </c>
      <c r="AZ33" s="78" t="str">
        <f t="shared" si="119"/>
        <v/>
      </c>
      <c r="BA33" s="69"/>
      <c r="BB33" s="127"/>
      <c r="BC33" s="74" t="str">
        <f t="shared" si="120"/>
        <v>Georgia</v>
      </c>
      <c r="BD33" s="333">
        <v>1</v>
      </c>
      <c r="BE33" s="334">
        <v>1</v>
      </c>
      <c r="BF33" s="76" t="str">
        <f t="shared" si="121"/>
        <v>Czechia</v>
      </c>
      <c r="BI33" s="77">
        <f t="shared" si="122"/>
        <v>0</v>
      </c>
      <c r="BJ33" s="78" t="str">
        <f t="shared" si="123"/>
        <v/>
      </c>
      <c r="BK33" s="69"/>
      <c r="BL33" s="127"/>
      <c r="BM33" s="74" t="str">
        <f t="shared" si="124"/>
        <v>Georgia</v>
      </c>
      <c r="BN33" s="333">
        <v>1</v>
      </c>
      <c r="BO33" s="334">
        <v>3</v>
      </c>
      <c r="BP33" s="76" t="str">
        <f t="shared" si="125"/>
        <v>Czechia</v>
      </c>
      <c r="BS33" s="77">
        <f t="shared" si="126"/>
        <v>0</v>
      </c>
      <c r="BT33" s="78" t="str">
        <f t="shared" si="127"/>
        <v/>
      </c>
      <c r="BU33" s="69"/>
      <c r="BV33" s="127"/>
      <c r="BW33" s="74" t="str">
        <f t="shared" si="128"/>
        <v>Georgia</v>
      </c>
      <c r="BX33" s="75">
        <v>0</v>
      </c>
      <c r="BY33" s="75">
        <v>2</v>
      </c>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101</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2</v>
      </c>
      <c r="Q34" s="331">
        <v>2</v>
      </c>
      <c r="R34" s="76" t="str">
        <f t="shared" si="105"/>
        <v>Germany</v>
      </c>
      <c r="U34" s="77">
        <f t="shared" si="106"/>
        <v>0</v>
      </c>
      <c r="V34" s="78" t="str">
        <f t="shared" si="107"/>
        <v/>
      </c>
      <c r="W34" s="69"/>
      <c r="X34" s="127"/>
      <c r="Y34" s="74" t="str">
        <f t="shared" si="108"/>
        <v>Switzerland</v>
      </c>
      <c r="Z34" s="333">
        <v>0</v>
      </c>
      <c r="AA34" s="334">
        <v>5</v>
      </c>
      <c r="AB34" s="76" t="str">
        <f t="shared" si="109"/>
        <v>Germany</v>
      </c>
      <c r="AE34" s="77">
        <f t="shared" si="110"/>
        <v>0</v>
      </c>
      <c r="AF34" s="78" t="str">
        <f t="shared" si="111"/>
        <v/>
      </c>
      <c r="AG34" s="69"/>
      <c r="AH34" s="127"/>
      <c r="AI34" s="74" t="str">
        <f t="shared" si="112"/>
        <v>Switzerland</v>
      </c>
      <c r="AJ34" s="75">
        <v>0</v>
      </c>
      <c r="AK34" s="75">
        <v>2</v>
      </c>
      <c r="AL34" s="76" t="str">
        <f t="shared" si="113"/>
        <v>Germany</v>
      </c>
      <c r="AO34" s="77">
        <f t="shared" si="114"/>
        <v>0</v>
      </c>
      <c r="AP34" s="78" t="str">
        <f t="shared" si="115"/>
        <v/>
      </c>
      <c r="AQ34" s="69"/>
      <c r="AR34" s="127"/>
      <c r="AS34" s="74" t="str">
        <f t="shared" si="116"/>
        <v>Switzerland</v>
      </c>
      <c r="AT34" s="75">
        <v>2</v>
      </c>
      <c r="AU34" s="75">
        <v>2</v>
      </c>
      <c r="AV34" s="76" t="str">
        <f t="shared" si="117"/>
        <v>Germany</v>
      </c>
      <c r="AY34" s="77">
        <f t="shared" si="118"/>
        <v>0</v>
      </c>
      <c r="AZ34" s="78" t="str">
        <f t="shared" si="119"/>
        <v/>
      </c>
      <c r="BA34" s="69"/>
      <c r="BB34" s="127"/>
      <c r="BC34" s="74" t="str">
        <f t="shared" si="120"/>
        <v>Switzerland</v>
      </c>
      <c r="BD34" s="333">
        <v>1</v>
      </c>
      <c r="BE34" s="334">
        <v>3</v>
      </c>
      <c r="BF34" s="76" t="str">
        <f t="shared" si="121"/>
        <v>Germany</v>
      </c>
      <c r="BI34" s="77">
        <f t="shared" si="122"/>
        <v>0</v>
      </c>
      <c r="BJ34" s="78" t="str">
        <f t="shared" si="123"/>
        <v/>
      </c>
      <c r="BK34" s="69"/>
      <c r="BL34" s="127"/>
      <c r="BM34" s="74" t="str">
        <f t="shared" si="124"/>
        <v>Switzerland</v>
      </c>
      <c r="BN34" s="333">
        <v>1</v>
      </c>
      <c r="BO34" s="334">
        <v>2</v>
      </c>
      <c r="BP34" s="76" t="str">
        <f t="shared" si="125"/>
        <v>Germany</v>
      </c>
      <c r="BS34" s="77">
        <f t="shared" si="126"/>
        <v>0</v>
      </c>
      <c r="BT34" s="78" t="str">
        <f t="shared" si="127"/>
        <v/>
      </c>
      <c r="BU34" s="69"/>
      <c r="BV34" s="127"/>
      <c r="BW34" s="74" t="str">
        <f t="shared" si="128"/>
        <v>Switzerland</v>
      </c>
      <c r="BX34" s="75">
        <v>1</v>
      </c>
      <c r="BY34" s="75">
        <v>3</v>
      </c>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101</v>
      </c>
      <c r="E35" s="157">
        <f t="shared" si="144"/>
        <v>45466.875</v>
      </c>
      <c r="F35" s="158">
        <v>45466.875</v>
      </c>
      <c r="G35" s="72" t="str">
        <f>Matches!G33</f>
        <v>Scotland</v>
      </c>
      <c r="H35" s="75"/>
      <c r="I35" s="75"/>
      <c r="J35" s="73" t="str">
        <f>Matches!J33</f>
        <v>Hungary</v>
      </c>
      <c r="K35" s="55"/>
      <c r="L35" s="55"/>
      <c r="M35" s="67"/>
      <c r="N35" s="127"/>
      <c r="O35" s="74" t="str">
        <f t="shared" si="104"/>
        <v>Scotland</v>
      </c>
      <c r="P35" s="331">
        <v>3</v>
      </c>
      <c r="Q35" s="331">
        <v>1</v>
      </c>
      <c r="R35" s="76" t="str">
        <f t="shared" si="105"/>
        <v>Hungary</v>
      </c>
      <c r="U35" s="77">
        <f t="shared" si="106"/>
        <v>0</v>
      </c>
      <c r="V35" s="78" t="str">
        <f t="shared" si="107"/>
        <v/>
      </c>
      <c r="W35" s="69"/>
      <c r="X35" s="127"/>
      <c r="Y35" s="74" t="str">
        <f t="shared" si="108"/>
        <v>Scotland</v>
      </c>
      <c r="Z35" s="333">
        <v>1</v>
      </c>
      <c r="AA35" s="334">
        <v>1</v>
      </c>
      <c r="AB35" s="76" t="str">
        <f t="shared" si="109"/>
        <v>Hungary</v>
      </c>
      <c r="AE35" s="77">
        <f t="shared" si="110"/>
        <v>0</v>
      </c>
      <c r="AF35" s="78" t="str">
        <f t="shared" si="111"/>
        <v/>
      </c>
      <c r="AG35" s="69"/>
      <c r="AH35" s="127"/>
      <c r="AI35" s="74" t="str">
        <f t="shared" si="112"/>
        <v>Scotland</v>
      </c>
      <c r="AJ35" s="75">
        <v>0</v>
      </c>
      <c r="AK35" s="75">
        <v>1</v>
      </c>
      <c r="AL35" s="76" t="str">
        <f t="shared" si="113"/>
        <v>Hungary</v>
      </c>
      <c r="AO35" s="77">
        <f t="shared" si="114"/>
        <v>0</v>
      </c>
      <c r="AP35" s="78" t="str">
        <f t="shared" si="115"/>
        <v/>
      </c>
      <c r="AQ35" s="69"/>
      <c r="AR35" s="127"/>
      <c r="AS35" s="74" t="str">
        <f t="shared" si="116"/>
        <v>Scotland</v>
      </c>
      <c r="AT35" s="75">
        <v>1</v>
      </c>
      <c r="AU35" s="75">
        <v>0</v>
      </c>
      <c r="AV35" s="76" t="str">
        <f t="shared" si="117"/>
        <v>Hungary</v>
      </c>
      <c r="AY35" s="77">
        <f t="shared" si="118"/>
        <v>0</v>
      </c>
      <c r="AZ35" s="78" t="str">
        <f t="shared" si="119"/>
        <v/>
      </c>
      <c r="BA35" s="69"/>
      <c r="BB35" s="127"/>
      <c r="BC35" s="74" t="str">
        <f t="shared" si="120"/>
        <v>Scotland</v>
      </c>
      <c r="BD35" s="333">
        <v>2</v>
      </c>
      <c r="BE35" s="334">
        <v>1</v>
      </c>
      <c r="BF35" s="76" t="str">
        <f t="shared" si="121"/>
        <v>Hungary</v>
      </c>
      <c r="BI35" s="77">
        <f t="shared" si="122"/>
        <v>0</v>
      </c>
      <c r="BJ35" s="78" t="str">
        <f t="shared" si="123"/>
        <v/>
      </c>
      <c r="BK35" s="69"/>
      <c r="BL35" s="127"/>
      <c r="BM35" s="74" t="str">
        <f t="shared" si="124"/>
        <v>Scotland</v>
      </c>
      <c r="BN35" s="333">
        <v>2</v>
      </c>
      <c r="BO35" s="334">
        <v>1</v>
      </c>
      <c r="BP35" s="76" t="str">
        <f t="shared" si="125"/>
        <v>Hungary</v>
      </c>
      <c r="BS35" s="77">
        <f t="shared" si="126"/>
        <v>0</v>
      </c>
      <c r="BT35" s="78" t="str">
        <f t="shared" si="127"/>
        <v/>
      </c>
      <c r="BU35" s="69"/>
      <c r="BV35" s="127"/>
      <c r="BW35" s="74" t="str">
        <f t="shared" si="128"/>
        <v>Scotland</v>
      </c>
      <c r="BX35" s="75">
        <v>1</v>
      </c>
      <c r="BY35" s="75">
        <v>1</v>
      </c>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102</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4</v>
      </c>
      <c r="R36" s="76" t="str">
        <f t="shared" si="105"/>
        <v>Spain</v>
      </c>
      <c r="U36" s="77">
        <f t="shared" si="106"/>
        <v>0</v>
      </c>
      <c r="V36" s="78" t="str">
        <f t="shared" si="107"/>
        <v/>
      </c>
      <c r="W36" s="69"/>
      <c r="X36" s="127"/>
      <c r="Y36" s="74" t="str">
        <f t="shared" si="108"/>
        <v>Albania</v>
      </c>
      <c r="Z36" s="333">
        <v>0</v>
      </c>
      <c r="AA36" s="334">
        <v>2</v>
      </c>
      <c r="AB36" s="76" t="str">
        <f t="shared" si="109"/>
        <v>Spain</v>
      </c>
      <c r="AE36" s="77">
        <f t="shared" si="110"/>
        <v>0</v>
      </c>
      <c r="AF36" s="78" t="str">
        <f t="shared" si="111"/>
        <v/>
      </c>
      <c r="AG36" s="69"/>
      <c r="AH36" s="127"/>
      <c r="AI36" s="74" t="str">
        <f t="shared" si="112"/>
        <v>Albania</v>
      </c>
      <c r="AJ36" s="75">
        <v>0</v>
      </c>
      <c r="AK36" s="75">
        <v>2</v>
      </c>
      <c r="AL36" s="76" t="str">
        <f t="shared" si="113"/>
        <v>Spain</v>
      </c>
      <c r="AO36" s="77">
        <f t="shared" si="114"/>
        <v>0</v>
      </c>
      <c r="AP36" s="78" t="str">
        <f t="shared" si="115"/>
        <v/>
      </c>
      <c r="AQ36" s="69"/>
      <c r="AR36" s="127"/>
      <c r="AS36" s="74" t="str">
        <f t="shared" si="116"/>
        <v>Albania</v>
      </c>
      <c r="AT36" s="75">
        <v>0</v>
      </c>
      <c r="AU36" s="75">
        <v>5</v>
      </c>
      <c r="AV36" s="76" t="str">
        <f t="shared" si="117"/>
        <v>Spain</v>
      </c>
      <c r="AY36" s="77">
        <f t="shared" si="118"/>
        <v>0</v>
      </c>
      <c r="AZ36" s="78" t="str">
        <f t="shared" si="119"/>
        <v/>
      </c>
      <c r="BA36" s="69"/>
      <c r="BB36" s="127"/>
      <c r="BC36" s="74" t="str">
        <f t="shared" si="120"/>
        <v>Albania</v>
      </c>
      <c r="BD36" s="333">
        <v>0</v>
      </c>
      <c r="BE36" s="334">
        <v>2</v>
      </c>
      <c r="BF36" s="76" t="str">
        <f t="shared" si="121"/>
        <v>Spain</v>
      </c>
      <c r="BI36" s="77">
        <f t="shared" si="122"/>
        <v>0</v>
      </c>
      <c r="BJ36" s="78" t="str">
        <f t="shared" si="123"/>
        <v/>
      </c>
      <c r="BK36" s="69"/>
      <c r="BL36" s="127"/>
      <c r="BM36" s="74" t="str">
        <f t="shared" si="124"/>
        <v>Albania</v>
      </c>
      <c r="BN36" s="333">
        <v>0</v>
      </c>
      <c r="BO36" s="334">
        <v>3</v>
      </c>
      <c r="BP36" s="76" t="str">
        <f t="shared" si="125"/>
        <v>Spain</v>
      </c>
      <c r="BS36" s="77">
        <f t="shared" si="126"/>
        <v>0</v>
      </c>
      <c r="BT36" s="78" t="str">
        <f t="shared" si="127"/>
        <v/>
      </c>
      <c r="BU36" s="69"/>
      <c r="BV36" s="127"/>
      <c r="BW36" s="74" t="str">
        <f t="shared" si="128"/>
        <v>Albania</v>
      </c>
      <c r="BX36" s="75">
        <v>0</v>
      </c>
      <c r="BY36" s="75">
        <v>4</v>
      </c>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102</v>
      </c>
      <c r="E37" s="157">
        <f t="shared" si="144"/>
        <v>45467.875</v>
      </c>
      <c r="F37" s="158">
        <v>45467.875</v>
      </c>
      <c r="G37" s="72" t="str">
        <f>Matches!G35</f>
        <v>Croatia</v>
      </c>
      <c r="H37" s="75"/>
      <c r="I37" s="75"/>
      <c r="J37" s="73" t="str">
        <f>Matches!J35</f>
        <v>Italy</v>
      </c>
      <c r="K37" s="55"/>
      <c r="L37" s="55"/>
      <c r="M37" s="67"/>
      <c r="N37" s="127"/>
      <c r="O37" s="74" t="str">
        <f t="shared" si="104"/>
        <v>Croatia</v>
      </c>
      <c r="P37" s="331">
        <v>2</v>
      </c>
      <c r="Q37" s="331">
        <v>3</v>
      </c>
      <c r="R37" s="76" t="str">
        <f t="shared" si="105"/>
        <v>Italy</v>
      </c>
      <c r="U37" s="77">
        <f t="shared" si="106"/>
        <v>0</v>
      </c>
      <c r="V37" s="78" t="str">
        <f t="shared" si="107"/>
        <v/>
      </c>
      <c r="W37" s="69"/>
      <c r="X37" s="127"/>
      <c r="Y37" s="74" t="str">
        <f t="shared" si="108"/>
        <v>Croatia</v>
      </c>
      <c r="Z37" s="333">
        <v>2</v>
      </c>
      <c r="AA37" s="334">
        <v>2</v>
      </c>
      <c r="AB37" s="76" t="str">
        <f t="shared" si="109"/>
        <v>Italy</v>
      </c>
      <c r="AE37" s="77">
        <f t="shared" si="110"/>
        <v>0</v>
      </c>
      <c r="AF37" s="78" t="str">
        <f t="shared" si="111"/>
        <v/>
      </c>
      <c r="AG37" s="69"/>
      <c r="AH37" s="127"/>
      <c r="AI37" s="74" t="str">
        <f t="shared" si="112"/>
        <v>Croatia</v>
      </c>
      <c r="AJ37" s="75">
        <v>1</v>
      </c>
      <c r="AK37" s="75">
        <v>2</v>
      </c>
      <c r="AL37" s="76" t="str">
        <f t="shared" si="113"/>
        <v>Italy</v>
      </c>
      <c r="AO37" s="77">
        <f t="shared" si="114"/>
        <v>0</v>
      </c>
      <c r="AP37" s="78" t="str">
        <f t="shared" si="115"/>
        <v/>
      </c>
      <c r="AQ37" s="69"/>
      <c r="AR37" s="127"/>
      <c r="AS37" s="74" t="str">
        <f t="shared" si="116"/>
        <v>Croatia</v>
      </c>
      <c r="AT37" s="75">
        <v>1</v>
      </c>
      <c r="AU37" s="75">
        <v>2</v>
      </c>
      <c r="AV37" s="76" t="str">
        <f t="shared" si="117"/>
        <v>Italy</v>
      </c>
      <c r="AY37" s="77">
        <f t="shared" si="118"/>
        <v>0</v>
      </c>
      <c r="AZ37" s="78" t="str">
        <f t="shared" si="119"/>
        <v/>
      </c>
      <c r="BA37" s="69"/>
      <c r="BB37" s="127"/>
      <c r="BC37" s="74" t="str">
        <f t="shared" si="120"/>
        <v>Croatia</v>
      </c>
      <c r="BD37" s="333">
        <v>1</v>
      </c>
      <c r="BE37" s="334">
        <v>1</v>
      </c>
      <c r="BF37" s="76" t="str">
        <f t="shared" si="121"/>
        <v>Italy</v>
      </c>
      <c r="BI37" s="77">
        <f t="shared" si="122"/>
        <v>0</v>
      </c>
      <c r="BJ37" s="78" t="str">
        <f t="shared" si="123"/>
        <v/>
      </c>
      <c r="BK37" s="69"/>
      <c r="BL37" s="127"/>
      <c r="BM37" s="74" t="str">
        <f t="shared" si="124"/>
        <v>Croatia</v>
      </c>
      <c r="BN37" s="333">
        <v>1</v>
      </c>
      <c r="BO37" s="334">
        <v>2</v>
      </c>
      <c r="BP37" s="76" t="str">
        <f t="shared" si="125"/>
        <v>Italy</v>
      </c>
      <c r="BS37" s="77">
        <f t="shared" si="126"/>
        <v>0</v>
      </c>
      <c r="BT37" s="78" t="str">
        <f t="shared" si="127"/>
        <v/>
      </c>
      <c r="BU37" s="69"/>
      <c r="BV37" s="127"/>
      <c r="BW37" s="74" t="str">
        <f t="shared" si="128"/>
        <v>Croatia</v>
      </c>
      <c r="BX37" s="75">
        <v>2</v>
      </c>
      <c r="BY37" s="75">
        <v>1</v>
      </c>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33">
        <v>3</v>
      </c>
      <c r="BO38" s="334">
        <v>0</v>
      </c>
      <c r="BP38" s="76" t="str">
        <f t="shared" si="125"/>
        <v>Slovenia</v>
      </c>
      <c r="BS38" s="77">
        <f t="shared" si="126"/>
        <v>0</v>
      </c>
      <c r="BT38" s="78" t="str">
        <f t="shared" si="127"/>
        <v/>
      </c>
      <c r="BU38" s="69"/>
      <c r="BV38" s="127"/>
      <c r="BW38" s="74" t="str">
        <f t="shared" si="128"/>
        <v>England</v>
      </c>
      <c r="BX38" s="75">
        <v>2</v>
      </c>
      <c r="BY38" s="75">
        <v>0</v>
      </c>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33">
        <v>2</v>
      </c>
      <c r="BO39" s="334">
        <v>1</v>
      </c>
      <c r="BP39" s="76" t="str">
        <f t="shared" si="125"/>
        <v>Serbia</v>
      </c>
      <c r="BS39" s="77">
        <f t="shared" si="126"/>
        <v>0</v>
      </c>
      <c r="BT39" s="78" t="str">
        <f t="shared" si="127"/>
        <v/>
      </c>
      <c r="BU39" s="69"/>
      <c r="BV39" s="127"/>
      <c r="BW39" s="74" t="str">
        <f t="shared" si="128"/>
        <v>Denmark</v>
      </c>
      <c r="BX39" s="75">
        <v>2</v>
      </c>
      <c r="BY39" s="75">
        <v>2</v>
      </c>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33">
        <v>1</v>
      </c>
      <c r="BO40" s="334">
        <v>1</v>
      </c>
      <c r="BP40" s="76" t="str">
        <f t="shared" si="125"/>
        <v>Austria</v>
      </c>
      <c r="BS40" s="77">
        <f t="shared" si="126"/>
        <v>0</v>
      </c>
      <c r="BT40" s="78" t="str">
        <f t="shared" si="127"/>
        <v/>
      </c>
      <c r="BU40" s="69"/>
      <c r="BV40" s="127"/>
      <c r="BW40" s="74" t="str">
        <f t="shared" si="128"/>
        <v>Netherlands</v>
      </c>
      <c r="BX40" s="75">
        <v>3</v>
      </c>
      <c r="BY40" s="75">
        <v>1</v>
      </c>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33">
        <v>2</v>
      </c>
      <c r="BO41" s="334">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33">
        <v>1</v>
      </c>
      <c r="BO42" s="334">
        <v>1</v>
      </c>
      <c r="BP42" s="76" t="str">
        <f t="shared" si="125"/>
        <v>Romania</v>
      </c>
      <c r="BS42" s="77">
        <f t="shared" si="126"/>
        <v>0</v>
      </c>
      <c r="BT42" s="78" t="str">
        <f t="shared" si="127"/>
        <v/>
      </c>
      <c r="BU42" s="69"/>
      <c r="BV42" s="127"/>
      <c r="BW42" s="74" t="str">
        <f t="shared" si="128"/>
        <v>Slovakia</v>
      </c>
      <c r="BX42" s="75">
        <v>1</v>
      </c>
      <c r="BY42" s="75">
        <v>1</v>
      </c>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33">
        <v>1</v>
      </c>
      <c r="BO43" s="334">
        <v>3</v>
      </c>
      <c r="BP43" s="76" t="str">
        <f t="shared" si="125"/>
        <v>Belgium</v>
      </c>
      <c r="BS43" s="77">
        <f t="shared" si="126"/>
        <v>0</v>
      </c>
      <c r="BT43" s="78" t="str">
        <f t="shared" si="127"/>
        <v/>
      </c>
      <c r="BU43" s="69"/>
      <c r="BV43" s="127"/>
      <c r="BW43" s="74" t="str">
        <f t="shared" si="128"/>
        <v>Ukraine</v>
      </c>
      <c r="BX43" s="75">
        <v>1</v>
      </c>
      <c r="BY43" s="75">
        <v>3</v>
      </c>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33">
        <v>0</v>
      </c>
      <c r="BO44" s="334">
        <v>4</v>
      </c>
      <c r="BP44" s="76" t="str">
        <f t="shared" si="125"/>
        <v>Portugal</v>
      </c>
      <c r="BS44" s="77">
        <f t="shared" si="126"/>
        <v>0</v>
      </c>
      <c r="BT44" s="78" t="str">
        <f t="shared" si="127"/>
        <v/>
      </c>
      <c r="BU44" s="69"/>
      <c r="BV44" s="127"/>
      <c r="BW44" s="74" t="str">
        <f t="shared" si="128"/>
        <v>Georgia</v>
      </c>
      <c r="BX44" s="75">
        <v>0</v>
      </c>
      <c r="BY44" s="75">
        <v>3</v>
      </c>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33">
        <v>1</v>
      </c>
      <c r="BO45" s="334">
        <v>1</v>
      </c>
      <c r="BP45" s="76" t="str">
        <f t="shared" si="125"/>
        <v>Türkiye</v>
      </c>
      <c r="BS45" s="77">
        <f t="shared" si="126"/>
        <v>0</v>
      </c>
      <c r="BT45" s="78" t="str">
        <f t="shared" si="127"/>
        <v/>
      </c>
      <c r="BU45" s="69"/>
      <c r="BV45" s="127"/>
      <c r="BW45" s="74" t="str">
        <f t="shared" si="128"/>
        <v>Czechia</v>
      </c>
      <c r="BX45" s="75">
        <v>1</v>
      </c>
      <c r="BY45" s="75">
        <v>2</v>
      </c>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86" t="s">
        <v>107</v>
      </c>
      <c r="E50" s="376"/>
      <c r="F50" s="376"/>
      <c r="G50" s="386" t="s">
        <v>108</v>
      </c>
      <c r="H50" s="376"/>
      <c r="I50" s="376" t="s">
        <v>109</v>
      </c>
      <c r="J50" s="376"/>
      <c r="K50" s="66"/>
      <c r="L50" s="66"/>
      <c r="M50" s="67"/>
      <c r="N50" s="86">
        <f ca="1">SUM(W51:W58)</f>
        <v>0</v>
      </c>
      <c r="O50" s="375" t="str">
        <f>D50</f>
        <v>Winner</v>
      </c>
      <c r="P50" s="375"/>
      <c r="Q50" s="375" t="str">
        <f>G50</f>
        <v>Runner Up</v>
      </c>
      <c r="R50" s="375"/>
      <c r="S50" s="375" t="str">
        <f>I50</f>
        <v>Third Place</v>
      </c>
      <c r="T50" s="375"/>
      <c r="U50" s="375"/>
      <c r="V50" s="68"/>
      <c r="W50" s="69"/>
      <c r="X50" s="86">
        <f ca="1">SUM(AG51:AG58)</f>
        <v>0</v>
      </c>
      <c r="Y50" s="375" t="str">
        <f>O50</f>
        <v>Winner</v>
      </c>
      <c r="Z50" s="375"/>
      <c r="AA50" s="375" t="str">
        <f>Q50</f>
        <v>Runner Up</v>
      </c>
      <c r="AB50" s="375"/>
      <c r="AC50" s="375" t="str">
        <f>S50</f>
        <v>Third Place</v>
      </c>
      <c r="AD50" s="375"/>
      <c r="AE50" s="375"/>
      <c r="AF50" s="68"/>
      <c r="AG50" s="69"/>
      <c r="AH50" s="86">
        <f t="shared" ref="AH50" ca="1" si="153">SUM(AQ51:AQ58)</f>
        <v>0</v>
      </c>
      <c r="AI50" s="375" t="str">
        <f t="shared" si="145"/>
        <v>Winner</v>
      </c>
      <c r="AJ50" s="375"/>
      <c r="AK50" s="375" t="str">
        <f t="shared" ref="AK50" si="154">AA50</f>
        <v>Runner Up</v>
      </c>
      <c r="AL50" s="375"/>
      <c r="AM50" s="375" t="str">
        <f t="shared" ref="AM50" si="155">AC50</f>
        <v>Third Place</v>
      </c>
      <c r="AN50" s="375"/>
      <c r="AO50" s="375"/>
      <c r="AP50" s="68"/>
      <c r="AQ50" s="69"/>
      <c r="AR50" s="86">
        <f t="shared" ref="AR50" ca="1" si="156">SUM(BA51:BA58)</f>
        <v>0</v>
      </c>
      <c r="AS50" s="375" t="str">
        <f t="shared" si="146"/>
        <v>Winner</v>
      </c>
      <c r="AT50" s="375"/>
      <c r="AU50" s="375" t="str">
        <f t="shared" ref="AU50" si="157">AK50</f>
        <v>Runner Up</v>
      </c>
      <c r="AV50" s="375"/>
      <c r="AW50" s="375" t="str">
        <f t="shared" ref="AW50" si="158">AM50</f>
        <v>Third Place</v>
      </c>
      <c r="AX50" s="375"/>
      <c r="AY50" s="375"/>
      <c r="AZ50" s="68"/>
      <c r="BA50" s="69"/>
      <c r="BB50" s="86">
        <f t="shared" ref="BB50" ca="1" si="159">SUM(BK51:BK58)</f>
        <v>0</v>
      </c>
      <c r="BC50" s="375" t="str">
        <f t="shared" si="147"/>
        <v>Winner</v>
      </c>
      <c r="BD50" s="375"/>
      <c r="BE50" s="375" t="str">
        <f t="shared" ref="BE50" si="160">AU50</f>
        <v>Runner Up</v>
      </c>
      <c r="BF50" s="375"/>
      <c r="BG50" s="375" t="str">
        <f t="shared" ref="BG50" si="161">AW50</f>
        <v>Third Place</v>
      </c>
      <c r="BH50" s="375"/>
      <c r="BI50" s="375"/>
      <c r="BJ50" s="68"/>
      <c r="BK50" s="69"/>
      <c r="BL50" s="86">
        <f t="shared" ref="BL50" ca="1" si="162">SUM(BU51:BU58)</f>
        <v>0</v>
      </c>
      <c r="BM50" s="375" t="str">
        <f t="shared" si="148"/>
        <v>Winner</v>
      </c>
      <c r="BN50" s="375"/>
      <c r="BO50" s="375" t="str">
        <f t="shared" ref="BO50" si="163">BE50</f>
        <v>Runner Up</v>
      </c>
      <c r="BP50" s="375"/>
      <c r="BQ50" s="375" t="str">
        <f t="shared" ref="BQ50" si="164">BG50</f>
        <v>Third Place</v>
      </c>
      <c r="BR50" s="375"/>
      <c r="BS50" s="375"/>
      <c r="BT50" s="68"/>
      <c r="BU50" s="69"/>
      <c r="BV50" s="86">
        <f t="shared" ref="BV50" ca="1" si="165">SUM(CE51:CE58)</f>
        <v>0</v>
      </c>
      <c r="BW50" s="375" t="str">
        <f t="shared" si="149"/>
        <v>Winner</v>
      </c>
      <c r="BX50" s="375"/>
      <c r="BY50" s="375" t="str">
        <f t="shared" ref="BY50" si="166">BO50</f>
        <v>Runner Up</v>
      </c>
      <c r="BZ50" s="375"/>
      <c r="CA50" s="375" t="str">
        <f t="shared" ref="CA50" si="167">BQ50</f>
        <v>Third Place</v>
      </c>
      <c r="CB50" s="375"/>
      <c r="CC50" s="375"/>
      <c r="CD50" s="68"/>
      <c r="CE50" s="69"/>
      <c r="CF50" s="86">
        <f t="shared" ref="CF50" si="168">SUM(CO51:CO58)</f>
        <v>0</v>
      </c>
      <c r="CG50" s="375" t="str">
        <f t="shared" si="150"/>
        <v>Winner</v>
      </c>
      <c r="CH50" s="375"/>
      <c r="CI50" s="375" t="str">
        <f t="shared" ref="CI50" si="169">BY50</f>
        <v>Runner Up</v>
      </c>
      <c r="CJ50" s="375"/>
      <c r="CK50" s="375" t="str">
        <f t="shared" ref="CK50" si="170">CA50</f>
        <v>Third Place</v>
      </c>
      <c r="CL50" s="375"/>
      <c r="CM50" s="375"/>
      <c r="CN50" s="68"/>
      <c r="CO50" s="69"/>
      <c r="CP50" s="86">
        <f t="shared" ref="CP50" si="171">SUM(CY51:CY58)</f>
        <v>0</v>
      </c>
      <c r="CQ50" s="375" t="str">
        <f t="shared" si="151"/>
        <v>Winner</v>
      </c>
      <c r="CR50" s="375"/>
      <c r="CS50" s="375" t="str">
        <f t="shared" ref="CS50" si="172">CI50</f>
        <v>Runner Up</v>
      </c>
      <c r="CT50" s="375"/>
      <c r="CU50" s="375" t="str">
        <f t="shared" ref="CU50" si="173">CK50</f>
        <v>Third Place</v>
      </c>
      <c r="CV50" s="375"/>
      <c r="CW50" s="375"/>
      <c r="CX50" s="68"/>
      <c r="CY50" s="69"/>
      <c r="CZ50" s="86">
        <f t="shared" ref="CZ50" si="174">SUM(DI51:DI58)</f>
        <v>0</v>
      </c>
      <c r="DA50" s="375" t="str">
        <f t="shared" si="152"/>
        <v>Winner</v>
      </c>
      <c r="DB50" s="375"/>
      <c r="DC50" s="375" t="str">
        <f t="shared" ref="DC50" si="175">CS50</f>
        <v>Runner Up</v>
      </c>
      <c r="DD50" s="375"/>
      <c r="DE50" s="375" t="str">
        <f t="shared" ref="DE50" si="176">CU50</f>
        <v>Third Place</v>
      </c>
      <c r="DF50" s="375"/>
      <c r="DG50" s="375"/>
      <c r="DH50" s="68"/>
      <c r="DI50" s="69"/>
    </row>
    <row r="51" spans="1:113" s="43" customFormat="1" ht="15" customHeight="1" x14ac:dyDescent="0.25">
      <c r="A51" s="41"/>
      <c r="B51" s="65"/>
      <c r="C51" s="87" t="s">
        <v>101</v>
      </c>
      <c r="D51" s="371" t="str">
        <f>Matches!P7</f>
        <v>Germany</v>
      </c>
      <c r="E51" s="371"/>
      <c r="F51" s="371"/>
      <c r="G51" s="371" t="str">
        <f>Matches!P8</f>
        <v>Switzerland</v>
      </c>
      <c r="H51" s="371"/>
      <c r="I51" s="384" t="str">
        <f>IF(ISNA(MATCH(Matches!P9,Qual3,0)),"",Matches!P9)</f>
        <v>Scotland</v>
      </c>
      <c r="J51" s="385"/>
      <c r="K51" s="66"/>
      <c r="L51" s="66"/>
      <c r="M51" s="67"/>
      <c r="N51" s="126">
        <v>0</v>
      </c>
      <c r="O51" s="361" t="str">
        <f ca="1">VLOOKUP(1,OFFSET('Dummy Table'!DY4:DZ7,0,N51),2,FALSE)</f>
        <v>Germany</v>
      </c>
      <c r="P51" s="361"/>
      <c r="Q51" s="361" t="str">
        <f ca="1">VLOOKUP(2,OFFSET('Dummy Table'!DY4:DZ7,0,N51),2,FALSE)</f>
        <v>Switzerland</v>
      </c>
      <c r="R51" s="361"/>
      <c r="S51" s="363" t="str">
        <f ca="1">IFERROR(IF(MATCH(VLOOKUP(3,OFFSET('Dummy Table'!DY4:DZ7,0,N51),2,FALSE),OFFSET('Dummy Table'!IU13:IU16,0,N51),0),VLOOKUP(3,OFFSET('Dummy Table'!DY4:DZ7,0,N51),2,FALSE),""),"")</f>
        <v>Scotland</v>
      </c>
      <c r="T51" s="363"/>
      <c r="U51" s="363"/>
      <c r="V51" s="68"/>
      <c r="W51" s="78">
        <f>IF(P45&lt;&gt;"",IF(SUM(Matches!T7:T10)=12,IF(O51=D51,Bonu1,0)+IF(Q51=G51,Bonu2,0)+IF(AND(S51&lt;&gt;"",I51&lt;&gt;"",S51=I51),Bonu3,0),0),"")</f>
        <v>0</v>
      </c>
      <c r="X51" s="126">
        <f>N51+128</f>
        <v>128</v>
      </c>
      <c r="Y51" s="361" t="str">
        <f ca="1">VLOOKUP(1,OFFSET('Dummy Table'!DY4:DZ7,0,X51),2,FALSE)</f>
        <v>Germany</v>
      </c>
      <c r="Z51" s="361"/>
      <c r="AA51" s="361" t="str">
        <f ca="1">VLOOKUP(2,OFFSET('Dummy Table'!DY4:DZ7,0,X51),2,FALSE)</f>
        <v>Scotland</v>
      </c>
      <c r="AB51" s="361"/>
      <c r="AC51" s="363" t="str">
        <f ca="1">IFERROR(IF(MATCH(VLOOKUP(3,OFFSET('Dummy Table'!DY4:DZ7,0,X51),2,FALSE),OFFSET('Dummy Table'!IU13:IU16,0,X51),0),VLOOKUP(3,OFFSET('Dummy Table'!DY4:DZ7,0,X51),2,FALSE),""),"")</f>
        <v>Hungary</v>
      </c>
      <c r="AD51" s="363"/>
      <c r="AE51" s="363"/>
      <c r="AF51" s="68"/>
      <c r="AG51" s="78">
        <f>IF(Z45&lt;&gt;"",IF(SUM(Matches!T7:T10)=12,IF(Y51=D51,Bonu1,0)+IF(AA51=G51,Bonu2,0)+IF(AND(AC51&lt;&gt;"",I51&lt;&gt;"",AC51=I51),Bonu3,0),0),"")</f>
        <v>0</v>
      </c>
      <c r="AH51" s="126">
        <f t="shared" ref="AH51" si="177">X51+128</f>
        <v>256</v>
      </c>
      <c r="AI51" s="361" t="str">
        <f ca="1">VLOOKUP(1,OFFSET('Dummy Table'!DY4:DZ7,0,AH51),2,FALSE)</f>
        <v>Germany</v>
      </c>
      <c r="AJ51" s="361"/>
      <c r="AK51" s="361" t="str">
        <f ca="1">VLOOKUP(2,OFFSET('Dummy Table'!DY4:DZ7,0,AH51),2,FALSE)</f>
        <v>Hungary</v>
      </c>
      <c r="AL51" s="361"/>
      <c r="AM51" s="363" t="str">
        <f ca="1">IFERROR(IF(MATCH(VLOOKUP(3,OFFSET('Dummy Table'!DY4:DZ7,0,AH51),2,FALSE),OFFSET('Dummy Table'!IU13:IU16,0,AH51),0),VLOOKUP(3,OFFSET('Dummy Table'!DY4:DZ7,0,AH51),2,FALSE),""),"")</f>
        <v/>
      </c>
      <c r="AN51" s="363"/>
      <c r="AO51" s="363"/>
      <c r="AP51" s="68"/>
      <c r="AQ51" s="78">
        <f>IF(AJ45&lt;&gt;"",IF(SUM(Matches!T7:T10)=12,IF(AI51=D51,Bonu1,0)+IF(AK51=G51,Bonu2,0)+IF(AND(AM51&lt;&gt;"",I51&lt;&gt;"",AM51=I51),Bonu3,0),0),"")</f>
        <v>0</v>
      </c>
      <c r="AR51" s="126">
        <f t="shared" ref="AR51" si="178">AH51+128</f>
        <v>384</v>
      </c>
      <c r="AS51" s="361" t="str">
        <f ca="1">VLOOKUP(1,OFFSET('Dummy Table'!DY4:DZ7,0,AR51),2,FALSE)</f>
        <v>Germany</v>
      </c>
      <c r="AT51" s="361"/>
      <c r="AU51" s="361" t="str">
        <f ca="1">VLOOKUP(2,OFFSET('Dummy Table'!DY4:DZ7,0,AR51),2,FALSE)</f>
        <v>Switzerland</v>
      </c>
      <c r="AV51" s="361"/>
      <c r="AW51" s="363" t="str">
        <f ca="1">IFERROR(IF(MATCH(VLOOKUP(3,OFFSET('Dummy Table'!DY4:DZ7,0,AR51),2,FALSE),OFFSET('Dummy Table'!IU13:IU16,0,AR51),0),VLOOKUP(3,OFFSET('Dummy Table'!DY4:DZ7,0,AR51),2,FALSE),""),"")</f>
        <v>Scotland</v>
      </c>
      <c r="AX51" s="363"/>
      <c r="AY51" s="363"/>
      <c r="AZ51" s="68"/>
      <c r="BA51" s="78">
        <f>IF(AT45&lt;&gt;"",IF(SUM(Matches!T7:T10)=12,IF(AS51=D51,Bonu1,0)+IF(AU51=G51,Bonu2,0)+IF(AND(AW51&lt;&gt;"",I51&lt;&gt;"",AW51=I51),Bonu3,0),0),"")</f>
        <v>0</v>
      </c>
      <c r="BB51" s="126">
        <f t="shared" ref="BB51" si="179">AR51+128</f>
        <v>512</v>
      </c>
      <c r="BC51" s="361" t="str">
        <f ca="1">VLOOKUP(1,OFFSET('Dummy Table'!DY4:DZ7,0,BB51),2,FALSE)</f>
        <v>Germany</v>
      </c>
      <c r="BD51" s="361"/>
      <c r="BE51" s="361" t="str">
        <f ca="1">VLOOKUP(2,OFFSET('Dummy Table'!DY4:DZ7,0,BB51),2,FALSE)</f>
        <v>Scotland</v>
      </c>
      <c r="BF51" s="361"/>
      <c r="BG51" s="363" t="str">
        <f ca="1">IFERROR(IF(MATCH(VLOOKUP(3,OFFSET('Dummy Table'!DY4:DZ7,0,BB51),2,FALSE),OFFSET('Dummy Table'!IU13:IU16,0,BB51),0),VLOOKUP(3,OFFSET('Dummy Table'!DY4:DZ7,0,BB51),2,FALSE),""),"")</f>
        <v>Switzerland</v>
      </c>
      <c r="BH51" s="363"/>
      <c r="BI51" s="363"/>
      <c r="BJ51" s="68"/>
      <c r="BK51" s="78">
        <f>IF(BD45&lt;&gt;"",IF(SUM(Matches!T7:T10)=12,IF(BC51=D51,Bonu1,0)+IF(BE51=G51,Bonu2,0)+IF(AND(BG51&lt;&gt;"",I51&lt;&gt;"",BG51=I51),Bonu3,0),0),"")</f>
        <v>0</v>
      </c>
      <c r="BL51" s="126">
        <f t="shared" ref="BL51" si="180">BB51+128</f>
        <v>640</v>
      </c>
      <c r="BM51" s="361" t="str">
        <f ca="1">VLOOKUP(1,OFFSET('Dummy Table'!DY4:DZ7,0,BL51),2,FALSE)</f>
        <v>Germany</v>
      </c>
      <c r="BN51" s="361"/>
      <c r="BO51" s="361" t="str">
        <f ca="1">VLOOKUP(2,OFFSET('Dummy Table'!DY4:DZ7,0,BL51),2,FALSE)</f>
        <v>Switzerland</v>
      </c>
      <c r="BP51" s="361"/>
      <c r="BQ51" s="363" t="str">
        <f ca="1">IFERROR(IF(MATCH(VLOOKUP(3,OFFSET('Dummy Table'!DY4:DZ7,0,BL51),2,FALSE),OFFSET('Dummy Table'!IU13:IU16,0,BL51),0),VLOOKUP(3,OFFSET('Dummy Table'!DY4:DZ7,0,BL51),2,FALSE),""),"")</f>
        <v>Scotland</v>
      </c>
      <c r="BR51" s="363"/>
      <c r="BS51" s="363"/>
      <c r="BT51" s="68"/>
      <c r="BU51" s="78">
        <f>IF(BN45&lt;&gt;"",IF(SUM(Matches!T7:T10)=12,IF(BM51=D51,Bonu1,0)+IF(BO51=G51,Bonu2,0)+IF(AND(BQ51&lt;&gt;"",I51&lt;&gt;"",BQ51=I51),Bonu3,0),0),"")</f>
        <v>0</v>
      </c>
      <c r="BV51" s="126">
        <f t="shared" ref="BV51" si="181">BL51+128</f>
        <v>768</v>
      </c>
      <c r="BW51" s="361" t="str">
        <f ca="1">VLOOKUP(1,OFFSET('Dummy Table'!DY4:DZ7,0,BV51),2,FALSE)</f>
        <v>Germany</v>
      </c>
      <c r="BX51" s="361"/>
      <c r="BY51" s="361" t="str">
        <f ca="1">VLOOKUP(2,OFFSET('Dummy Table'!DY4:DZ7,0,BV51),2,FALSE)</f>
        <v>Switzerland</v>
      </c>
      <c r="BZ51" s="361"/>
      <c r="CA51" s="363" t="str">
        <f ca="1">IFERROR(IF(MATCH(VLOOKUP(3,OFFSET('Dummy Table'!DY4:DZ7,0,BV51),2,FALSE),OFFSET('Dummy Table'!IU13:IU16,0,BV51),0),VLOOKUP(3,OFFSET('Dummy Table'!DY4:DZ7,0,BV51),2,FALSE),""),"")</f>
        <v/>
      </c>
      <c r="CB51" s="363"/>
      <c r="CC51" s="363"/>
      <c r="CD51" s="68"/>
      <c r="CE51" s="78">
        <f>IF(BX45&lt;&gt;"",IF(SUM(Matches!T7:T10)=12,IF(BW51=D51,Bonu1,0)+IF(BY51=G51,Bonu2,0)+IF(AND(CA51&lt;&gt;"",I51&lt;&gt;"",CA51=I51),Bonu3,0),0),"")</f>
        <v>0</v>
      </c>
      <c r="CF51" s="126">
        <f t="shared" ref="CF51" si="182">BV51+128</f>
        <v>896</v>
      </c>
      <c r="CG51" s="361" t="str">
        <f ca="1">VLOOKUP(1,OFFSET('Dummy Table'!DY4:DZ7,0,CF51),2,FALSE)</f>
        <v>Germany</v>
      </c>
      <c r="CH51" s="361"/>
      <c r="CI51" s="361" t="str">
        <f ca="1">VLOOKUP(2,OFFSET('Dummy Table'!DY4:DZ7,0,CF51),2,FALSE)</f>
        <v>Hungary</v>
      </c>
      <c r="CJ51" s="361"/>
      <c r="CK51" s="363" t="str">
        <f ca="1">IFERROR(IF(MATCH(VLOOKUP(3,OFFSET('Dummy Table'!DY4:DZ7,0,CF51),2,FALSE),OFFSET('Dummy Table'!IU13:IU16,0,CF51),0),VLOOKUP(3,OFFSET('Dummy Table'!DY4:DZ7,0,CF51),2,FALSE),""),"")</f>
        <v>Scotland</v>
      </c>
      <c r="CL51" s="363"/>
      <c r="CM51" s="363"/>
      <c r="CN51" s="68"/>
      <c r="CO51" s="78" t="str">
        <f>IF(CH45&lt;&gt;"",IF(SUM(Matches!T7:T10)=12,IF(CG51=D51,Bonu1,0)+IF(CI51=G51,Bonu2,0)+IF(AND(CK51&lt;&gt;"",I51&lt;&gt;"",CK51=I51),Bonu3,0),0),"")</f>
        <v/>
      </c>
      <c r="CP51" s="126">
        <f t="shared" ref="CP51" si="183">CF51+128</f>
        <v>1024</v>
      </c>
      <c r="CQ51" s="361" t="str">
        <f ca="1">VLOOKUP(1,OFFSET('Dummy Table'!DY4:DZ7,0,CP51),2,FALSE)</f>
        <v>Germany</v>
      </c>
      <c r="CR51" s="361"/>
      <c r="CS51" s="361" t="str">
        <f ca="1">VLOOKUP(2,OFFSET('Dummy Table'!DY4:DZ7,0,CP51),2,FALSE)</f>
        <v>Hungary</v>
      </c>
      <c r="CT51" s="361"/>
      <c r="CU51" s="363" t="str">
        <f ca="1">IFERROR(IF(MATCH(VLOOKUP(3,OFFSET('Dummy Table'!DY4:DZ7,0,CP51),2,FALSE),OFFSET('Dummy Table'!IU13:IU16,0,CP51),0),VLOOKUP(3,OFFSET('Dummy Table'!DY4:DZ7,0,CP51),2,FALSE),""),"")</f>
        <v>Scotland</v>
      </c>
      <c r="CV51" s="363"/>
      <c r="CW51" s="363"/>
      <c r="CX51" s="68"/>
      <c r="CY51" s="78" t="str">
        <f>IF(CR45&lt;&gt;"",IF(SUM(Matches!T7:T10)=12,IF(CQ51=D51,Bonu1,0)+IF(CS51=G51,Bonu2,0)+IF(AND(CU51&lt;&gt;"",I51&lt;&gt;"",CU51=I51),Bonu3,0),0),"")</f>
        <v/>
      </c>
      <c r="CZ51" s="126">
        <f t="shared" ref="CZ51" si="184">CP51+128</f>
        <v>1152</v>
      </c>
      <c r="DA51" s="361" t="str">
        <f ca="1">VLOOKUP(1,OFFSET('Dummy Table'!DY4:DZ7,0,CZ51),2,FALSE)</f>
        <v>Germany</v>
      </c>
      <c r="DB51" s="361"/>
      <c r="DC51" s="361" t="str">
        <f ca="1">VLOOKUP(2,OFFSET('Dummy Table'!DY4:DZ7,0,CZ51),2,FALSE)</f>
        <v>Hungary</v>
      </c>
      <c r="DD51" s="361"/>
      <c r="DE51" s="363" t="str">
        <f ca="1">IFERROR(IF(MATCH(VLOOKUP(3,OFFSET('Dummy Table'!DY4:DZ7,0,CZ51),2,FALSE),OFFSET('Dummy Table'!IU13:IU16,0,CZ51),0),VLOOKUP(3,OFFSET('Dummy Table'!DY4:DZ7,0,CZ51),2,FALSE),""),"")</f>
        <v>Scotland</v>
      </c>
      <c r="DF51" s="363"/>
      <c r="DG51" s="363"/>
      <c r="DH51" s="68"/>
      <c r="DI51" s="78" t="str">
        <f>IF(DB45&lt;&gt;"",IF(SUM(Matches!T7:T10)=12,IF(DA51=D51,Bonu1,0)+IF(DC51=G51,Bonu2,0)+IF(AND(DE51&lt;&gt;"",I51&lt;&gt;"",DE51=I51),Bonu3,0),0),"")</f>
        <v/>
      </c>
    </row>
    <row r="52" spans="1:113" s="43" customFormat="1" ht="15" customHeight="1" x14ac:dyDescent="0.25">
      <c r="A52" s="41"/>
      <c r="B52" s="65"/>
      <c r="C52" s="87" t="s">
        <v>102</v>
      </c>
      <c r="D52" s="371" t="str">
        <f>Matches!P12</f>
        <v>Spain</v>
      </c>
      <c r="E52" s="371"/>
      <c r="F52" s="371"/>
      <c r="G52" s="371" t="str">
        <f>Matches!P13</f>
        <v>Italy</v>
      </c>
      <c r="H52" s="371"/>
      <c r="I52" s="384" t="str">
        <f>IF(ISNA(MATCH(Matches!P14,Qual3,0)),"",Matches!P14)</f>
        <v>Albania</v>
      </c>
      <c r="J52" s="385"/>
      <c r="K52" s="66"/>
      <c r="L52" s="66"/>
      <c r="M52" s="67"/>
      <c r="N52" s="126">
        <f ca="1">SUM(U61:U75)</f>
        <v>0</v>
      </c>
      <c r="O52" s="361" t="str">
        <f ca="1">VLOOKUP(1,OFFSET('Dummy Table'!DY11:DZ14,0,N51),2,FALSE)</f>
        <v>Spain</v>
      </c>
      <c r="P52" s="361"/>
      <c r="Q52" s="361" t="str">
        <f ca="1">VLOOKUP(2,OFFSET('Dummy Table'!DY11:DZ14,0,N51),2,FALSE)</f>
        <v>Italy</v>
      </c>
      <c r="R52" s="361"/>
      <c r="S52" s="363" t="str">
        <f ca="1">IFERROR(IF(MATCH(VLOOKUP(3,OFFSET('Dummy Table'!DY11:DZ14,0,N51),2,FALSE),OFFSET('Dummy Table'!IU13:IU16,0,N51),0),VLOOKUP(3,OFFSET('Dummy Table'!DY11:DZ14,0,N51),2,FALSE),""),"")</f>
        <v>Croatia</v>
      </c>
      <c r="T52" s="363"/>
      <c r="U52" s="363"/>
      <c r="V52" s="68"/>
      <c r="W52" s="78">
        <f>IF(P45&lt;&gt;"",IF(SUM(Matches!T12:T15)=12,IF(O52=D52,Bonu1,0)+IF(Q52=G52,Bonu2,0)+IF(AND(S52&lt;&gt;"",I52&lt;&gt;"",S52=I52),Bonu3,0),0),"")</f>
        <v>0</v>
      </c>
      <c r="X52" s="126">
        <f ca="1">SUM(AE61:AE75)</f>
        <v>0</v>
      </c>
      <c r="Y52" s="361" t="str">
        <f ca="1">VLOOKUP(1,OFFSET('Dummy Table'!DY11:DZ14,0,X51),2,FALSE)</f>
        <v>Spain</v>
      </c>
      <c r="Z52" s="361"/>
      <c r="AA52" s="361" t="str">
        <f ca="1">VLOOKUP(2,OFFSET('Dummy Table'!DY11:DZ14,0,X51),2,FALSE)</f>
        <v>Italy</v>
      </c>
      <c r="AB52" s="361"/>
      <c r="AC52" s="363" t="str">
        <f ca="1">IFERROR(IF(MATCH(VLOOKUP(3,OFFSET('Dummy Table'!DY11:DZ14,0,X51),2,FALSE),OFFSET('Dummy Table'!IU13:IU16,0,X51),0),VLOOKUP(3,OFFSET('Dummy Table'!DY11:DZ14,0,X51),2,FALSE),""),"")</f>
        <v>Croatia</v>
      </c>
      <c r="AD52" s="363"/>
      <c r="AE52" s="363"/>
      <c r="AF52" s="68"/>
      <c r="AG52" s="78">
        <f>IF(Z45&lt;&gt;"",IF(SUM(Matches!T12:T15)=12,IF(Y52=D52,Bonu1,0)+IF(AA52=G52,Bonu2,0)+IF(AND(AC52&lt;&gt;"",I52&lt;&gt;"",AC52=I52),Bonu3,0),0),"")</f>
        <v>0</v>
      </c>
      <c r="AH52" s="126">
        <f t="shared" ref="AH52" ca="1" si="185">SUM(AO61:AO75)</f>
        <v>0</v>
      </c>
      <c r="AI52" s="361" t="str">
        <f ca="1">VLOOKUP(1,OFFSET('Dummy Table'!DY11:DZ14,0,AH51),2,FALSE)</f>
        <v>Spain</v>
      </c>
      <c r="AJ52" s="361"/>
      <c r="AK52" s="361" t="str">
        <f ca="1">VLOOKUP(2,OFFSET('Dummy Table'!DY11:DZ14,0,AH51),2,FALSE)</f>
        <v>Italy</v>
      </c>
      <c r="AL52" s="361"/>
      <c r="AM52" s="363" t="str">
        <f ca="1">IFERROR(IF(MATCH(VLOOKUP(3,OFFSET('Dummy Table'!DY11:DZ14,0,AH51),2,FALSE),OFFSET('Dummy Table'!IU13:IU16,0,AH51),0),VLOOKUP(3,OFFSET('Dummy Table'!DY11:DZ14,0,AH51),2,FALSE),""),"")</f>
        <v>Croatia</v>
      </c>
      <c r="AN52" s="363"/>
      <c r="AO52" s="363"/>
      <c r="AP52" s="68"/>
      <c r="AQ52" s="78">
        <f>IF(AJ45&lt;&gt;"",IF(SUM(Matches!T12:T15)=12,IF(AI52=D52,Bonu1,0)+IF(AK52=G52,Bonu2,0)+IF(AND(AM52&lt;&gt;"",I52&lt;&gt;"",AM52=I52),Bonu3,0),0),"")</f>
        <v>0</v>
      </c>
      <c r="AR52" s="126">
        <f t="shared" ref="AR52" ca="1" si="186">SUM(AY61:AY75)</f>
        <v>0</v>
      </c>
      <c r="AS52" s="361" t="str">
        <f ca="1">VLOOKUP(1,OFFSET('Dummy Table'!DY11:DZ14,0,AR51),2,FALSE)</f>
        <v>Spain</v>
      </c>
      <c r="AT52" s="361"/>
      <c r="AU52" s="361" t="str">
        <f ca="1">VLOOKUP(2,OFFSET('Dummy Table'!DY11:DZ14,0,AR51),2,FALSE)</f>
        <v>Italy</v>
      </c>
      <c r="AV52" s="361"/>
      <c r="AW52" s="363" t="str">
        <f ca="1">IFERROR(IF(MATCH(VLOOKUP(3,OFFSET('Dummy Table'!DY11:DZ14,0,AR51),2,FALSE),OFFSET('Dummy Table'!IU13:IU16,0,AR51),0),VLOOKUP(3,OFFSET('Dummy Table'!DY11:DZ14,0,AR51),2,FALSE),""),"")</f>
        <v>Croatia</v>
      </c>
      <c r="AX52" s="363"/>
      <c r="AY52" s="363"/>
      <c r="AZ52" s="68"/>
      <c r="BA52" s="78">
        <f>IF(AT45&lt;&gt;"",IF(SUM(Matches!T12:T15)=12,IF(AS52=D52,Bonu1,0)+IF(AU52=G52,Bonu2,0)+IF(AND(AW52&lt;&gt;"",I52&lt;&gt;"",AW52=I52),Bonu3,0),0),"")</f>
        <v>0</v>
      </c>
      <c r="BB52" s="126">
        <f t="shared" ref="BB52" ca="1" si="187">SUM(BI61:BI75)</f>
        <v>0</v>
      </c>
      <c r="BC52" s="361" t="str">
        <f ca="1">VLOOKUP(1,OFFSET('Dummy Table'!DY11:DZ14,0,BB51),2,FALSE)</f>
        <v>Italy</v>
      </c>
      <c r="BD52" s="361"/>
      <c r="BE52" s="361" t="str">
        <f ca="1">VLOOKUP(2,OFFSET('Dummy Table'!DY11:DZ14,0,BB51),2,FALSE)</f>
        <v>Croatia</v>
      </c>
      <c r="BF52" s="361"/>
      <c r="BG52" s="363" t="str">
        <f ca="1">IFERROR(IF(MATCH(VLOOKUP(3,OFFSET('Dummy Table'!DY11:DZ14,0,BB51),2,FALSE),OFFSET('Dummy Table'!IU13:IU16,0,BB51),0),VLOOKUP(3,OFFSET('Dummy Table'!DY11:DZ14,0,BB51),2,FALSE),""),"")</f>
        <v>Spain</v>
      </c>
      <c r="BH52" s="363"/>
      <c r="BI52" s="363"/>
      <c r="BJ52" s="68"/>
      <c r="BK52" s="78">
        <f>IF(BD45&lt;&gt;"",IF(SUM(Matches!T12:T15)=12,IF(BC52=D52,Bonu1,0)+IF(BE52=G52,Bonu2,0)+IF(AND(BG52&lt;&gt;"",I52&lt;&gt;"",BG52=I52),Bonu3,0),0),"")</f>
        <v>0</v>
      </c>
      <c r="BL52" s="126">
        <f t="shared" ref="BL52" ca="1" si="188">SUM(BS61:BS75)</f>
        <v>0</v>
      </c>
      <c r="BM52" s="361" t="str">
        <f ca="1">VLOOKUP(1,OFFSET('Dummy Table'!DY11:DZ14,0,BL51),2,FALSE)</f>
        <v>Spain</v>
      </c>
      <c r="BN52" s="361"/>
      <c r="BO52" s="361" t="str">
        <f ca="1">VLOOKUP(2,OFFSET('Dummy Table'!DY11:DZ14,0,BL51),2,FALSE)</f>
        <v>Italy</v>
      </c>
      <c r="BP52" s="361"/>
      <c r="BQ52" s="363" t="str">
        <f ca="1">IFERROR(IF(MATCH(VLOOKUP(3,OFFSET('Dummy Table'!DY11:DZ14,0,BL51),2,FALSE),OFFSET('Dummy Table'!IU13:IU16,0,BL51),0),VLOOKUP(3,OFFSET('Dummy Table'!DY11:DZ14,0,BL51),2,FALSE),""),"")</f>
        <v>Croatia</v>
      </c>
      <c r="BR52" s="363"/>
      <c r="BS52" s="363"/>
      <c r="BT52" s="68"/>
      <c r="BU52" s="78">
        <f>IF(BN45&lt;&gt;"",IF(SUM(Matches!T12:T15)=12,IF(BM52=D52,Bonu1,0)+IF(BO52=G52,Bonu2,0)+IF(AND(BQ52&lt;&gt;"",I52&lt;&gt;"",BQ52=I52),Bonu3,0),0),"")</f>
        <v>0</v>
      </c>
      <c r="BV52" s="126">
        <f t="shared" ref="BV52" ca="1" si="189">SUM(CC61:CC75)</f>
        <v>0</v>
      </c>
      <c r="BW52" s="361" t="str">
        <f ca="1">VLOOKUP(1,OFFSET('Dummy Table'!DY11:DZ14,0,BV51),2,FALSE)</f>
        <v>Spain</v>
      </c>
      <c r="BX52" s="361"/>
      <c r="BY52" s="361" t="str">
        <f ca="1">VLOOKUP(2,OFFSET('Dummy Table'!DY11:DZ14,0,BV51),2,FALSE)</f>
        <v>Croatia</v>
      </c>
      <c r="BZ52" s="361"/>
      <c r="CA52" s="363" t="str">
        <f ca="1">IFERROR(IF(MATCH(VLOOKUP(3,OFFSET('Dummy Table'!DY11:DZ14,0,BV51),2,FALSE),OFFSET('Dummy Table'!IU13:IU16,0,BV51),0),VLOOKUP(3,OFFSET('Dummy Table'!DY11:DZ14,0,BV51),2,FALSE),""),"")</f>
        <v>Italy</v>
      </c>
      <c r="CB52" s="363"/>
      <c r="CC52" s="363"/>
      <c r="CD52" s="68"/>
      <c r="CE52" s="78">
        <f>IF(BX45&lt;&gt;"",IF(SUM(Matches!T12:T15)=12,IF(BW52=D52,Bonu1,0)+IF(BY52=G52,Bonu2,0)+IF(AND(CA52&lt;&gt;"",I52&lt;&gt;"",CA52=I52),Bonu3,0),0),"")</f>
        <v>0</v>
      </c>
      <c r="CF52" s="126">
        <f t="shared" ref="CF52" ca="1" si="190">SUM(CM61:CM75)</f>
        <v>0</v>
      </c>
      <c r="CG52" s="361" t="str">
        <f ca="1">VLOOKUP(1,OFFSET('Dummy Table'!DY11:DZ14,0,CF51),2,FALSE)</f>
        <v>Spain</v>
      </c>
      <c r="CH52" s="361"/>
      <c r="CI52" s="361" t="str">
        <f ca="1">VLOOKUP(2,OFFSET('Dummy Table'!DY11:DZ14,0,CF51),2,FALSE)</f>
        <v>Albania</v>
      </c>
      <c r="CJ52" s="361"/>
      <c r="CK52" s="363" t="str">
        <f ca="1">IFERROR(IF(MATCH(VLOOKUP(3,OFFSET('Dummy Table'!DY11:DZ14,0,CF51),2,FALSE),OFFSET('Dummy Table'!IU13:IU16,0,CF51),0),VLOOKUP(3,OFFSET('Dummy Table'!DY11:DZ14,0,CF51),2,FALSE),""),"")</f>
        <v>Croatia</v>
      </c>
      <c r="CL52" s="363"/>
      <c r="CM52" s="363"/>
      <c r="CN52" s="68"/>
      <c r="CO52" s="78" t="str">
        <f>IF(CH45&lt;&gt;"",IF(SUM(Matches!T12:T15)=12,IF(CG52=D52,Bonu1,0)+IF(CI52=G52,Bonu2,0)+IF(AND(CK52&lt;&gt;"",I52&lt;&gt;"",CK52=I52),Bonu3,0),0),"")</f>
        <v/>
      </c>
      <c r="CP52" s="126">
        <f t="shared" ref="CP52" ca="1" si="191">SUM(CW61:CW75)</f>
        <v>0</v>
      </c>
      <c r="CQ52" s="361" t="str">
        <f ca="1">VLOOKUP(1,OFFSET('Dummy Table'!DY11:DZ14,0,CP51),2,FALSE)</f>
        <v>Spain</v>
      </c>
      <c r="CR52" s="361"/>
      <c r="CS52" s="361" t="str">
        <f ca="1">VLOOKUP(2,OFFSET('Dummy Table'!DY11:DZ14,0,CP51),2,FALSE)</f>
        <v>Albania</v>
      </c>
      <c r="CT52" s="361"/>
      <c r="CU52" s="363" t="str">
        <f ca="1">IFERROR(IF(MATCH(VLOOKUP(3,OFFSET('Dummy Table'!DY11:DZ14,0,CP51),2,FALSE),OFFSET('Dummy Table'!IU13:IU16,0,CP51),0),VLOOKUP(3,OFFSET('Dummy Table'!DY11:DZ14,0,CP51),2,FALSE),""),"")</f>
        <v>Croatia</v>
      </c>
      <c r="CV52" s="363"/>
      <c r="CW52" s="363"/>
      <c r="CX52" s="68"/>
      <c r="CY52" s="78" t="str">
        <f>IF(CR45&lt;&gt;"",IF(SUM(Matches!T12:T15)=12,IF(CQ52=D52,Bonu1,0)+IF(CS52=G52,Bonu2,0)+IF(AND(CU52&lt;&gt;"",I52&lt;&gt;"",CU52=I52),Bonu3,0),0),"")</f>
        <v/>
      </c>
      <c r="CZ52" s="126">
        <f t="shared" ref="CZ52" ca="1" si="192">SUM(DG61:DG75)</f>
        <v>0</v>
      </c>
      <c r="DA52" s="361" t="str">
        <f ca="1">VLOOKUP(1,OFFSET('Dummy Table'!DY11:DZ14,0,CZ51),2,FALSE)</f>
        <v>Spain</v>
      </c>
      <c r="DB52" s="361"/>
      <c r="DC52" s="361" t="str">
        <f ca="1">VLOOKUP(2,OFFSET('Dummy Table'!DY11:DZ14,0,CZ51),2,FALSE)</f>
        <v>Albania</v>
      </c>
      <c r="DD52" s="361"/>
      <c r="DE52" s="363" t="str">
        <f ca="1">IFERROR(IF(MATCH(VLOOKUP(3,OFFSET('Dummy Table'!DY11:DZ14,0,CZ51),2,FALSE),OFFSET('Dummy Table'!IU13:IU16,0,CZ51),0),VLOOKUP(3,OFFSET('Dummy Table'!DY11:DZ14,0,CZ51),2,FALSE),""),"")</f>
        <v>Croatia</v>
      </c>
      <c r="DF52" s="363"/>
      <c r="DG52" s="363"/>
      <c r="DH52" s="68"/>
      <c r="DI52" s="78" t="str">
        <f>IF(DB45&lt;&gt;"",IF(SUM(Matches!T12:T15)=12,IF(DA52=D52,Bonu1,0)+IF(DC52=G52,Bonu2,0)+IF(AND(DE52&lt;&gt;"",I52&lt;&gt;"",DE52=I52),Bonu3,0),0),"")</f>
        <v/>
      </c>
    </row>
    <row r="53" spans="1:113" s="43" customFormat="1" ht="15" customHeight="1" x14ac:dyDescent="0.25">
      <c r="A53" s="41"/>
      <c r="B53" s="65"/>
      <c r="C53" s="87" t="s">
        <v>103</v>
      </c>
      <c r="D53" s="371" t="str">
        <f>Matches!P17</f>
        <v>England</v>
      </c>
      <c r="E53" s="371"/>
      <c r="F53" s="371"/>
      <c r="G53" s="371" t="str">
        <f>Matches!P18</f>
        <v>Denmark</v>
      </c>
      <c r="H53" s="371"/>
      <c r="I53" s="384" t="str">
        <f>IF(ISNA(MATCH(Matches!P19,Qual3,0)),"",Matches!P19)</f>
        <v>Slovenia</v>
      </c>
      <c r="J53" s="385"/>
      <c r="K53" s="66"/>
      <c r="L53" s="66"/>
      <c r="M53" s="67"/>
      <c r="N53" s="86">
        <f ca="1">SUM(W61:W88)</f>
        <v>0</v>
      </c>
      <c r="O53" s="361" t="str">
        <f ca="1">VLOOKUP(1,OFFSET('Dummy Table'!DY18:DZ21,0,N51),2,FALSE)</f>
        <v>Denmark</v>
      </c>
      <c r="P53" s="361"/>
      <c r="Q53" s="361" t="str">
        <f ca="1">VLOOKUP(2,OFFSET('Dummy Table'!DY18:DZ21,0,N51),2,FALSE)</f>
        <v>England</v>
      </c>
      <c r="R53" s="361"/>
      <c r="S53" s="363" t="str">
        <f ca="1">IFERROR(IF(MATCH(VLOOKUP(3,OFFSET('Dummy Table'!DY18:DZ21,0,N51),2,FALSE),OFFSET('Dummy Table'!IU13:IU16,0,N51),0),VLOOKUP(3,OFFSET('Dummy Table'!DY18:DZ21,0,N51),2,FALSE),""),"")</f>
        <v/>
      </c>
      <c r="T53" s="363"/>
      <c r="U53" s="363"/>
      <c r="V53" s="68"/>
      <c r="W53" s="78">
        <f>IF(P45&lt;&gt;"",IF(SUM(Matches!T17:T20)=12,IF(O53=D53,Bonu1,0)+IF(Q53=G53,Bonu2,0)+IF(AND(S53&lt;&gt;"",I53&lt;&gt;"",S53=I53),Bonu3,0),0),"")</f>
        <v>0</v>
      </c>
      <c r="X53" s="86">
        <f ca="1">SUM(AG61:AG88)</f>
        <v>0</v>
      </c>
      <c r="Y53" s="361" t="str">
        <f ca="1">VLOOKUP(1,OFFSET('Dummy Table'!DY18:DZ21,0,X51),2,FALSE)</f>
        <v>England</v>
      </c>
      <c r="Z53" s="361"/>
      <c r="AA53" s="361" t="str">
        <f ca="1">VLOOKUP(2,OFFSET('Dummy Table'!DY18:DZ21,0,X51),2,FALSE)</f>
        <v>Denmark</v>
      </c>
      <c r="AB53" s="361"/>
      <c r="AC53" s="363" t="str">
        <f ca="1">IFERROR(IF(MATCH(VLOOKUP(3,OFFSET('Dummy Table'!DY18:DZ21,0,X51),2,FALSE),OFFSET('Dummy Table'!IU13:IU16,0,X51),0),VLOOKUP(3,OFFSET('Dummy Table'!DY18:DZ21,0,X51),2,FALSE),""),"")</f>
        <v/>
      </c>
      <c r="AD53" s="363"/>
      <c r="AE53" s="363"/>
      <c r="AF53" s="68"/>
      <c r="AG53" s="78">
        <f>IF(Z45&lt;&gt;"",IF(SUM(Matches!T17:T20)=12,IF(Y53=D53,Bonu1,0)+IF(AA53=G53,Bonu2,0)+IF(AND(AC53&lt;&gt;"",I53&lt;&gt;"",AC53=I53),Bonu3,0),0),"")</f>
        <v>0</v>
      </c>
      <c r="AH53" s="86">
        <f t="shared" ref="AH53" ca="1" si="193">SUM(AQ61:AQ88)</f>
        <v>0</v>
      </c>
      <c r="AI53" s="361" t="str">
        <f ca="1">VLOOKUP(1,OFFSET('Dummy Table'!DY18:DZ21,0,AH51),2,FALSE)</f>
        <v>England</v>
      </c>
      <c r="AJ53" s="361"/>
      <c r="AK53" s="361" t="str">
        <f ca="1">VLOOKUP(2,OFFSET('Dummy Table'!DY18:DZ21,0,AH51),2,FALSE)</f>
        <v>Serbia</v>
      </c>
      <c r="AL53" s="361"/>
      <c r="AM53" s="363" t="str">
        <f ca="1">IFERROR(IF(MATCH(VLOOKUP(3,OFFSET('Dummy Table'!DY18:DZ21,0,AH51),2,FALSE),OFFSET('Dummy Table'!IU13:IU16,0,AH51),0),VLOOKUP(3,OFFSET('Dummy Table'!DY18:DZ21,0,AH51),2,FALSE),""),"")</f>
        <v>Denmark</v>
      </c>
      <c r="AN53" s="363"/>
      <c r="AO53" s="363"/>
      <c r="AP53" s="68"/>
      <c r="AQ53" s="78">
        <f>IF(AJ45&lt;&gt;"",IF(SUM(Matches!T17:T20)=12,IF(AI53=D53,Bonu1,0)+IF(AK53=G53,Bonu2,0)+IF(AND(AM53&lt;&gt;"",I53&lt;&gt;"",AM53=I53),Bonu3,0),0),"")</f>
        <v>0</v>
      </c>
      <c r="AR53" s="86">
        <f t="shared" ref="AR53" ca="1" si="194">SUM(BA61:BA88)</f>
        <v>0</v>
      </c>
      <c r="AS53" s="361" t="str">
        <f ca="1">VLOOKUP(1,OFFSET('Dummy Table'!DY18:DZ21,0,AR51),2,FALSE)</f>
        <v>England</v>
      </c>
      <c r="AT53" s="361"/>
      <c r="AU53" s="361" t="str">
        <f ca="1">VLOOKUP(2,OFFSET('Dummy Table'!DY18:DZ21,0,AR51),2,FALSE)</f>
        <v>Denmark</v>
      </c>
      <c r="AV53" s="361"/>
      <c r="AW53" s="363" t="str">
        <f ca="1">IFERROR(IF(MATCH(VLOOKUP(3,OFFSET('Dummy Table'!DY18:DZ21,0,AR51),2,FALSE),OFFSET('Dummy Table'!IU13:IU16,0,AR51),0),VLOOKUP(3,OFFSET('Dummy Table'!DY18:DZ21,0,AR51),2,FALSE),""),"")</f>
        <v/>
      </c>
      <c r="AX53" s="363"/>
      <c r="AY53" s="363"/>
      <c r="AZ53" s="68"/>
      <c r="BA53" s="78">
        <f>IF(AT45&lt;&gt;"",IF(SUM(Matches!T17:T20)=12,IF(AS53=D53,Bonu1,0)+IF(AU53=G53,Bonu2,0)+IF(AND(AW53&lt;&gt;"",I53&lt;&gt;"",AW53=I53),Bonu3,0),0),"")</f>
        <v>0</v>
      </c>
      <c r="BB53" s="86">
        <f t="shared" ref="BB53" ca="1" si="195">SUM(BK61:BK88)</f>
        <v>0</v>
      </c>
      <c r="BC53" s="361" t="str">
        <f ca="1">VLOOKUP(1,OFFSET('Dummy Table'!DY18:DZ21,0,BB51),2,FALSE)</f>
        <v>Denmark</v>
      </c>
      <c r="BD53" s="361"/>
      <c r="BE53" s="361" t="str">
        <f ca="1">VLOOKUP(2,OFFSET('Dummy Table'!DY18:DZ21,0,BB51),2,FALSE)</f>
        <v>England</v>
      </c>
      <c r="BF53" s="361"/>
      <c r="BG53" s="363" t="str">
        <f ca="1">IFERROR(IF(MATCH(VLOOKUP(3,OFFSET('Dummy Table'!DY18:DZ21,0,BB51),2,FALSE),OFFSET('Dummy Table'!IU13:IU16,0,BB51),0),VLOOKUP(3,OFFSET('Dummy Table'!DY18:DZ21,0,BB51),2,FALSE),""),"")</f>
        <v>Serbia</v>
      </c>
      <c r="BH53" s="363"/>
      <c r="BI53" s="363"/>
      <c r="BJ53" s="68"/>
      <c r="BK53" s="78">
        <f>IF(BD45&lt;&gt;"",IF(SUM(Matches!T17:T20)=12,IF(BC53=D53,Bonu1,0)+IF(BE53=G53,Bonu2,0)+IF(AND(BG53&lt;&gt;"",I53&lt;&gt;"",BG53=I53),Bonu3,0),0),"")</f>
        <v>0</v>
      </c>
      <c r="BL53" s="86">
        <f t="shared" ref="BL53" ca="1" si="196">SUM(BU61:BU88)</f>
        <v>0</v>
      </c>
      <c r="BM53" s="361" t="str">
        <f ca="1">VLOOKUP(1,OFFSET('Dummy Table'!DY18:DZ21,0,BL51),2,FALSE)</f>
        <v>England</v>
      </c>
      <c r="BN53" s="361"/>
      <c r="BO53" s="361" t="str">
        <f ca="1">VLOOKUP(2,OFFSET('Dummy Table'!DY18:DZ21,0,BL51),2,FALSE)</f>
        <v>Denmark</v>
      </c>
      <c r="BP53" s="361"/>
      <c r="BQ53" s="363" t="str">
        <f ca="1">IFERROR(IF(MATCH(VLOOKUP(3,OFFSET('Dummy Table'!DY18:DZ21,0,BL51),2,FALSE),OFFSET('Dummy Table'!IU13:IU16,0,BL51),0),VLOOKUP(3,OFFSET('Dummy Table'!DY18:DZ21,0,BL51),2,FALSE),""),"")</f>
        <v>Serbia</v>
      </c>
      <c r="BR53" s="363"/>
      <c r="BS53" s="363"/>
      <c r="BT53" s="68"/>
      <c r="BU53" s="78">
        <f>IF(BN45&lt;&gt;"",IF(SUM(Matches!T17:T20)=12,IF(BM53=D53,Bonu1,0)+IF(BO53=G53,Bonu2,0)+IF(AND(BQ53&lt;&gt;"",I53&lt;&gt;"",BQ53=I53),Bonu3,0),0),"")</f>
        <v>0</v>
      </c>
      <c r="BV53" s="86">
        <f t="shared" ref="BV53" ca="1" si="197">SUM(CE61:CE88)</f>
        <v>0</v>
      </c>
      <c r="BW53" s="361" t="str">
        <f ca="1">VLOOKUP(1,OFFSET('Dummy Table'!DY18:DZ21,0,BV51),2,FALSE)</f>
        <v>England</v>
      </c>
      <c r="BX53" s="361"/>
      <c r="BY53" s="361" t="str">
        <f ca="1">VLOOKUP(2,OFFSET('Dummy Table'!DY18:DZ21,0,BV51),2,FALSE)</f>
        <v>Denmark</v>
      </c>
      <c r="BZ53" s="361"/>
      <c r="CA53" s="363" t="str">
        <f ca="1">IFERROR(IF(MATCH(VLOOKUP(3,OFFSET('Dummy Table'!DY18:DZ21,0,BV51),2,FALSE),OFFSET('Dummy Table'!IU13:IU16,0,BV51),0),VLOOKUP(3,OFFSET('Dummy Table'!DY18:DZ21,0,BV51),2,FALSE),""),"")</f>
        <v>Serbia</v>
      </c>
      <c r="CB53" s="363"/>
      <c r="CC53" s="363"/>
      <c r="CD53" s="68"/>
      <c r="CE53" s="78">
        <f>IF(BX45&lt;&gt;"",IF(SUM(Matches!T17:T20)=12,IF(BW53=D53,Bonu1,0)+IF(BY53=G53,Bonu2,0)+IF(AND(CA53&lt;&gt;"",I53&lt;&gt;"",CA53=I53),Bonu3,0),0),"")</f>
        <v>0</v>
      </c>
      <c r="CF53" s="86">
        <f t="shared" ref="CF53" ca="1" si="198">SUM(CO61:CO88)</f>
        <v>0</v>
      </c>
      <c r="CG53" s="361" t="str">
        <f ca="1">VLOOKUP(1,OFFSET('Dummy Table'!DY18:DZ21,0,CF51),2,FALSE)</f>
        <v>England</v>
      </c>
      <c r="CH53" s="361"/>
      <c r="CI53" s="361" t="str">
        <f ca="1">VLOOKUP(2,OFFSET('Dummy Table'!DY18:DZ21,0,CF51),2,FALSE)</f>
        <v>Denmark</v>
      </c>
      <c r="CJ53" s="361"/>
      <c r="CK53" s="363" t="str">
        <f ca="1">IFERROR(IF(MATCH(VLOOKUP(3,OFFSET('Dummy Table'!DY18:DZ21,0,CF51),2,FALSE),OFFSET('Dummy Table'!IU13:IU16,0,CF51),0),VLOOKUP(3,OFFSET('Dummy Table'!DY18:DZ21,0,CF51),2,FALSE),""),"")</f>
        <v>Slovenia</v>
      </c>
      <c r="CL53" s="363"/>
      <c r="CM53" s="363"/>
      <c r="CN53" s="68"/>
      <c r="CO53" s="78" t="str">
        <f>IF(CH45&lt;&gt;"",IF(SUM(Matches!T17:T20)=12,IF(CG53=D53,Bonu1,0)+IF(CI53=G53,Bonu2,0)+IF(AND(CK53&lt;&gt;"",I53&lt;&gt;"",CK53=I53),Bonu3,0),0),"")</f>
        <v/>
      </c>
      <c r="CP53" s="86">
        <f t="shared" ref="CP53" ca="1" si="199">SUM(CY61:CY88)</f>
        <v>0</v>
      </c>
      <c r="CQ53" s="361" t="str">
        <f ca="1">VLOOKUP(1,OFFSET('Dummy Table'!DY18:DZ21,0,CP51),2,FALSE)</f>
        <v>England</v>
      </c>
      <c r="CR53" s="361"/>
      <c r="CS53" s="361" t="str">
        <f ca="1">VLOOKUP(2,OFFSET('Dummy Table'!DY18:DZ21,0,CP51),2,FALSE)</f>
        <v>Denmark</v>
      </c>
      <c r="CT53" s="361"/>
      <c r="CU53" s="363" t="str">
        <f ca="1">IFERROR(IF(MATCH(VLOOKUP(3,OFFSET('Dummy Table'!DY18:DZ21,0,CP51),2,FALSE),OFFSET('Dummy Table'!IU13:IU16,0,CP51),0),VLOOKUP(3,OFFSET('Dummy Table'!DY18:DZ21,0,CP51),2,FALSE),""),"")</f>
        <v>Slovenia</v>
      </c>
      <c r="CV53" s="363"/>
      <c r="CW53" s="363"/>
      <c r="CX53" s="68"/>
      <c r="CY53" s="78" t="str">
        <f>IF(CR45&lt;&gt;"",IF(SUM(Matches!T17:T20)=12,IF(CQ53=D53,Bonu1,0)+IF(CS53=G53,Bonu2,0)+IF(AND(CU53&lt;&gt;"",I53&lt;&gt;"",CU53=I53),Bonu3,0),0),"")</f>
        <v/>
      </c>
      <c r="CZ53" s="86">
        <f t="shared" ref="CZ53" ca="1" si="200">SUM(DI61:DI88)</f>
        <v>0</v>
      </c>
      <c r="DA53" s="361" t="str">
        <f ca="1">VLOOKUP(1,OFFSET('Dummy Table'!DY18:DZ21,0,CZ51),2,FALSE)</f>
        <v>England</v>
      </c>
      <c r="DB53" s="361"/>
      <c r="DC53" s="361" t="str">
        <f ca="1">VLOOKUP(2,OFFSET('Dummy Table'!DY18:DZ21,0,CZ51),2,FALSE)</f>
        <v>Denmark</v>
      </c>
      <c r="DD53" s="361"/>
      <c r="DE53" s="363" t="str">
        <f ca="1">IFERROR(IF(MATCH(VLOOKUP(3,OFFSET('Dummy Table'!DY18:DZ21,0,CZ51),2,FALSE),OFFSET('Dummy Table'!IU13:IU16,0,CZ51),0),VLOOKUP(3,OFFSET('Dummy Table'!DY18:DZ21,0,CZ51),2,FALSE),""),"")</f>
        <v>Slovenia</v>
      </c>
      <c r="DF53" s="363"/>
      <c r="DG53" s="363"/>
      <c r="DH53" s="68"/>
      <c r="DI53" s="78" t="str">
        <f>IF(DB45&lt;&gt;"",IF(SUM(Matches!T17:T20)=12,IF(DA53=D53,Bonu1,0)+IF(DC53=G53,Bonu2,0)+IF(AND(DE53&lt;&gt;"",I53&lt;&gt;"",DE53=I53),Bonu3,0),0),"")</f>
        <v/>
      </c>
    </row>
    <row r="54" spans="1:113" s="43" customFormat="1" ht="15" customHeight="1" x14ac:dyDescent="0.25">
      <c r="A54" s="41"/>
      <c r="B54" s="65"/>
      <c r="C54" s="87" t="s">
        <v>104</v>
      </c>
      <c r="D54" s="371" t="str">
        <f>Matches!P22</f>
        <v>Netherlands</v>
      </c>
      <c r="E54" s="371"/>
      <c r="F54" s="371"/>
      <c r="G54" s="371" t="str">
        <f>Matches!P23</f>
        <v>France</v>
      </c>
      <c r="H54" s="371"/>
      <c r="I54" s="384" t="str">
        <f>IF(ISNA(MATCH(Matches!P24,Qual3,0)),"",Matches!P24)</f>
        <v/>
      </c>
      <c r="J54" s="385"/>
      <c r="K54" s="66"/>
      <c r="L54" s="66"/>
      <c r="M54" s="67"/>
      <c r="N54" s="126"/>
      <c r="O54" s="361" t="str">
        <f ca="1">VLOOKUP(1,OFFSET('Dummy Table'!DY25:DZ28,0,N51),2,FALSE)</f>
        <v>France</v>
      </c>
      <c r="P54" s="361"/>
      <c r="Q54" s="361" t="str">
        <f ca="1">VLOOKUP(2,OFFSET('Dummy Table'!DY25:DZ28,0,N51),2,FALSE)</f>
        <v>Netherlands</v>
      </c>
      <c r="R54" s="361"/>
      <c r="S54" s="363" t="str">
        <f ca="1">IFERROR(IF(MATCH(VLOOKUP(3,OFFSET('Dummy Table'!DY25:DZ28,0,N51),2,FALSE),OFFSET('Dummy Table'!IU13:IU16,0,N51),0),VLOOKUP(3,OFFSET('Dummy Table'!DY25:DZ28,0,N51),2,FALSE),""),"")</f>
        <v>Austria</v>
      </c>
      <c r="T54" s="363"/>
      <c r="U54" s="363"/>
      <c r="V54" s="68"/>
      <c r="W54" s="78">
        <f>IF(P45&lt;&gt;"",IF(SUM(Matches!T22:T25)=12,IF(O54=D54,Bonu1,0)+IF(Q54=G54,Bonu2,0)+IF(AND(S54&lt;&gt;"",I54&lt;&gt;"",S54=I54),Bonu3,0),0),"")</f>
        <v>0</v>
      </c>
      <c r="X54" s="126"/>
      <c r="Y54" s="361" t="str">
        <f ca="1">VLOOKUP(1,OFFSET('Dummy Table'!DY25:DZ28,0,X51),2,FALSE)</f>
        <v>France</v>
      </c>
      <c r="Z54" s="361"/>
      <c r="AA54" s="361" t="str">
        <f ca="1">VLOOKUP(2,OFFSET('Dummy Table'!DY25:DZ28,0,X51),2,FALSE)</f>
        <v>Poland</v>
      </c>
      <c r="AB54" s="361"/>
      <c r="AC54" s="363" t="str">
        <f ca="1">IFERROR(IF(MATCH(VLOOKUP(3,OFFSET('Dummy Table'!DY25:DZ28,0,X51),2,FALSE),OFFSET('Dummy Table'!IU13:IU16,0,X51),0),VLOOKUP(3,OFFSET('Dummy Table'!DY25:DZ28,0,X51),2,FALSE),""),"")</f>
        <v/>
      </c>
      <c r="AD54" s="363"/>
      <c r="AE54" s="363"/>
      <c r="AF54" s="68"/>
      <c r="AG54" s="78">
        <f>IF(Z45&lt;&gt;"",IF(SUM(Matches!T22:T25)=12,IF(Y54=D54,Bonu1,0)+IF(AA54=G54,Bonu2,0)+IF(AND(AC54&lt;&gt;"",I54&lt;&gt;"",AC54=I54),Bonu3,0),0),"")</f>
        <v>0</v>
      </c>
      <c r="AH54" s="126"/>
      <c r="AI54" s="361" t="str">
        <f ca="1">VLOOKUP(1,OFFSET('Dummy Table'!DY25:DZ28,0,AH51),2,FALSE)</f>
        <v>France</v>
      </c>
      <c r="AJ54" s="361"/>
      <c r="AK54" s="361" t="str">
        <f ca="1">VLOOKUP(2,OFFSET('Dummy Table'!DY25:DZ28,0,AH51),2,FALSE)</f>
        <v>Netherlands</v>
      </c>
      <c r="AL54" s="361"/>
      <c r="AM54" s="363" t="str">
        <f ca="1">IFERROR(IF(MATCH(VLOOKUP(3,OFFSET('Dummy Table'!DY25:DZ28,0,AH51),2,FALSE),OFFSET('Dummy Table'!IU13:IU16,0,AH51),0),VLOOKUP(3,OFFSET('Dummy Table'!DY25:DZ28,0,AH51),2,FALSE),""),"")</f>
        <v/>
      </c>
      <c r="AN54" s="363"/>
      <c r="AO54" s="363"/>
      <c r="AP54" s="68"/>
      <c r="AQ54" s="78">
        <f>IF(AJ45&lt;&gt;"",IF(SUM(Matches!T22:T25)=12,IF(AI54=D54,Bonu1,0)+IF(AK54=G54,Bonu2,0)+IF(AND(AM54&lt;&gt;"",I54&lt;&gt;"",AM54=I54),Bonu3,0),0),"")</f>
        <v>0</v>
      </c>
      <c r="AR54" s="126"/>
      <c r="AS54" s="361" t="str">
        <f ca="1">VLOOKUP(1,OFFSET('Dummy Table'!DY25:DZ28,0,AR51),2,FALSE)</f>
        <v>France</v>
      </c>
      <c r="AT54" s="361"/>
      <c r="AU54" s="361" t="str">
        <f ca="1">VLOOKUP(2,OFFSET('Dummy Table'!DY25:DZ28,0,AR51),2,FALSE)</f>
        <v>Netherlands</v>
      </c>
      <c r="AV54" s="361"/>
      <c r="AW54" s="363" t="str">
        <f ca="1">IFERROR(IF(MATCH(VLOOKUP(3,OFFSET('Dummy Table'!DY25:DZ28,0,AR51),2,FALSE),OFFSET('Dummy Table'!IU13:IU16,0,AR51),0),VLOOKUP(3,OFFSET('Dummy Table'!DY25:DZ28,0,AR51),2,FALSE),""),"")</f>
        <v/>
      </c>
      <c r="AX54" s="363"/>
      <c r="AY54" s="363"/>
      <c r="AZ54" s="68"/>
      <c r="BA54" s="78">
        <f>IF(AT45&lt;&gt;"",IF(SUM(Matches!T22:T25)=12,IF(AS54=D54,Bonu1,0)+IF(AU54=G54,Bonu2,0)+IF(AND(AW54&lt;&gt;"",I54&lt;&gt;"",AW54=I54),Bonu3,0),0),"")</f>
        <v>0</v>
      </c>
      <c r="BB54" s="126"/>
      <c r="BC54" s="361" t="str">
        <f ca="1">VLOOKUP(1,OFFSET('Dummy Table'!DY25:DZ28,0,BB51),2,FALSE)</f>
        <v>France</v>
      </c>
      <c r="BD54" s="361"/>
      <c r="BE54" s="361" t="str">
        <f ca="1">VLOOKUP(2,OFFSET('Dummy Table'!DY25:DZ28,0,BB51),2,FALSE)</f>
        <v>Netherlands</v>
      </c>
      <c r="BF54" s="361"/>
      <c r="BG54" s="363" t="str">
        <f ca="1">IFERROR(IF(MATCH(VLOOKUP(3,OFFSET('Dummy Table'!DY25:DZ28,0,BB51),2,FALSE),OFFSET('Dummy Table'!IU13:IU16,0,BB51),0),VLOOKUP(3,OFFSET('Dummy Table'!DY25:DZ28,0,BB51),2,FALSE),""),"")</f>
        <v>Austria</v>
      </c>
      <c r="BH54" s="363"/>
      <c r="BI54" s="363"/>
      <c r="BJ54" s="68"/>
      <c r="BK54" s="78">
        <f>IF(BD45&lt;&gt;"",IF(SUM(Matches!T22:T25)=12,IF(BC54=D54,Bonu1,0)+IF(BE54=G54,Bonu2,0)+IF(AND(BG54&lt;&gt;"",I54&lt;&gt;"",BG54=I54),Bonu3,0),0),"")</f>
        <v>0</v>
      </c>
      <c r="BL54" s="126"/>
      <c r="BM54" s="361" t="str">
        <f ca="1">VLOOKUP(1,OFFSET('Dummy Table'!DY25:DZ28,0,BL51),2,FALSE)</f>
        <v>Netherlands</v>
      </c>
      <c r="BN54" s="361"/>
      <c r="BO54" s="361" t="str">
        <f ca="1">VLOOKUP(2,OFFSET('Dummy Table'!DY25:DZ28,0,BL51),2,FALSE)</f>
        <v>France</v>
      </c>
      <c r="BP54" s="361"/>
      <c r="BQ54" s="363" t="str">
        <f ca="1">IFERROR(IF(MATCH(VLOOKUP(3,OFFSET('Dummy Table'!DY25:DZ28,0,BL51),2,FALSE),OFFSET('Dummy Table'!IU13:IU16,0,BL51),0),VLOOKUP(3,OFFSET('Dummy Table'!DY25:DZ28,0,BL51),2,FALSE),""),"")</f>
        <v/>
      </c>
      <c r="BR54" s="363"/>
      <c r="BS54" s="363"/>
      <c r="BT54" s="68"/>
      <c r="BU54" s="78">
        <f>IF(BN45&lt;&gt;"",IF(SUM(Matches!T22:T25)=12,IF(BM54=D54,Bonu1,0)+IF(BO54=G54,Bonu2,0)+IF(AND(BQ54&lt;&gt;"",I54&lt;&gt;"",BQ54=I54),Bonu3,0),0),"")</f>
        <v>0</v>
      </c>
      <c r="BV54" s="126"/>
      <c r="BW54" s="361" t="str">
        <f ca="1">VLOOKUP(1,OFFSET('Dummy Table'!DY25:DZ28,0,BV51),2,FALSE)</f>
        <v>France</v>
      </c>
      <c r="BX54" s="361"/>
      <c r="BY54" s="361" t="str">
        <f ca="1">VLOOKUP(2,OFFSET('Dummy Table'!DY25:DZ28,0,BV51),2,FALSE)</f>
        <v>Netherlands</v>
      </c>
      <c r="BZ54" s="361"/>
      <c r="CA54" s="363" t="str">
        <f ca="1">IFERROR(IF(MATCH(VLOOKUP(3,OFFSET('Dummy Table'!DY25:DZ28,0,BV51),2,FALSE),OFFSET('Dummy Table'!IU13:IU16,0,BV51),0),VLOOKUP(3,OFFSET('Dummy Table'!DY25:DZ28,0,BV51),2,FALSE),""),"")</f>
        <v/>
      </c>
      <c r="CB54" s="363"/>
      <c r="CC54" s="363"/>
      <c r="CD54" s="68"/>
      <c r="CE54" s="78">
        <f>IF(BX45&lt;&gt;"",IF(SUM(Matches!T22:T25)=12,IF(BW54=D54,Bonu1,0)+IF(BY54=G54,Bonu2,0)+IF(AND(CA54&lt;&gt;"",I54&lt;&gt;"",CA54=I54),Bonu3,0),0),"")</f>
        <v>0</v>
      </c>
      <c r="CF54" s="126"/>
      <c r="CG54" s="361" t="str">
        <f ca="1">VLOOKUP(1,OFFSET('Dummy Table'!DY25:DZ28,0,CF51),2,FALSE)</f>
        <v>France</v>
      </c>
      <c r="CH54" s="361"/>
      <c r="CI54" s="361" t="str">
        <f ca="1">VLOOKUP(2,OFFSET('Dummy Table'!DY25:DZ28,0,CF51),2,FALSE)</f>
        <v>Netherlands</v>
      </c>
      <c r="CJ54" s="361"/>
      <c r="CK54" s="363" t="str">
        <f ca="1">IFERROR(IF(MATCH(VLOOKUP(3,OFFSET('Dummy Table'!DY25:DZ28,0,CF51),2,FALSE),OFFSET('Dummy Table'!IU13:IU16,0,CF51),0),VLOOKUP(3,OFFSET('Dummy Table'!DY25:DZ28,0,CF51),2,FALSE),""),"")</f>
        <v>Austria</v>
      </c>
      <c r="CL54" s="363"/>
      <c r="CM54" s="363"/>
      <c r="CN54" s="68"/>
      <c r="CO54" s="78" t="str">
        <f>IF(CH45&lt;&gt;"",IF(SUM(Matches!T22:T25)=12,IF(CG54=D54,Bonu1,0)+IF(CI54=G54,Bonu2,0)+IF(AND(CK54&lt;&gt;"",I54&lt;&gt;"",CK54=I54),Bonu3,0),0),"")</f>
        <v/>
      </c>
      <c r="CP54" s="126"/>
      <c r="CQ54" s="361" t="str">
        <f ca="1">VLOOKUP(1,OFFSET('Dummy Table'!DY25:DZ28,0,CP51),2,FALSE)</f>
        <v>France</v>
      </c>
      <c r="CR54" s="361"/>
      <c r="CS54" s="361" t="str">
        <f ca="1">VLOOKUP(2,OFFSET('Dummy Table'!DY25:DZ28,0,CP51),2,FALSE)</f>
        <v>Netherlands</v>
      </c>
      <c r="CT54" s="361"/>
      <c r="CU54" s="363" t="str">
        <f ca="1">IFERROR(IF(MATCH(VLOOKUP(3,OFFSET('Dummy Table'!DY25:DZ28,0,CP51),2,FALSE),OFFSET('Dummy Table'!IU13:IU16,0,CP51),0),VLOOKUP(3,OFFSET('Dummy Table'!DY25:DZ28,0,CP51),2,FALSE),""),"")</f>
        <v>Austria</v>
      </c>
      <c r="CV54" s="363"/>
      <c r="CW54" s="363"/>
      <c r="CX54" s="68"/>
      <c r="CY54" s="78" t="str">
        <f>IF(CR45&lt;&gt;"",IF(SUM(Matches!T22:T25)=12,IF(CQ54=D54,Bonu1,0)+IF(CS54=G54,Bonu2,0)+IF(AND(CU54&lt;&gt;"",I54&lt;&gt;"",CU54=I54),Bonu3,0),0),"")</f>
        <v/>
      </c>
      <c r="CZ54" s="126"/>
      <c r="DA54" s="361" t="str">
        <f ca="1">VLOOKUP(1,OFFSET('Dummy Table'!DY25:DZ28,0,CZ51),2,FALSE)</f>
        <v>France</v>
      </c>
      <c r="DB54" s="361"/>
      <c r="DC54" s="361" t="str">
        <f ca="1">VLOOKUP(2,OFFSET('Dummy Table'!DY25:DZ28,0,CZ51),2,FALSE)</f>
        <v>Netherlands</v>
      </c>
      <c r="DD54" s="361"/>
      <c r="DE54" s="363" t="str">
        <f ca="1">IFERROR(IF(MATCH(VLOOKUP(3,OFFSET('Dummy Table'!DY25:DZ28,0,CZ51),2,FALSE),OFFSET('Dummy Table'!IU13:IU16,0,CZ51),0),VLOOKUP(3,OFFSET('Dummy Table'!DY25:DZ28,0,CZ51),2,FALSE),""),"")</f>
        <v>Austria</v>
      </c>
      <c r="DF54" s="363"/>
      <c r="DG54" s="363"/>
      <c r="DH54" s="68"/>
      <c r="DI54" s="78" t="str">
        <f>IF(DB45&lt;&gt;"",IF(SUM(Matches!T22:T25)=12,IF(DA54=D54,Bonu1,0)+IF(DC54=G54,Bonu2,0)+IF(AND(DE54&lt;&gt;"",I54&lt;&gt;"",DE54=I54),Bonu3,0),0),"")</f>
        <v/>
      </c>
    </row>
    <row r="55" spans="1:113" s="43" customFormat="1" ht="15" customHeight="1" x14ac:dyDescent="0.25">
      <c r="A55" s="41"/>
      <c r="B55" s="65"/>
      <c r="C55" s="87" t="s">
        <v>105</v>
      </c>
      <c r="D55" s="371" t="str">
        <f>Matches!P27</f>
        <v>Romania</v>
      </c>
      <c r="E55" s="371"/>
      <c r="F55" s="371"/>
      <c r="G55" s="371" t="str">
        <f>Matches!P28</f>
        <v>Slovakia</v>
      </c>
      <c r="H55" s="371"/>
      <c r="I55" s="384" t="str">
        <f>IF(ISNA(MATCH(Matches!P29,Qual3,0)),"",Matches!P29)</f>
        <v/>
      </c>
      <c r="J55" s="385"/>
      <c r="K55" s="66"/>
      <c r="L55" s="66"/>
      <c r="M55" s="67"/>
      <c r="N55" s="126"/>
      <c r="O55" s="361" t="str">
        <f ca="1">VLOOKUP(1,OFFSET('Dummy Table'!DY31:DZ34,0,N51),2,FALSE)</f>
        <v>Belgium</v>
      </c>
      <c r="P55" s="361"/>
      <c r="Q55" s="361" t="str">
        <f ca="1">VLOOKUP(2,OFFSET('Dummy Table'!DY31:DZ34,0,N51),2,FALSE)</f>
        <v>Slovakia</v>
      </c>
      <c r="R55" s="361"/>
      <c r="S55" s="363" t="str">
        <f ca="1">IFERROR(IF(MATCH(VLOOKUP(3,OFFSET('Dummy Table'!DY31:DZ34,0,N51),2,FALSE),OFFSET('Dummy Table'!IU13:IU16,0,N51),0),VLOOKUP(3,OFFSET('Dummy Table'!DY31:DZ34,0,N51),2,FALSE),""),"")</f>
        <v/>
      </c>
      <c r="T55" s="363"/>
      <c r="U55" s="363"/>
      <c r="V55" s="68"/>
      <c r="W55" s="78">
        <f>IF(P45&lt;&gt;"",IF(SUM(Matches!T27:T30)=12,IF(O55=D55,Bonu1,0)+IF(Q55=G55,Bonu2,0)+IF(AND(S55&lt;&gt;"",I55&lt;&gt;"",S55=I55),Bonu3,0),0),"")</f>
        <v>0</v>
      </c>
      <c r="X55" s="126"/>
      <c r="Y55" s="361" t="str">
        <f ca="1">VLOOKUP(1,OFFSET('Dummy Table'!DY31:DZ34,0,X51),2,FALSE)</f>
        <v>Belgium</v>
      </c>
      <c r="Z55" s="361"/>
      <c r="AA55" s="361" t="str">
        <f ca="1">VLOOKUP(2,OFFSET('Dummy Table'!DY31:DZ34,0,X51),2,FALSE)</f>
        <v>Ukraine</v>
      </c>
      <c r="AB55" s="361"/>
      <c r="AC55" s="363" t="str">
        <f ca="1">IFERROR(IF(MATCH(VLOOKUP(3,OFFSET('Dummy Table'!DY31:DZ34,0,X51),2,FALSE),OFFSET('Dummy Table'!IU13:IU16,0,X51),0),VLOOKUP(3,OFFSET('Dummy Table'!DY31:DZ34,0,X51),2,FALSE),""),"")</f>
        <v>Romania</v>
      </c>
      <c r="AD55" s="363"/>
      <c r="AE55" s="363"/>
      <c r="AF55" s="68"/>
      <c r="AG55" s="78">
        <f>IF(Z45&lt;&gt;"",IF(SUM(Matches!T27:T30)=12,IF(Y55=D55,Bonu1,0)+IF(AA55=G55,Bonu2,0)+IF(AND(AC55&lt;&gt;"",I55&lt;&gt;"",AC55=I55),Bonu3,0),0),"")</f>
        <v>0</v>
      </c>
      <c r="AH55" s="126"/>
      <c r="AI55" s="361" t="str">
        <f ca="1">VLOOKUP(1,OFFSET('Dummy Table'!DY31:DZ34,0,AH51),2,FALSE)</f>
        <v>Romania</v>
      </c>
      <c r="AJ55" s="361"/>
      <c r="AK55" s="361" t="str">
        <f ca="1">VLOOKUP(2,OFFSET('Dummy Table'!DY31:DZ34,0,AH51),2,FALSE)</f>
        <v>Ukraine</v>
      </c>
      <c r="AL55" s="361"/>
      <c r="AM55" s="363" t="str">
        <f ca="1">IFERROR(IF(MATCH(VLOOKUP(3,OFFSET('Dummy Table'!DY31:DZ34,0,AH51),2,FALSE),OFFSET('Dummy Table'!IU13:IU16,0,AH51),0),VLOOKUP(3,OFFSET('Dummy Table'!DY31:DZ34,0,AH51),2,FALSE),""),"")</f>
        <v>Belgium</v>
      </c>
      <c r="AN55" s="363"/>
      <c r="AO55" s="363"/>
      <c r="AP55" s="68"/>
      <c r="AQ55" s="78">
        <f>IF(AJ45&lt;&gt;"",IF(SUM(Matches!T27:T30)=12,IF(AI55=D55,Bonu1,0)+IF(AK55=G55,Bonu2,0)+IF(AND(AM55&lt;&gt;"",I55&lt;&gt;"",AM55=I55),Bonu3,0),0),"")</f>
        <v>0</v>
      </c>
      <c r="AR55" s="126"/>
      <c r="AS55" s="361" t="str">
        <f ca="1">VLOOKUP(1,OFFSET('Dummy Table'!DY31:DZ34,0,AR51),2,FALSE)</f>
        <v>Belgium</v>
      </c>
      <c r="AT55" s="361"/>
      <c r="AU55" s="361" t="str">
        <f ca="1">VLOOKUP(2,OFFSET('Dummy Table'!DY31:DZ34,0,AR51),2,FALSE)</f>
        <v>Romania</v>
      </c>
      <c r="AV55" s="361"/>
      <c r="AW55" s="363" t="str">
        <f ca="1">IFERROR(IF(MATCH(VLOOKUP(3,OFFSET('Dummy Table'!DY31:DZ34,0,AR51),2,FALSE),OFFSET('Dummy Table'!IU13:IU16,0,AR51),0),VLOOKUP(3,OFFSET('Dummy Table'!DY31:DZ34,0,AR51),2,FALSE),""),"")</f>
        <v>Ukraine</v>
      </c>
      <c r="AX55" s="363"/>
      <c r="AY55" s="363"/>
      <c r="AZ55" s="68"/>
      <c r="BA55" s="78">
        <f>IF(AT45&lt;&gt;"",IF(SUM(Matches!T27:T30)=12,IF(AS55=D55,Bonu1,0)+IF(AU55=G55,Bonu2,0)+IF(AND(AW55&lt;&gt;"",I55&lt;&gt;"",AW55=I55),Bonu3,0),0),"")</f>
        <v>0</v>
      </c>
      <c r="BB55" s="126"/>
      <c r="BC55" s="361" t="str">
        <f ca="1">VLOOKUP(1,OFFSET('Dummy Table'!DY31:DZ34,0,BB51),2,FALSE)</f>
        <v>Belgium</v>
      </c>
      <c r="BD55" s="361"/>
      <c r="BE55" s="361" t="str">
        <f ca="1">VLOOKUP(2,OFFSET('Dummy Table'!DY31:DZ34,0,BB51),2,FALSE)</f>
        <v>Ukraine</v>
      </c>
      <c r="BF55" s="361"/>
      <c r="BG55" s="363" t="str">
        <f ca="1">IFERROR(IF(MATCH(VLOOKUP(3,OFFSET('Dummy Table'!DY31:DZ34,0,BB51),2,FALSE),OFFSET('Dummy Table'!IU13:IU16,0,BB51),0),VLOOKUP(3,OFFSET('Dummy Table'!DY31:DZ34,0,BB51),2,FALSE),""),"")</f>
        <v/>
      </c>
      <c r="BH55" s="363"/>
      <c r="BI55" s="363"/>
      <c r="BJ55" s="68"/>
      <c r="BK55" s="78">
        <f>IF(BD45&lt;&gt;"",IF(SUM(Matches!T27:T30)=12,IF(BC55=D55,Bonu1,0)+IF(BE55=G55,Bonu2,0)+IF(AND(BG55&lt;&gt;"",I55&lt;&gt;"",BG55=I55),Bonu3,0),0),"")</f>
        <v>0</v>
      </c>
      <c r="BL55" s="126"/>
      <c r="BM55" s="361" t="str">
        <f ca="1">VLOOKUP(1,OFFSET('Dummy Table'!DY31:DZ34,0,BL51),2,FALSE)</f>
        <v>Belgium</v>
      </c>
      <c r="BN55" s="361"/>
      <c r="BO55" s="361" t="str">
        <f ca="1">VLOOKUP(2,OFFSET('Dummy Table'!DY31:DZ34,0,BL51),2,FALSE)</f>
        <v>Ukraine</v>
      </c>
      <c r="BP55" s="361"/>
      <c r="BQ55" s="363" t="str">
        <f ca="1">IFERROR(IF(MATCH(VLOOKUP(3,OFFSET('Dummy Table'!DY31:DZ34,0,BL51),2,FALSE),OFFSET('Dummy Table'!IU13:IU16,0,BL51),0),VLOOKUP(3,OFFSET('Dummy Table'!DY31:DZ34,0,BL51),2,FALSE),""),"")</f>
        <v/>
      </c>
      <c r="BR55" s="363"/>
      <c r="BS55" s="363"/>
      <c r="BT55" s="68"/>
      <c r="BU55" s="78">
        <f>IF(BN45&lt;&gt;"",IF(SUM(Matches!T27:T30)=12,IF(BM55=D55,Bonu1,0)+IF(BO55=G55,Bonu2,0)+IF(AND(BQ55&lt;&gt;"",I55&lt;&gt;"",BQ55=I55),Bonu3,0),0),"")</f>
        <v>0</v>
      </c>
      <c r="BV55" s="126"/>
      <c r="BW55" s="361" t="str">
        <f ca="1">VLOOKUP(1,OFFSET('Dummy Table'!DY31:DZ34,0,BV51),2,FALSE)</f>
        <v>Belgium</v>
      </c>
      <c r="BX55" s="361"/>
      <c r="BY55" s="361" t="str">
        <f ca="1">VLOOKUP(2,OFFSET('Dummy Table'!DY31:DZ34,0,BV51),2,FALSE)</f>
        <v>Ukraine</v>
      </c>
      <c r="BZ55" s="361"/>
      <c r="CA55" s="363" t="str">
        <f ca="1">IFERROR(IF(MATCH(VLOOKUP(3,OFFSET('Dummy Table'!DY31:DZ34,0,BV51),2,FALSE),OFFSET('Dummy Table'!IU13:IU16,0,BV51),0),VLOOKUP(3,OFFSET('Dummy Table'!DY31:DZ34,0,BV51),2,FALSE),""),"")</f>
        <v>Slovakia</v>
      </c>
      <c r="CB55" s="363"/>
      <c r="CC55" s="363"/>
      <c r="CD55" s="68"/>
      <c r="CE55" s="78">
        <f>IF(BX45&lt;&gt;"",IF(SUM(Matches!T27:T30)=12,IF(BW55=D55,Bonu1,0)+IF(BY55=G55,Bonu2,0)+IF(AND(CA55&lt;&gt;"",I55&lt;&gt;"",CA55=I55),Bonu3,0),0),"")</f>
        <v>0</v>
      </c>
      <c r="CF55" s="126"/>
      <c r="CG55" s="361" t="str">
        <f ca="1">VLOOKUP(1,OFFSET('Dummy Table'!DY31:DZ34,0,CF51),2,FALSE)</f>
        <v>Belgium</v>
      </c>
      <c r="CH55" s="361"/>
      <c r="CI55" s="361" t="str">
        <f ca="1">VLOOKUP(2,OFFSET('Dummy Table'!DY31:DZ34,0,CF51),2,FALSE)</f>
        <v>Romania</v>
      </c>
      <c r="CJ55" s="361"/>
      <c r="CK55" s="363" t="str">
        <f ca="1">IFERROR(IF(MATCH(VLOOKUP(3,OFFSET('Dummy Table'!DY31:DZ34,0,CF51),2,FALSE),OFFSET('Dummy Table'!IU13:IU16,0,CF51),0),VLOOKUP(3,OFFSET('Dummy Table'!DY31:DZ34,0,CF51),2,FALSE),""),"")</f>
        <v/>
      </c>
      <c r="CL55" s="363"/>
      <c r="CM55" s="363"/>
      <c r="CN55" s="68"/>
      <c r="CO55" s="78" t="str">
        <f>IF(CH45&lt;&gt;"",IF(SUM(Matches!T27:T30)=12,IF(CG55=D55,Bonu1,0)+IF(CI55=G55,Bonu2,0)+IF(AND(CK55&lt;&gt;"",I55&lt;&gt;"",CK55=I55),Bonu3,0),0),"")</f>
        <v/>
      </c>
      <c r="CP55" s="126"/>
      <c r="CQ55" s="361" t="str">
        <f ca="1">VLOOKUP(1,OFFSET('Dummy Table'!DY31:DZ34,0,CP51),2,FALSE)</f>
        <v>Belgium</v>
      </c>
      <c r="CR55" s="361"/>
      <c r="CS55" s="361" t="str">
        <f ca="1">VLOOKUP(2,OFFSET('Dummy Table'!DY31:DZ34,0,CP51),2,FALSE)</f>
        <v>Romania</v>
      </c>
      <c r="CT55" s="361"/>
      <c r="CU55" s="363" t="str">
        <f ca="1">IFERROR(IF(MATCH(VLOOKUP(3,OFFSET('Dummy Table'!DY31:DZ34,0,CP51),2,FALSE),OFFSET('Dummy Table'!IU13:IU16,0,CP51),0),VLOOKUP(3,OFFSET('Dummy Table'!DY31:DZ34,0,CP51),2,FALSE),""),"")</f>
        <v/>
      </c>
      <c r="CV55" s="363"/>
      <c r="CW55" s="363"/>
      <c r="CX55" s="68"/>
      <c r="CY55" s="78" t="str">
        <f>IF(CR45&lt;&gt;"",IF(SUM(Matches!T27:T30)=12,IF(CQ55=D55,Bonu1,0)+IF(CS55=G55,Bonu2,0)+IF(AND(CU55&lt;&gt;"",I55&lt;&gt;"",CU55=I55),Bonu3,0),0),"")</f>
        <v/>
      </c>
      <c r="CZ55" s="126"/>
      <c r="DA55" s="361" t="str">
        <f ca="1">VLOOKUP(1,OFFSET('Dummy Table'!DY31:DZ34,0,CZ51),2,FALSE)</f>
        <v>Belgium</v>
      </c>
      <c r="DB55" s="361"/>
      <c r="DC55" s="361" t="str">
        <f ca="1">VLOOKUP(2,OFFSET('Dummy Table'!DY31:DZ34,0,CZ51),2,FALSE)</f>
        <v>Romania</v>
      </c>
      <c r="DD55" s="361"/>
      <c r="DE55" s="363" t="str">
        <f ca="1">IFERROR(IF(MATCH(VLOOKUP(3,OFFSET('Dummy Table'!DY31:DZ34,0,CZ51),2,FALSE),OFFSET('Dummy Table'!IU13:IU16,0,CZ51),0),VLOOKUP(3,OFFSET('Dummy Table'!DY31:DZ34,0,CZ51),2,FALSE),""),"")</f>
        <v/>
      </c>
      <c r="DF55" s="363"/>
      <c r="DG55" s="363"/>
      <c r="DH55" s="68"/>
      <c r="DI55" s="78" t="str">
        <f>IF(DB45&lt;&gt;"",IF(SUM(Matches!T27:T30)=12,IF(DA55=D55,Bonu1,0)+IF(DC55=G55,Bonu2,0)+IF(AND(DE55&lt;&gt;"",I55&lt;&gt;"",DE55=I55),Bonu3,0),0),"")</f>
        <v/>
      </c>
    </row>
    <row r="56" spans="1:113" s="43" customFormat="1" ht="15" customHeight="1" x14ac:dyDescent="0.25">
      <c r="A56" s="41"/>
      <c r="B56" s="65"/>
      <c r="C56" s="87" t="s">
        <v>106</v>
      </c>
      <c r="D56" s="371" t="str">
        <f>Matches!P32</f>
        <v>Türkiye</v>
      </c>
      <c r="E56" s="371"/>
      <c r="F56" s="371"/>
      <c r="G56" s="371" t="str">
        <f>Matches!P33</f>
        <v>Portugal</v>
      </c>
      <c r="H56" s="371"/>
      <c r="I56" s="384" t="str">
        <f>IF(ISNA(MATCH(Matches!P34,Qual3,0)),"",Matches!P34)</f>
        <v>Czechia</v>
      </c>
      <c r="J56" s="385"/>
      <c r="K56" s="66"/>
      <c r="L56" s="66"/>
      <c r="M56" s="67"/>
      <c r="N56" s="126"/>
      <c r="O56" s="361" t="str">
        <f ca="1">VLOOKUP(1,OFFSET('Dummy Table'!DY37:DZ40,0,N51),2,FALSE)</f>
        <v>Portugal</v>
      </c>
      <c r="P56" s="361"/>
      <c r="Q56" s="361" t="str">
        <f ca="1">VLOOKUP(2,OFFSET('Dummy Table'!DY37:DZ40,0,N51),2,FALSE)</f>
        <v>Türkiye</v>
      </c>
      <c r="R56" s="361"/>
      <c r="S56" s="363" t="str">
        <f ca="1">IFERROR(IF(MATCH(VLOOKUP(3,OFFSET('Dummy Table'!DY37:DZ40,0,N51),2,FALSE),OFFSET('Dummy Table'!IU13:IU16,0,N51),0),VLOOKUP(3,OFFSET('Dummy Table'!DY37:DZ40,0,N51),2,FALSE),""),"")</f>
        <v>Czechia</v>
      </c>
      <c r="T56" s="363"/>
      <c r="U56" s="363"/>
      <c r="V56" s="68"/>
      <c r="W56" s="78">
        <f>IF(P45&lt;&gt;"",IF(SUM(Matches!T32:T35)=12,IF(O56=D56,Bonu1,0)+IF(Q56=G56,Bonu2,0)+IF(AND(S56&lt;&gt;"",I56&lt;&gt;"",S56=I56),Bonu3,0),0),"")</f>
        <v>0</v>
      </c>
      <c r="X56" s="126"/>
      <c r="Y56" s="361" t="str">
        <f ca="1">VLOOKUP(1,OFFSET('Dummy Table'!DY37:DZ40,0,X51),2,FALSE)</f>
        <v>Czechia</v>
      </c>
      <c r="Z56" s="361"/>
      <c r="AA56" s="361" t="str">
        <f ca="1">VLOOKUP(2,OFFSET('Dummy Table'!DY37:DZ40,0,X51),2,FALSE)</f>
        <v>Portugal</v>
      </c>
      <c r="AB56" s="361"/>
      <c r="AC56" s="363" t="str">
        <f ca="1">IFERROR(IF(MATCH(VLOOKUP(3,OFFSET('Dummy Table'!DY37:DZ40,0,X51),2,FALSE),OFFSET('Dummy Table'!IU13:IU16,0,X51),0),VLOOKUP(3,OFFSET('Dummy Table'!DY37:DZ40,0,X51),2,FALSE),""),"")</f>
        <v>Türkiye</v>
      </c>
      <c r="AD56" s="363"/>
      <c r="AE56" s="363"/>
      <c r="AF56" s="68"/>
      <c r="AG56" s="78">
        <f>IF(Z45&lt;&gt;"",IF(SUM(Matches!T32:T35)=12,IF(Y56=D56,Bonu1,0)+IF(AA56=G56,Bonu2,0)+IF(AND(AC56&lt;&gt;"",I56&lt;&gt;"",AC56=I56),Bonu3,0),0),"")</f>
        <v>0</v>
      </c>
      <c r="AH56" s="126"/>
      <c r="AI56" s="361" t="str">
        <f ca="1">VLOOKUP(1,OFFSET('Dummy Table'!DY37:DZ40,0,AH51),2,FALSE)</f>
        <v>Türkiye</v>
      </c>
      <c r="AJ56" s="361"/>
      <c r="AK56" s="361" t="str">
        <f ca="1">VLOOKUP(2,OFFSET('Dummy Table'!DY37:DZ40,0,AH51),2,FALSE)</f>
        <v>Portugal</v>
      </c>
      <c r="AL56" s="361"/>
      <c r="AM56" s="363" t="str">
        <f ca="1">IFERROR(IF(MATCH(VLOOKUP(3,OFFSET('Dummy Table'!DY37:DZ40,0,AH51),2,FALSE),OFFSET('Dummy Table'!IU13:IU16,0,AH51),0),VLOOKUP(3,OFFSET('Dummy Table'!DY37:DZ40,0,AH51),2,FALSE),""),"")</f>
        <v>Czechia</v>
      </c>
      <c r="AN56" s="363"/>
      <c r="AO56" s="363"/>
      <c r="AP56" s="68"/>
      <c r="AQ56" s="78">
        <f>IF(AJ45&lt;&gt;"",IF(SUM(Matches!T32:T35)=12,IF(AI56=D56,Bonu1,0)+IF(AK56=G56,Bonu2,0)+IF(AND(AM56&lt;&gt;"",I56&lt;&gt;"",AM56=I56),Bonu3,0),0),"")</f>
        <v>0</v>
      </c>
      <c r="AR56" s="126"/>
      <c r="AS56" s="361" t="str">
        <f ca="1">VLOOKUP(1,OFFSET('Dummy Table'!DY37:DZ40,0,AR51),2,FALSE)</f>
        <v>Portugal</v>
      </c>
      <c r="AT56" s="361"/>
      <c r="AU56" s="361" t="str">
        <f ca="1">VLOOKUP(2,OFFSET('Dummy Table'!DY37:DZ40,0,AR51),2,FALSE)</f>
        <v>Türkiye</v>
      </c>
      <c r="AV56" s="361"/>
      <c r="AW56" s="363" t="str">
        <f ca="1">IFERROR(IF(MATCH(VLOOKUP(3,OFFSET('Dummy Table'!DY37:DZ40,0,AR51),2,FALSE),OFFSET('Dummy Table'!IU13:IU16,0,AR51),0),VLOOKUP(3,OFFSET('Dummy Table'!DY37:DZ40,0,AR51),2,FALSE),""),"")</f>
        <v>Czechia</v>
      </c>
      <c r="AX56" s="363"/>
      <c r="AY56" s="363"/>
      <c r="AZ56" s="68"/>
      <c r="BA56" s="78">
        <f>IF(AT45&lt;&gt;"",IF(SUM(Matches!T32:T35)=12,IF(AS56=D56,Bonu1,0)+IF(AU56=G56,Bonu2,0)+IF(AND(AW56&lt;&gt;"",I56&lt;&gt;"",AW56=I56),Bonu3,0),0),"")</f>
        <v>0</v>
      </c>
      <c r="BB56" s="126"/>
      <c r="BC56" s="361" t="str">
        <f ca="1">VLOOKUP(1,OFFSET('Dummy Table'!DY37:DZ40,0,BB51),2,FALSE)</f>
        <v>Portugal</v>
      </c>
      <c r="BD56" s="361"/>
      <c r="BE56" s="361" t="str">
        <f ca="1">VLOOKUP(2,OFFSET('Dummy Table'!DY37:DZ40,0,BB51),2,FALSE)</f>
        <v>Türkiye</v>
      </c>
      <c r="BF56" s="361"/>
      <c r="BG56" s="363" t="str">
        <f ca="1">IFERROR(IF(MATCH(VLOOKUP(3,OFFSET('Dummy Table'!DY37:DZ40,0,BB51),2,FALSE),OFFSET('Dummy Table'!IU13:IU16,0,BB51),0),VLOOKUP(3,OFFSET('Dummy Table'!DY37:DZ40,0,BB51),2,FALSE),""),"")</f>
        <v/>
      </c>
      <c r="BH56" s="363"/>
      <c r="BI56" s="363"/>
      <c r="BJ56" s="68"/>
      <c r="BK56" s="78">
        <f>IF(BD45&lt;&gt;"",IF(SUM(Matches!T32:T35)=12,IF(BC56=D56,Bonu1,0)+IF(BE56=G56,Bonu2,0)+IF(AND(BG56&lt;&gt;"",I56&lt;&gt;"",BG56=I56),Bonu3,0),0),"")</f>
        <v>0</v>
      </c>
      <c r="BL56" s="126"/>
      <c r="BM56" s="361" t="str">
        <f ca="1">VLOOKUP(1,OFFSET('Dummy Table'!DY37:DZ40,0,BL51),2,FALSE)</f>
        <v>Portugal</v>
      </c>
      <c r="BN56" s="361"/>
      <c r="BO56" s="361" t="str">
        <f ca="1">VLOOKUP(2,OFFSET('Dummy Table'!DY37:DZ40,0,BL51),2,FALSE)</f>
        <v>Czechia</v>
      </c>
      <c r="BP56" s="361"/>
      <c r="BQ56" s="363" t="str">
        <f ca="1">IFERROR(IF(MATCH(VLOOKUP(3,OFFSET('Dummy Table'!DY37:DZ40,0,BL51),2,FALSE),OFFSET('Dummy Table'!IU13:IU16,0,BL51),0),VLOOKUP(3,OFFSET('Dummy Table'!DY37:DZ40,0,BL51),2,FALSE),""),"")</f>
        <v>Türkiye</v>
      </c>
      <c r="BR56" s="363"/>
      <c r="BS56" s="363"/>
      <c r="BT56" s="68"/>
      <c r="BU56" s="78">
        <f>IF(BN45&lt;&gt;"",IF(SUM(Matches!T32:T35)=12,IF(BM56=D56,Bonu1,0)+IF(BO56=G56,Bonu2,0)+IF(AND(BQ56&lt;&gt;"",I56&lt;&gt;"",BQ56=I56),Bonu3,0),0),"")</f>
        <v>0</v>
      </c>
      <c r="BV56" s="126"/>
      <c r="BW56" s="361" t="str">
        <f ca="1">VLOOKUP(1,OFFSET('Dummy Table'!DY37:DZ40,0,BV51),2,FALSE)</f>
        <v>Portugal</v>
      </c>
      <c r="BX56" s="361"/>
      <c r="BY56" s="361" t="str">
        <f ca="1">VLOOKUP(2,OFFSET('Dummy Table'!DY37:DZ40,0,BV51),2,FALSE)</f>
        <v>Türkiye</v>
      </c>
      <c r="BZ56" s="361"/>
      <c r="CA56" s="363" t="str">
        <f ca="1">IFERROR(IF(MATCH(VLOOKUP(3,OFFSET('Dummy Table'!DY37:DZ40,0,BV51),2,FALSE),OFFSET('Dummy Table'!IU13:IU16,0,BV51),0),VLOOKUP(3,OFFSET('Dummy Table'!DY37:DZ40,0,BV51),2,FALSE),""),"")</f>
        <v>Czechia</v>
      </c>
      <c r="CB56" s="363"/>
      <c r="CC56" s="363"/>
      <c r="CD56" s="68"/>
      <c r="CE56" s="78">
        <f>IF(BX45&lt;&gt;"",IF(SUM(Matches!T32:T35)=12,IF(BW56=D56,Bonu1,0)+IF(BY56=G56,Bonu2,0)+IF(AND(CA56&lt;&gt;"",I56&lt;&gt;"",CA56=I56),Bonu3,0),0),"")</f>
        <v>0</v>
      </c>
      <c r="CF56" s="126"/>
      <c r="CG56" s="361" t="str">
        <f ca="1">VLOOKUP(1,OFFSET('Dummy Table'!DY37:DZ40,0,CF51),2,FALSE)</f>
        <v>Portugal</v>
      </c>
      <c r="CH56" s="361"/>
      <c r="CI56" s="361" t="str">
        <f ca="1">VLOOKUP(2,OFFSET('Dummy Table'!DY37:DZ40,0,CF51),2,FALSE)</f>
        <v>Türkiye</v>
      </c>
      <c r="CJ56" s="361"/>
      <c r="CK56" s="363" t="str">
        <f ca="1">IFERROR(IF(MATCH(VLOOKUP(3,OFFSET('Dummy Table'!DY37:DZ40,0,CF51),2,FALSE),OFFSET('Dummy Table'!IU13:IU16,0,CF51),0),VLOOKUP(3,OFFSET('Dummy Table'!DY37:DZ40,0,CF51),2,FALSE),""),"")</f>
        <v/>
      </c>
      <c r="CL56" s="363"/>
      <c r="CM56" s="363"/>
      <c r="CN56" s="68"/>
      <c r="CO56" s="78" t="str">
        <f>IF(CH45&lt;&gt;"",IF(SUM(Matches!T32:T35)=12,IF(CG56=D56,Bonu1,0)+IF(CI56=G56,Bonu2,0)+IF(AND(CK56&lt;&gt;"",I56&lt;&gt;"",CK56=I56),Bonu3,0),0),"")</f>
        <v/>
      </c>
      <c r="CP56" s="126"/>
      <c r="CQ56" s="361" t="str">
        <f ca="1">VLOOKUP(1,OFFSET('Dummy Table'!DY37:DZ40,0,CP51),2,FALSE)</f>
        <v>Portugal</v>
      </c>
      <c r="CR56" s="361"/>
      <c r="CS56" s="361" t="str">
        <f ca="1">VLOOKUP(2,OFFSET('Dummy Table'!DY37:DZ40,0,CP51),2,FALSE)</f>
        <v>Türkiye</v>
      </c>
      <c r="CT56" s="361"/>
      <c r="CU56" s="363" t="str">
        <f ca="1">IFERROR(IF(MATCH(VLOOKUP(3,OFFSET('Dummy Table'!DY37:DZ40,0,CP51),2,FALSE),OFFSET('Dummy Table'!IU13:IU16,0,CP51),0),VLOOKUP(3,OFFSET('Dummy Table'!DY37:DZ40,0,CP51),2,FALSE),""),"")</f>
        <v/>
      </c>
      <c r="CV56" s="363"/>
      <c r="CW56" s="363"/>
      <c r="CX56" s="68"/>
      <c r="CY56" s="78" t="str">
        <f>IF(CR45&lt;&gt;"",IF(SUM(Matches!T32:T35)=12,IF(CQ56=D56,Bonu1,0)+IF(CS56=G56,Bonu2,0)+IF(AND(CU56&lt;&gt;"",I56&lt;&gt;"",CU56=I56),Bonu3,0),0),"")</f>
        <v/>
      </c>
      <c r="CZ56" s="126"/>
      <c r="DA56" s="361" t="str">
        <f ca="1">VLOOKUP(1,OFFSET('Dummy Table'!DY37:DZ40,0,CZ51),2,FALSE)</f>
        <v>Portugal</v>
      </c>
      <c r="DB56" s="361"/>
      <c r="DC56" s="361" t="str">
        <f ca="1">VLOOKUP(2,OFFSET('Dummy Table'!DY37:DZ40,0,CZ51),2,FALSE)</f>
        <v>Türkiye</v>
      </c>
      <c r="DD56" s="361"/>
      <c r="DE56" s="363" t="str">
        <f ca="1">IFERROR(IF(MATCH(VLOOKUP(3,OFFSET('Dummy Table'!DY37:DZ40,0,CZ51),2,FALSE),OFFSET('Dummy Table'!IU13:IU16,0,CZ51),0),VLOOKUP(3,OFFSET('Dummy Table'!DY37:DZ40,0,CZ51),2,FALSE),""),"")</f>
        <v/>
      </c>
      <c r="DF56" s="363"/>
      <c r="DG56" s="363"/>
      <c r="DH56" s="68"/>
      <c r="DI56" s="78" t="str">
        <f>IF(DB45&lt;&gt;"",IF(SUM(Matches!T32:T35)=12,IF(DA56=D56,Bonu1,0)+IF(DC56=G56,Bonu2,0)+IF(AND(DE56&lt;&gt;"",I56&lt;&gt;"",DE56=I56),Bonu3,0),0),"")</f>
        <v/>
      </c>
    </row>
    <row r="57" spans="1:113" s="43" customFormat="1" ht="15" customHeight="1" x14ac:dyDescent="0.25">
      <c r="A57" s="41"/>
      <c r="B57" s="65"/>
      <c r="C57" s="88">
        <f>SUM(Matches!T7:T35)</f>
        <v>30</v>
      </c>
      <c r="D57" s="66"/>
      <c r="E57" s="66"/>
      <c r="F57" s="66"/>
      <c r="G57" s="66"/>
      <c r="H57" s="66"/>
      <c r="I57" s="66"/>
      <c r="J57" s="66"/>
      <c r="K57" s="66"/>
      <c r="L57" s="66"/>
      <c r="M57" s="67"/>
      <c r="N57" s="126"/>
      <c r="O57" s="372" t="s">
        <v>110</v>
      </c>
      <c r="P57" s="373"/>
      <c r="Q57" s="373"/>
      <c r="R57" s="374"/>
      <c r="S57" s="362">
        <f ca="1">IF(C57=72,OFFSET('Dummy Table'!IV34,0,N51),0)</f>
        <v>0</v>
      </c>
      <c r="T57" s="362"/>
      <c r="U57" s="362"/>
      <c r="V57" s="68"/>
      <c r="W57" s="78">
        <f ca="1">IF(P45&lt;&gt;"",IF(S57=16,Bonu4,IF(S57&gt;11,Bonu5,IF(S57&gt;7,Bonu7,0))),"")</f>
        <v>0</v>
      </c>
      <c r="X57" s="126"/>
      <c r="Y57" s="372" t="s">
        <v>110</v>
      </c>
      <c r="Z57" s="373"/>
      <c r="AA57" s="373"/>
      <c r="AB57" s="374"/>
      <c r="AC57" s="362">
        <f ca="1">IF(C57=72,OFFSET('Dummy Table'!IV34,0,X51),0)</f>
        <v>0</v>
      </c>
      <c r="AD57" s="362"/>
      <c r="AE57" s="362"/>
      <c r="AF57" s="68"/>
      <c r="AG57" s="78">
        <f ca="1">IF(Z45&lt;&gt;"",IF(AC57=16,Bonu4,IF(AC57&gt;11,Bonu5,IF(AC57&gt;7,Bonu7,0))),"")</f>
        <v>0</v>
      </c>
      <c r="AH57" s="126"/>
      <c r="AI57" s="372" t="s">
        <v>110</v>
      </c>
      <c r="AJ57" s="373"/>
      <c r="AK57" s="373"/>
      <c r="AL57" s="374"/>
      <c r="AM57" s="362">
        <f ca="1">IF(C57=72,OFFSET('Dummy Table'!IV34,0,AH51),0)</f>
        <v>0</v>
      </c>
      <c r="AN57" s="362"/>
      <c r="AO57" s="362"/>
      <c r="AP57" s="68"/>
      <c r="AQ57" s="78">
        <f ca="1">IF(AJ45&lt;&gt;"",IF(AM57=16,Bonu4,IF(AM57&gt;11,Bonu5,IF(AM57&gt;7,Bonu7,0))),"")</f>
        <v>0</v>
      </c>
      <c r="AR57" s="126"/>
      <c r="AS57" s="372" t="s">
        <v>110</v>
      </c>
      <c r="AT57" s="373"/>
      <c r="AU57" s="373"/>
      <c r="AV57" s="374"/>
      <c r="AW57" s="362">
        <f ca="1">IF(C57=72,OFFSET('Dummy Table'!IV34,0,AR51),0)</f>
        <v>0</v>
      </c>
      <c r="AX57" s="362"/>
      <c r="AY57" s="362"/>
      <c r="AZ57" s="68"/>
      <c r="BA57" s="78">
        <f ca="1">IF(AT45&lt;&gt;"",IF(AW57=16,Bonu4,IF(AW57&gt;11,Bonu5,IF(AW57&gt;7,Bonu7,0))),"")</f>
        <v>0</v>
      </c>
      <c r="BB57" s="126"/>
      <c r="BC57" s="372" t="s">
        <v>110</v>
      </c>
      <c r="BD57" s="373"/>
      <c r="BE57" s="373"/>
      <c r="BF57" s="374"/>
      <c r="BG57" s="362">
        <f ca="1">IF(C57=72,OFFSET('Dummy Table'!IV34,0,BB51),0)</f>
        <v>0</v>
      </c>
      <c r="BH57" s="362"/>
      <c r="BI57" s="362"/>
      <c r="BJ57" s="68"/>
      <c r="BK57" s="78">
        <f ca="1">IF(BD45&lt;&gt;"",IF(BG57=16,Bonu4,IF(BG57&gt;11,Bonu5,IF(BG57&gt;7,Bonu7,0))),"")</f>
        <v>0</v>
      </c>
      <c r="BL57" s="126"/>
      <c r="BM57" s="372" t="s">
        <v>110</v>
      </c>
      <c r="BN57" s="373"/>
      <c r="BO57" s="373"/>
      <c r="BP57" s="374"/>
      <c r="BQ57" s="362">
        <f ca="1">IF(C57=72,OFFSET('Dummy Table'!IV34,0,BL51),0)</f>
        <v>0</v>
      </c>
      <c r="BR57" s="362"/>
      <c r="BS57" s="362"/>
      <c r="BT57" s="68"/>
      <c r="BU57" s="78">
        <f ca="1">IF(BN45&lt;&gt;"",IF(BQ57=16,Bonu4,IF(BQ57&gt;11,Bonu5,IF(BQ57&gt;7,Bonu7,0))),"")</f>
        <v>0</v>
      </c>
      <c r="BV57" s="126"/>
      <c r="BW57" s="372" t="s">
        <v>110</v>
      </c>
      <c r="BX57" s="373"/>
      <c r="BY57" s="373"/>
      <c r="BZ57" s="374"/>
      <c r="CA57" s="362">
        <f ca="1">IF(C57=72,OFFSET('Dummy Table'!IV34,0,BV51),0)</f>
        <v>0</v>
      </c>
      <c r="CB57" s="362"/>
      <c r="CC57" s="362"/>
      <c r="CD57" s="68"/>
      <c r="CE57" s="78">
        <f ca="1">IF(BX45&lt;&gt;"",IF(CA57=16,Bonu4,IF(CA57&gt;11,Bonu5,IF(CA57&gt;7,Bonu7,0))),"")</f>
        <v>0</v>
      </c>
      <c r="CF57" s="126"/>
      <c r="CG57" s="372" t="s">
        <v>110</v>
      </c>
      <c r="CH57" s="373"/>
      <c r="CI57" s="373"/>
      <c r="CJ57" s="374"/>
      <c r="CK57" s="362">
        <f ca="1">IF(C57=72,OFFSET('Dummy Table'!IV34,0,CF51),0)</f>
        <v>0</v>
      </c>
      <c r="CL57" s="362"/>
      <c r="CM57" s="362"/>
      <c r="CN57" s="68"/>
      <c r="CO57" s="78" t="str">
        <f>IF(CH45&lt;&gt;"",IF(CK57=16,Bonu4,IF(CK57&gt;11,Bonu5,IF(CK57&gt;7,Bonu7,0))),"")</f>
        <v/>
      </c>
      <c r="CP57" s="126"/>
      <c r="CQ57" s="372" t="s">
        <v>110</v>
      </c>
      <c r="CR57" s="373"/>
      <c r="CS57" s="373"/>
      <c r="CT57" s="374"/>
      <c r="CU57" s="362">
        <f ca="1">IF(C57=72,OFFSET('Dummy Table'!IV34,0,CP51),0)</f>
        <v>0</v>
      </c>
      <c r="CV57" s="362"/>
      <c r="CW57" s="362"/>
      <c r="CX57" s="68"/>
      <c r="CY57" s="78" t="str">
        <f>IF(CR45&lt;&gt;"",IF(CU57=16,Bonu4,IF(CU57&gt;11,Bonu5,IF(CU57&gt;7,Bonu7,0))),"")</f>
        <v/>
      </c>
      <c r="CZ57" s="126"/>
      <c r="DA57" s="372" t="s">
        <v>110</v>
      </c>
      <c r="DB57" s="373"/>
      <c r="DC57" s="373"/>
      <c r="DD57" s="374"/>
      <c r="DE57" s="362">
        <f ca="1">IF(C57=72,OFFSET('Dummy Table'!IV34,0,CZ51),0)</f>
        <v>0</v>
      </c>
      <c r="DF57" s="362"/>
      <c r="DG57" s="362"/>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76" t="str">
        <f>H7</f>
        <v>Score</v>
      </c>
      <c r="I60" s="376"/>
      <c r="J60" s="66"/>
      <c r="K60" s="376" t="s">
        <v>111</v>
      </c>
      <c r="L60" s="376"/>
      <c r="M60" s="89"/>
      <c r="N60" s="126" t="str">
        <f t="shared" ca="1" si="209"/>
        <v>Denmark</v>
      </c>
      <c r="O60" s="129"/>
      <c r="P60" s="358" t="str">
        <f>H60</f>
        <v>Score</v>
      </c>
      <c r="Q60" s="358"/>
      <c r="R60" s="130" t="str">
        <f ca="1">IF(KOGameRule=0,Q56,J67)</f>
        <v>Türkiye</v>
      </c>
      <c r="S60" s="358" t="str">
        <f>K60</f>
        <v>PK</v>
      </c>
      <c r="T60" s="358"/>
      <c r="V60" s="90"/>
      <c r="W60" s="91"/>
      <c r="X60" s="126" t="str">
        <f t="shared" ca="1" si="210"/>
        <v>England</v>
      </c>
      <c r="Y60" s="129"/>
      <c r="Z60" s="358" t="str">
        <f>P60</f>
        <v>Score</v>
      </c>
      <c r="AA60" s="358"/>
      <c r="AB60" s="130"/>
      <c r="AC60" s="358" t="str">
        <f>S60</f>
        <v>PK</v>
      </c>
      <c r="AD60" s="358"/>
      <c r="AF60" s="90"/>
      <c r="AG60" s="91"/>
      <c r="AH60" s="126" t="str">
        <f t="shared" ca="1" si="201"/>
        <v>England</v>
      </c>
      <c r="AI60" s="129"/>
      <c r="AJ60" s="358" t="str">
        <f t="shared" ref="AJ60" si="211">Z60</f>
        <v>Score</v>
      </c>
      <c r="AK60" s="358"/>
      <c r="AL60" s="130"/>
      <c r="AM60" s="358" t="str">
        <f t="shared" ref="AM60" si="212">AC60</f>
        <v>PK</v>
      </c>
      <c r="AN60" s="358"/>
      <c r="AP60" s="90"/>
      <c r="AQ60" s="91"/>
      <c r="AR60" s="126" t="str">
        <f t="shared" ca="1" si="202"/>
        <v>England</v>
      </c>
      <c r="AS60" s="129"/>
      <c r="AT60" s="358" t="str">
        <f t="shared" ref="AT60" si="213">AJ60</f>
        <v>Score</v>
      </c>
      <c r="AU60" s="358"/>
      <c r="AV60" s="130"/>
      <c r="AW60" s="358" t="str">
        <f t="shared" ref="AW60" si="214">AM60</f>
        <v>PK</v>
      </c>
      <c r="AX60" s="358"/>
      <c r="AZ60" s="90"/>
      <c r="BA60" s="91"/>
      <c r="BB60" s="126" t="str">
        <f t="shared" ca="1" si="203"/>
        <v>Denmark</v>
      </c>
      <c r="BC60" s="129"/>
      <c r="BD60" s="358" t="str">
        <f t="shared" ref="BD60" si="215">AT60</f>
        <v>Score</v>
      </c>
      <c r="BE60" s="358"/>
      <c r="BF60" s="130"/>
      <c r="BG60" s="358" t="str">
        <f t="shared" ref="BG60" si="216">AW60</f>
        <v>PK</v>
      </c>
      <c r="BH60" s="358"/>
      <c r="BJ60" s="90"/>
      <c r="BK60" s="91"/>
      <c r="BL60" s="126" t="str">
        <f t="shared" ca="1" si="204"/>
        <v>England</v>
      </c>
      <c r="BM60" s="129"/>
      <c r="BN60" s="358" t="str">
        <f t="shared" ref="BN60" si="217">BD60</f>
        <v>Score</v>
      </c>
      <c r="BO60" s="358"/>
      <c r="BP60" s="130"/>
      <c r="BQ60" s="358" t="str">
        <f t="shared" ref="BQ60" si="218">BG60</f>
        <v>PK</v>
      </c>
      <c r="BR60" s="358"/>
      <c r="BT60" s="90"/>
      <c r="BU60" s="91"/>
      <c r="BV60" s="126" t="str">
        <f t="shared" ca="1" si="205"/>
        <v>England</v>
      </c>
      <c r="BW60" s="129"/>
      <c r="BX60" s="358" t="str">
        <f t="shared" ref="BX60" si="219">BN60</f>
        <v>Score</v>
      </c>
      <c r="BY60" s="358"/>
      <c r="BZ60" s="130"/>
      <c r="CA60" s="358" t="str">
        <f t="shared" ref="CA60" si="220">BQ60</f>
        <v>PK</v>
      </c>
      <c r="CB60" s="358"/>
      <c r="CD60" s="90"/>
      <c r="CE60" s="91"/>
      <c r="CF60" s="126" t="str">
        <f t="shared" ca="1" si="206"/>
        <v>England</v>
      </c>
      <c r="CG60" s="129"/>
      <c r="CH60" s="358" t="str">
        <f t="shared" ref="CH60" si="221">BX60</f>
        <v>Score</v>
      </c>
      <c r="CI60" s="358"/>
      <c r="CJ60" s="130"/>
      <c r="CK60" s="358" t="str">
        <f t="shared" ref="CK60" si="222">CA60</f>
        <v>PK</v>
      </c>
      <c r="CL60" s="358"/>
      <c r="CN60" s="90"/>
      <c r="CO60" s="91"/>
      <c r="CP60" s="126" t="str">
        <f t="shared" ca="1" si="207"/>
        <v>England</v>
      </c>
      <c r="CQ60" s="129"/>
      <c r="CR60" s="358" t="str">
        <f t="shared" ref="CR60" si="223">CH60</f>
        <v>Score</v>
      </c>
      <c r="CS60" s="358"/>
      <c r="CT60" s="130"/>
      <c r="CU60" s="358" t="str">
        <f t="shared" ref="CU60" si="224">CK60</f>
        <v>PK</v>
      </c>
      <c r="CV60" s="358"/>
      <c r="CX60" s="90"/>
      <c r="CY60" s="91"/>
      <c r="CZ60" s="126" t="str">
        <f t="shared" ca="1" si="208"/>
        <v>England</v>
      </c>
      <c r="DA60" s="129"/>
      <c r="DB60" s="358" t="str">
        <f t="shared" ref="DB60" si="225">CR60</f>
        <v>Score</v>
      </c>
      <c r="DC60" s="358"/>
      <c r="DD60" s="130"/>
      <c r="DE60" s="358" t="str">
        <f t="shared" ref="DE60" si="226">CU60</f>
        <v>PK</v>
      </c>
      <c r="DF60" s="358"/>
      <c r="DH60" s="90"/>
      <c r="DI60" s="91"/>
    </row>
    <row r="61" spans="1:113" s="43" customFormat="1" ht="15" customHeight="1" x14ac:dyDescent="0.25">
      <c r="A61" s="41"/>
      <c r="B61" s="65"/>
      <c r="C61" s="92">
        <v>37</v>
      </c>
      <c r="D61" s="95" t="s">
        <v>112</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112</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c r="AK62" s="75"/>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Scotland</v>
      </c>
      <c r="BD62" s="75"/>
      <c r="BE62" s="75"/>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c r="BO62" s="75"/>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Switzerland</v>
      </c>
      <c r="BX62" s="75"/>
      <c r="BY62" s="75"/>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112</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c r="AK63" s="75"/>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c r="BE63" s="75"/>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c r="BE64" s="75"/>
      <c r="BF64" s="76" t="str">
        <f ca="1">IF(KOGameRule=0,OFFSET('Dummy Table'!IU19,0,BB51),J64)</f>
        <v>Austria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c r="BO64" s="75"/>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75"/>
      <c r="BY64" s="75"/>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c r="AK65" s="75"/>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c r="BE65" s="75"/>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c r="BO65" s="75"/>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75"/>
      <c r="BY65" s="75"/>
      <c r="BZ65" s="76" t="str">
        <f ca="1">IF(KOGameRule=0,OFFSET('Dummy Table'!IU21,0,BV51),J65)</f>
        <v>Italy</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c r="AK66" s="75"/>
      <c r="AL66" s="76" t="str">
        <f ca="1">IF(KOGameRule=0,AK55,J66)</f>
        <v>Ukraine</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c r="BO66" s="75"/>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c r="AK67" s="75"/>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c r="AK68" s="75"/>
      <c r="AL68" s="114" t="str">
        <f ca="1">IF(KOGameRule=0,AK56,J68)</f>
        <v>Portugal</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c r="BO68" s="75"/>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97" t="s">
        <v>115</v>
      </c>
      <c r="D78" s="398"/>
      <c r="E78" s="398"/>
      <c r="F78" s="398"/>
      <c r="G78" s="379" t="str">
        <f>UPPER(IF(AND(H75&lt;&gt;"",I75&lt;&gt;""),IF((H75+K75)&gt;(I75+L75),G75,IF((H75+K75)&lt;(I75+L75),J75,'Language Table'!C77)),'Language Table'!C77))</f>
        <v>MATCH 51 WINNER</v>
      </c>
      <c r="H78" s="379"/>
      <c r="I78" s="379"/>
      <c r="J78" s="379"/>
      <c r="K78" s="379"/>
      <c r="L78" s="380"/>
      <c r="M78" s="89"/>
      <c r="N78" s="193"/>
      <c r="O78" s="122" t="str">
        <f>C78</f>
        <v>CHAMPION</v>
      </c>
      <c r="P78" s="359" t="str">
        <f ca="1">UPPER(IF(KOGameRule=1,G78,IF(AND(P75&lt;&gt;"",Q75&lt;&gt;""),IF(P75&gt;Q75,O75,IF(P75&lt;Q75,R75,IF(S75&gt;T75,O75,IF(S75&lt;T75,R75,"Match 51 Winner")))),"Match 51 Winner")))</f>
        <v>GERMANY</v>
      </c>
      <c r="Q78" s="359"/>
      <c r="R78" s="359"/>
      <c r="S78" s="359"/>
      <c r="T78" s="359"/>
      <c r="U78" s="360"/>
      <c r="V78" s="364" t="s">
        <v>116</v>
      </c>
      <c r="W78" s="365"/>
      <c r="X78" s="273"/>
      <c r="Y78" s="122" t="str">
        <f>O78</f>
        <v>CHAMPION</v>
      </c>
      <c r="Z78" s="359" t="str">
        <f ca="1">UPPER(IF(KOGameRule=1,G78,IF(AND(Z75&lt;&gt;"",AA75&lt;&gt;""),IF(Z75&gt;AA75,Y75,IF(Z75&lt;AA75,AB75,IF(AC75&gt;AD75,Y75,IF(AC75&lt;AD75,AB75,"Match 51 Winner")))),"Match 51 Winner")))</f>
        <v>GERMANY</v>
      </c>
      <c r="AA78" s="359"/>
      <c r="AB78" s="359"/>
      <c r="AC78" s="359"/>
      <c r="AD78" s="359"/>
      <c r="AE78" s="359"/>
      <c r="AF78" s="364" t="s">
        <v>116</v>
      </c>
      <c r="AG78" s="365"/>
      <c r="AH78" s="193"/>
      <c r="AI78" s="122" t="str">
        <f t="shared" ref="AI78:AI81" si="269">Y78</f>
        <v>CHAMPION</v>
      </c>
      <c r="AJ78" s="359" t="str">
        <f>UPPER(IF(KOGameRule=1,G78,IF(AND(AJ75&lt;&gt;"",AK75&lt;&gt;""),IF(AJ75&gt;AK75,AI75,IF(AJ75&lt;AK75,AL75,IF(AM75&gt;AN75,AI75,IF(AM75&lt;AN75,AL75,"Match 51 Winner")))),"Match 51 Winner")))</f>
        <v>MATCH 51 WINNER</v>
      </c>
      <c r="AK78" s="359"/>
      <c r="AL78" s="359"/>
      <c r="AM78" s="359"/>
      <c r="AN78" s="359"/>
      <c r="AO78" s="359"/>
      <c r="AP78" s="364" t="s">
        <v>116</v>
      </c>
      <c r="AQ78" s="365"/>
      <c r="AR78" s="193"/>
      <c r="AS78" s="122" t="str">
        <f t="shared" ref="AS78:AS81" si="270">AI78</f>
        <v>CHAMPION</v>
      </c>
      <c r="AT78" s="359" t="str">
        <f>UPPER(IF(KOGameRule=1,G78,IF(AND(AT75&lt;&gt;"",AU75&lt;&gt;""),IF(AT75&gt;AU75,AS75,IF(AT75&lt;AU75,AV75,IF(AW75&gt;AX75,AS75,IF(AW75&lt;AX75,AV75,"Match 51 Winner")))),"Match 51 Winner")))</f>
        <v>MATCH 51 WINNER</v>
      </c>
      <c r="AU78" s="359"/>
      <c r="AV78" s="359"/>
      <c r="AW78" s="359"/>
      <c r="AX78" s="359"/>
      <c r="AY78" s="359"/>
      <c r="AZ78" s="364" t="s">
        <v>116</v>
      </c>
      <c r="BA78" s="365"/>
      <c r="BB78" s="193"/>
      <c r="BC78" s="122" t="str">
        <f t="shared" ref="BC78:BC81" si="271">AS78</f>
        <v>CHAMPION</v>
      </c>
      <c r="BD78" s="359" t="str">
        <f>UPPER(IF(KOGameRule=1,G78,IF(AND(BD75&lt;&gt;"",BE75&lt;&gt;""),IF(BD75&gt;BE75,BC75,IF(BD75&lt;BE75,BF75,IF(BG75&gt;BH75,BC75,IF(BG75&lt;BH75,BF75,"Match 51 Winner")))),"Match 51 Winner")))</f>
        <v>MATCH 51 WINNER</v>
      </c>
      <c r="BE78" s="359"/>
      <c r="BF78" s="359"/>
      <c r="BG78" s="359"/>
      <c r="BH78" s="359"/>
      <c r="BI78" s="359"/>
      <c r="BJ78" s="364" t="s">
        <v>116</v>
      </c>
      <c r="BK78" s="365"/>
      <c r="BL78" s="193"/>
      <c r="BM78" s="122" t="str">
        <f t="shared" ref="BM78:BM81" si="272">BC78</f>
        <v>CHAMPION</v>
      </c>
      <c r="BN78" s="359" t="str">
        <f>UPPER(IF(KOGameRule=1,G78,IF(AND(BN75&lt;&gt;"",BO75&lt;&gt;""),IF(BN75&gt;BO75,BM75,IF(BN75&lt;BO75,BP75,IF(BQ75&gt;BR75,BM75,IF(BQ75&lt;BR75,BP75,"Match 51 Winner")))),"Match 51 Winner")))</f>
        <v>MATCH 51 WINNER</v>
      </c>
      <c r="BO78" s="359"/>
      <c r="BP78" s="359"/>
      <c r="BQ78" s="359"/>
      <c r="BR78" s="359"/>
      <c r="BS78" s="359"/>
      <c r="BT78" s="364" t="s">
        <v>116</v>
      </c>
      <c r="BU78" s="365"/>
      <c r="BV78" s="193"/>
      <c r="BW78" s="122" t="str">
        <f t="shared" ref="BW78:BW81" si="273">BM78</f>
        <v>CHAMPION</v>
      </c>
      <c r="BX78" s="359" t="str">
        <f>UPPER(IF(KOGameRule=1,G78,IF(AND(BX75&lt;&gt;"",BY75&lt;&gt;""),IF(BX75&gt;BY75,BW75,IF(BX75&lt;BY75,BZ75,IF(CA75&gt;CB75,BW75,IF(CA75&lt;CB75,BZ75,"Match 51 Winner")))),"Match 51 Winner")))</f>
        <v>MATCH 51 WINNER</v>
      </c>
      <c r="BY78" s="359"/>
      <c r="BZ78" s="359"/>
      <c r="CA78" s="359"/>
      <c r="CB78" s="359"/>
      <c r="CC78" s="359"/>
      <c r="CD78" s="364" t="s">
        <v>116</v>
      </c>
      <c r="CE78" s="365"/>
      <c r="CF78" s="193"/>
      <c r="CG78" s="122" t="str">
        <f t="shared" ref="CG78:CG81" si="274">BW78</f>
        <v>CHAMPION</v>
      </c>
      <c r="CH78" s="359" t="str">
        <f>UPPER(IF(KOGameRule=1,G78,IF(AND(CH75&lt;&gt;"",CI75&lt;&gt;""),IF(CH75&gt;CI75,CG75,IF(CH75&lt;CI75,CJ75,IF(CK75&gt;CL75,CG75,IF(CK75&lt;CL75,CJ75,"Match 51 Winner")))),"Match 51 Winner")))</f>
        <v>MATCH 51 WINNER</v>
      </c>
      <c r="CI78" s="359"/>
      <c r="CJ78" s="359"/>
      <c r="CK78" s="359"/>
      <c r="CL78" s="359"/>
      <c r="CM78" s="359"/>
      <c r="CN78" s="364" t="s">
        <v>116</v>
      </c>
      <c r="CO78" s="365"/>
      <c r="CP78" s="193"/>
      <c r="CQ78" s="122" t="str">
        <f t="shared" ref="CQ78:CQ81" si="275">CG78</f>
        <v>CHAMPION</v>
      </c>
      <c r="CR78" s="359" t="str">
        <f>UPPER(IF(KOGameRule=1,G78,IF(AND(CR75&lt;&gt;"",CS75&lt;&gt;""),IF(CR75&gt;CS75,CQ75,IF(CR75&lt;CS75,CT75,IF(CU75&gt;CV75,CQ75,IF(CU75&lt;CV75,CT75,"Match 51 Winner")))),"Match 51 Winner")))</f>
        <v>MATCH 51 WINNER</v>
      </c>
      <c r="CS78" s="359"/>
      <c r="CT78" s="359"/>
      <c r="CU78" s="359"/>
      <c r="CV78" s="359"/>
      <c r="CW78" s="359"/>
      <c r="CX78" s="364" t="s">
        <v>116</v>
      </c>
      <c r="CY78" s="365"/>
      <c r="CZ78" s="193"/>
      <c r="DA78" s="122" t="str">
        <f t="shared" ref="DA78:DA81" si="276">CQ78</f>
        <v>CHAMPION</v>
      </c>
      <c r="DB78" s="359" t="str">
        <f>UPPER(IF(KOGameRule=1,G78,IF(AND(DB75&lt;&gt;"",DC75&lt;&gt;""),IF(DB75&gt;DC75,DA75,IF(DB75&lt;DC75,DD75,IF(DE75&gt;DF75,DA75,IF(DE75&lt;DF75,DD75,"Match 51 Winner")))),"Match 51 Winner")))</f>
        <v>MATCH 51 WINNER</v>
      </c>
      <c r="DC78" s="359"/>
      <c r="DD78" s="359"/>
      <c r="DE78" s="359"/>
      <c r="DF78" s="359"/>
      <c r="DG78" s="359"/>
      <c r="DH78" s="364" t="s">
        <v>116</v>
      </c>
      <c r="DI78" s="365"/>
    </row>
    <row r="79" spans="1:113" s="43" customFormat="1" ht="15" customHeight="1" x14ac:dyDescent="0.25">
      <c r="A79" s="41"/>
      <c r="B79" s="65"/>
      <c r="C79" s="388" t="s">
        <v>117</v>
      </c>
      <c r="D79" s="389"/>
      <c r="E79" s="389"/>
      <c r="F79" s="389"/>
      <c r="G79" s="379" t="str">
        <f>UPPER(IF(AND(H75&lt;&gt;"",I75&lt;&gt;""),IF((H75+K75)&gt;(I75+L75),J75,IF((H75+K75)&lt;(I75+L75),G75,"Match 51 Loser")),"Match 51 Loser"))</f>
        <v>MATCH 51 LOSER</v>
      </c>
      <c r="H79" s="379"/>
      <c r="I79" s="379"/>
      <c r="J79" s="379"/>
      <c r="K79" s="379"/>
      <c r="L79" s="380"/>
      <c r="M79" s="89"/>
      <c r="O79" s="122" t="str">
        <f t="shared" ref="O79:O81" si="277">C79</f>
        <v>RUNNER UP</v>
      </c>
      <c r="P79" s="370" t="str">
        <f ca="1">UPPER(IF(KOGameRule=1,G79,IF(AND(P75&lt;&gt;"",Q75&lt;&gt;""),IF(P75&gt;Q75,R75,IF(P75&lt;Q75,O75,IF(S75&gt;T75,R75,IF(S75&lt;T75,O75,"Match 51 Loser")))),"Match 51 Loser")))</f>
        <v>FRANCE</v>
      </c>
      <c r="Q79" s="370"/>
      <c r="R79" s="370"/>
      <c r="S79" s="370"/>
      <c r="T79" s="370"/>
      <c r="U79" s="396"/>
      <c r="V79" s="366"/>
      <c r="W79" s="367"/>
      <c r="Y79" s="122" t="str">
        <f t="shared" ref="Y79:Y81" si="278">O79</f>
        <v>RUNNER UP</v>
      </c>
      <c r="Z79" s="370" t="str">
        <f ca="1">UPPER(IF(KOGameRule=1,G79,IF(AND(Z75&lt;&gt;"",AA75&lt;&gt;""),IF(Z75&gt;AA75,AB75,IF(Z75&lt;AA75,Y75,IF(AC75&gt;AD75,AB75,IF(AC75&lt;AD75,Y75,"Match 51 Loser")))),"Match 51 Loser")))</f>
        <v>ENGLAND</v>
      </c>
      <c r="AA79" s="370"/>
      <c r="AB79" s="370"/>
      <c r="AC79" s="370"/>
      <c r="AD79" s="370"/>
      <c r="AE79" s="370"/>
      <c r="AF79" s="366"/>
      <c r="AG79" s="367"/>
      <c r="AI79" s="122" t="str">
        <f t="shared" si="269"/>
        <v>RUNNER UP</v>
      </c>
      <c r="AJ79" s="370" t="str">
        <f>UPPER(IF(KOGameRule=1,G79,IF(AND(AJ75&lt;&gt;"",AK75&lt;&gt;""),IF(AJ75&gt;AK75,AL75,IF(AJ75&lt;AK75,AI75,IF(AM75&gt;AN75,AL75,IF(AM75&lt;AN75,AI75,"Match 51 Loser")))),"Match 51 Loser")))</f>
        <v>MATCH 51 LOSER</v>
      </c>
      <c r="AK79" s="370"/>
      <c r="AL79" s="370"/>
      <c r="AM79" s="370"/>
      <c r="AN79" s="370"/>
      <c r="AO79" s="370"/>
      <c r="AP79" s="366"/>
      <c r="AQ79" s="367"/>
      <c r="AS79" s="122" t="str">
        <f t="shared" si="270"/>
        <v>RUNNER UP</v>
      </c>
      <c r="AT79" s="370" t="str">
        <f>UPPER(IF(KOGameRule=1,G79,IF(AND(AT75&lt;&gt;"",AU75&lt;&gt;""),IF(AT75&gt;AU75,AV75,IF(AT75&lt;AU75,AS75,IF(AW75&gt;AX75,AV75,IF(AW75&lt;AX75,AS75,"Match 51 Loser")))),"Match 51 Loser")))</f>
        <v>MATCH 51 LOSER</v>
      </c>
      <c r="AU79" s="370"/>
      <c r="AV79" s="370"/>
      <c r="AW79" s="370"/>
      <c r="AX79" s="370"/>
      <c r="AY79" s="370"/>
      <c r="AZ79" s="366"/>
      <c r="BA79" s="367"/>
      <c r="BC79" s="122" t="str">
        <f t="shared" si="271"/>
        <v>RUNNER UP</v>
      </c>
      <c r="BD79" s="370" t="str">
        <f>UPPER(IF(KOGameRule=1,G79,IF(AND(BD75&lt;&gt;"",BE75&lt;&gt;""),IF(BD75&gt;BE75,BF75,IF(BD75&lt;BE75,BC75,IF(BG75&gt;BH75,BF75,IF(BG75&lt;BH75,BC75,"Match 51 Loser")))),"Match 51 Loser")))</f>
        <v>MATCH 51 LOSER</v>
      </c>
      <c r="BE79" s="370"/>
      <c r="BF79" s="370"/>
      <c r="BG79" s="370"/>
      <c r="BH79" s="370"/>
      <c r="BI79" s="370"/>
      <c r="BJ79" s="366"/>
      <c r="BK79" s="367"/>
      <c r="BM79" s="122" t="str">
        <f t="shared" si="272"/>
        <v>RUNNER UP</v>
      </c>
      <c r="BN79" s="370" t="str">
        <f>UPPER(IF(KOGameRule=1,G79,IF(AND(BN75&lt;&gt;"",BO75&lt;&gt;""),IF(BN75&gt;BO75,BP75,IF(BN75&lt;BO75,BM75,IF(BQ75&gt;BR75,BP75,IF(BQ75&lt;BR75,BM75,"Match 51 Loser")))),"Match 51 Loser")))</f>
        <v>MATCH 51 LOSER</v>
      </c>
      <c r="BO79" s="370"/>
      <c r="BP79" s="370"/>
      <c r="BQ79" s="370"/>
      <c r="BR79" s="370"/>
      <c r="BS79" s="370"/>
      <c r="BT79" s="366"/>
      <c r="BU79" s="367"/>
      <c r="BW79" s="122" t="str">
        <f t="shared" si="273"/>
        <v>RUNNER UP</v>
      </c>
      <c r="BX79" s="370" t="str">
        <f>UPPER(IF(KOGameRule=1,G79,IF(AND(BX75&lt;&gt;"",BY75&lt;&gt;""),IF(BX75&gt;BY75,BZ75,IF(BX75&lt;BY75,BW75,IF(CA75&gt;CB75,BZ75,IF(CA75&lt;CB75,BW75,"Match 51 Loser")))),"Match 51 Loser")))</f>
        <v>MATCH 51 LOSER</v>
      </c>
      <c r="BY79" s="370"/>
      <c r="BZ79" s="370"/>
      <c r="CA79" s="370"/>
      <c r="CB79" s="370"/>
      <c r="CC79" s="370"/>
      <c r="CD79" s="366"/>
      <c r="CE79" s="367"/>
      <c r="CG79" s="122" t="str">
        <f t="shared" si="274"/>
        <v>RUNNER UP</v>
      </c>
      <c r="CH79" s="370" t="str">
        <f>UPPER(IF(KOGameRule=1,G79,IF(AND(CH75&lt;&gt;"",CI75&lt;&gt;""),IF(CH75&gt;CI75,CJ75,IF(CH75&lt;CI75,CG75,IF(CK75&gt;CL75,CJ75,IF(CK75&lt;CL75,CG75,"Match 51 Loser")))),"Match 51 Loser")))</f>
        <v>MATCH 51 LOSER</v>
      </c>
      <c r="CI79" s="370"/>
      <c r="CJ79" s="370"/>
      <c r="CK79" s="370"/>
      <c r="CL79" s="370"/>
      <c r="CM79" s="370"/>
      <c r="CN79" s="366"/>
      <c r="CO79" s="367"/>
      <c r="CQ79" s="122" t="str">
        <f t="shared" si="275"/>
        <v>RUNNER UP</v>
      </c>
      <c r="CR79" s="370" t="str">
        <f>UPPER(IF(KOGameRule=1,G79,IF(AND(CR75&lt;&gt;"",CS75&lt;&gt;""),IF(CR75&gt;CS75,CT75,IF(CR75&lt;CS75,CQ75,IF(CU75&gt;CV75,CT75,IF(CU75&lt;CV75,CQ75,"Match 51 Loser")))),"Match 51 Loser")))</f>
        <v>MATCH 51 LOSER</v>
      </c>
      <c r="CS79" s="370"/>
      <c r="CT79" s="370"/>
      <c r="CU79" s="370"/>
      <c r="CV79" s="370"/>
      <c r="CW79" s="370"/>
      <c r="CX79" s="366"/>
      <c r="CY79" s="367"/>
      <c r="DA79" s="122" t="str">
        <f t="shared" si="276"/>
        <v>RUNNER UP</v>
      </c>
      <c r="DB79" s="370" t="str">
        <f>UPPER(IF(KOGameRule=1,G79,IF(AND(DB75&lt;&gt;"",DC75&lt;&gt;""),IF(DB75&gt;DC75,DD75,IF(DB75&lt;DC75,DA75,IF(DE75&gt;DF75,DD75,IF(DE75&lt;DF75,DA75,"Match 51 Loser")))),"Match 51 Loser")))</f>
        <v>MATCH 51 LOSER</v>
      </c>
      <c r="DC79" s="370"/>
      <c r="DD79" s="370"/>
      <c r="DE79" s="370"/>
      <c r="DF79" s="370"/>
      <c r="DG79" s="370"/>
      <c r="DH79" s="366"/>
      <c r="DI79" s="367"/>
    </row>
    <row r="80" spans="1:113" s="43" customFormat="1" ht="15" customHeight="1" x14ac:dyDescent="0.25">
      <c r="A80" s="41"/>
      <c r="B80" s="65"/>
      <c r="C80" s="388" t="s">
        <v>118</v>
      </c>
      <c r="D80" s="389"/>
      <c r="E80" s="389"/>
      <c r="F80" s="389"/>
      <c r="G80" s="379" t="str">
        <f>IF(AND(H73&lt;&gt;"",I73&lt;&gt;""),IF((H73+K73)&gt;(I73+L73),J73,IF((H73+K73)&lt;(I73+L73),G73,"Match 49 Loser")),"Match 49 Loser")</f>
        <v>Match 49 Loser</v>
      </c>
      <c r="H80" s="379"/>
      <c r="I80" s="379"/>
      <c r="J80" s="379"/>
      <c r="K80" s="379"/>
      <c r="L80" s="380"/>
      <c r="M80" s="89"/>
      <c r="O80" s="122" t="str">
        <f t="shared" si="277"/>
        <v>SEMIFINALIST 1</v>
      </c>
      <c r="P80" s="370" t="str">
        <f ca="1">IF(KOGameRule=1,G80,IF(AND(P73&lt;&gt;"",Q73&lt;&gt;""),IF((P73+S73)&gt;(Q73+T73),R73,IF((P73+S73)&lt;(Q73+T73),O73,"Match 49 Loser")),"Match 49 Loser"))</f>
        <v>Netherlands</v>
      </c>
      <c r="Q80" s="370"/>
      <c r="R80" s="370"/>
      <c r="S80" s="370"/>
      <c r="T80" s="370"/>
      <c r="U80" s="396"/>
      <c r="V80" s="366"/>
      <c r="W80" s="367"/>
      <c r="Y80" s="122" t="str">
        <f t="shared" si="278"/>
        <v>SEMIFINALIST 1</v>
      </c>
      <c r="Z80" s="370" t="str">
        <f ca="1">IF(KOGameRule=1,G80,IF(AND(Z73&lt;&gt;"",AA73&lt;&gt;""),IF((Z73+AC73)&gt;(AA73+AD73),AB73,IF((Z73+AC73)&lt;(AA73+AD73),Y73,"Match 49 Loser")),"Match 49 Loser"))</f>
        <v>Poland</v>
      </c>
      <c r="AA80" s="370"/>
      <c r="AB80" s="370"/>
      <c r="AC80" s="370"/>
      <c r="AD80" s="370"/>
      <c r="AE80" s="370"/>
      <c r="AF80" s="366"/>
      <c r="AG80" s="367"/>
      <c r="AI80" s="122" t="str">
        <f t="shared" si="269"/>
        <v>SEMIFINALIST 1</v>
      </c>
      <c r="AJ80" s="370" t="str">
        <f>IF(KOGameRule=1,G80,IF(AND(AJ73&lt;&gt;"",AK73&lt;&gt;""),IF((AJ73+AM73)&gt;(AK73+AN73),AL73,IF((AJ73+AM73)&lt;(AK73+AN73),AI73,"Match 49 Loser")),"Match 49 Loser"))</f>
        <v>Match 49 Loser</v>
      </c>
      <c r="AK80" s="370"/>
      <c r="AL80" s="370"/>
      <c r="AM80" s="370"/>
      <c r="AN80" s="370"/>
      <c r="AO80" s="370"/>
      <c r="AP80" s="366"/>
      <c r="AQ80" s="367"/>
      <c r="AS80" s="122" t="str">
        <f t="shared" si="270"/>
        <v>SEMIFINALIST 1</v>
      </c>
      <c r="AT80" s="370" t="str">
        <f>IF(KOGameRule=1,G80,IF(AND(AT73&lt;&gt;"",AU73&lt;&gt;""),IF((AT73+AW73)&gt;(AU73+AX73),AV73,IF((AT73+AW73)&lt;(AU73+AX73),AS73,"Match 49 Loser")),"Match 49 Loser"))</f>
        <v>Match 49 Loser</v>
      </c>
      <c r="AU80" s="370"/>
      <c r="AV80" s="370"/>
      <c r="AW80" s="370"/>
      <c r="AX80" s="370"/>
      <c r="AY80" s="370"/>
      <c r="AZ80" s="366"/>
      <c r="BA80" s="367"/>
      <c r="BC80" s="122" t="str">
        <f t="shared" si="271"/>
        <v>SEMIFINALIST 1</v>
      </c>
      <c r="BD80" s="370" t="str">
        <f>IF(KOGameRule=1,G80,IF(AND(BD73&lt;&gt;"",BE73&lt;&gt;""),IF((BD73+BG73)&gt;(BE73+BH73),BF73,IF((BD73+BG73)&lt;(BE73+BH73),BC73,"Match 49 Loser")),"Match 49 Loser"))</f>
        <v>Match 49 Loser</v>
      </c>
      <c r="BE80" s="370"/>
      <c r="BF80" s="370"/>
      <c r="BG80" s="370"/>
      <c r="BH80" s="370"/>
      <c r="BI80" s="370"/>
      <c r="BJ80" s="366"/>
      <c r="BK80" s="367"/>
      <c r="BM80" s="122" t="str">
        <f t="shared" si="272"/>
        <v>SEMIFINALIST 1</v>
      </c>
      <c r="BN80" s="370" t="str">
        <f>IF(KOGameRule=1,G80,IF(AND(BN73&lt;&gt;"",BO73&lt;&gt;""),IF((BN73+BQ73)&gt;(BO73+BR73),BP73,IF((BN73+BQ73)&lt;(BO73+BR73),BM73,"Match 49 Loser")),"Match 49 Loser"))</f>
        <v>Match 49 Loser</v>
      </c>
      <c r="BO80" s="370"/>
      <c r="BP80" s="370"/>
      <c r="BQ80" s="370"/>
      <c r="BR80" s="370"/>
      <c r="BS80" s="370"/>
      <c r="BT80" s="366"/>
      <c r="BU80" s="367"/>
      <c r="BW80" s="122" t="str">
        <f t="shared" si="273"/>
        <v>SEMIFINALIST 1</v>
      </c>
      <c r="BX80" s="370" t="str">
        <f>IF(KOGameRule=1,G80,IF(AND(BX73&lt;&gt;"",BY73&lt;&gt;""),IF((BX73+CA73)&gt;(BY73+CB73),BZ73,IF((BX73+CA73)&lt;(BY73+CB73),BW73,"Match 49 Loser")),"Match 49 Loser"))</f>
        <v>Match 49 Loser</v>
      </c>
      <c r="BY80" s="370"/>
      <c r="BZ80" s="370"/>
      <c r="CA80" s="370"/>
      <c r="CB80" s="370"/>
      <c r="CC80" s="370"/>
      <c r="CD80" s="366"/>
      <c r="CE80" s="367"/>
      <c r="CG80" s="122" t="str">
        <f t="shared" si="274"/>
        <v>SEMIFINALIST 1</v>
      </c>
      <c r="CH80" s="370" t="str">
        <f>IF(KOGameRule=1,G80,IF(AND(CH73&lt;&gt;"",CI73&lt;&gt;""),IF((CH73+CK73)&gt;(CI73+CL73),CJ73,IF((CH73+CK73)&lt;(CI73+CL73),CG73,"Match 49 Loser")),"Match 49 Loser"))</f>
        <v>Match 49 Loser</v>
      </c>
      <c r="CI80" s="370"/>
      <c r="CJ80" s="370"/>
      <c r="CK80" s="370"/>
      <c r="CL80" s="370"/>
      <c r="CM80" s="370"/>
      <c r="CN80" s="366"/>
      <c r="CO80" s="367"/>
      <c r="CQ80" s="122" t="str">
        <f t="shared" si="275"/>
        <v>SEMIFINALIST 1</v>
      </c>
      <c r="CR80" s="370" t="str">
        <f>IF(KOGameRule=1,G80,IF(AND(CR73&lt;&gt;"",CS73&lt;&gt;""),IF((CR73+CU73)&gt;(CS73+CV73),CT73,IF((CR73+CU73)&lt;(CS73+CV73),CQ73,"Match 49 Loser")),"Match 49 Loser"))</f>
        <v>Match 49 Loser</v>
      </c>
      <c r="CS80" s="370"/>
      <c r="CT80" s="370"/>
      <c r="CU80" s="370"/>
      <c r="CV80" s="370"/>
      <c r="CW80" s="370"/>
      <c r="CX80" s="366"/>
      <c r="CY80" s="367"/>
      <c r="DA80" s="122" t="str">
        <f t="shared" si="276"/>
        <v>SEMIFINALIST 1</v>
      </c>
      <c r="DB80" s="370" t="str">
        <f>IF(KOGameRule=1,G80,IF(AND(DB73&lt;&gt;"",DC73&lt;&gt;""),IF((DB73+DE73)&gt;(DC73+DF73),DD73,IF((DB73+DE73)&lt;(DC73+DF73),DA73,"Match 49 Loser")),"Match 49 Loser"))</f>
        <v>Match 49 Loser</v>
      </c>
      <c r="DC80" s="370"/>
      <c r="DD80" s="370"/>
      <c r="DE80" s="370"/>
      <c r="DF80" s="370"/>
      <c r="DG80" s="370"/>
      <c r="DH80" s="366"/>
      <c r="DI80" s="367"/>
    </row>
    <row r="81" spans="1:113" s="43" customFormat="1" ht="15" customHeight="1" x14ac:dyDescent="0.25">
      <c r="A81" s="41"/>
      <c r="B81" s="65"/>
      <c r="C81" s="388" t="s">
        <v>119</v>
      </c>
      <c r="D81" s="389"/>
      <c r="E81" s="389"/>
      <c r="F81" s="389"/>
      <c r="G81" s="379" t="str">
        <f>IF(AND(H74&lt;&gt;"",I74&lt;&gt;""),IF((H74+K74)&gt;(I74+L74),J74,IF((H74+K74)&lt;(I74+L74),G74,"Match 50 Loser")),"Match 50 Loser")</f>
        <v>Match 50 Loser</v>
      </c>
      <c r="H81" s="379"/>
      <c r="I81" s="379"/>
      <c r="J81" s="379"/>
      <c r="K81" s="379"/>
      <c r="L81" s="380"/>
      <c r="M81" s="89"/>
      <c r="O81" s="122" t="str">
        <f t="shared" si="277"/>
        <v>SEMIFINALIST 2</v>
      </c>
      <c r="P81" s="370" t="str">
        <f ca="1">IF(KOGameRule=1,G81,IF(AND(P74&lt;&gt;"",Q74&lt;&gt;""),IF((P74+S74)&gt;(Q74+T74),R74,IF((P74+S74)&lt;(Q74+T74),O74,"Match 50 Loser")),"Match 50 Loser"))</f>
        <v>Denmark</v>
      </c>
      <c r="Q81" s="370"/>
      <c r="R81" s="370"/>
      <c r="S81" s="370"/>
      <c r="T81" s="370"/>
      <c r="U81" s="396"/>
      <c r="V81" s="366"/>
      <c r="W81" s="367"/>
      <c r="Y81" s="122" t="str">
        <f t="shared" si="278"/>
        <v>SEMIFINALIST 2</v>
      </c>
      <c r="Z81" s="370" t="str">
        <f ca="1">IF(KOGameRule=1,G81,IF(AND(Z74&lt;&gt;"",AA74&lt;&gt;""),IF((Z74+AC74)&gt;(AA74+AD74),AB74,IF((Z74+AC74)&lt;(AA74+AD74),Y74,"Match 50 Loser")),"Match 50 Loser"))</f>
        <v>France</v>
      </c>
      <c r="AA81" s="370"/>
      <c r="AB81" s="370"/>
      <c r="AC81" s="370"/>
      <c r="AD81" s="370"/>
      <c r="AE81" s="370"/>
      <c r="AF81" s="366"/>
      <c r="AG81" s="367"/>
      <c r="AI81" s="122" t="str">
        <f t="shared" si="269"/>
        <v>SEMIFINALIST 2</v>
      </c>
      <c r="AJ81" s="370" t="str">
        <f>IF(KOGameRule=1,G81,IF(AND(AJ74&lt;&gt;"",AK74&lt;&gt;""),IF((AJ74+AM74)&gt;(AK74+AN74),AL74,IF((AJ74+AM74)&lt;(AK74+AN74),AI74,"Match 50 Loser")),"Match 50 Loser"))</f>
        <v>Match 50 Loser</v>
      </c>
      <c r="AK81" s="370"/>
      <c r="AL81" s="370"/>
      <c r="AM81" s="370"/>
      <c r="AN81" s="370"/>
      <c r="AO81" s="370"/>
      <c r="AP81" s="366"/>
      <c r="AQ81" s="367"/>
      <c r="AS81" s="122" t="str">
        <f t="shared" si="270"/>
        <v>SEMIFINALIST 2</v>
      </c>
      <c r="AT81" s="370" t="str">
        <f>IF(KOGameRule=1,G81,IF(AND(AT74&lt;&gt;"",AU74&lt;&gt;""),IF((AT74+AW74)&gt;(AU74+AX74),AV74,IF((AT74+AW74)&lt;(AU74+AX74),AS74,"Match 50 Loser")),"Match 50 Loser"))</f>
        <v>Match 50 Loser</v>
      </c>
      <c r="AU81" s="370"/>
      <c r="AV81" s="370"/>
      <c r="AW81" s="370"/>
      <c r="AX81" s="370"/>
      <c r="AY81" s="370"/>
      <c r="AZ81" s="366"/>
      <c r="BA81" s="367"/>
      <c r="BC81" s="122" t="str">
        <f t="shared" si="271"/>
        <v>SEMIFINALIST 2</v>
      </c>
      <c r="BD81" s="370" t="str">
        <f>IF(KOGameRule=1,G81,IF(AND(BD74&lt;&gt;"",BE74&lt;&gt;""),IF((BD74+BG74)&gt;(BE74+BH74),BF74,IF((BD74+BG74)&lt;(BE74+BH74),BC74,"Match 50 Loser")),"Match 50 Loser"))</f>
        <v>Match 50 Loser</v>
      </c>
      <c r="BE81" s="370"/>
      <c r="BF81" s="370"/>
      <c r="BG81" s="370"/>
      <c r="BH81" s="370"/>
      <c r="BI81" s="370"/>
      <c r="BJ81" s="366"/>
      <c r="BK81" s="367"/>
      <c r="BM81" s="122" t="str">
        <f t="shared" si="272"/>
        <v>SEMIFINALIST 2</v>
      </c>
      <c r="BN81" s="370" t="str">
        <f>IF(KOGameRule=1,G81,IF(AND(BN74&lt;&gt;"",BO74&lt;&gt;""),IF((BN74+BQ74)&gt;(BO74+BR74),BP74,IF((BN74+BQ74)&lt;(BO74+BR74),BM74,"Match 50 Loser")),"Match 50 Loser"))</f>
        <v>Match 50 Loser</v>
      </c>
      <c r="BO81" s="370"/>
      <c r="BP81" s="370"/>
      <c r="BQ81" s="370"/>
      <c r="BR81" s="370"/>
      <c r="BS81" s="370"/>
      <c r="BT81" s="366"/>
      <c r="BU81" s="367"/>
      <c r="BW81" s="122" t="str">
        <f t="shared" si="273"/>
        <v>SEMIFINALIST 2</v>
      </c>
      <c r="BX81" s="370" t="str">
        <f>IF(KOGameRule=1,G81,IF(AND(BX74&lt;&gt;"",BY74&lt;&gt;""),IF((BX74+CA74)&gt;(BY74+CB74),BZ74,IF((BX74+CA74)&lt;(BY74+CB74),BW74,"Match 50 Loser")),"Match 50 Loser"))</f>
        <v>Match 50 Loser</v>
      </c>
      <c r="BY81" s="370"/>
      <c r="BZ81" s="370"/>
      <c r="CA81" s="370"/>
      <c r="CB81" s="370"/>
      <c r="CC81" s="370"/>
      <c r="CD81" s="366"/>
      <c r="CE81" s="367"/>
      <c r="CG81" s="122" t="str">
        <f t="shared" si="274"/>
        <v>SEMIFINALIST 2</v>
      </c>
      <c r="CH81" s="370" t="str">
        <f>IF(KOGameRule=1,G81,IF(AND(CH74&lt;&gt;"",CI74&lt;&gt;""),IF((CH74+CK74)&gt;(CI74+CL74),CJ74,IF((CH74+CK74)&lt;(CI74+CL74),CG74,"Match 50 Loser")),"Match 50 Loser"))</f>
        <v>Match 50 Loser</v>
      </c>
      <c r="CI81" s="370"/>
      <c r="CJ81" s="370"/>
      <c r="CK81" s="370"/>
      <c r="CL81" s="370"/>
      <c r="CM81" s="370"/>
      <c r="CN81" s="366"/>
      <c r="CO81" s="367"/>
      <c r="CQ81" s="122" t="str">
        <f t="shared" si="275"/>
        <v>SEMIFINALIST 2</v>
      </c>
      <c r="CR81" s="370" t="str">
        <f>IF(KOGameRule=1,G81,IF(AND(CR74&lt;&gt;"",CS74&lt;&gt;""),IF((CR74+CU74)&gt;(CS74+CV74),CT74,IF((CR74+CU74)&lt;(CS74+CV74),CQ74,"Match 50 Loser")),"Match 50 Loser"))</f>
        <v>Match 50 Loser</v>
      </c>
      <c r="CS81" s="370"/>
      <c r="CT81" s="370"/>
      <c r="CU81" s="370"/>
      <c r="CV81" s="370"/>
      <c r="CW81" s="370"/>
      <c r="CX81" s="366"/>
      <c r="CY81" s="367"/>
      <c r="DA81" s="122" t="str">
        <f t="shared" si="276"/>
        <v>SEMIFINALIST 2</v>
      </c>
      <c r="DB81" s="370" t="str">
        <f>IF(KOGameRule=1,G81,IF(AND(DB74&lt;&gt;"",DC74&lt;&gt;""),IF((DB74+DE74)&gt;(DC74+DF74),DD74,IF((DB74+DE74)&lt;(DC74+DF74),DA74,"Match 50 Loser")),"Match 50 Loser"))</f>
        <v>Match 50 Loser</v>
      </c>
      <c r="DC81" s="370"/>
      <c r="DD81" s="370"/>
      <c r="DE81" s="370"/>
      <c r="DF81" s="370"/>
      <c r="DG81" s="370"/>
      <c r="DH81" s="366"/>
      <c r="DI81" s="367"/>
    </row>
    <row r="82" spans="1:113" s="43" customFormat="1" ht="15" customHeight="1" x14ac:dyDescent="0.25">
      <c r="A82" s="41"/>
      <c r="B82" s="65"/>
      <c r="C82" s="66"/>
      <c r="D82" s="66"/>
      <c r="E82" s="66"/>
      <c r="F82" s="66"/>
      <c r="G82" s="66"/>
      <c r="H82" s="66"/>
      <c r="I82" s="66"/>
      <c r="J82" s="66"/>
      <c r="K82" s="66"/>
      <c r="L82" s="66"/>
      <c r="M82" s="89"/>
      <c r="V82" s="366"/>
      <c r="W82" s="367"/>
      <c r="AF82" s="366"/>
      <c r="AG82" s="367"/>
      <c r="AP82" s="366"/>
      <c r="AQ82" s="367"/>
      <c r="AZ82" s="366"/>
      <c r="BA82" s="367"/>
      <c r="BJ82" s="366"/>
      <c r="BK82" s="367"/>
      <c r="BT82" s="366"/>
      <c r="BU82" s="367"/>
      <c r="CD82" s="366"/>
      <c r="CE82" s="367"/>
      <c r="CN82" s="366"/>
      <c r="CO82" s="367"/>
      <c r="CX82" s="366"/>
      <c r="CY82" s="367"/>
      <c r="DH82" s="366"/>
      <c r="DI82" s="367"/>
    </row>
    <row r="83" spans="1:113" s="43" customFormat="1" ht="15" customHeight="1" x14ac:dyDescent="0.25">
      <c r="A83" s="41"/>
      <c r="B83" s="65"/>
      <c r="C83" s="66"/>
      <c r="D83" s="66"/>
      <c r="E83" s="66"/>
      <c r="F83" s="66"/>
      <c r="G83" s="66"/>
      <c r="H83" s="66"/>
      <c r="I83" s="66"/>
      <c r="J83" s="66"/>
      <c r="K83" s="66"/>
      <c r="L83" s="66"/>
      <c r="M83" s="89"/>
      <c r="O83" s="204" t="s">
        <v>120</v>
      </c>
      <c r="P83" s="44"/>
      <c r="Q83" s="44"/>
      <c r="R83" s="44"/>
      <c r="S83" s="392">
        <v>0</v>
      </c>
      <c r="T83" s="392"/>
      <c r="U83" s="393"/>
      <c r="V83" s="366"/>
      <c r="W83" s="367"/>
      <c r="Y83" s="204" t="s">
        <v>120</v>
      </c>
      <c r="Z83" s="44"/>
      <c r="AA83" s="44"/>
      <c r="AB83" s="44"/>
      <c r="AC83" s="392">
        <v>0</v>
      </c>
      <c r="AD83" s="392"/>
      <c r="AE83" s="393"/>
      <c r="AF83" s="366"/>
      <c r="AG83" s="367"/>
      <c r="AI83" s="204" t="s">
        <v>120</v>
      </c>
      <c r="AJ83" s="44"/>
      <c r="AK83" s="44"/>
      <c r="AL83" s="44"/>
      <c r="AM83" s="392">
        <v>0</v>
      </c>
      <c r="AN83" s="392"/>
      <c r="AO83" s="393"/>
      <c r="AP83" s="366"/>
      <c r="AQ83" s="367"/>
      <c r="AS83" s="204" t="s">
        <v>120</v>
      </c>
      <c r="AT83" s="44"/>
      <c r="AU83" s="44"/>
      <c r="AV83" s="44"/>
      <c r="AW83" s="392">
        <v>0</v>
      </c>
      <c r="AX83" s="392"/>
      <c r="AY83" s="393"/>
      <c r="AZ83" s="366"/>
      <c r="BA83" s="367"/>
      <c r="BC83" s="204" t="s">
        <v>120</v>
      </c>
      <c r="BD83" s="44"/>
      <c r="BE83" s="44"/>
      <c r="BF83" s="44"/>
      <c r="BG83" s="392">
        <v>0</v>
      </c>
      <c r="BH83" s="392"/>
      <c r="BI83" s="393"/>
      <c r="BJ83" s="366"/>
      <c r="BK83" s="367"/>
      <c r="BM83" s="204" t="s">
        <v>120</v>
      </c>
      <c r="BN83" s="44"/>
      <c r="BO83" s="44"/>
      <c r="BP83" s="44"/>
      <c r="BQ83" s="392">
        <v>0</v>
      </c>
      <c r="BR83" s="392"/>
      <c r="BS83" s="393"/>
      <c r="BT83" s="366"/>
      <c r="BU83" s="367"/>
      <c r="BW83" s="204" t="s">
        <v>120</v>
      </c>
      <c r="BX83" s="44"/>
      <c r="BY83" s="44"/>
      <c r="BZ83" s="44"/>
      <c r="CA83" s="392">
        <v>0</v>
      </c>
      <c r="CB83" s="392"/>
      <c r="CC83" s="393"/>
      <c r="CD83" s="366"/>
      <c r="CE83" s="367"/>
      <c r="CG83" s="204" t="s">
        <v>120</v>
      </c>
      <c r="CH83" s="44"/>
      <c r="CI83" s="44"/>
      <c r="CJ83" s="44"/>
      <c r="CK83" s="392">
        <v>0</v>
      </c>
      <c r="CL83" s="392"/>
      <c r="CM83" s="393"/>
      <c r="CN83" s="366"/>
      <c r="CO83" s="367"/>
      <c r="CQ83" s="204" t="s">
        <v>120</v>
      </c>
      <c r="CR83" s="44"/>
      <c r="CS83" s="44"/>
      <c r="CT83" s="44"/>
      <c r="CU83" s="392">
        <v>0</v>
      </c>
      <c r="CV83" s="392"/>
      <c r="CW83" s="393"/>
      <c r="CX83" s="366"/>
      <c r="CY83" s="367"/>
      <c r="DA83" s="204" t="s">
        <v>120</v>
      </c>
      <c r="DB83" s="44"/>
      <c r="DC83" s="44"/>
      <c r="DD83" s="44"/>
      <c r="DE83" s="392">
        <v>0</v>
      </c>
      <c r="DF83" s="392"/>
      <c r="DG83" s="393"/>
      <c r="DH83" s="366"/>
      <c r="DI83" s="367"/>
    </row>
    <row r="84" spans="1:113" s="43" customFormat="1" ht="15" customHeight="1" x14ac:dyDescent="0.25">
      <c r="A84" s="41"/>
      <c r="B84" s="65"/>
      <c r="C84" s="66"/>
      <c r="D84" s="66"/>
      <c r="E84" s="66"/>
      <c r="F84" s="66"/>
      <c r="G84" s="66"/>
      <c r="H84" s="66"/>
      <c r="I84" s="66"/>
      <c r="J84" s="66"/>
      <c r="K84" s="66"/>
      <c r="L84" s="66"/>
      <c r="M84" s="89"/>
      <c r="O84" s="204" t="s">
        <v>121</v>
      </c>
      <c r="P84" s="44"/>
      <c r="Q84" s="44"/>
      <c r="R84" s="44"/>
      <c r="S84" s="392">
        <v>0</v>
      </c>
      <c r="T84" s="392"/>
      <c r="U84" s="393"/>
      <c r="V84" s="366"/>
      <c r="W84" s="367"/>
      <c r="Y84" s="204" t="s">
        <v>121</v>
      </c>
      <c r="Z84" s="44"/>
      <c r="AA84" s="44"/>
      <c r="AB84" s="44"/>
      <c r="AC84" s="392">
        <v>0</v>
      </c>
      <c r="AD84" s="392"/>
      <c r="AE84" s="393"/>
      <c r="AF84" s="366"/>
      <c r="AG84" s="367"/>
      <c r="AI84" s="204" t="s">
        <v>121</v>
      </c>
      <c r="AJ84" s="44"/>
      <c r="AK84" s="44"/>
      <c r="AL84" s="44"/>
      <c r="AM84" s="392">
        <v>0</v>
      </c>
      <c r="AN84" s="392"/>
      <c r="AO84" s="393"/>
      <c r="AP84" s="366"/>
      <c r="AQ84" s="367"/>
      <c r="AS84" s="204" t="s">
        <v>121</v>
      </c>
      <c r="AT84" s="44"/>
      <c r="AU84" s="44"/>
      <c r="AV84" s="44"/>
      <c r="AW84" s="392">
        <v>0</v>
      </c>
      <c r="AX84" s="392"/>
      <c r="AY84" s="393"/>
      <c r="AZ84" s="366"/>
      <c r="BA84" s="367"/>
      <c r="BC84" s="204" t="s">
        <v>121</v>
      </c>
      <c r="BD84" s="44"/>
      <c r="BE84" s="44"/>
      <c r="BF84" s="44"/>
      <c r="BG84" s="392">
        <v>0</v>
      </c>
      <c r="BH84" s="392"/>
      <c r="BI84" s="393"/>
      <c r="BJ84" s="366"/>
      <c r="BK84" s="367"/>
      <c r="BM84" s="204" t="s">
        <v>121</v>
      </c>
      <c r="BN84" s="44"/>
      <c r="BO84" s="44"/>
      <c r="BP84" s="44"/>
      <c r="BQ84" s="392">
        <v>0</v>
      </c>
      <c r="BR84" s="392"/>
      <c r="BS84" s="393"/>
      <c r="BT84" s="366"/>
      <c r="BU84" s="367"/>
      <c r="BW84" s="204" t="s">
        <v>121</v>
      </c>
      <c r="BX84" s="44"/>
      <c r="BY84" s="44"/>
      <c r="BZ84" s="44"/>
      <c r="CA84" s="392">
        <v>0</v>
      </c>
      <c r="CB84" s="392"/>
      <c r="CC84" s="393"/>
      <c r="CD84" s="366"/>
      <c r="CE84" s="367"/>
      <c r="CG84" s="204" t="s">
        <v>121</v>
      </c>
      <c r="CH84" s="44"/>
      <c r="CI84" s="44"/>
      <c r="CJ84" s="44"/>
      <c r="CK84" s="392">
        <v>0</v>
      </c>
      <c r="CL84" s="392"/>
      <c r="CM84" s="393"/>
      <c r="CN84" s="366"/>
      <c r="CO84" s="367"/>
      <c r="CQ84" s="204" t="s">
        <v>121</v>
      </c>
      <c r="CR84" s="44"/>
      <c r="CS84" s="44"/>
      <c r="CT84" s="44"/>
      <c r="CU84" s="392">
        <v>0</v>
      </c>
      <c r="CV84" s="392"/>
      <c r="CW84" s="393"/>
      <c r="CX84" s="366"/>
      <c r="CY84" s="367"/>
      <c r="DA84" s="204" t="s">
        <v>121</v>
      </c>
      <c r="DB84" s="44"/>
      <c r="DC84" s="44"/>
      <c r="DD84" s="44"/>
      <c r="DE84" s="392">
        <v>0</v>
      </c>
      <c r="DF84" s="392"/>
      <c r="DG84" s="393"/>
      <c r="DH84" s="366"/>
      <c r="DI84" s="367"/>
    </row>
    <row r="85" spans="1:113" s="43" customFormat="1" ht="15" customHeight="1" x14ac:dyDescent="0.25">
      <c r="A85" s="41"/>
      <c r="B85" s="65"/>
      <c r="C85" s="66"/>
      <c r="D85" s="66"/>
      <c r="E85" s="66"/>
      <c r="F85" s="66"/>
      <c r="G85" s="66"/>
      <c r="H85" s="66"/>
      <c r="I85" s="66"/>
      <c r="J85" s="66"/>
      <c r="K85" s="66"/>
      <c r="L85" s="66"/>
      <c r="M85" s="89"/>
      <c r="O85" s="204" t="s">
        <v>122</v>
      </c>
      <c r="P85" s="44"/>
      <c r="Q85" s="44"/>
      <c r="R85" s="44"/>
      <c r="S85" s="392">
        <v>0</v>
      </c>
      <c r="T85" s="392"/>
      <c r="U85" s="393"/>
      <c r="V85" s="366"/>
      <c r="W85" s="367"/>
      <c r="Y85" s="204" t="s">
        <v>122</v>
      </c>
      <c r="Z85" s="44"/>
      <c r="AA85" s="44"/>
      <c r="AB85" s="44"/>
      <c r="AC85" s="392">
        <v>0</v>
      </c>
      <c r="AD85" s="392"/>
      <c r="AE85" s="393"/>
      <c r="AF85" s="366"/>
      <c r="AG85" s="367"/>
      <c r="AI85" s="204" t="s">
        <v>122</v>
      </c>
      <c r="AJ85" s="44"/>
      <c r="AK85" s="44"/>
      <c r="AL85" s="44"/>
      <c r="AM85" s="392">
        <v>0</v>
      </c>
      <c r="AN85" s="392"/>
      <c r="AO85" s="393"/>
      <c r="AP85" s="366"/>
      <c r="AQ85" s="367"/>
      <c r="AS85" s="204" t="s">
        <v>122</v>
      </c>
      <c r="AT85" s="44"/>
      <c r="AU85" s="44"/>
      <c r="AV85" s="44"/>
      <c r="AW85" s="392">
        <v>0</v>
      </c>
      <c r="AX85" s="392"/>
      <c r="AY85" s="393"/>
      <c r="AZ85" s="366"/>
      <c r="BA85" s="367"/>
      <c r="BC85" s="204" t="s">
        <v>122</v>
      </c>
      <c r="BD85" s="44"/>
      <c r="BE85" s="44"/>
      <c r="BF85" s="44"/>
      <c r="BG85" s="392">
        <v>0</v>
      </c>
      <c r="BH85" s="392"/>
      <c r="BI85" s="393"/>
      <c r="BJ85" s="366"/>
      <c r="BK85" s="367"/>
      <c r="BM85" s="204" t="s">
        <v>122</v>
      </c>
      <c r="BN85" s="44"/>
      <c r="BO85" s="44"/>
      <c r="BP85" s="44"/>
      <c r="BQ85" s="392">
        <v>0</v>
      </c>
      <c r="BR85" s="392"/>
      <c r="BS85" s="393"/>
      <c r="BT85" s="366"/>
      <c r="BU85" s="367"/>
      <c r="BW85" s="204" t="s">
        <v>122</v>
      </c>
      <c r="BX85" s="44"/>
      <c r="BY85" s="44"/>
      <c r="BZ85" s="44"/>
      <c r="CA85" s="392">
        <v>0</v>
      </c>
      <c r="CB85" s="392"/>
      <c r="CC85" s="393"/>
      <c r="CD85" s="366"/>
      <c r="CE85" s="367"/>
      <c r="CG85" s="204" t="s">
        <v>122</v>
      </c>
      <c r="CH85" s="44"/>
      <c r="CI85" s="44"/>
      <c r="CJ85" s="44"/>
      <c r="CK85" s="392">
        <v>0</v>
      </c>
      <c r="CL85" s="392"/>
      <c r="CM85" s="393"/>
      <c r="CN85" s="366"/>
      <c r="CO85" s="367"/>
      <c r="CQ85" s="204" t="s">
        <v>122</v>
      </c>
      <c r="CR85" s="44"/>
      <c r="CS85" s="44"/>
      <c r="CT85" s="44"/>
      <c r="CU85" s="392">
        <v>0</v>
      </c>
      <c r="CV85" s="392"/>
      <c r="CW85" s="393"/>
      <c r="CX85" s="366"/>
      <c r="CY85" s="367"/>
      <c r="DA85" s="204" t="s">
        <v>122</v>
      </c>
      <c r="DB85" s="44"/>
      <c r="DC85" s="44"/>
      <c r="DD85" s="44"/>
      <c r="DE85" s="392">
        <v>0</v>
      </c>
      <c r="DF85" s="392"/>
      <c r="DG85" s="393"/>
      <c r="DH85" s="366"/>
      <c r="DI85" s="367"/>
    </row>
    <row r="86" spans="1:113" s="43" customFormat="1" ht="15" customHeight="1" x14ac:dyDescent="0.25">
      <c r="A86" s="41"/>
      <c r="B86" s="65"/>
      <c r="C86" s="66"/>
      <c r="D86" s="66"/>
      <c r="E86" s="66"/>
      <c r="F86" s="66"/>
      <c r="G86" s="66"/>
      <c r="H86" s="66"/>
      <c r="I86" s="66"/>
      <c r="J86" s="66"/>
      <c r="K86" s="66"/>
      <c r="L86" s="66"/>
      <c r="M86" s="89"/>
      <c r="V86" s="366"/>
      <c r="W86" s="367"/>
      <c r="AF86" s="366"/>
      <c r="AG86" s="367"/>
      <c r="AP86" s="366"/>
      <c r="AQ86" s="367"/>
      <c r="AZ86" s="366"/>
      <c r="BA86" s="367"/>
      <c r="BJ86" s="366"/>
      <c r="BK86" s="367"/>
      <c r="BT86" s="366"/>
      <c r="BU86" s="367"/>
      <c r="CD86" s="366"/>
      <c r="CE86" s="367"/>
      <c r="CN86" s="366"/>
      <c r="CO86" s="367"/>
      <c r="CX86" s="366"/>
      <c r="CY86" s="367"/>
      <c r="DH86" s="366"/>
      <c r="DI86" s="367"/>
    </row>
    <row r="87" spans="1:113" s="43" customFormat="1" ht="15" customHeight="1" x14ac:dyDescent="0.25">
      <c r="A87" s="41"/>
      <c r="B87" s="65"/>
      <c r="C87" s="397" t="s">
        <v>123</v>
      </c>
      <c r="D87" s="398"/>
      <c r="E87" s="398"/>
      <c r="F87" s="398"/>
      <c r="G87" s="399"/>
      <c r="H87" s="399"/>
      <c r="I87" s="399"/>
      <c r="J87" s="399"/>
      <c r="K87" s="399"/>
      <c r="L87" s="400"/>
      <c r="M87" s="89"/>
      <c r="N87" s="41"/>
      <c r="O87" s="122" t="str">
        <f t="shared" ref="O87:O88" si="279">C87</f>
        <v>BEST PLAYER</v>
      </c>
      <c r="P87" s="356"/>
      <c r="Q87" s="356"/>
      <c r="R87" s="356"/>
      <c r="S87" s="356"/>
      <c r="T87" s="356"/>
      <c r="U87" s="357"/>
      <c r="V87" s="366"/>
      <c r="W87" s="367"/>
      <c r="X87" s="41"/>
      <c r="Y87" s="122" t="str">
        <f>O87</f>
        <v>BEST PLAYER</v>
      </c>
      <c r="Z87" s="356"/>
      <c r="AA87" s="356"/>
      <c r="AB87" s="356"/>
      <c r="AC87" s="356"/>
      <c r="AD87" s="356"/>
      <c r="AE87" s="357"/>
      <c r="AF87" s="366"/>
      <c r="AG87" s="367"/>
      <c r="AH87" s="41"/>
      <c r="AI87" s="122" t="str">
        <f t="shared" ref="AI87:AI88" si="280">Y87</f>
        <v>BEST PLAYER</v>
      </c>
      <c r="AJ87" s="356"/>
      <c r="AK87" s="356"/>
      <c r="AL87" s="356"/>
      <c r="AM87" s="356"/>
      <c r="AN87" s="356"/>
      <c r="AO87" s="357"/>
      <c r="AP87" s="366"/>
      <c r="AQ87" s="367"/>
      <c r="AR87" s="41"/>
      <c r="AS87" s="122" t="str">
        <f t="shared" ref="AS87:AS88" si="281">AI87</f>
        <v>BEST PLAYER</v>
      </c>
      <c r="AT87" s="356"/>
      <c r="AU87" s="356"/>
      <c r="AV87" s="356"/>
      <c r="AW87" s="356"/>
      <c r="AX87" s="356"/>
      <c r="AY87" s="357"/>
      <c r="AZ87" s="366"/>
      <c r="BA87" s="367"/>
      <c r="BB87" s="41"/>
      <c r="BC87" s="122" t="str">
        <f t="shared" ref="BC87:BC88" si="282">AS87</f>
        <v>BEST PLAYER</v>
      </c>
      <c r="BD87" s="356"/>
      <c r="BE87" s="356"/>
      <c r="BF87" s="356"/>
      <c r="BG87" s="356"/>
      <c r="BH87" s="356"/>
      <c r="BI87" s="357"/>
      <c r="BJ87" s="366"/>
      <c r="BK87" s="367"/>
      <c r="BL87" s="41"/>
      <c r="BM87" s="122" t="str">
        <f t="shared" ref="BM87:BM88" si="283">BC87</f>
        <v>BEST PLAYER</v>
      </c>
      <c r="BN87" s="356"/>
      <c r="BO87" s="356"/>
      <c r="BP87" s="356"/>
      <c r="BQ87" s="356"/>
      <c r="BR87" s="356"/>
      <c r="BS87" s="357"/>
      <c r="BT87" s="366"/>
      <c r="BU87" s="367"/>
      <c r="BV87" s="41"/>
      <c r="BW87" s="122" t="str">
        <f t="shared" ref="BW87:BW88" si="284">BM87</f>
        <v>BEST PLAYER</v>
      </c>
      <c r="BX87" s="356"/>
      <c r="BY87" s="356"/>
      <c r="BZ87" s="356"/>
      <c r="CA87" s="356"/>
      <c r="CB87" s="356"/>
      <c r="CC87" s="357"/>
      <c r="CD87" s="366"/>
      <c r="CE87" s="367"/>
      <c r="CF87" s="41"/>
      <c r="CG87" s="122" t="str">
        <f t="shared" ref="CG87:CG88" si="285">BW87</f>
        <v>BEST PLAYER</v>
      </c>
      <c r="CH87" s="356"/>
      <c r="CI87" s="356"/>
      <c r="CJ87" s="356"/>
      <c r="CK87" s="356"/>
      <c r="CL87" s="356"/>
      <c r="CM87" s="357"/>
      <c r="CN87" s="366"/>
      <c r="CO87" s="367"/>
      <c r="CP87" s="41"/>
      <c r="CQ87" s="122" t="str">
        <f t="shared" ref="CQ87:CQ88" si="286">CG87</f>
        <v>BEST PLAYER</v>
      </c>
      <c r="CR87" s="356"/>
      <c r="CS87" s="356"/>
      <c r="CT87" s="356"/>
      <c r="CU87" s="356"/>
      <c r="CV87" s="356"/>
      <c r="CW87" s="357"/>
      <c r="CX87" s="366"/>
      <c r="CY87" s="367"/>
      <c r="CZ87" s="41"/>
      <c r="DA87" s="122" t="str">
        <f t="shared" ref="DA87:DA88" si="287">CQ87</f>
        <v>BEST PLAYER</v>
      </c>
      <c r="DB87" s="356"/>
      <c r="DC87" s="356"/>
      <c r="DD87" s="356"/>
      <c r="DE87" s="356"/>
      <c r="DF87" s="356"/>
      <c r="DG87" s="357"/>
      <c r="DH87" s="366"/>
      <c r="DI87" s="367"/>
    </row>
    <row r="88" spans="1:113" s="43" customFormat="1" ht="15" customHeight="1" x14ac:dyDescent="0.25">
      <c r="A88" s="41"/>
      <c r="B88" s="65"/>
      <c r="C88" s="382" t="s">
        <v>124</v>
      </c>
      <c r="D88" s="383"/>
      <c r="E88" s="383"/>
      <c r="F88" s="383"/>
      <c r="G88" s="377"/>
      <c r="H88" s="377"/>
      <c r="I88" s="377"/>
      <c r="J88" s="377"/>
      <c r="K88" s="377"/>
      <c r="L88" s="378"/>
      <c r="M88" s="89"/>
      <c r="N88" s="41"/>
      <c r="O88" s="122" t="str">
        <f t="shared" si="279"/>
        <v>TOP SCORER</v>
      </c>
      <c r="P88" s="356"/>
      <c r="Q88" s="356"/>
      <c r="R88" s="356"/>
      <c r="S88" s="356"/>
      <c r="T88" s="356"/>
      <c r="U88" s="357"/>
      <c r="V88" s="368"/>
      <c r="W88" s="369"/>
      <c r="X88" s="41"/>
      <c r="Y88" s="122" t="str">
        <f>O88</f>
        <v>TOP SCORER</v>
      </c>
      <c r="Z88" s="356"/>
      <c r="AA88" s="356"/>
      <c r="AB88" s="356"/>
      <c r="AC88" s="356"/>
      <c r="AD88" s="356"/>
      <c r="AE88" s="357"/>
      <c r="AF88" s="368"/>
      <c r="AG88" s="369"/>
      <c r="AH88" s="41"/>
      <c r="AI88" s="122" t="str">
        <f t="shared" si="280"/>
        <v>TOP SCORER</v>
      </c>
      <c r="AJ88" s="356"/>
      <c r="AK88" s="356"/>
      <c r="AL88" s="356"/>
      <c r="AM88" s="356"/>
      <c r="AN88" s="356"/>
      <c r="AO88" s="357"/>
      <c r="AP88" s="368"/>
      <c r="AQ88" s="369"/>
      <c r="AR88" s="41"/>
      <c r="AS88" s="122" t="str">
        <f t="shared" si="281"/>
        <v>TOP SCORER</v>
      </c>
      <c r="AT88" s="356"/>
      <c r="AU88" s="356"/>
      <c r="AV88" s="356"/>
      <c r="AW88" s="356"/>
      <c r="AX88" s="356"/>
      <c r="AY88" s="357"/>
      <c r="AZ88" s="368"/>
      <c r="BA88" s="369"/>
      <c r="BB88" s="41"/>
      <c r="BC88" s="122" t="str">
        <f t="shared" si="282"/>
        <v>TOP SCORER</v>
      </c>
      <c r="BD88" s="356"/>
      <c r="BE88" s="356"/>
      <c r="BF88" s="356"/>
      <c r="BG88" s="356"/>
      <c r="BH88" s="356"/>
      <c r="BI88" s="357"/>
      <c r="BJ88" s="368"/>
      <c r="BK88" s="369"/>
      <c r="BL88" s="41"/>
      <c r="BM88" s="122" t="str">
        <f t="shared" si="283"/>
        <v>TOP SCORER</v>
      </c>
      <c r="BN88" s="356"/>
      <c r="BO88" s="356"/>
      <c r="BP88" s="356"/>
      <c r="BQ88" s="356"/>
      <c r="BR88" s="356"/>
      <c r="BS88" s="357"/>
      <c r="BT88" s="368"/>
      <c r="BU88" s="369"/>
      <c r="BV88" s="41"/>
      <c r="BW88" s="122" t="str">
        <f t="shared" si="284"/>
        <v>TOP SCORER</v>
      </c>
      <c r="BX88" s="356"/>
      <c r="BY88" s="356"/>
      <c r="BZ88" s="356"/>
      <c r="CA88" s="356"/>
      <c r="CB88" s="356"/>
      <c r="CC88" s="357"/>
      <c r="CD88" s="368"/>
      <c r="CE88" s="369"/>
      <c r="CF88" s="41"/>
      <c r="CG88" s="122" t="str">
        <f t="shared" si="285"/>
        <v>TOP SCORER</v>
      </c>
      <c r="CH88" s="356"/>
      <c r="CI88" s="356"/>
      <c r="CJ88" s="356"/>
      <c r="CK88" s="356"/>
      <c r="CL88" s="356"/>
      <c r="CM88" s="357"/>
      <c r="CN88" s="368"/>
      <c r="CO88" s="369"/>
      <c r="CP88" s="41"/>
      <c r="CQ88" s="122" t="str">
        <f t="shared" si="286"/>
        <v>TOP SCORER</v>
      </c>
      <c r="CR88" s="356"/>
      <c r="CS88" s="356"/>
      <c r="CT88" s="356"/>
      <c r="CU88" s="356"/>
      <c r="CV88" s="356"/>
      <c r="CW88" s="357"/>
      <c r="CX88" s="368"/>
      <c r="CY88" s="369"/>
      <c r="CZ88" s="41"/>
      <c r="DA88" s="122" t="str">
        <f t="shared" si="287"/>
        <v>TOP SCORER</v>
      </c>
      <c r="DB88" s="356"/>
      <c r="DC88" s="356"/>
      <c r="DD88" s="356"/>
      <c r="DE88" s="356"/>
      <c r="DF88" s="356"/>
      <c r="DG88" s="357"/>
      <c r="DH88" s="368"/>
      <c r="DI88" s="369"/>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125</v>
      </c>
      <c r="N91" s="84" t="s">
        <v>126</v>
      </c>
      <c r="W91" s="41"/>
      <c r="AG91" s="41"/>
      <c r="AQ91" s="41"/>
      <c r="BA91" s="41"/>
      <c r="BK91" s="41"/>
      <c r="BU91" s="41"/>
      <c r="CE91" s="41"/>
      <c r="CO91" s="41"/>
      <c r="CY91" s="41"/>
      <c r="DI91" s="41"/>
    </row>
    <row r="92" spans="1:113" s="43" customFormat="1" ht="15" customHeight="1" x14ac:dyDescent="0.25">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25">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127</v>
      </c>
      <c r="C94" s="43" t="s">
        <v>132</v>
      </c>
      <c r="N94" s="199" t="s">
        <v>127</v>
      </c>
      <c r="O94" s="395" t="s">
        <v>133</v>
      </c>
      <c r="P94" s="395"/>
      <c r="Q94" s="395"/>
      <c r="R94" s="395"/>
      <c r="S94" s="395"/>
      <c r="T94" s="395"/>
      <c r="U94" s="395"/>
      <c r="V94" s="395"/>
      <c r="W94" s="395"/>
      <c r="AG94" s="41"/>
      <c r="AQ94" s="41"/>
      <c r="BA94" s="41"/>
      <c r="BK94" s="41"/>
      <c r="BU94" s="41"/>
      <c r="CE94" s="41"/>
      <c r="CO94" s="41"/>
      <c r="CY94" s="41"/>
      <c r="DI94" s="41"/>
    </row>
    <row r="95" spans="1:113" s="43" customFormat="1" ht="15" customHeight="1" x14ac:dyDescent="0.25">
      <c r="A95" s="41"/>
      <c r="C95" s="198"/>
      <c r="O95" s="395"/>
      <c r="P95" s="395"/>
      <c r="Q95" s="395"/>
      <c r="R95" s="395"/>
      <c r="S95" s="395"/>
      <c r="T95" s="395"/>
      <c r="U95" s="395"/>
      <c r="V95" s="395"/>
      <c r="W95" s="395"/>
      <c r="AG95" s="41"/>
      <c r="AQ95" s="41"/>
      <c r="BA95" s="41"/>
      <c r="BK95" s="41"/>
      <c r="BU95" s="41"/>
      <c r="CE95" s="41"/>
      <c r="CO95" s="41"/>
      <c r="CY95" s="41"/>
      <c r="DI95" s="41"/>
    </row>
    <row r="96" spans="1:113" s="43" customFormat="1" ht="15" customHeight="1" x14ac:dyDescent="0.25">
      <c r="A96" s="41"/>
      <c r="N96" s="199" t="s">
        <v>127</v>
      </c>
      <c r="O96" s="43" t="s">
        <v>134</v>
      </c>
      <c r="W96" s="41"/>
      <c r="AG96" s="41"/>
      <c r="AQ96" s="41"/>
      <c r="BA96" s="41"/>
      <c r="BK96" s="41"/>
      <c r="BU96" s="41"/>
      <c r="CE96" s="41"/>
      <c r="CO96" s="41"/>
      <c r="CY96" s="41"/>
      <c r="DI96" s="41"/>
    </row>
    <row r="97" spans="1:113" s="43" customFormat="1" ht="15" customHeight="1" x14ac:dyDescent="0.25">
      <c r="A97" s="41"/>
      <c r="B97" s="199" t="s">
        <v>127</v>
      </c>
      <c r="C97" s="394" t="s">
        <v>135</v>
      </c>
      <c r="D97" s="394"/>
      <c r="E97" s="394"/>
      <c r="F97" s="394"/>
      <c r="G97" s="394"/>
      <c r="H97" s="394"/>
      <c r="I97" s="394"/>
      <c r="J97" s="394"/>
      <c r="K97" s="394"/>
      <c r="L97" s="394"/>
      <c r="N97" s="199" t="s">
        <v>127</v>
      </c>
      <c r="O97" s="43" t="s">
        <v>136</v>
      </c>
      <c r="W97" s="41"/>
      <c r="AG97" s="41"/>
      <c r="AQ97" s="41"/>
      <c r="BA97" s="41"/>
      <c r="BK97" s="41"/>
      <c r="BU97" s="41"/>
      <c r="CE97" s="41"/>
      <c r="CO97" s="41"/>
      <c r="CY97" s="41"/>
      <c r="DI97" s="41"/>
    </row>
    <row r="98" spans="1:113" s="43" customFormat="1" ht="15" customHeight="1" x14ac:dyDescent="0.25">
      <c r="A98" s="41"/>
      <c r="C98" s="394"/>
      <c r="D98" s="394"/>
      <c r="E98" s="394"/>
      <c r="F98" s="394"/>
      <c r="G98" s="394"/>
      <c r="H98" s="394"/>
      <c r="I98" s="394"/>
      <c r="J98" s="394"/>
      <c r="K98" s="394"/>
      <c r="L98" s="394"/>
      <c r="N98" s="204" t="s">
        <v>137</v>
      </c>
      <c r="O98" s="44"/>
      <c r="P98" s="44"/>
      <c r="Q98" s="44"/>
      <c r="R98" s="44"/>
      <c r="W98" s="41"/>
      <c r="AG98" s="41"/>
      <c r="AQ98" s="41"/>
      <c r="BA98" s="41"/>
      <c r="BK98" s="41"/>
      <c r="BU98" s="41"/>
      <c r="CE98" s="41"/>
      <c r="CO98" s="41"/>
      <c r="CY98" s="41"/>
      <c r="DI98" s="41"/>
    </row>
    <row r="99" spans="1:113" s="43" customFormat="1" ht="15" customHeight="1" x14ac:dyDescent="0.25">
      <c r="A99" s="41"/>
      <c r="N99" s="199" t="s">
        <v>127</v>
      </c>
      <c r="O99" s="43" t="s">
        <v>138</v>
      </c>
      <c r="W99" s="41"/>
      <c r="AG99" s="41"/>
      <c r="AQ99" s="41"/>
      <c r="BA99" s="41"/>
      <c r="BK99" s="41"/>
      <c r="BU99" s="41"/>
      <c r="CE99" s="41"/>
      <c r="CO99" s="41"/>
      <c r="CY99" s="41"/>
      <c r="DI99" s="41"/>
    </row>
    <row r="100" spans="1:113" s="43" customFormat="1" ht="15" customHeight="1" x14ac:dyDescent="0.25">
      <c r="A100" s="41"/>
      <c r="N100" s="199" t="s">
        <v>127</v>
      </c>
      <c r="O100" s="395" t="s">
        <v>139</v>
      </c>
      <c r="P100" s="395"/>
      <c r="Q100" s="395"/>
      <c r="R100" s="395"/>
      <c r="S100" s="395"/>
      <c r="T100" s="395"/>
      <c r="U100" s="395"/>
      <c r="V100" s="395"/>
      <c r="W100" s="395"/>
      <c r="AG100" s="41"/>
      <c r="AQ100" s="41"/>
      <c r="BA100" s="41"/>
      <c r="BK100" s="41"/>
      <c r="BU100" s="41"/>
      <c r="CE100" s="41"/>
      <c r="CO100" s="41"/>
      <c r="CY100" s="41"/>
      <c r="DI100" s="41"/>
    </row>
    <row r="101" spans="1:113" s="43" customFormat="1" ht="15" customHeight="1" x14ac:dyDescent="0.25">
      <c r="A101" s="41"/>
      <c r="O101" s="395"/>
      <c r="P101" s="395"/>
      <c r="Q101" s="395"/>
      <c r="R101" s="395"/>
      <c r="S101" s="395"/>
      <c r="T101" s="395"/>
      <c r="U101" s="395"/>
      <c r="V101" s="395"/>
      <c r="W101" s="395"/>
      <c r="AG101" s="41"/>
      <c r="AQ101" s="41"/>
      <c r="BA101" s="41"/>
      <c r="BK101" s="41"/>
      <c r="BU101" s="41"/>
      <c r="CE101" s="41"/>
      <c r="CO101" s="41"/>
      <c r="CY101" s="41"/>
      <c r="DI101" s="41"/>
    </row>
    <row r="102" spans="1:113" s="43" customFormat="1" ht="15" customHeight="1" x14ac:dyDescent="0.25">
      <c r="A102" s="41"/>
      <c r="N102" s="199" t="s">
        <v>127</v>
      </c>
      <c r="O102" s="43" t="s">
        <v>140</v>
      </c>
      <c r="W102" s="41"/>
      <c r="AG102" s="41"/>
      <c r="AQ102" s="41"/>
      <c r="BA102" s="41"/>
      <c r="BK102" s="41"/>
      <c r="BU102" s="41"/>
      <c r="CE102" s="41"/>
      <c r="CO102" s="41"/>
      <c r="CY102" s="41"/>
      <c r="DI102" s="41"/>
    </row>
    <row r="103" spans="1:113" s="43" customFormat="1" ht="15" customHeight="1" x14ac:dyDescent="0.25">
      <c r="A103" s="41"/>
      <c r="N103" s="199" t="s">
        <v>127</v>
      </c>
      <c r="O103" s="43" t="s">
        <v>141</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142</v>
      </c>
      <c r="N105" s="201" t="s">
        <v>142</v>
      </c>
      <c r="W105" s="41"/>
      <c r="AG105" s="41"/>
      <c r="AQ105" s="41"/>
      <c r="BA105" s="41"/>
      <c r="BK105" s="41"/>
      <c r="BU105" s="41"/>
      <c r="CE105" s="41"/>
      <c r="CO105" s="41"/>
      <c r="CY105" s="41"/>
      <c r="DI105" s="41"/>
    </row>
    <row r="106" spans="1:113" s="43" customFormat="1" ht="15" customHeight="1" x14ac:dyDescent="0.25">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25">
      <c r="A107" s="41"/>
      <c r="N107" s="170" t="s">
        <v>145</v>
      </c>
      <c r="O107" s="43" t="s">
        <v>146</v>
      </c>
      <c r="W107" s="41"/>
      <c r="AG107" s="41"/>
      <c r="AQ107" s="41"/>
      <c r="BA107" s="41"/>
      <c r="BK107" s="41"/>
      <c r="BU107" s="41"/>
      <c r="CE107" s="41"/>
      <c r="CO107" s="41"/>
      <c r="CY107" s="41"/>
      <c r="DI107" s="41"/>
    </row>
    <row r="108" spans="1:113" s="43" customFormat="1" ht="15" customHeight="1" x14ac:dyDescent="0.25">
      <c r="A108" s="41"/>
      <c r="N108" s="203" t="s">
        <v>145</v>
      </c>
      <c r="O108" s="43" t="s">
        <v>147</v>
      </c>
      <c r="W108" s="41"/>
      <c r="AG108" s="41"/>
      <c r="AQ108" s="41"/>
      <c r="BA108" s="41"/>
      <c r="BK108" s="41"/>
      <c r="BU108" s="41"/>
      <c r="CE108" s="41"/>
      <c r="CO108" s="41"/>
      <c r="CY108" s="41"/>
      <c r="DI108" s="41"/>
    </row>
    <row r="109" spans="1:113" s="43" customFormat="1" ht="15" customHeight="1" x14ac:dyDescent="0.25">
      <c r="A109" s="41"/>
      <c r="N109" s="170" t="s">
        <v>148</v>
      </c>
      <c r="O109" s="43" t="s">
        <v>149</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150</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4"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156</v>
      </c>
      <c r="Z7" s="307">
        <f>VLOOKUP(P7,'Dummy Table'!B4:G40,6,FALSE)</f>
        <v>1</v>
      </c>
      <c r="AA7" s="307">
        <f>X7-Z7</f>
        <v>6</v>
      </c>
      <c r="AB7" s="307">
        <f>U7*3+V7*1</f>
        <v>6</v>
      </c>
      <c r="AE7" s="302"/>
      <c r="AH7" s="314" t="str">
        <f>Matches!J8</f>
        <v>Scotland</v>
      </c>
      <c r="CY7" s="302"/>
    </row>
    <row r="8" spans="1:103" s="300" customFormat="1" ht="14.4" customHeight="1" x14ac:dyDescent="0.3">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156</v>
      </c>
      <c r="Z8" s="307">
        <f>VLOOKUP(P8,'Dummy Table'!B4:G40,6,FALSE)</f>
        <v>2</v>
      </c>
      <c r="AA8" s="307">
        <f t="shared" ref="AA8:AA10" si="1">X8-Z8</f>
        <v>2</v>
      </c>
      <c r="AB8" s="307">
        <f>U8*3+V8*1</f>
        <v>4</v>
      </c>
      <c r="AE8" s="302"/>
      <c r="AH8" s="314" t="str">
        <f>Matches!G9</f>
        <v>Hungary</v>
      </c>
      <c r="CY8" s="302"/>
    </row>
    <row r="9" spans="1:103" s="300" customFormat="1" ht="14.4" customHeight="1" x14ac:dyDescent="0.3">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156</v>
      </c>
      <c r="Z9" s="307">
        <f>VLOOKUP(P9,'Dummy Table'!B4:G40,6,FALSE)</f>
        <v>6</v>
      </c>
      <c r="AA9" s="307">
        <f t="shared" si="1"/>
        <v>-4</v>
      </c>
      <c r="AB9" s="307">
        <f>U9*3+V9*1</f>
        <v>1</v>
      </c>
      <c r="AE9" s="302"/>
      <c r="AH9" s="314" t="str">
        <f>Matches!J9</f>
        <v>Switzerland</v>
      </c>
      <c r="CY9" s="302"/>
    </row>
    <row r="10" spans="1:103" s="300" customFormat="1" ht="14.4" customHeight="1" x14ac:dyDescent="0.3">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156</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4" customHeight="1" x14ac:dyDescent="0.3">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1</v>
      </c>
      <c r="U12" s="307">
        <f>VLOOKUP(P12,'Dummy Table'!B4:C40,2,FALSE)</f>
        <v>1</v>
      </c>
      <c r="V12" s="307">
        <f>VLOOKUP(P12,'Dummy Table'!B4:D40,3,FALSE)</f>
        <v>0</v>
      </c>
      <c r="W12" s="307">
        <f>VLOOKUP(P12,'Dummy Table'!B4:E40,4,FALSE)</f>
        <v>0</v>
      </c>
      <c r="X12" s="307">
        <f>VLOOKUP(P12,'Dummy Table'!B4:F40,5,FALSE)</f>
        <v>3</v>
      </c>
      <c r="Y12" s="307" t="s">
        <v>156</v>
      </c>
      <c r="Z12" s="307">
        <f>VLOOKUP(P12,'Dummy Table'!B4:G40,6,FALSE)</f>
        <v>0</v>
      </c>
      <c r="AA12" s="307">
        <f>X12-Z12</f>
        <v>3</v>
      </c>
      <c r="AB12" s="307">
        <f>U12*3+V12*1</f>
        <v>3</v>
      </c>
      <c r="AE12" s="302"/>
      <c r="AH12" s="314" t="str">
        <f>Matches!G10</f>
        <v>Spain</v>
      </c>
      <c r="CY12" s="302"/>
    </row>
    <row r="13" spans="1:103" s="300" customFormat="1" ht="14.4" customHeight="1" x14ac:dyDescent="0.3">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1</v>
      </c>
      <c r="U13" s="307">
        <f>VLOOKUP(P13,'Dummy Table'!B4:C40,2,FALSE)</f>
        <v>1</v>
      </c>
      <c r="V13" s="307">
        <f>VLOOKUP(P13,'Dummy Table'!B4:D40,3,FALSE)</f>
        <v>0</v>
      </c>
      <c r="W13" s="307">
        <f>VLOOKUP(P13,'Dummy Table'!B4:E40,4,FALSE)</f>
        <v>0</v>
      </c>
      <c r="X13" s="307">
        <f>VLOOKUP(P13,'Dummy Table'!B4:F40,5,FALSE)</f>
        <v>2</v>
      </c>
      <c r="Y13" s="307" t="s">
        <v>156</v>
      </c>
      <c r="Z13" s="307">
        <f>VLOOKUP(P13,'Dummy Table'!B4:G40,6,FALSE)</f>
        <v>1</v>
      </c>
      <c r="AA13" s="307">
        <f t="shared" ref="AA13:AA15" si="4">X13-Z13</f>
        <v>1</v>
      </c>
      <c r="AB13" s="307">
        <f>U13*3+V13*1</f>
        <v>3</v>
      </c>
      <c r="AE13" s="302"/>
      <c r="AH13" s="314" t="str">
        <f>Matches!J10</f>
        <v>Croatia</v>
      </c>
      <c r="CY13" s="302"/>
    </row>
    <row r="14" spans="1:103" s="300" customFormat="1" ht="14.4" customHeight="1" x14ac:dyDescent="0.3">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156</v>
      </c>
      <c r="Z14" s="307">
        <f>VLOOKUP(P14,'Dummy Table'!B4:G40,6,FALSE)</f>
        <v>4</v>
      </c>
      <c r="AA14" s="307">
        <f t="shared" si="4"/>
        <v>-1</v>
      </c>
      <c r="AB14" s="307">
        <f>U14*3+V14*1</f>
        <v>1</v>
      </c>
      <c r="AE14" s="302"/>
      <c r="AH14" s="314" t="str">
        <f>Matches!G14</f>
        <v>Poland</v>
      </c>
      <c r="CY14" s="302"/>
    </row>
    <row r="15" spans="1:103" s="300" customFormat="1" ht="14.4" customHeight="1" x14ac:dyDescent="0.3">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156</v>
      </c>
      <c r="Z15" s="307">
        <f>VLOOKUP(P15,'Dummy Table'!B4:G40,6,FALSE)</f>
        <v>5</v>
      </c>
      <c r="AA15" s="307">
        <f t="shared" si="4"/>
        <v>-3</v>
      </c>
      <c r="AB15" s="307">
        <f>U15*3+V15*1</f>
        <v>1</v>
      </c>
      <c r="AE15" s="302"/>
      <c r="AH15" s="314" t="str">
        <f>Matches!J14</f>
        <v>Netherlands</v>
      </c>
      <c r="CY15" s="302"/>
    </row>
    <row r="16" spans="1:103" s="300" customFormat="1" ht="14.4" customHeight="1" x14ac:dyDescent="0.3">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4" customHeight="1" x14ac:dyDescent="0.3">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1</v>
      </c>
      <c r="U17" s="307">
        <f>VLOOKUP(P17,'Dummy Table'!B4:C40,2,FALSE)</f>
        <v>1</v>
      </c>
      <c r="V17" s="307">
        <f>VLOOKUP(P17,'Dummy Table'!B4:D40,3,FALSE)</f>
        <v>0</v>
      </c>
      <c r="W17" s="307">
        <f>VLOOKUP(P17,'Dummy Table'!B4:E40,4,FALSE)</f>
        <v>0</v>
      </c>
      <c r="X17" s="307">
        <f>VLOOKUP(P17,'Dummy Table'!B4:F40,5,FALSE)</f>
        <v>1</v>
      </c>
      <c r="Y17" s="307" t="s">
        <v>156</v>
      </c>
      <c r="Z17" s="307">
        <f>VLOOKUP(P17,'Dummy Table'!B4:G40,6,FALSE)</f>
        <v>0</v>
      </c>
      <c r="AA17" s="307">
        <f>X17-Z17</f>
        <v>1</v>
      </c>
      <c r="AB17" s="307">
        <f>U17*3+V17*1</f>
        <v>3</v>
      </c>
      <c r="AE17" s="302"/>
      <c r="AH17" s="314" t="str">
        <f>Matches!J13</f>
        <v>Denmark</v>
      </c>
      <c r="CY17" s="302"/>
    </row>
    <row r="18" spans="2:103" s="300" customFormat="1" ht="14.4" customHeight="1" x14ac:dyDescent="0.3">
      <c r="B18" s="300">
        <v>11</v>
      </c>
      <c r="C18" s="307">
        <v>11</v>
      </c>
      <c r="D18" s="307" t="s">
        <v>106</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1</v>
      </c>
      <c r="U18" s="307">
        <f>VLOOKUP(P18,'Dummy Table'!B4:C40,2,FALSE)</f>
        <v>0</v>
      </c>
      <c r="V18" s="307">
        <f>VLOOKUP(P18,'Dummy Table'!B4:D40,3,FALSE)</f>
        <v>1</v>
      </c>
      <c r="W18" s="307">
        <f>VLOOKUP(P18,'Dummy Table'!B4:E40,4,FALSE)</f>
        <v>0</v>
      </c>
      <c r="X18" s="307">
        <f>VLOOKUP(P18,'Dummy Table'!B4:F40,5,FALSE)</f>
        <v>1</v>
      </c>
      <c r="Y18" s="307" t="s">
        <v>156</v>
      </c>
      <c r="Z18" s="307">
        <f>VLOOKUP(P18,'Dummy Table'!B4:G40,6,FALSE)</f>
        <v>1</v>
      </c>
      <c r="AA18" s="307">
        <f t="shared" ref="AA18:AA20" si="6">X18-Z18</f>
        <v>0</v>
      </c>
      <c r="AB18" s="307">
        <f>U18*3+V18*1</f>
        <v>1</v>
      </c>
      <c r="AE18" s="302"/>
      <c r="AH18" s="314" t="str">
        <f>Matches!G15</f>
        <v>Austria</v>
      </c>
      <c r="CY18" s="302"/>
    </row>
    <row r="19" spans="2:103" s="300" customFormat="1" ht="14.4" customHeight="1" x14ac:dyDescent="0.3">
      <c r="B19" s="300">
        <v>12</v>
      </c>
      <c r="C19" s="307">
        <v>12</v>
      </c>
      <c r="D19" s="307" t="s">
        <v>106</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1</v>
      </c>
      <c r="U19" s="307">
        <f>VLOOKUP(P19,'Dummy Table'!B4:C40,2,FALSE)</f>
        <v>0</v>
      </c>
      <c r="V19" s="307">
        <f>VLOOKUP(P19,'Dummy Table'!B4:D40,3,FALSE)</f>
        <v>1</v>
      </c>
      <c r="W19" s="307">
        <f>VLOOKUP(P19,'Dummy Table'!B4:E40,4,FALSE)</f>
        <v>0</v>
      </c>
      <c r="X19" s="307">
        <f>VLOOKUP(P19,'Dummy Table'!B4:F40,5,FALSE)</f>
        <v>1</v>
      </c>
      <c r="Y19" s="307" t="s">
        <v>156</v>
      </c>
      <c r="Z19" s="307">
        <f>VLOOKUP(P19,'Dummy Table'!B4:G40,6,FALSE)</f>
        <v>1</v>
      </c>
      <c r="AA19" s="307">
        <f t="shared" si="6"/>
        <v>0</v>
      </c>
      <c r="AB19" s="307">
        <f>U19*3+V19*1</f>
        <v>1</v>
      </c>
      <c r="AE19" s="302"/>
      <c r="AH19" s="314" t="str">
        <f>Matches!J15</f>
        <v>France</v>
      </c>
      <c r="CY19" s="302"/>
    </row>
    <row r="20" spans="2:103" s="300" customFormat="1" ht="14.4" customHeight="1" x14ac:dyDescent="0.3">
      <c r="B20" s="300">
        <v>13</v>
      </c>
      <c r="C20" s="307">
        <v>13</v>
      </c>
      <c r="D20" s="307" t="s">
        <v>102</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1</v>
      </c>
      <c r="U20" s="307">
        <f>VLOOKUP(P20,'Dummy Table'!B4:C40,2,FALSE)</f>
        <v>0</v>
      </c>
      <c r="V20" s="307">
        <f>VLOOKUP(P20,'Dummy Table'!B4:D40,3,FALSE)</f>
        <v>0</v>
      </c>
      <c r="W20" s="307">
        <f>VLOOKUP(P20,'Dummy Table'!B4:E40,4,FALSE)</f>
        <v>1</v>
      </c>
      <c r="X20" s="307">
        <f>VLOOKUP(P20,'Dummy Table'!B4:F40,5,FALSE)</f>
        <v>0</v>
      </c>
      <c r="Y20" s="307" t="s">
        <v>156</v>
      </c>
      <c r="Z20" s="307">
        <f>VLOOKUP(P20,'Dummy Table'!B4:G40,6,FALSE)</f>
        <v>1</v>
      </c>
      <c r="AA20" s="307">
        <f t="shared" si="6"/>
        <v>-1</v>
      </c>
      <c r="AB20" s="307">
        <f>U20*3+V20*1</f>
        <v>0</v>
      </c>
      <c r="AE20" s="302"/>
      <c r="AH20" s="314" t="str">
        <f>Matches!G12</f>
        <v>Serbia</v>
      </c>
      <c r="CY20" s="302"/>
    </row>
    <row r="21" spans="2:103" s="300" customFormat="1" ht="14.4" customHeight="1" x14ac:dyDescent="0.3">
      <c r="B21" s="300">
        <v>14</v>
      </c>
      <c r="C21" s="307">
        <v>14</v>
      </c>
      <c r="D21" s="307" t="s">
        <v>101</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4" customHeight="1" x14ac:dyDescent="0.3">
      <c r="B22" s="300">
        <v>15</v>
      </c>
      <c r="C22" s="307">
        <v>15</v>
      </c>
      <c r="D22" s="307" t="s">
        <v>101</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1</v>
      </c>
      <c r="U22" s="307">
        <f>VLOOKUP(P22,'Dummy Table'!B4:C40,2,FALSE)</f>
        <v>1</v>
      </c>
      <c r="V22" s="307">
        <f>VLOOKUP(P22,'Dummy Table'!B4:D40,3,FALSE)</f>
        <v>0</v>
      </c>
      <c r="W22" s="307">
        <f>VLOOKUP(P22,'Dummy Table'!B4:E40,4,FALSE)</f>
        <v>0</v>
      </c>
      <c r="X22" s="307">
        <f>VLOOKUP(P22,'Dummy Table'!B4:F40,5,FALSE)</f>
        <v>2</v>
      </c>
      <c r="Y22" s="307" t="s">
        <v>156</v>
      </c>
      <c r="Z22" s="307">
        <f>VLOOKUP(P22,'Dummy Table'!B4:G40,6,FALSE)</f>
        <v>1</v>
      </c>
      <c r="AA22" s="307">
        <f>X22-Z22</f>
        <v>1</v>
      </c>
      <c r="AB22" s="307">
        <f>U22*3+V22*1</f>
        <v>3</v>
      </c>
      <c r="AE22" s="302"/>
      <c r="AH22" s="314" t="str">
        <f>Matches!G17</f>
        <v>Romania</v>
      </c>
      <c r="CY22" s="302"/>
    </row>
    <row r="23" spans="2:103" s="300" customFormat="1" ht="14.4" customHeight="1" x14ac:dyDescent="0.3">
      <c r="B23" s="300">
        <v>16</v>
      </c>
      <c r="C23" s="307">
        <v>16</v>
      </c>
      <c r="D23" s="307" t="s">
        <v>103</v>
      </c>
      <c r="E23" s="317">
        <f t="shared" si="2"/>
        <v>44364.625</v>
      </c>
      <c r="F23" s="316">
        <v>44364.625</v>
      </c>
      <c r="G23" s="311" t="str">
        <f>G10</f>
        <v>Spain</v>
      </c>
      <c r="H23" s="307" t="str">
        <f>IF('Player Game Board'!H25&lt;&gt;"",'Player Game Board'!H25,"")</f>
        <v/>
      </c>
      <c r="I23" s="307" t="str">
        <f>IF('Player Game Board'!I25&lt;&gt;"",'Player Game Board'!I25,"")</f>
        <v/>
      </c>
      <c r="J23" s="300" t="str">
        <f>G11</f>
        <v>Italy</v>
      </c>
      <c r="P23" s="300" t="str">
        <f>VLOOKUP(2,'Dummy Table'!A25:B29,2,FALSE)</f>
        <v>France</v>
      </c>
      <c r="T23" s="307">
        <f t="shared" ref="T23:T25" si="7">SUM(U23:W23)</f>
        <v>1</v>
      </c>
      <c r="U23" s="307">
        <f>VLOOKUP(P23,'Dummy Table'!B4:C40,2,FALSE)</f>
        <v>1</v>
      </c>
      <c r="V23" s="307">
        <f>VLOOKUP(P23,'Dummy Table'!B4:D40,3,FALSE)</f>
        <v>0</v>
      </c>
      <c r="W23" s="307">
        <f>VLOOKUP(P23,'Dummy Table'!B4:E40,4,FALSE)</f>
        <v>0</v>
      </c>
      <c r="X23" s="307">
        <f>VLOOKUP(P23,'Dummy Table'!B4:F40,5,FALSE)</f>
        <v>1</v>
      </c>
      <c r="Y23" s="307" t="s">
        <v>156</v>
      </c>
      <c r="Z23" s="307">
        <f>VLOOKUP(P23,'Dummy Table'!B4:G40,6,FALSE)</f>
        <v>0</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102</v>
      </c>
      <c r="E24" s="317">
        <f t="shared" si="2"/>
        <v>44364.75</v>
      </c>
      <c r="F24" s="316">
        <v>44364.75</v>
      </c>
      <c r="G24" s="311" t="str">
        <f>J13</f>
        <v>Denmark</v>
      </c>
      <c r="H24" s="307" t="str">
        <f>IF('Player Game Board'!H26&lt;&gt;"",'Player Game Board'!H26,"")</f>
        <v/>
      </c>
      <c r="I24" s="307" t="str">
        <f>IF('Player Game Board'!I26&lt;&gt;"",'Player Game Board'!I26,"")</f>
        <v/>
      </c>
      <c r="J24" s="300" t="str">
        <f>J12</f>
        <v>England</v>
      </c>
      <c r="P24" s="300" t="str">
        <f>VLOOKUP(3,'Dummy Table'!A25:B29,2,FALSE)</f>
        <v>Poland</v>
      </c>
      <c r="T24" s="307">
        <f t="shared" si="7"/>
        <v>1</v>
      </c>
      <c r="U24" s="307">
        <f>VLOOKUP(P24,'Dummy Table'!B4:C40,2,FALSE)</f>
        <v>0</v>
      </c>
      <c r="V24" s="307">
        <f>VLOOKUP(P24,'Dummy Table'!B4:D40,3,FALSE)</f>
        <v>0</v>
      </c>
      <c r="W24" s="307">
        <f>VLOOKUP(P24,'Dummy Table'!B4:E40,4,FALSE)</f>
        <v>1</v>
      </c>
      <c r="X24" s="307">
        <f>VLOOKUP(P24,'Dummy Table'!B4:F40,5,FALSE)</f>
        <v>1</v>
      </c>
      <c r="Y24" s="307" t="s">
        <v>156</v>
      </c>
      <c r="Z24" s="307">
        <f>VLOOKUP(P24,'Dummy Table'!B4:G40,6,FALSE)</f>
        <v>2</v>
      </c>
      <c r="AA24" s="307">
        <f t="shared" si="8"/>
        <v>-1</v>
      </c>
      <c r="AB24" s="307">
        <f>U24*3+V24*1</f>
        <v>0</v>
      </c>
      <c r="AE24" s="302"/>
      <c r="AH24" s="314" t="str">
        <f>Matches!G16</f>
        <v>Belgium</v>
      </c>
      <c r="CY24" s="302"/>
    </row>
    <row r="25" spans="2:103" s="300" customFormat="1" ht="14.4" customHeight="1" x14ac:dyDescent="0.3">
      <c r="B25" s="300">
        <v>18</v>
      </c>
      <c r="C25" s="307">
        <v>18</v>
      </c>
      <c r="D25" s="307" t="s">
        <v>103</v>
      </c>
      <c r="E25" s="317">
        <f t="shared" si="2"/>
        <v>44364.875</v>
      </c>
      <c r="F25" s="316">
        <v>44364.875</v>
      </c>
      <c r="G25" s="311" t="str">
        <f>G13</f>
        <v>Slovenia</v>
      </c>
      <c r="H25" s="307" t="str">
        <f>IF('Player Game Board'!H27&lt;&gt;"",'Player Game Board'!H27,"")</f>
        <v/>
      </c>
      <c r="I25" s="307" t="str">
        <f>IF('Player Game Board'!I27&lt;&gt;"",'Player Game Board'!I27,"")</f>
        <v/>
      </c>
      <c r="J25" s="300" t="str">
        <f>G12</f>
        <v>Serbia</v>
      </c>
      <c r="P25" s="300" t="str">
        <f>VLOOKUP(4,'Dummy Table'!A25:B29,2,FALSE)</f>
        <v>Austria</v>
      </c>
      <c r="T25" s="307">
        <f t="shared" si="7"/>
        <v>1</v>
      </c>
      <c r="U25" s="307">
        <f>VLOOKUP(P25,'Dummy Table'!B4:C40,2,FALSE)</f>
        <v>0</v>
      </c>
      <c r="V25" s="307">
        <f>VLOOKUP(P25,'Dummy Table'!B4:D40,3,FALSE)</f>
        <v>0</v>
      </c>
      <c r="W25" s="307">
        <f>VLOOKUP(P25,'Dummy Table'!B4:E40,4,FALSE)</f>
        <v>1</v>
      </c>
      <c r="X25" s="307">
        <f>VLOOKUP(P25,'Dummy Table'!B4:F40,5,FALSE)</f>
        <v>0</v>
      </c>
      <c r="Y25" s="307" t="s">
        <v>156</v>
      </c>
      <c r="Z25" s="307">
        <f>VLOOKUP(P25,'Dummy Table'!B4:G40,6,FALSE)</f>
        <v>1</v>
      </c>
      <c r="AA25" s="307">
        <f t="shared" si="8"/>
        <v>-1</v>
      </c>
      <c r="AB25" s="307">
        <f>U25*3+V25*1</f>
        <v>0</v>
      </c>
      <c r="AE25" s="302"/>
      <c r="AH25" s="314" t="str">
        <f>Matches!J16</f>
        <v>Slovakia</v>
      </c>
      <c r="CY25" s="302"/>
    </row>
    <row r="26" spans="2:103" s="300" customFormat="1" ht="14.4" customHeight="1" x14ac:dyDescent="0.3">
      <c r="B26" s="300">
        <v>19</v>
      </c>
      <c r="C26" s="307">
        <v>19</v>
      </c>
      <c r="D26" s="307" t="s">
        <v>105</v>
      </c>
      <c r="E26" s="317">
        <f t="shared" si="2"/>
        <v>44365.625</v>
      </c>
      <c r="F26" s="316">
        <v>44365.625</v>
      </c>
      <c r="G26" s="311" t="str">
        <f>G14</f>
        <v>Poland</v>
      </c>
      <c r="H26" s="307" t="str">
        <f>IF('Player Game Board'!H28&lt;&gt;"",'Player Game Board'!H28,"")</f>
        <v/>
      </c>
      <c r="I26" s="307" t="str">
        <f>IF('Player Game Board'!I28&lt;&gt;"",'Player Game Board'!I28,"")</f>
        <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4" customHeight="1" x14ac:dyDescent="0.3">
      <c r="B27" s="300">
        <v>20</v>
      </c>
      <c r="C27" s="307">
        <v>20</v>
      </c>
      <c r="D27" s="307" t="s">
        <v>104</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156</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104</v>
      </c>
      <c r="E28" s="317">
        <f t="shared" si="2"/>
        <v>44365.875</v>
      </c>
      <c r="F28" s="316">
        <v>44365.875</v>
      </c>
      <c r="G28" s="311" t="str">
        <f>J16</f>
        <v>Slovakia</v>
      </c>
      <c r="H28" s="307" t="str">
        <f>IF('Player Game Board'!H30&lt;&gt;"",'Player Game Board'!H30,"")</f>
        <v/>
      </c>
      <c r="I28" s="307" t="str">
        <f>IF('Player Game Board'!I30&lt;&gt;"",'Player Game Board'!I30,"")</f>
        <v/>
      </c>
      <c r="J28" s="300" t="str">
        <f>J17</f>
        <v>Ukraine</v>
      </c>
      <c r="P28" s="300" t="str">
        <f>VLOOKUP(2,'Dummy Table'!A31:B35,2,FALSE)</f>
        <v>Slovakia</v>
      </c>
      <c r="T28" s="307">
        <f t="shared" ref="T28:T30" si="9">SUM(U28:W28)</f>
        <v>1</v>
      </c>
      <c r="U28" s="307">
        <f>VLOOKUP(P28,'Dummy Table'!B4:C40,2,FALSE)</f>
        <v>1</v>
      </c>
      <c r="V28" s="307">
        <f>VLOOKUP(P28,'Dummy Table'!B4:D40,3,FALSE)</f>
        <v>0</v>
      </c>
      <c r="W28" s="307">
        <f>VLOOKUP(P28,'Dummy Table'!B4:E40,4,FALSE)</f>
        <v>0</v>
      </c>
      <c r="X28" s="307">
        <f>VLOOKUP(P28,'Dummy Table'!B4:F40,5,FALSE)</f>
        <v>1</v>
      </c>
      <c r="Y28" s="307" t="s">
        <v>156</v>
      </c>
      <c r="Z28" s="307">
        <f>VLOOKUP(P28,'Dummy Table'!B4:G40,6,FALSE)</f>
        <v>0</v>
      </c>
      <c r="AA28" s="307">
        <f t="shared" ref="AA28:AA30" si="10">X28-Z28</f>
        <v>1</v>
      </c>
      <c r="AB28" s="307">
        <f>U28*3+V28*1</f>
        <v>3</v>
      </c>
      <c r="AE28" s="302"/>
      <c r="AH28" s="314" t="str">
        <f>Matches!G18</f>
        <v>Türkiye</v>
      </c>
      <c r="CY28" s="302"/>
    </row>
    <row r="29" spans="2:103" s="300" customFormat="1" ht="14.4" customHeight="1" x14ac:dyDescent="0.3">
      <c r="B29" s="300">
        <v>22</v>
      </c>
      <c r="C29" s="307">
        <v>22</v>
      </c>
      <c r="D29" s="307" t="s">
        <v>106</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Belgium</v>
      </c>
      <c r="T29" s="307">
        <f t="shared" si="9"/>
        <v>1</v>
      </c>
      <c r="U29" s="307">
        <f>VLOOKUP(P29,'Dummy Table'!B4:C40,2,FALSE)</f>
        <v>0</v>
      </c>
      <c r="V29" s="307">
        <f>VLOOKUP(P29,'Dummy Table'!B4:D40,3,FALSE)</f>
        <v>0</v>
      </c>
      <c r="W29" s="307">
        <f>VLOOKUP(P29,'Dummy Table'!B4:E40,4,FALSE)</f>
        <v>1</v>
      </c>
      <c r="X29" s="307">
        <f>VLOOKUP(P29,'Dummy Table'!B4:F40,5,FALSE)</f>
        <v>0</v>
      </c>
      <c r="Y29" s="307" t="s">
        <v>156</v>
      </c>
      <c r="Z29" s="307">
        <f>VLOOKUP(P29,'Dummy Table'!B4:G40,6,FALSE)</f>
        <v>1</v>
      </c>
      <c r="AA29" s="307">
        <f t="shared" si="10"/>
        <v>-1</v>
      </c>
      <c r="AB29" s="307">
        <f>U29*3+V29*1</f>
        <v>0</v>
      </c>
      <c r="AE29" s="302"/>
      <c r="AH29" s="314" t="str">
        <f>Matches!J18</f>
        <v>Georgia</v>
      </c>
      <c r="CY29" s="302"/>
    </row>
    <row r="30" spans="2:103" s="300" customFormat="1" ht="14.4" customHeight="1" x14ac:dyDescent="0.3">
      <c r="B30" s="300">
        <v>23</v>
      </c>
      <c r="C30" s="307">
        <v>23</v>
      </c>
      <c r="D30" s="307" t="s">
        <v>106</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Ukraine</v>
      </c>
      <c r="T30" s="307">
        <f t="shared" si="9"/>
        <v>1</v>
      </c>
      <c r="U30" s="307">
        <f>VLOOKUP(P30,'Dummy Table'!B4:C40,2,FALSE)</f>
        <v>0</v>
      </c>
      <c r="V30" s="307">
        <f>VLOOKUP(P30,'Dummy Table'!B4:D40,3,FALSE)</f>
        <v>0</v>
      </c>
      <c r="W30" s="307">
        <f>VLOOKUP(P30,'Dummy Table'!B4:E40,4,FALSE)</f>
        <v>1</v>
      </c>
      <c r="X30" s="307">
        <f>VLOOKUP(P30,'Dummy Table'!B4:F40,5,FALSE)</f>
        <v>0</v>
      </c>
      <c r="Y30" s="307" t="s">
        <v>156</v>
      </c>
      <c r="Z30" s="307">
        <f>VLOOKUP(P30,'Dummy Table'!B4:G40,6,FALSE)</f>
        <v>3</v>
      </c>
      <c r="AA30" s="307">
        <f t="shared" si="10"/>
        <v>-3</v>
      </c>
      <c r="AB30" s="307">
        <f>U30*3+V30*1</f>
        <v>0</v>
      </c>
      <c r="AE30" s="302"/>
      <c r="CY30" s="302"/>
    </row>
    <row r="31" spans="2:103" s="300" customFormat="1" ht="14.4" customHeight="1" x14ac:dyDescent="0.3">
      <c r="B31" s="300">
        <v>24</v>
      </c>
      <c r="C31" s="307">
        <v>24</v>
      </c>
      <c r="D31" s="307" t="s">
        <v>105</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4" customHeight="1" x14ac:dyDescent="0.3">
      <c r="B32" s="300">
        <v>25</v>
      </c>
      <c r="C32" s="307">
        <v>25</v>
      </c>
      <c r="D32" s="307" t="s">
        <v>101</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156</v>
      </c>
      <c r="Z32" s="307">
        <f>VLOOKUP(P32,'Dummy Table'!B4:G40,6,FALSE)</f>
        <v>1</v>
      </c>
      <c r="AA32" s="307">
        <f>X32-Z32</f>
        <v>2</v>
      </c>
      <c r="AB32" s="307">
        <f>U32*3+V32*1</f>
        <v>3</v>
      </c>
      <c r="AE32" s="302"/>
      <c r="CY32" s="302"/>
    </row>
    <row r="33" spans="2:103" s="300" customFormat="1" ht="14.4" customHeight="1" x14ac:dyDescent="0.3">
      <c r="B33" s="300">
        <v>26</v>
      </c>
      <c r="C33" s="307">
        <v>26</v>
      </c>
      <c r="D33" s="307" t="s">
        <v>101</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156</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103</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156</v>
      </c>
      <c r="Z34" s="307">
        <f>VLOOKUP(P34,'Dummy Table'!B4:G40,6,FALSE)</f>
        <v>2</v>
      </c>
      <c r="AA34" s="307">
        <f t="shared" si="12"/>
        <v>-1</v>
      </c>
      <c r="AB34" s="307">
        <f>U34*3+V34*1</f>
        <v>0</v>
      </c>
      <c r="AE34" s="302"/>
      <c r="CY34" s="302"/>
    </row>
    <row r="35" spans="2:103" s="300" customFormat="1" ht="14.4" customHeight="1" x14ac:dyDescent="0.3">
      <c r="B35" s="300">
        <v>28</v>
      </c>
      <c r="C35" s="307">
        <v>28</v>
      </c>
      <c r="D35" s="307" t="s">
        <v>103</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156</v>
      </c>
      <c r="Z35" s="307">
        <f>VLOOKUP(P35,'Dummy Table'!B4:G40,6,FALSE)</f>
        <v>3</v>
      </c>
      <c r="AA35" s="307">
        <f t="shared" si="12"/>
        <v>-2</v>
      </c>
      <c r="AB35" s="307">
        <f>U35*3+V35*1</f>
        <v>0</v>
      </c>
      <c r="AE35" s="302"/>
      <c r="CY35" s="302"/>
    </row>
    <row r="36" spans="2:103" s="300" customFormat="1" ht="14.4" customHeight="1" x14ac:dyDescent="0.3">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4" customHeight="1" x14ac:dyDescent="0.3">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Slovenia</v>
      </c>
      <c r="Q39" s="312"/>
      <c r="R39" s="312"/>
      <c r="S39" s="312"/>
      <c r="T39" s="307">
        <f>VLOOKUP(P39,P7:AB35,5,FALSE)</f>
        <v>1</v>
      </c>
      <c r="U39" s="307">
        <f>VLOOKUP(P39,P7:AB35,6,FALSE)</f>
        <v>0</v>
      </c>
      <c r="V39" s="307">
        <f>VLOOKUP(P39,P7:AB35,7,FALSE)</f>
        <v>1</v>
      </c>
      <c r="W39" s="307">
        <f>VLOOKUP(P39,P7:AB35,8,FALSE)</f>
        <v>0</v>
      </c>
      <c r="X39" s="307">
        <f>VLOOKUP(P39,P7:AB35,9,FALSE)</f>
        <v>1</v>
      </c>
      <c r="Y39" s="307" t="s">
        <v>156</v>
      </c>
      <c r="Z39" s="307">
        <f>VLOOKUP(P39,P7:AB35,11,FALSE)</f>
        <v>1</v>
      </c>
      <c r="AA39" s="307">
        <f>VLOOKUP(P39,P7:AB35,12,FALSE)</f>
        <v>0</v>
      </c>
      <c r="AB39" s="307">
        <f>VLOOKUP(P39,P7:AB35,13,FALSE)</f>
        <v>1</v>
      </c>
      <c r="AC39" s="307" t="str">
        <f>INDEX('Dummy Table'!DV3:DV8,MATCH(Matches!O39,'Dummy Table'!DU3:DU8,0),0)</f>
        <v>C</v>
      </c>
      <c r="AE39" s="302"/>
      <c r="CY39" s="302"/>
    </row>
    <row r="40" spans="2:103" s="300" customFormat="1" ht="14.4" customHeight="1" x14ac:dyDescent="0.3">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Albania</v>
      </c>
      <c r="Q40" s="312"/>
      <c r="R40" s="312"/>
      <c r="S40" s="312"/>
      <c r="T40" s="307">
        <f>VLOOKUP(P40,P7:AB35,5,FALSE)</f>
        <v>2</v>
      </c>
      <c r="U40" s="307">
        <f>VLOOKUP(P40,P7:AB35,6,FALSE)</f>
        <v>0</v>
      </c>
      <c r="V40" s="307">
        <f>VLOOKUP(P40,P7:AB35,7,FALSE)</f>
        <v>1</v>
      </c>
      <c r="W40" s="307">
        <f>VLOOKUP(P40,P7:AB35,8,FALSE)</f>
        <v>1</v>
      </c>
      <c r="X40" s="307">
        <f>VLOOKUP(P40,P7:AB35,9,FALSE)</f>
        <v>3</v>
      </c>
      <c r="Y40" s="307" t="s">
        <v>156</v>
      </c>
      <c r="Z40" s="307">
        <f>VLOOKUP(P40,P7:AB35,11,FALSE)</f>
        <v>4</v>
      </c>
      <c r="AA40" s="307">
        <f>VLOOKUP(P40,P7:AB35,12,FALSE)</f>
        <v>-1</v>
      </c>
      <c r="AB40" s="307">
        <f>VLOOKUP(P40,P7:AB35,13,FALSE)</f>
        <v>1</v>
      </c>
      <c r="AC40" s="307" t="str">
        <f>INDEX('Dummy Table'!DV3:DV8,MATCH(Matches!O40,'Dummy Table'!DU3:DU8,0),0)</f>
        <v>B</v>
      </c>
      <c r="AE40" s="302"/>
      <c r="CY40" s="302"/>
    </row>
    <row r="41" spans="2:103" s="300" customFormat="1" ht="14.4" customHeight="1" x14ac:dyDescent="0.3">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Scotland</v>
      </c>
      <c r="Q41" s="312"/>
      <c r="R41" s="312"/>
      <c r="S41" s="312"/>
      <c r="T41" s="307">
        <f>VLOOKUP(P41,P7:AB35,5,FALSE)</f>
        <v>2</v>
      </c>
      <c r="U41" s="307">
        <f>VLOOKUP(P41,P7:AB35,6,FALSE)</f>
        <v>0</v>
      </c>
      <c r="V41" s="307">
        <f>VLOOKUP(P41,P7:AB35,7,FALSE)</f>
        <v>1</v>
      </c>
      <c r="W41" s="307">
        <f>VLOOKUP(P41,P7:AB35,8,FALSE)</f>
        <v>1</v>
      </c>
      <c r="X41" s="307">
        <f>VLOOKUP(P41,P7:AB35,9,FALSE)</f>
        <v>2</v>
      </c>
      <c r="Y41" s="307" t="s">
        <v>156</v>
      </c>
      <c r="Z41" s="307">
        <f>VLOOKUP(P41,P7:AB35,11,FALSE)</f>
        <v>6</v>
      </c>
      <c r="AA41" s="307">
        <f>VLOOKUP(P41,P7:AB35,12,FALSE)</f>
        <v>-4</v>
      </c>
      <c r="AB41" s="307">
        <f>VLOOKUP(P41,P7:AB35,13,FALSE)</f>
        <v>1</v>
      </c>
      <c r="AC41" s="307" t="str">
        <f>INDEX('Dummy Table'!DV3:DV8,MATCH(Matches!O41,'Dummy Table'!DU3:DU8,0),0)</f>
        <v>A</v>
      </c>
      <c r="AE41" s="302"/>
      <c r="CY41" s="302"/>
    </row>
    <row r="42" spans="2:103" s="300" customFormat="1" ht="14.4" customHeight="1" x14ac:dyDescent="0.3">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Czechia</v>
      </c>
      <c r="Q42" s="312"/>
      <c r="R42" s="312"/>
      <c r="S42" s="312"/>
      <c r="T42" s="307">
        <f>VLOOKUP(P42,P7:AB35,5,FALSE)</f>
        <v>1</v>
      </c>
      <c r="U42" s="307">
        <f>VLOOKUP(P42,P7:AB35,6,FALSE)</f>
        <v>0</v>
      </c>
      <c r="V42" s="307">
        <f>VLOOKUP(P42,P7:AB35,7,FALSE)</f>
        <v>0</v>
      </c>
      <c r="W42" s="307">
        <f>VLOOKUP(P42,P7:AB35,8,FALSE)</f>
        <v>1</v>
      </c>
      <c r="X42" s="307">
        <f>VLOOKUP(P42,P7:AB35,9,FALSE)</f>
        <v>1</v>
      </c>
      <c r="Y42" s="307" t="s">
        <v>156</v>
      </c>
      <c r="Z42" s="307">
        <f>VLOOKUP(P42,P7:AB35,11,FALSE)</f>
        <v>2</v>
      </c>
      <c r="AA42" s="307">
        <f>VLOOKUP(P42,P7:AB35,12,FALSE)</f>
        <v>-1</v>
      </c>
      <c r="AB42" s="307">
        <f>VLOOKUP(P42,P7:AB35,13,FALSE)</f>
        <v>0</v>
      </c>
      <c r="AC42" s="307" t="str">
        <f>INDEX('Dummy Table'!DV3:DV8,MATCH(Matches!O42,'Dummy Table'!DU3:DU8,0),0)</f>
        <v>F</v>
      </c>
      <c r="AE42" s="302"/>
      <c r="CY42" s="302"/>
    </row>
    <row r="43" spans="2:103" s="300" customFormat="1" ht="14.4" customHeight="1" x14ac:dyDescent="0.3">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Poland</v>
      </c>
      <c r="Q43" s="312"/>
      <c r="R43" s="312"/>
      <c r="S43" s="312"/>
      <c r="T43" s="307">
        <f>VLOOKUP(P43,P7:AB35,5,FALSE)</f>
        <v>1</v>
      </c>
      <c r="U43" s="307">
        <f>VLOOKUP(P43,P7:AB35,6,FALSE)</f>
        <v>0</v>
      </c>
      <c r="V43" s="307">
        <f>VLOOKUP(P43,P7:AB35,7,FALSE)</f>
        <v>0</v>
      </c>
      <c r="W43" s="307">
        <f>VLOOKUP(P43,P7:AB35,8,FALSE)</f>
        <v>1</v>
      </c>
      <c r="X43" s="307">
        <f>VLOOKUP(P43,P7:AB35,9,FALSE)</f>
        <v>1</v>
      </c>
      <c r="Y43" s="307" t="s">
        <v>156</v>
      </c>
      <c r="Z43" s="307">
        <f>VLOOKUP(P43,P7:AB35,11,FALSE)</f>
        <v>2</v>
      </c>
      <c r="AA43" s="307">
        <f>VLOOKUP(P43,P7:AB35,12,FALSE)</f>
        <v>-1</v>
      </c>
      <c r="AB43" s="307">
        <f>VLOOKUP(P43,P7:AB35,13,FALSE)</f>
        <v>0</v>
      </c>
      <c r="AC43" s="307" t="str">
        <f>INDEX('Dummy Table'!DV3:DV8,MATCH(Matches!O43,'Dummy Table'!DU3:DU8,0),0)</f>
        <v>D</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Belgium</v>
      </c>
      <c r="T44" s="307">
        <f>VLOOKUP(P44,P7:AB35,5,FALSE)</f>
        <v>1</v>
      </c>
      <c r="U44" s="307">
        <f>VLOOKUP(P44,P7:AB35,6,FALSE)</f>
        <v>0</v>
      </c>
      <c r="V44" s="307">
        <f>VLOOKUP(P44,P7:AB35,7,FALSE)</f>
        <v>0</v>
      </c>
      <c r="W44" s="307">
        <f>VLOOKUP(P44,P7:AB35,8,FALSE)</f>
        <v>1</v>
      </c>
      <c r="X44" s="307">
        <f>VLOOKUP(P44,P7:AB35,9,FALSE)</f>
        <v>0</v>
      </c>
      <c r="Y44" s="307" t="s">
        <v>156</v>
      </c>
      <c r="Z44" s="307">
        <f>VLOOKUP(P44,P7:AB35,11,FALSE)</f>
        <v>1</v>
      </c>
      <c r="AA44" s="307">
        <f>VLOOKUP(P44,P7:AB35,12,FALSE)</f>
        <v>-1</v>
      </c>
      <c r="AB44" s="307">
        <f>VLOOKUP(P44,P7:AB35,13,FALSE)</f>
        <v>0</v>
      </c>
      <c r="AC44" s="307" t="str">
        <f>INDEX('Dummy Table'!DV3:DV8,MATCH(Matches!O44,'Dummy Table'!DU3:DU8,0),0)</f>
        <v>E</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09375" defaultRowHeight="13.8" x14ac:dyDescent="0.3"/>
  <cols>
    <col min="1" max="1" width="1.44140625" style="133" customWidth="1"/>
    <col min="2" max="2" width="3.4414062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4414062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158</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407" t="s">
        <v>159</v>
      </c>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7"/>
      <c r="AR5" s="407"/>
      <c r="AS5" s="407"/>
      <c r="AT5" s="407"/>
      <c r="AU5" s="407"/>
      <c r="AV5" s="407"/>
      <c r="AW5" s="407"/>
      <c r="AX5" s="407"/>
      <c r="AY5" s="401" t="s">
        <v>160</v>
      </c>
      <c r="AZ5" s="401"/>
      <c r="BA5" s="401"/>
      <c r="BB5" s="401"/>
      <c r="BC5" s="401"/>
      <c r="BD5" s="401"/>
      <c r="BE5" s="401"/>
      <c r="BF5" s="401"/>
      <c r="BG5" s="401" t="s">
        <v>161</v>
      </c>
      <c r="BH5" s="401"/>
      <c r="BI5" s="401"/>
      <c r="BJ5" s="401"/>
      <c r="BK5" s="401" t="s">
        <v>162</v>
      </c>
      <c r="BL5" s="401"/>
      <c r="BM5" s="120" t="s">
        <v>24</v>
      </c>
    </row>
    <row r="6" spans="1:65" ht="15" customHeight="1" x14ac:dyDescent="0.3">
      <c r="B6" s="403" t="s">
        <v>67</v>
      </c>
      <c r="C6" s="404" t="s">
        <v>68</v>
      </c>
      <c r="D6" s="402" t="s">
        <v>163</v>
      </c>
      <c r="E6" s="402" t="s">
        <v>164</v>
      </c>
      <c r="F6" s="402" t="s">
        <v>165</v>
      </c>
      <c r="G6" s="402" t="s">
        <v>69</v>
      </c>
      <c r="H6" s="402" t="s">
        <v>166</v>
      </c>
      <c r="I6" s="403" t="s">
        <v>167</v>
      </c>
      <c r="J6" s="403"/>
      <c r="K6" s="402" t="s">
        <v>168</v>
      </c>
      <c r="L6" s="403" t="s">
        <v>169</v>
      </c>
      <c r="M6" s="403"/>
      <c r="N6" s="403"/>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403"/>
      <c r="C7" s="404"/>
      <c r="D7" s="402"/>
      <c r="E7" s="402"/>
      <c r="F7" s="402"/>
      <c r="G7" s="402"/>
      <c r="H7" s="402"/>
      <c r="I7" s="402" t="s">
        <v>164</v>
      </c>
      <c r="J7" s="406" t="s">
        <v>166</v>
      </c>
      <c r="K7" s="402"/>
      <c r="L7" s="402" t="s">
        <v>164</v>
      </c>
      <c r="M7" s="402" t="s">
        <v>170</v>
      </c>
      <c r="N7" s="402"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403"/>
      <c r="C8" s="404"/>
      <c r="D8" s="402"/>
      <c r="E8" s="402"/>
      <c r="F8" s="402"/>
      <c r="G8" s="402"/>
      <c r="H8" s="402"/>
      <c r="I8" s="402"/>
      <c r="J8" s="406"/>
      <c r="K8" s="402"/>
      <c r="L8" s="402"/>
      <c r="M8" s="402"/>
      <c r="N8" s="402"/>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403"/>
      <c r="C9" s="405"/>
      <c r="D9" s="402"/>
      <c r="E9" s="402"/>
      <c r="F9" s="402"/>
      <c r="G9" s="402"/>
      <c r="H9" s="402"/>
      <c r="I9" s="402"/>
      <c r="J9" s="406"/>
      <c r="K9" s="402"/>
      <c r="L9" s="402"/>
      <c r="M9" s="402"/>
      <c r="N9" s="402"/>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Magnus (TRAC)</v>
      </c>
      <c r="D10" s="30">
        <f ca="1">IFERROR(E10+F10+G10,"")</f>
        <v>34</v>
      </c>
      <c r="E10" s="23">
        <f t="shared" ref="E10" ca="1" si="3">IFERROR(I10+L10,"")</f>
        <v>34</v>
      </c>
      <c r="F10" s="23">
        <f ca="1">IFERROR(K10+M10,"")</f>
        <v>0</v>
      </c>
      <c r="G10" s="23">
        <f>IF(C10&lt;&gt;"",IF('Player Setup'!D6&lt;&gt;"",'Player Setup'!D6,0),"")</f>
        <v>0</v>
      </c>
      <c r="H10" s="23">
        <f t="shared" ref="H10" ca="1" si="4">IFERROR(J10+N10,"")</f>
        <v>2</v>
      </c>
      <c r="I10" s="24">
        <f ca="1">SUM(O10:AX10)</f>
        <v>34</v>
      </c>
      <c r="J10" s="22">
        <f ca="1">IF(C10&lt;&gt;"",OFFSET('Player Game Board'!N9,O6-1,A10),0)</f>
        <v>2</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t="str">
        <f ca="1">IF(C10&lt;&gt;"",OFFSET('Player Game Board'!V10,AD6-1,A10),"")</f>
        <v/>
      </c>
      <c r="AE10" s="24" t="str">
        <f ca="1">IF(C10&lt;&gt;"",OFFSET('Player Game Board'!V10,AE6-1,A10),"")</f>
        <v/>
      </c>
      <c r="AF10" s="24" t="str">
        <f ca="1">IF(C10&lt;&gt;"",OFFSET('Player Game Board'!V10,AF6-1,A10),"")</f>
        <v/>
      </c>
      <c r="AG10" s="24" t="str">
        <f ca="1">IF(C10&lt;&gt;"",OFFSET('Player Game Board'!V10,AG6-1,A10),"")</f>
        <v/>
      </c>
      <c r="AH10" s="24" t="str">
        <f ca="1">IF(C10&lt;&gt;"",OFFSET('Player Game Board'!V10,AH6-1,A10),"")</f>
        <v/>
      </c>
      <c r="AI10" s="24" t="str">
        <f ca="1">IF(C10&lt;&gt;"",OFFSET('Player Game Board'!V10,AI6-1,A10),"")</f>
        <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Steve (TRAC)</v>
      </c>
      <c r="D11" s="30">
        <f t="shared" ref="D11:D19" ca="1" si="5">IFERROR(E11+F11+G11,"")</f>
        <v>20</v>
      </c>
      <c r="E11" s="23">
        <f t="shared" ref="E11:E19" ca="1" si="6">IFERROR(I11+L11,"")</f>
        <v>20</v>
      </c>
      <c r="F11" s="23">
        <f t="shared" ref="F11:F19" ca="1" si="7">IFERROR(K11+M11,"")</f>
        <v>0</v>
      </c>
      <c r="G11" s="23">
        <f>IF(C11&lt;&gt;"",IF('Player Setup'!D7&lt;&gt;"",'Player Setup'!D7,0),"")</f>
        <v>0</v>
      </c>
      <c r="H11" s="22">
        <f t="shared" ref="H11:H19" ca="1" si="8">IFERROR(J11+N11,"")</f>
        <v>2</v>
      </c>
      <c r="I11" s="23">
        <f t="shared" ref="I11:I19" ca="1" si="9">SUM(O11:AX11)</f>
        <v>20</v>
      </c>
      <c r="J11" s="22">
        <f ca="1">IF(C11&lt;&gt;"",OFFSET('Player Game Board'!N9,O6-1,A11),0)</f>
        <v>2</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t="str">
        <f ca="1">IF(C11&lt;&gt;"",OFFSET('Player Game Board'!V10,AD6-1,A11),"")</f>
        <v/>
      </c>
      <c r="AE11" s="22" t="str">
        <f ca="1">IF(C11&lt;&gt;"",OFFSET('Player Game Board'!V10,AE6-1,A11),"")</f>
        <v/>
      </c>
      <c r="AF11" s="22" t="str">
        <f ca="1">IF(C11&lt;&gt;"",OFFSET('Player Game Board'!V10,AF6-1,A11),"")</f>
        <v/>
      </c>
      <c r="AG11" s="22" t="str">
        <f ca="1">IF(C11&lt;&gt;"",OFFSET('Player Game Board'!V10,AG6-1,A11),"")</f>
        <v/>
      </c>
      <c r="AH11" s="22" t="str">
        <f ca="1">IF(C11&lt;&gt;"",OFFSET('Player Game Board'!V10,AH6-1,A11),"")</f>
        <v/>
      </c>
      <c r="AI11" s="22" t="str">
        <f ca="1">IF(C11&lt;&gt;"",OFFSET('Player Game Board'!V10,AI6-1,A11),"")</f>
        <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Mateo (Virksomhet)</v>
      </c>
      <c r="D12" s="30">
        <f t="shared" ca="1" si="5"/>
        <v>30</v>
      </c>
      <c r="E12" s="23">
        <f t="shared" ca="1" si="6"/>
        <v>30</v>
      </c>
      <c r="F12" s="23">
        <f t="shared" ca="1" si="7"/>
        <v>0</v>
      </c>
      <c r="G12" s="23">
        <f>IF(C12&lt;&gt;"",IF('Player Setup'!D8&lt;&gt;"",'Player Setup'!D8,0),"")</f>
        <v>0</v>
      </c>
      <c r="H12" s="22">
        <f t="shared" ca="1" si="8"/>
        <v>1</v>
      </c>
      <c r="I12" s="23">
        <f t="shared" ca="1" si="9"/>
        <v>30</v>
      </c>
      <c r="J12" s="22">
        <f ca="1">IF(C12&lt;&gt;"",OFFSET('Player Game Board'!N9,O6-1,A12),0)</f>
        <v>1</v>
      </c>
      <c r="K12" s="23">
        <f ca="1">IF(C12&lt;&gt;"",OFFSET('Player Game Board'!N50,O6-1,A12),0)</f>
        <v>0</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Flemming (IFA)</v>
      </c>
      <c r="D13" s="30">
        <f t="shared" ca="1" si="5"/>
        <v>20</v>
      </c>
      <c r="E13" s="23">
        <f t="shared" ca="1" si="6"/>
        <v>20</v>
      </c>
      <c r="F13" s="23">
        <f t="shared" ca="1" si="7"/>
        <v>0</v>
      </c>
      <c r="G13" s="23">
        <f>IF(C13&lt;&gt;"",IF('Player Setup'!D9&lt;&gt;"",'Player Setup'!D9,0),"")</f>
        <v>0</v>
      </c>
      <c r="H13" s="22">
        <f t="shared" ca="1" si="8"/>
        <v>0</v>
      </c>
      <c r="I13" s="23">
        <f t="shared" ca="1" si="9"/>
        <v>20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Stian (Virksomhet)</v>
      </c>
      <c r="D14" s="30">
        <f t="shared" ca="1" si="5"/>
        <v>16</v>
      </c>
      <c r="E14" s="23">
        <f t="shared" ca="1" si="6"/>
        <v>16</v>
      </c>
      <c r="F14" s="23">
        <f t="shared" ca="1" si="7"/>
        <v>0</v>
      </c>
      <c r="G14" s="23">
        <f>IF(C14&lt;&gt;"",IF('Player Setup'!D10&lt;&gt;"",'Player Setup'!D10,0),"")</f>
        <v>0</v>
      </c>
      <c r="H14" s="22">
        <f t="shared" ca="1" si="8"/>
        <v>0</v>
      </c>
      <c r="I14" s="23">
        <f t="shared" ca="1" si="9"/>
        <v>16</v>
      </c>
      <c r="J14" s="22">
        <f ca="1">IF(C14&lt;&gt;"",OFFSET('Player Game Board'!N9,O6-1,A14),0)</f>
        <v>0</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t="str">
        <f ca="1">IF(C14&lt;&gt;"",OFFSET('Player Game Board'!V10,AD6-1,A14),"")</f>
        <v/>
      </c>
      <c r="AE14" s="22" t="str">
        <f ca="1">IF(C14&lt;&gt;"",OFFSET('Player Game Board'!V10,AE6-1,A14),"")</f>
        <v/>
      </c>
      <c r="AF14" s="22" t="str">
        <f ca="1">IF(C14&lt;&gt;"",OFFSET('Player Game Board'!V10,AF6-1,A14),"")</f>
        <v/>
      </c>
      <c r="AG14" s="22" t="str">
        <f ca="1">IF(C14&lt;&gt;"",OFFSET('Player Game Board'!V10,AG6-1,A14),"")</f>
        <v/>
      </c>
      <c r="AH14" s="22" t="str">
        <f ca="1">IF(C14&lt;&gt;"",OFFSET('Player Game Board'!V10,AH6-1,A14),"")</f>
        <v/>
      </c>
      <c r="AI14" s="22" t="str">
        <f ca="1">IF(C14&lt;&gt;"",OFFSET('Player Game Board'!V10,AI6-1,A14),"")</f>
        <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Hanne Maren (TRAC)</v>
      </c>
      <c r="D15" s="30">
        <f t="shared" ca="1" si="5"/>
        <v>36</v>
      </c>
      <c r="E15" s="23">
        <f t="shared" ca="1" si="6"/>
        <v>36</v>
      </c>
      <c r="F15" s="23">
        <f t="shared" ca="1" si="7"/>
        <v>0</v>
      </c>
      <c r="G15" s="23">
        <f>IF(C15&lt;&gt;"",IF('Player Setup'!D11&lt;&gt;"",'Player Setup'!D11,0),"")</f>
        <v>0</v>
      </c>
      <c r="H15" s="22">
        <f t="shared" ca="1" si="8"/>
        <v>3</v>
      </c>
      <c r="I15" s="23">
        <f t="shared" ca="1" si="9"/>
        <v>36</v>
      </c>
      <c r="J15" s="22">
        <f ca="1">IF(C15&lt;&gt;"",OFFSET('Player Game Board'!N9,O6-1,A15),0)</f>
        <v>3</v>
      </c>
      <c r="K15" s="23">
        <f ca="1">IF(C15&lt;&gt;"",OFFSET('Player Game Board'!N50,O6-1,A15),0)</f>
        <v>0</v>
      </c>
      <c r="L15" s="22">
        <f t="shared" ca="1" si="10"/>
        <v>0</v>
      </c>
      <c r="M15" s="23">
        <f ca="1">IF(C15&lt;&gt;"",OFFSET('Player Game Board'!N53,O6-1,A15),0)</f>
        <v>0</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Kjell Tore (Too Little Too Late)</v>
      </c>
      <c r="D16" s="30">
        <f t="shared" ca="1" si="5"/>
        <v>30</v>
      </c>
      <c r="E16" s="23">
        <f t="shared" ca="1" si="6"/>
        <v>30</v>
      </c>
      <c r="F16" s="23">
        <f t="shared" ca="1" si="7"/>
        <v>0</v>
      </c>
      <c r="G16" s="23">
        <f>IF(C16&lt;&gt;"",IF('Player Setup'!D12&lt;&gt;"",'Player Setup'!D12,0),"")</f>
        <v>0</v>
      </c>
      <c r="H16" s="22">
        <f t="shared" ca="1" si="8"/>
        <v>2</v>
      </c>
      <c r="I16" s="23">
        <f t="shared" ca="1" si="9"/>
        <v>30</v>
      </c>
      <c r="J16" s="22">
        <f ca="1">IF(C16&lt;&gt;"",OFFSET('Player Game Board'!N9,O6-1,A16),0)</f>
        <v>2</v>
      </c>
      <c r="K16" s="23">
        <f ca="1">IF(C16&lt;&gt;"",OFFSET('Player Game Board'!N50,O6-1,A16),0)</f>
        <v>0</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3">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3">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09375" defaultRowHeight="12.6" x14ac:dyDescent="0.2"/>
  <cols>
    <col min="1" max="1" width="1.44140625" style="7" customWidth="1"/>
    <col min="2" max="2" width="3.44140625" style="7" customWidth="1"/>
    <col min="3" max="3" width="23.44140625" style="7" customWidth="1"/>
    <col min="4" max="8" width="13.44140625" style="7" customWidth="1"/>
    <col min="9" max="10" width="13.44140625" style="11" customWidth="1"/>
    <col min="11" max="13" width="13.4414062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171</v>
      </c>
      <c r="C3" s="33"/>
      <c r="D3" s="33"/>
      <c r="E3" s="33"/>
      <c r="F3" s="33"/>
      <c r="G3" s="33"/>
      <c r="H3" s="33"/>
      <c r="I3" s="33"/>
      <c r="J3" s="33"/>
      <c r="K3" s="33"/>
      <c r="L3" s="33"/>
      <c r="M3" s="33"/>
    </row>
    <row r="4" spans="2:13" ht="5.0999999999999996" customHeight="1" x14ac:dyDescent="0.2">
      <c r="I4" s="34"/>
    </row>
    <row r="5" spans="2:13" ht="15" customHeight="1" x14ac:dyDescent="0.2">
      <c r="B5" s="403" t="s">
        <v>67</v>
      </c>
      <c r="C5" s="403" t="s">
        <v>68</v>
      </c>
      <c r="D5" s="402" t="s">
        <v>163</v>
      </c>
      <c r="E5" s="402" t="s">
        <v>164</v>
      </c>
      <c r="F5" s="402" t="s">
        <v>165</v>
      </c>
      <c r="G5" s="402" t="s">
        <v>166</v>
      </c>
      <c r="H5" s="403" t="s">
        <v>167</v>
      </c>
      <c r="I5" s="403"/>
      <c r="J5" s="402" t="s">
        <v>172</v>
      </c>
      <c r="K5" s="403" t="s">
        <v>169</v>
      </c>
      <c r="L5" s="403"/>
      <c r="M5" s="403"/>
    </row>
    <row r="6" spans="2:13" ht="15" customHeight="1" x14ac:dyDescent="0.2">
      <c r="B6" s="403"/>
      <c r="C6" s="403"/>
      <c r="D6" s="402"/>
      <c r="E6" s="402"/>
      <c r="F6" s="402"/>
      <c r="G6" s="402"/>
      <c r="H6" s="402" t="s">
        <v>164</v>
      </c>
      <c r="I6" s="406" t="s">
        <v>166</v>
      </c>
      <c r="J6" s="402"/>
      <c r="K6" s="402" t="s">
        <v>164</v>
      </c>
      <c r="L6" s="402" t="s">
        <v>173</v>
      </c>
      <c r="M6" s="402" t="s">
        <v>166</v>
      </c>
    </row>
    <row r="7" spans="2:13" ht="15" customHeight="1" x14ac:dyDescent="0.2">
      <c r="B7" s="403"/>
      <c r="C7" s="403"/>
      <c r="D7" s="402"/>
      <c r="E7" s="402"/>
      <c r="F7" s="402"/>
      <c r="G7" s="402"/>
      <c r="H7" s="402"/>
      <c r="I7" s="406"/>
      <c r="J7" s="402"/>
      <c r="K7" s="402"/>
      <c r="L7" s="402"/>
      <c r="M7" s="402"/>
    </row>
    <row r="8" spans="2:13" ht="15" customHeight="1" x14ac:dyDescent="0.2">
      <c r="B8" s="403"/>
      <c r="C8" s="403"/>
      <c r="D8" s="402"/>
      <c r="E8" s="402"/>
      <c r="F8" s="402"/>
      <c r="G8" s="402"/>
      <c r="H8" s="402"/>
      <c r="I8" s="406"/>
      <c r="J8" s="402"/>
      <c r="K8" s="402"/>
      <c r="L8" s="402"/>
      <c r="M8" s="402"/>
    </row>
    <row r="9" spans="2:13" ht="15" customHeight="1" x14ac:dyDescent="0.2">
      <c r="B9" s="22">
        <v>1</v>
      </c>
      <c r="C9" s="35" t="str">
        <f ca="1">IFERROR(INDEX('Dummy Rank'!F7:F16,MATCH('Player Leaderboard'!B9,'Dummy Rank'!E7:E16,0),0),"")</f>
        <v>Hanne Maren (TRAC)</v>
      </c>
      <c r="D9" s="23">
        <f ca="1">IFERROR(VLOOKUP(C9,'Player Scoreboard'!C10:N19,2,FALSE),"")</f>
        <v>36</v>
      </c>
      <c r="E9" s="23">
        <f ca="1">IFERROR(VLOOKUP(C9,'Player Scoreboard'!C10:N19,3,FALSE),"")</f>
        <v>36</v>
      </c>
      <c r="F9" s="23">
        <f ca="1">IFERROR(VLOOKUP(C9,'Player Scoreboard'!C10:N19,4,FALSE),"")</f>
        <v>0</v>
      </c>
      <c r="G9" s="23">
        <f ca="1">IFERROR(VLOOKUP(C9,'Player Scoreboard'!C$10:N$19,6,FALSE),"")</f>
        <v>3</v>
      </c>
      <c r="H9" s="23">
        <f ca="1">IFERROR(VLOOKUP(C9,'Player Scoreboard'!C$10:N$19,7,FALSE),"")</f>
        <v>36</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Magnus (TRAC)</v>
      </c>
      <c r="D10" s="23">
        <f ca="1">IFERROR(VLOOKUP(C10,'Player Scoreboard'!C10:N19,2,FALSE),"")</f>
        <v>34</v>
      </c>
      <c r="E10" s="23">
        <f ca="1">IFERROR(VLOOKUP(C10,'Player Scoreboard'!C10:N19,3,FALSE),"")</f>
        <v>34</v>
      </c>
      <c r="F10" s="23">
        <f ca="1">IFERROR(VLOOKUP(C10,'Player Scoreboard'!C10:N19,4,FALSE),"")</f>
        <v>0</v>
      </c>
      <c r="G10" s="22">
        <f ca="1">IFERROR(VLOOKUP(C10,'Player Scoreboard'!C$10:N$19,6,FALSE),"")</f>
        <v>2</v>
      </c>
      <c r="H10" s="23">
        <f ca="1">IFERROR(VLOOKUP(C10,'Player Scoreboard'!C$10:N$19,7,FALSE),"")</f>
        <v>34</v>
      </c>
      <c r="I10" s="23">
        <f ca="1">IFERROR(VLOOKUP(C10,'Player Scoreboard'!C$10:N$19,8,FALSE),"")</f>
        <v>2</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Kjell Tore (Too Little Too Late)</v>
      </c>
      <c r="D11" s="23">
        <f ca="1">IFERROR(VLOOKUP(C11,'Player Scoreboard'!C10:N19,2,FALSE),"")</f>
        <v>30</v>
      </c>
      <c r="E11" s="23">
        <f ca="1">IFERROR(VLOOKUP(C11,'Player Scoreboard'!C10:N19,3,FALSE),"")</f>
        <v>30</v>
      </c>
      <c r="F11" s="23">
        <f ca="1">IFERROR(VLOOKUP(C11,'Player Scoreboard'!C10:N19,4,FALSE),"")</f>
        <v>0</v>
      </c>
      <c r="G11" s="23">
        <f ca="1">IFERROR(VLOOKUP(C11,'Player Scoreboard'!C$10:N$19,6,FALSE),"")</f>
        <v>2</v>
      </c>
      <c r="H11" s="23">
        <f ca="1">IFERROR(VLOOKUP(C11,'Player Scoreboard'!C$10:N$19,7,FALSE),"")</f>
        <v>30</v>
      </c>
      <c r="I11" s="23">
        <f ca="1">IFERROR(VLOOKUP(C11,'Player Scoreboard'!C$10:N$19,8,FALSE),"")</f>
        <v>2</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Mateo (Virksomhet)</v>
      </c>
      <c r="D12" s="23">
        <f ca="1">IFERROR(VLOOKUP(C12,'Player Scoreboard'!C10:N19,2,FALSE),"")</f>
        <v>30</v>
      </c>
      <c r="E12" s="23">
        <f ca="1">IFERROR(VLOOKUP(C12,'Player Scoreboard'!C10:N19,3,FALSE),"")</f>
        <v>30</v>
      </c>
      <c r="F12" s="23">
        <f ca="1">IFERROR(VLOOKUP(C12,'Player Scoreboard'!C10:N19,4,FALSE),"")</f>
        <v>0</v>
      </c>
      <c r="G12" s="22">
        <f ca="1">IFERROR(VLOOKUP(C12,'Player Scoreboard'!C$10:N$19,6,FALSE),"")</f>
        <v>1</v>
      </c>
      <c r="H12" s="23">
        <f ca="1">IFERROR(VLOOKUP(C12,'Player Scoreboard'!C$10:N$19,7,FALSE),"")</f>
        <v>30</v>
      </c>
      <c r="I12" s="23">
        <f ca="1">IFERROR(VLOOKUP(C12,'Player Scoreboard'!C$10:N$19,8,FALSE),"")</f>
        <v>1</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Steve (TRAC)</v>
      </c>
      <c r="D13" s="23">
        <f ca="1">IFERROR(VLOOKUP(C13,'Player Scoreboard'!C10:N19,2,FALSE),"")</f>
        <v>20</v>
      </c>
      <c r="E13" s="23">
        <f ca="1">IFERROR(VLOOKUP(C13,'Player Scoreboard'!C10:N19,3,FALSE),"")</f>
        <v>20</v>
      </c>
      <c r="F13" s="23">
        <f ca="1">IFERROR(VLOOKUP(C13,'Player Scoreboard'!C10:N19,4,FALSE),"")</f>
        <v>0</v>
      </c>
      <c r="G13" s="23">
        <f ca="1">IFERROR(VLOOKUP(C13,'Player Scoreboard'!C$10:N$19,6,FALSE),"")</f>
        <v>2</v>
      </c>
      <c r="H13" s="23">
        <f ca="1">IFERROR(VLOOKUP(C13,'Player Scoreboard'!C$10:N$19,7,FALSE),"")</f>
        <v>20</v>
      </c>
      <c r="I13" s="23">
        <f ca="1">IFERROR(VLOOKUP(C13,'Player Scoreboard'!C$10:N$19,8,FALSE),"")</f>
        <v>2</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Flemming (IFA)</v>
      </c>
      <c r="D14" s="23">
        <f ca="1">IFERROR(VLOOKUP(C14,'Player Scoreboard'!C10:N19,2,FALSE),"")</f>
        <v>20</v>
      </c>
      <c r="E14" s="23">
        <f ca="1">IFERROR(VLOOKUP(C14,'Player Scoreboard'!C10:N19,3,FALSE),"")</f>
        <v>20</v>
      </c>
      <c r="F14" s="23">
        <f ca="1">IFERROR(VLOOKUP(C14,'Player Scoreboard'!C10:N19,4,FALSE),"")</f>
        <v>0</v>
      </c>
      <c r="G14" s="22">
        <f ca="1">IFERROR(VLOOKUP(C14,'Player Scoreboard'!C$10:N$19,6,FALSE),"")</f>
        <v>0</v>
      </c>
      <c r="H14" s="23">
        <f ca="1">IFERROR(VLOOKUP(C14,'Player Scoreboard'!C$10:N$19,7,FALSE),"")</f>
        <v>20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Stian (Virksomhet)</v>
      </c>
      <c r="D15" s="23">
        <f ca="1">IFERROR(VLOOKUP(C15,'Player Scoreboard'!C10:N19,2,FALSE),"")</f>
        <v>16</v>
      </c>
      <c r="E15" s="23">
        <f ca="1">IFERROR(VLOOKUP(C15,'Player Scoreboard'!C10:N19,3,FALSE),"")</f>
        <v>16</v>
      </c>
      <c r="F15" s="23">
        <f ca="1">IFERROR(VLOOKUP(C15,'Player Scoreboard'!C10:N19,4,FALSE),"")</f>
        <v>0</v>
      </c>
      <c r="G15" s="23">
        <f ca="1">IFERROR(VLOOKUP(C15,'Player Scoreboard'!C$10:N$19,6,FALSE),"")</f>
        <v>0</v>
      </c>
      <c r="H15" s="23">
        <f ca="1">IFERROR(VLOOKUP(C15,'Player Scoreboard'!C$10:N$19,7,FALSE),"")</f>
        <v>16</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88671875" defaultRowHeight="13.8" x14ac:dyDescent="0.3"/>
  <cols>
    <col min="1" max="1" width="1.44140625" style="133" customWidth="1"/>
    <col min="2" max="2" width="3.4414062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174</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407" t="s">
        <v>159</v>
      </c>
      <c r="H5" s="407"/>
      <c r="I5" s="407"/>
      <c r="J5" s="407"/>
      <c r="K5" s="407"/>
      <c r="L5" s="407"/>
      <c r="M5" s="407"/>
      <c r="N5" s="407"/>
      <c r="O5" s="407"/>
      <c r="P5" s="407"/>
      <c r="Q5" s="407"/>
      <c r="R5" s="407"/>
      <c r="S5" s="407"/>
      <c r="T5" s="407"/>
      <c r="U5" s="407"/>
      <c r="V5" s="407"/>
      <c r="W5" s="407"/>
      <c r="X5" s="407"/>
      <c r="Y5" s="407"/>
      <c r="Z5" s="407"/>
      <c r="AA5" s="407"/>
      <c r="AB5" s="407"/>
      <c r="AC5" s="407"/>
      <c r="AD5" s="407"/>
      <c r="AE5" s="407"/>
      <c r="AF5" s="407"/>
      <c r="AG5" s="407"/>
      <c r="AH5" s="407"/>
      <c r="AI5" s="407"/>
      <c r="AJ5" s="407"/>
      <c r="AK5" s="407"/>
      <c r="AL5" s="407"/>
      <c r="AM5" s="407"/>
      <c r="AN5" s="407"/>
      <c r="AO5" s="407"/>
      <c r="AP5" s="407"/>
      <c r="AQ5" s="401" t="s">
        <v>160</v>
      </c>
      <c r="AR5" s="401"/>
      <c r="AS5" s="401"/>
      <c r="AT5" s="401"/>
      <c r="AU5" s="401"/>
      <c r="AV5" s="401"/>
      <c r="AW5" s="401"/>
      <c r="AX5" s="401"/>
      <c r="AY5" s="401" t="s">
        <v>161</v>
      </c>
      <c r="AZ5" s="401"/>
      <c r="BA5" s="401"/>
      <c r="BB5" s="401"/>
      <c r="BC5" s="401" t="s">
        <v>162</v>
      </c>
      <c r="BD5" s="401"/>
      <c r="BE5" s="120" t="s">
        <v>24</v>
      </c>
    </row>
    <row r="6" spans="1:57" s="7" customFormat="1" ht="15" customHeight="1" x14ac:dyDescent="0.3">
      <c r="A6" s="133"/>
      <c r="B6" s="403" t="s">
        <v>67</v>
      </c>
      <c r="C6" s="404" t="s">
        <v>68</v>
      </c>
      <c r="D6" s="403" t="s">
        <v>175</v>
      </c>
      <c r="E6" s="403"/>
      <c r="F6" s="403"/>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403"/>
      <c r="C7" s="404"/>
      <c r="D7" s="402" t="s">
        <v>176</v>
      </c>
      <c r="E7" s="402" t="s">
        <v>177</v>
      </c>
      <c r="F7" s="402"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403"/>
      <c r="C8" s="404"/>
      <c r="D8" s="402"/>
      <c r="E8" s="402"/>
      <c r="F8" s="402"/>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403"/>
      <c r="C9" s="405"/>
      <c r="D9" s="402"/>
      <c r="E9" s="402"/>
      <c r="F9" s="402"/>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 xml:space="preserve"> - </v>
      </c>
      <c r="W9" s="120" t="str">
        <f ca="1">LEFT(OFFSET(Matches!H8,W6-1,0),3)&amp;" - "&amp;LEFT(OFFSET(Matches!I8,W6-1,0),3)</f>
        <v xml:space="preserve"> - </v>
      </c>
      <c r="X9" s="120" t="str">
        <f ca="1">LEFT(OFFSET(Matches!H8,X6-1,0),3)&amp;" - "&amp;LEFT(OFFSET(Matches!I8,X6-1,0),3)</f>
        <v xml:space="preserve"> - </v>
      </c>
      <c r="Y9" s="120" t="str">
        <f ca="1">LEFT(OFFSET(Matches!H8,Y6-1,0),3)&amp;" - "&amp;LEFT(OFFSET(Matches!I8,Y6-1,0),3)</f>
        <v xml:space="preserve"> - </v>
      </c>
      <c r="Z9" s="120" t="str">
        <f ca="1">LEFT(OFFSET(Matches!H8,Z6-1,0),3)&amp;" - "&amp;LEFT(OFFSET(Matches!I8,Z6-1,0),3)</f>
        <v xml:space="preserve"> - </v>
      </c>
      <c r="AA9" s="120" t="str">
        <f ca="1">LEFT(OFFSET(Matches!H8,AA6-1,0),3)&amp;" - "&amp;LEFT(OFFSET(Matches!I8,AA6-1,0),3)</f>
        <v xml:space="preserve"> - </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Magnus (TRAC)</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4.4" x14ac:dyDescent="0.3">
      <c r="A11" s="133">
        <f>A10+10</f>
        <v>10</v>
      </c>
      <c r="B11" s="29">
        <v>2</v>
      </c>
      <c r="C11" s="272" t="str">
        <f>IF('Player Setup'!C7&lt;&gt;"",'Player Setup'!C7,"")</f>
        <v>Steve (TRAC)</v>
      </c>
      <c r="D11" s="22">
        <f t="shared" ref="D11:D19" ca="1" si="3">SUM(E11:F11)</f>
        <v>2</v>
      </c>
      <c r="E11" s="23">
        <f ca="1">IF(C11&lt;&gt;"",OFFSET('Player Game Board'!N9,G6-1,A11),0)</f>
        <v>2</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4.4" x14ac:dyDescent="0.3">
      <c r="A12" s="133">
        <f t="shared" ref="A12:A19" si="4">A11+10</f>
        <v>20</v>
      </c>
      <c r="B12" s="29">
        <v>3</v>
      </c>
      <c r="C12" s="272" t="str">
        <f>IF('Player Setup'!C8&lt;&gt;"",'Player Setup'!C8,"")</f>
        <v>Mateo (Virksomhet)</v>
      </c>
      <c r="D12" s="22">
        <f t="shared" ca="1" si="3"/>
        <v>1</v>
      </c>
      <c r="E12" s="23">
        <f ca="1">IF(C12&lt;&gt;"",OFFSET('Player Game Board'!N9,G6-1,A12),0)</f>
        <v>1</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Stian (Virksomhet)</v>
      </c>
      <c r="D14" s="22">
        <f t="shared" ca="1" si="3"/>
        <v>0</v>
      </c>
      <c r="E14" s="23">
        <f ca="1">IF(C14&lt;&gt;"",OFFSET('Player Game Board'!N9,G6-1,A14),0)</f>
        <v>0</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Hanne Maren (TRAC)</v>
      </c>
      <c r="D15" s="22">
        <f t="shared" ca="1" si="3"/>
        <v>3</v>
      </c>
      <c r="E15" s="23">
        <f ca="1">IF(C15&lt;&gt;"",OFFSET('Player Game Board'!N9,G6-1,A15),0)</f>
        <v>3</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Kjell Tore (Too Little Too Late)</v>
      </c>
      <c r="D16" s="22">
        <f t="shared" ca="1" si="3"/>
        <v>2</v>
      </c>
      <c r="E16" s="23">
        <f ca="1">IF(C16&lt;&gt;"",OFFSET('Player Game Board'!N9,G6-1,A16),0)</f>
        <v>2</v>
      </c>
      <c r="F16" s="22">
        <f ca="1">IF(C16&lt;&gt;"",OFFSET('Player Game Board'!N52,G6-1,A16),0)</f>
        <v>0</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4.4" x14ac:dyDescent="0.3">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4.4" x14ac:dyDescent="0.3">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3">
      <c r="B20" s="9" t="s">
        <v>179</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88671875" defaultRowHeight="14.4" x14ac:dyDescent="0.25"/>
  <cols>
    <col min="1" max="1" width="2.44140625" style="3" customWidth="1"/>
    <col min="2" max="2" width="3.109375" style="3" bestFit="1" customWidth="1"/>
    <col min="3" max="3" width="36.88671875" style="3" customWidth="1"/>
    <col min="4" max="4" width="3.4414062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180</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181</v>
      </c>
      <c r="C5" s="138"/>
    </row>
    <row r="6" spans="2:8" ht="15" customHeight="1" x14ac:dyDescent="0.25">
      <c r="B6" s="137">
        <v>1</v>
      </c>
      <c r="C6" s="39" t="s">
        <v>182</v>
      </c>
      <c r="D6" s="188" t="s">
        <v>14</v>
      </c>
      <c r="E6" s="408" t="s">
        <v>183</v>
      </c>
    </row>
    <row r="7" spans="2:8" ht="15" customHeight="1" x14ac:dyDescent="0.25">
      <c r="B7" s="137">
        <v>2</v>
      </c>
      <c r="C7" s="39" t="s">
        <v>184</v>
      </c>
      <c r="E7" s="408"/>
    </row>
    <row r="8" spans="2:8" ht="15" customHeight="1" x14ac:dyDescent="0.25">
      <c r="B8" s="137">
        <v>3</v>
      </c>
      <c r="C8" s="39" t="s">
        <v>185</v>
      </c>
      <c r="E8" s="408"/>
    </row>
    <row r="9" spans="2:8" ht="15" customHeight="1" x14ac:dyDescent="0.25">
      <c r="B9" s="137">
        <v>4</v>
      </c>
      <c r="C9" s="39" t="s">
        <v>186</v>
      </c>
      <c r="E9" s="408"/>
    </row>
    <row r="10" spans="2:8" ht="15" customHeight="1" x14ac:dyDescent="0.25">
      <c r="B10" s="137">
        <v>5</v>
      </c>
      <c r="C10" s="39" t="s">
        <v>187</v>
      </c>
      <c r="E10" s="408"/>
    </row>
    <row r="11" spans="2:8" ht="15" customHeight="1" x14ac:dyDescent="0.25">
      <c r="B11" s="137">
        <v>6</v>
      </c>
      <c r="C11" s="39" t="s">
        <v>188</v>
      </c>
      <c r="E11" s="408"/>
    </row>
    <row r="12" spans="2:8" ht="15" customHeight="1" x14ac:dyDescent="0.25">
      <c r="B12" s="137">
        <v>7</v>
      </c>
      <c r="C12" s="39" t="s">
        <v>189</v>
      </c>
      <c r="E12" s="408"/>
    </row>
    <row r="13" spans="2:8" ht="15" customHeight="1" x14ac:dyDescent="0.25">
      <c r="B13" s="137">
        <v>8</v>
      </c>
      <c r="C13" s="39" t="s">
        <v>190</v>
      </c>
      <c r="E13" s="408"/>
    </row>
    <row r="14" spans="2:8" ht="15" customHeight="1" x14ac:dyDescent="0.25">
      <c r="B14" s="137">
        <v>9</v>
      </c>
      <c r="C14" s="39" t="s">
        <v>191</v>
      </c>
      <c r="E14" s="408"/>
    </row>
    <row r="15" spans="2:8" ht="15" customHeight="1" x14ac:dyDescent="0.25">
      <c r="B15" s="137">
        <v>10</v>
      </c>
      <c r="C15" s="39" t="s">
        <v>192</v>
      </c>
    </row>
    <row r="16" spans="2:8" ht="15" customHeight="1" x14ac:dyDescent="0.25">
      <c r="B16" s="137">
        <v>11</v>
      </c>
      <c r="C16" s="39" t="s">
        <v>193</v>
      </c>
    </row>
    <row r="17" spans="2:3" ht="15" customHeight="1" x14ac:dyDescent="0.25">
      <c r="B17" s="137">
        <v>12</v>
      </c>
      <c r="C17" s="39" t="s">
        <v>194</v>
      </c>
    </row>
    <row r="18" spans="2:3" ht="15" customHeight="1" x14ac:dyDescent="0.25">
      <c r="B18" s="137">
        <v>13</v>
      </c>
      <c r="C18" s="39" t="s">
        <v>195</v>
      </c>
    </row>
    <row r="19" spans="2:3" ht="15" customHeight="1" x14ac:dyDescent="0.25">
      <c r="B19" s="137">
        <v>14</v>
      </c>
      <c r="C19" s="39" t="s">
        <v>196</v>
      </c>
    </row>
    <row r="20" spans="2:3" ht="15" customHeight="1" x14ac:dyDescent="0.25">
      <c r="B20" s="137">
        <v>15</v>
      </c>
      <c r="C20" s="39" t="s">
        <v>197</v>
      </c>
    </row>
    <row r="21" spans="2:3" ht="15" customHeight="1" x14ac:dyDescent="0.25">
      <c r="B21" s="137">
        <v>16</v>
      </c>
      <c r="C21" s="39" t="s">
        <v>198</v>
      </c>
    </row>
    <row r="22" spans="2:3" ht="15" customHeight="1" x14ac:dyDescent="0.25">
      <c r="B22" s="137">
        <v>17</v>
      </c>
      <c r="C22" s="39" t="s">
        <v>199</v>
      </c>
    </row>
    <row r="23" spans="2:3" ht="15" customHeight="1" x14ac:dyDescent="0.25">
      <c r="B23" s="137">
        <v>18</v>
      </c>
      <c r="C23" s="39" t="s">
        <v>200</v>
      </c>
    </row>
    <row r="24" spans="2:3" ht="15" customHeight="1" x14ac:dyDescent="0.25">
      <c r="B24" s="137">
        <v>19</v>
      </c>
      <c r="C24" s="39" t="s">
        <v>201</v>
      </c>
    </row>
    <row r="25" spans="2:3" ht="15" customHeight="1" x14ac:dyDescent="0.25">
      <c r="B25" s="137">
        <v>20</v>
      </c>
      <c r="C25" s="39" t="s">
        <v>202</v>
      </c>
    </row>
    <row r="26" spans="2:3" ht="15" customHeight="1" x14ac:dyDescent="0.25">
      <c r="B26" s="137">
        <v>21</v>
      </c>
      <c r="C26" s="39" t="s">
        <v>203</v>
      </c>
    </row>
    <row r="27" spans="2:3" ht="15" customHeight="1" x14ac:dyDescent="0.25">
      <c r="B27" s="137">
        <v>22</v>
      </c>
      <c r="C27" s="39" t="s">
        <v>204</v>
      </c>
    </row>
    <row r="28" spans="2:3" ht="15" customHeight="1" x14ac:dyDescent="0.25">
      <c r="B28" s="137">
        <v>23</v>
      </c>
      <c r="C28" s="39" t="s">
        <v>205</v>
      </c>
    </row>
    <row r="29" spans="2:3" ht="15" customHeight="1" x14ac:dyDescent="0.25">
      <c r="B29" s="137">
        <v>24</v>
      </c>
      <c r="C29" s="39" t="s">
        <v>206</v>
      </c>
    </row>
    <row r="30" spans="2:3" ht="15" customHeight="1" x14ac:dyDescent="0.25">
      <c r="B30" s="137">
        <v>25</v>
      </c>
      <c r="C30" s="39" t="s">
        <v>181</v>
      </c>
    </row>
    <row r="31" spans="2:3" ht="15" customHeight="1" x14ac:dyDescent="0.25">
      <c r="B31" s="137">
        <v>26</v>
      </c>
      <c r="C31" s="39" t="s">
        <v>207</v>
      </c>
    </row>
    <row r="32" spans="2:3" ht="15" customHeight="1" x14ac:dyDescent="0.25">
      <c r="B32" s="137">
        <v>27</v>
      </c>
      <c r="C32" s="39" t="s">
        <v>167</v>
      </c>
    </row>
    <row r="33" spans="2:3" ht="15" customHeight="1" x14ac:dyDescent="0.25">
      <c r="B33" s="137">
        <v>28</v>
      </c>
      <c r="C33" s="39" t="s">
        <v>208</v>
      </c>
    </row>
    <row r="34" spans="2:3" ht="15" customHeight="1" x14ac:dyDescent="0.25">
      <c r="B34" s="137">
        <v>29</v>
      </c>
      <c r="C34" s="39" t="s">
        <v>209</v>
      </c>
    </row>
    <row r="35" spans="2:3" ht="15" customHeight="1" x14ac:dyDescent="0.25">
      <c r="B35" s="137">
        <v>30</v>
      </c>
      <c r="C35" s="39" t="s">
        <v>177</v>
      </c>
    </row>
    <row r="36" spans="2:3" ht="15" customHeight="1" x14ac:dyDescent="0.25">
      <c r="B36" s="137">
        <v>31</v>
      </c>
      <c r="C36" s="39" t="s">
        <v>210</v>
      </c>
    </row>
    <row r="37" spans="2:3" ht="15" customHeight="1" x14ac:dyDescent="0.25">
      <c r="B37" s="137">
        <v>32</v>
      </c>
      <c r="C37" s="39" t="s">
        <v>211</v>
      </c>
    </row>
    <row r="38" spans="2:3" ht="15" customHeight="1" x14ac:dyDescent="0.25">
      <c r="B38" s="137">
        <v>33</v>
      </c>
      <c r="C38" s="39" t="s">
        <v>100</v>
      </c>
    </row>
    <row r="39" spans="2:3" ht="15" customHeight="1" x14ac:dyDescent="0.25">
      <c r="B39" s="137">
        <v>34</v>
      </c>
      <c r="C39" s="39" t="s">
        <v>212</v>
      </c>
    </row>
    <row r="40" spans="2:3" ht="15" customHeight="1" x14ac:dyDescent="0.25">
      <c r="B40" s="137">
        <v>35</v>
      </c>
      <c r="C40" s="39" t="s">
        <v>160</v>
      </c>
    </row>
    <row r="41" spans="2:3" ht="15" customHeight="1" x14ac:dyDescent="0.25">
      <c r="B41" s="137">
        <v>36</v>
      </c>
      <c r="C41" s="39" t="s">
        <v>213</v>
      </c>
    </row>
    <row r="42" spans="2:3" ht="15" customHeight="1" x14ac:dyDescent="0.25">
      <c r="B42" s="137">
        <v>37</v>
      </c>
      <c r="C42" s="39" t="s">
        <v>214</v>
      </c>
    </row>
    <row r="43" spans="2:3" ht="15" customHeight="1" x14ac:dyDescent="0.25">
      <c r="B43" s="137">
        <v>38</v>
      </c>
      <c r="C43" s="39" t="s">
        <v>215</v>
      </c>
    </row>
    <row r="44" spans="2:3" ht="15" customHeight="1" x14ac:dyDescent="0.25">
      <c r="B44" s="137">
        <v>39</v>
      </c>
      <c r="C44" s="39" t="s">
        <v>107</v>
      </c>
    </row>
    <row r="45" spans="2:3" ht="15" customHeight="1" x14ac:dyDescent="0.25">
      <c r="B45" s="137">
        <v>40</v>
      </c>
      <c r="C45" s="39" t="s">
        <v>108</v>
      </c>
    </row>
    <row r="46" spans="2:3" ht="15" customHeight="1" x14ac:dyDescent="0.25">
      <c r="B46" s="137">
        <v>41</v>
      </c>
      <c r="C46" s="39" t="s">
        <v>216</v>
      </c>
    </row>
    <row r="47" spans="2:3" ht="15" customHeight="1" x14ac:dyDescent="0.25">
      <c r="B47" s="137">
        <v>42</v>
      </c>
      <c r="C47" s="39" t="s">
        <v>217</v>
      </c>
    </row>
    <row r="48" spans="2:3" ht="15" customHeight="1" x14ac:dyDescent="0.25">
      <c r="B48" s="137">
        <v>43</v>
      </c>
      <c r="C48" s="39" t="s">
        <v>218</v>
      </c>
    </row>
    <row r="49" spans="2:3" ht="15" customHeight="1" x14ac:dyDescent="0.25">
      <c r="B49" s="137">
        <v>44</v>
      </c>
      <c r="C49" s="39" t="s">
        <v>219</v>
      </c>
    </row>
    <row r="50" spans="2:3" ht="15" customHeight="1" x14ac:dyDescent="0.25">
      <c r="B50" s="137">
        <v>45</v>
      </c>
      <c r="C50" s="39" t="s">
        <v>220</v>
      </c>
    </row>
    <row r="51" spans="2:3" ht="15" customHeight="1" x14ac:dyDescent="0.25">
      <c r="B51" s="137">
        <v>46</v>
      </c>
      <c r="C51" s="39" t="s">
        <v>221</v>
      </c>
    </row>
    <row r="52" spans="2:3" ht="15" customHeight="1" x14ac:dyDescent="0.25">
      <c r="B52" s="137">
        <v>47</v>
      </c>
      <c r="C52" s="39" t="s">
        <v>222</v>
      </c>
    </row>
    <row r="53" spans="2:3" ht="15" customHeight="1" x14ac:dyDescent="0.25">
      <c r="B53" s="137">
        <v>48</v>
      </c>
      <c r="C53" s="39" t="s">
        <v>223</v>
      </c>
    </row>
    <row r="54" spans="2:3" ht="15" customHeight="1" x14ac:dyDescent="0.25">
      <c r="B54" s="137">
        <v>49</v>
      </c>
      <c r="C54" s="39" t="s">
        <v>224</v>
      </c>
    </row>
    <row r="55" spans="2:3" ht="15" customHeight="1" x14ac:dyDescent="0.25">
      <c r="B55" s="137">
        <v>50</v>
      </c>
      <c r="C55" s="39" t="s">
        <v>225</v>
      </c>
    </row>
    <row r="56" spans="2:3" ht="15" customHeight="1" x14ac:dyDescent="0.25">
      <c r="B56" s="137">
        <v>51</v>
      </c>
      <c r="C56" s="39" t="s">
        <v>226</v>
      </c>
    </row>
    <row r="57" spans="2:3" ht="15" customHeight="1" x14ac:dyDescent="0.25">
      <c r="B57" s="137">
        <v>52</v>
      </c>
      <c r="C57" s="39" t="s">
        <v>227</v>
      </c>
    </row>
    <row r="58" spans="2:3" ht="15" customHeight="1" x14ac:dyDescent="0.25">
      <c r="B58" s="137">
        <v>53</v>
      </c>
      <c r="C58" s="39" t="s">
        <v>228</v>
      </c>
    </row>
    <row r="59" spans="2:3" ht="15" customHeight="1" x14ac:dyDescent="0.25">
      <c r="B59" s="137">
        <v>54</v>
      </c>
      <c r="C59" s="39" t="s">
        <v>229</v>
      </c>
    </row>
    <row r="60" spans="2:3" ht="15" customHeight="1" x14ac:dyDescent="0.25">
      <c r="B60" s="137">
        <v>55</v>
      </c>
      <c r="C60" s="39" t="s">
        <v>230</v>
      </c>
    </row>
    <row r="61" spans="2:3" ht="15" customHeight="1" x14ac:dyDescent="0.25">
      <c r="B61" s="137">
        <v>56</v>
      </c>
      <c r="C61" s="39" t="s">
        <v>231</v>
      </c>
    </row>
    <row r="62" spans="2:3" ht="15" customHeight="1" x14ac:dyDescent="0.25">
      <c r="B62" s="137">
        <v>57</v>
      </c>
      <c r="C62" s="39" t="s">
        <v>232</v>
      </c>
    </row>
    <row r="63" spans="2:3" ht="15" customHeight="1" x14ac:dyDescent="0.25">
      <c r="B63" s="137">
        <v>58</v>
      </c>
      <c r="C63" s="39" t="s">
        <v>233</v>
      </c>
    </row>
    <row r="64" spans="2:3" ht="15" customHeight="1" x14ac:dyDescent="0.25">
      <c r="B64" s="137">
        <v>59</v>
      </c>
      <c r="C64" s="39" t="s">
        <v>234</v>
      </c>
    </row>
    <row r="65" spans="2:3" ht="15" customHeight="1" x14ac:dyDescent="0.25">
      <c r="B65" s="137">
        <v>60</v>
      </c>
      <c r="C65" s="39" t="s">
        <v>235</v>
      </c>
    </row>
    <row r="66" spans="2:3" ht="15" customHeight="1" x14ac:dyDescent="0.25">
      <c r="B66" s="137">
        <v>61</v>
      </c>
      <c r="C66" s="39" t="s">
        <v>236</v>
      </c>
    </row>
    <row r="67" spans="2:3" ht="15" customHeight="1" x14ac:dyDescent="0.25">
      <c r="B67" s="137">
        <v>62</v>
      </c>
      <c r="C67" s="39" t="s">
        <v>237</v>
      </c>
    </row>
    <row r="68" spans="2:3" ht="15" customHeight="1" x14ac:dyDescent="0.25">
      <c r="B68" s="137">
        <v>63</v>
      </c>
      <c r="C68" s="39" t="s">
        <v>238</v>
      </c>
    </row>
    <row r="69" spans="2:3" ht="15" customHeight="1" x14ac:dyDescent="0.25">
      <c r="B69" s="137">
        <v>64</v>
      </c>
      <c r="C69" s="39" t="s">
        <v>239</v>
      </c>
    </row>
    <row r="70" spans="2:3" ht="15" customHeight="1" x14ac:dyDescent="0.25">
      <c r="B70" s="137">
        <v>65</v>
      </c>
      <c r="C70" s="39" t="s">
        <v>240</v>
      </c>
    </row>
    <row r="71" spans="2:3" ht="15" customHeight="1" x14ac:dyDescent="0.25">
      <c r="B71" s="137">
        <v>66</v>
      </c>
      <c r="C71" s="39" t="s">
        <v>241</v>
      </c>
    </row>
    <row r="72" spans="2:3" ht="15" customHeight="1" x14ac:dyDescent="0.25">
      <c r="B72" s="137">
        <v>67</v>
      </c>
      <c r="C72" s="39" t="s">
        <v>242</v>
      </c>
    </row>
    <row r="73" spans="2:3" ht="15" customHeight="1" x14ac:dyDescent="0.25">
      <c r="B73" s="137">
        <v>68</v>
      </c>
      <c r="C73" s="39" t="s">
        <v>243</v>
      </c>
    </row>
    <row r="74" spans="2:3" ht="15" customHeight="1" x14ac:dyDescent="0.25">
      <c r="B74" s="137">
        <v>69</v>
      </c>
      <c r="C74" s="39" t="s">
        <v>244</v>
      </c>
    </row>
    <row r="75" spans="2:3" ht="15" customHeight="1" x14ac:dyDescent="0.25">
      <c r="B75" s="137">
        <v>70</v>
      </c>
      <c r="C75" s="39" t="s">
        <v>245</v>
      </c>
    </row>
    <row r="76" spans="2:3" ht="15" customHeight="1" x14ac:dyDescent="0.25">
      <c r="B76" s="137">
        <v>71</v>
      </c>
      <c r="C76" s="39" t="s">
        <v>246</v>
      </c>
    </row>
    <row r="77" spans="2:3" ht="15" customHeight="1" x14ac:dyDescent="0.25">
      <c r="B77" s="137">
        <v>72</v>
      </c>
      <c r="C77" s="39" t="s">
        <v>247</v>
      </c>
    </row>
    <row r="78" spans="2:3" ht="15" customHeight="1" x14ac:dyDescent="0.25">
      <c r="B78" s="137">
        <v>73</v>
      </c>
      <c r="C78" s="39" t="s">
        <v>248</v>
      </c>
    </row>
    <row r="79" spans="2:3" ht="15" customHeight="1" x14ac:dyDescent="0.25">
      <c r="B79" s="137">
        <v>74</v>
      </c>
      <c r="C79" s="39" t="s">
        <v>249</v>
      </c>
    </row>
    <row r="80" spans="2:3" ht="15" customHeight="1" x14ac:dyDescent="0.25">
      <c r="B80" s="137">
        <v>75</v>
      </c>
      <c r="C80" s="39" t="s">
        <v>250</v>
      </c>
    </row>
    <row r="81" spans="2:3" ht="15" customHeight="1" x14ac:dyDescent="0.25">
      <c r="B81" s="137">
        <v>76</v>
      </c>
      <c r="C81" s="39" t="s">
        <v>251</v>
      </c>
    </row>
    <row r="82" spans="2:3" ht="15" customHeight="1" x14ac:dyDescent="0.25">
      <c r="B82" s="137">
        <v>77</v>
      </c>
      <c r="C82" s="39" t="s">
        <v>252</v>
      </c>
    </row>
    <row r="83" spans="2:3" ht="15" customHeight="1" x14ac:dyDescent="0.25">
      <c r="B83" s="137">
        <v>78</v>
      </c>
      <c r="C83" s="39" t="s">
        <v>253</v>
      </c>
    </row>
    <row r="84" spans="2:3" ht="15" customHeight="1" x14ac:dyDescent="0.25">
      <c r="B84" s="137">
        <v>79</v>
      </c>
      <c r="C84" s="39" t="s">
        <v>254</v>
      </c>
    </row>
    <row r="85" spans="2:3" ht="15" customHeight="1" x14ac:dyDescent="0.25">
      <c r="B85" s="137">
        <v>80</v>
      </c>
      <c r="C85" s="39" t="s">
        <v>255</v>
      </c>
    </row>
    <row r="86" spans="2:3" ht="15" customHeight="1" x14ac:dyDescent="0.25">
      <c r="B86" s="137">
        <v>81</v>
      </c>
      <c r="C86" s="39" t="s">
        <v>256</v>
      </c>
    </row>
    <row r="87" spans="2:3" ht="15" customHeight="1" x14ac:dyDescent="0.25">
      <c r="B87" s="137">
        <v>82</v>
      </c>
      <c r="C87" s="39" t="s">
        <v>257</v>
      </c>
    </row>
    <row r="88" spans="2:3" ht="15" customHeight="1" x14ac:dyDescent="0.25">
      <c r="B88" s="137">
        <v>83</v>
      </c>
      <c r="C88" s="39" t="s">
        <v>258</v>
      </c>
    </row>
    <row r="89" spans="2:3" ht="15" customHeight="1" x14ac:dyDescent="0.25">
      <c r="B89" s="137">
        <v>84</v>
      </c>
      <c r="C89" s="39" t="s">
        <v>259</v>
      </c>
    </row>
    <row r="90" spans="2:3" ht="15" customHeight="1" x14ac:dyDescent="0.25">
      <c r="B90" s="137">
        <v>85</v>
      </c>
      <c r="C90" s="39" t="s">
        <v>260</v>
      </c>
    </row>
    <row r="91" spans="2:3" ht="15" customHeight="1" x14ac:dyDescent="0.25">
      <c r="B91" s="137">
        <v>86</v>
      </c>
      <c r="C91" s="39" t="s">
        <v>261</v>
      </c>
    </row>
    <row r="92" spans="2:3" ht="15" customHeight="1" x14ac:dyDescent="0.25">
      <c r="B92" s="137">
        <v>87</v>
      </c>
      <c r="C92" s="39" t="s">
        <v>262</v>
      </c>
    </row>
    <row r="93" spans="2:3" ht="15" customHeight="1" x14ac:dyDescent="0.25">
      <c r="B93" s="137">
        <v>88</v>
      </c>
      <c r="C93" s="39" t="s">
        <v>263</v>
      </c>
    </row>
    <row r="94" spans="2:3" ht="15" customHeight="1" x14ac:dyDescent="0.25">
      <c r="B94" s="137">
        <v>89</v>
      </c>
      <c r="C94" s="39" t="s">
        <v>264</v>
      </c>
    </row>
    <row r="95" spans="2:3" ht="15" customHeight="1" x14ac:dyDescent="0.25">
      <c r="B95" s="137">
        <v>90</v>
      </c>
      <c r="C95" s="39" t="s">
        <v>265</v>
      </c>
    </row>
    <row r="96" spans="2:3" ht="15" customHeight="1" x14ac:dyDescent="0.25">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6640625" defaultRowHeight="14.4" x14ac:dyDescent="0.3"/>
  <cols>
    <col min="1" max="1" width="1.44140625" style="1" customWidth="1"/>
    <col min="2" max="2" width="4.109375" style="1" customWidth="1"/>
    <col min="3" max="3" width="30.44140625" style="1" customWidth="1"/>
    <col min="4" max="4" width="1.44140625" style="1" customWidth="1"/>
    <col min="5" max="5" width="4.109375" style="1" customWidth="1"/>
    <col min="6" max="6" width="30.4414062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267</v>
      </c>
    </row>
    <row r="4" spans="1:12" ht="5.0999999999999996" customHeight="1" x14ac:dyDescent="0.3"/>
    <row r="5" spans="1:12" x14ac:dyDescent="0.3">
      <c r="B5" s="409" t="s">
        <v>268</v>
      </c>
      <c r="C5" s="409"/>
      <c r="E5" s="409" t="s">
        <v>269</v>
      </c>
      <c r="F5" s="409"/>
    </row>
    <row r="6" spans="1:12" x14ac:dyDescent="0.3">
      <c r="B6" s="136"/>
      <c r="C6" s="136" t="s">
        <v>270</v>
      </c>
      <c r="E6" s="136"/>
      <c r="F6" s="136" t="s">
        <v>270</v>
      </c>
    </row>
    <row r="7" spans="1:12" x14ac:dyDescent="0.3">
      <c r="B7" s="134">
        <v>1</v>
      </c>
      <c r="C7" s="135" t="s">
        <v>271</v>
      </c>
      <c r="E7" s="134">
        <v>1</v>
      </c>
      <c r="F7" s="135" t="s">
        <v>271</v>
      </c>
      <c r="H7" s="190" t="s">
        <v>14</v>
      </c>
      <c r="I7" s="410" t="s">
        <v>272</v>
      </c>
      <c r="J7" s="410"/>
      <c r="K7" s="410"/>
      <c r="L7" s="410"/>
    </row>
    <row r="8" spans="1:12" x14ac:dyDescent="0.3">
      <c r="B8" s="38">
        <v>2</v>
      </c>
      <c r="C8" s="39" t="s">
        <v>273</v>
      </c>
      <c r="E8" s="38">
        <v>2</v>
      </c>
      <c r="F8" s="39" t="s">
        <v>273</v>
      </c>
      <c r="H8" s="191"/>
      <c r="I8" s="410"/>
      <c r="J8" s="410"/>
      <c r="K8" s="410"/>
      <c r="L8" s="410"/>
    </row>
    <row r="9" spans="1:12" x14ac:dyDescent="0.3">
      <c r="B9" s="38">
        <v>3</v>
      </c>
      <c r="C9" s="39" t="s">
        <v>274</v>
      </c>
      <c r="E9" s="38">
        <v>3</v>
      </c>
      <c r="F9" s="39" t="s">
        <v>274</v>
      </c>
      <c r="H9" s="191"/>
      <c r="I9" s="410"/>
      <c r="J9" s="410"/>
      <c r="K9" s="410"/>
      <c r="L9" s="410"/>
    </row>
    <row r="10" spans="1:12" x14ac:dyDescent="0.3">
      <c r="B10" s="38">
        <v>4</v>
      </c>
      <c r="C10" s="39" t="s">
        <v>275</v>
      </c>
      <c r="E10" s="38">
        <v>4</v>
      </c>
      <c r="F10" s="39" t="s">
        <v>275</v>
      </c>
      <c r="H10" s="192"/>
      <c r="I10" s="410"/>
      <c r="J10" s="410"/>
      <c r="K10" s="410"/>
      <c r="L10" s="410"/>
    </row>
    <row r="11" spans="1:12" x14ac:dyDescent="0.3">
      <c r="B11" s="38">
        <v>5</v>
      </c>
      <c r="C11" s="39" t="s">
        <v>276</v>
      </c>
      <c r="E11" s="38">
        <v>5</v>
      </c>
      <c r="F11" s="39" t="s">
        <v>276</v>
      </c>
      <c r="H11" s="191"/>
      <c r="I11" s="410"/>
      <c r="J11" s="410"/>
      <c r="K11" s="410"/>
      <c r="L11" s="410"/>
    </row>
    <row r="12" spans="1:12" x14ac:dyDescent="0.3">
      <c r="B12" s="38">
        <v>6</v>
      </c>
      <c r="C12" s="39" t="s">
        <v>277</v>
      </c>
      <c r="E12" s="38">
        <v>6</v>
      </c>
      <c r="F12" s="39" t="s">
        <v>277</v>
      </c>
      <c r="H12" s="191"/>
      <c r="I12" s="410"/>
      <c r="J12" s="410"/>
      <c r="K12" s="410"/>
      <c r="L12" s="410"/>
    </row>
    <row r="13" spans="1:12" x14ac:dyDescent="0.3">
      <c r="B13" s="38">
        <v>7</v>
      </c>
      <c r="C13" s="39" t="s">
        <v>278</v>
      </c>
      <c r="E13" s="38">
        <v>7</v>
      </c>
      <c r="F13" s="39" t="s">
        <v>278</v>
      </c>
      <c r="H13" s="191"/>
      <c r="I13" s="410"/>
      <c r="J13" s="410"/>
      <c r="K13" s="410"/>
      <c r="L13" s="410"/>
    </row>
    <row r="14" spans="1:12" x14ac:dyDescent="0.3">
      <c r="B14" s="38">
        <v>8</v>
      </c>
      <c r="C14" s="39" t="s">
        <v>279</v>
      </c>
      <c r="E14" s="38">
        <v>8</v>
      </c>
      <c r="F14" s="39" t="s">
        <v>279</v>
      </c>
      <c r="H14" s="191"/>
      <c r="I14" s="410"/>
      <c r="J14" s="410"/>
      <c r="K14" s="410"/>
      <c r="L14" s="410"/>
    </row>
    <row r="15" spans="1:12" x14ac:dyDescent="0.3">
      <c r="B15" s="38">
        <v>9</v>
      </c>
      <c r="C15" s="39"/>
      <c r="E15" s="38">
        <v>9</v>
      </c>
      <c r="F15" s="39"/>
      <c r="H15" s="191"/>
      <c r="I15" s="410"/>
      <c r="J15" s="410"/>
      <c r="K15" s="410"/>
      <c r="L15" s="410"/>
    </row>
    <row r="16" spans="1:12" x14ac:dyDescent="0.3">
      <c r="B16" s="38">
        <v>10</v>
      </c>
      <c r="C16" s="39"/>
      <c r="E16" s="38">
        <v>10</v>
      </c>
      <c r="F16" s="39"/>
      <c r="H16" s="190" t="s">
        <v>14</v>
      </c>
      <c r="I16" s="410" t="s">
        <v>280</v>
      </c>
      <c r="J16" s="410"/>
      <c r="K16" s="410"/>
      <c r="L16" s="410"/>
    </row>
    <row r="17" spans="2:12" x14ac:dyDescent="0.3">
      <c r="B17" s="38">
        <v>11</v>
      </c>
      <c r="C17" s="39"/>
      <c r="E17" s="38">
        <v>11</v>
      </c>
      <c r="F17" s="39"/>
      <c r="H17" s="191"/>
      <c r="I17" s="410"/>
      <c r="J17" s="410"/>
      <c r="K17" s="410"/>
      <c r="L17" s="410"/>
    </row>
    <row r="18" spans="2:12" x14ac:dyDescent="0.3">
      <c r="H18" s="191"/>
      <c r="I18" s="410"/>
      <c r="J18" s="410"/>
      <c r="K18" s="410"/>
      <c r="L18" s="410"/>
    </row>
    <row r="19" spans="2:12" x14ac:dyDescent="0.3">
      <c r="H19" s="191"/>
      <c r="I19" s="410"/>
      <c r="J19" s="410"/>
      <c r="K19" s="410"/>
      <c r="L19" s="410"/>
    </row>
    <row r="20" spans="2:12" x14ac:dyDescent="0.3">
      <c r="H20" s="191"/>
      <c r="I20" s="410"/>
      <c r="J20" s="410"/>
      <c r="K20" s="410"/>
      <c r="L20" s="410"/>
    </row>
    <row r="21" spans="2:12" x14ac:dyDescent="0.3">
      <c r="H21" s="191"/>
      <c r="I21" s="410"/>
      <c r="J21" s="410"/>
      <c r="K21" s="410"/>
      <c r="L21" s="410"/>
    </row>
    <row r="22" spans="2:12" x14ac:dyDescent="0.3">
      <c r="H22" s="191"/>
      <c r="I22" s="410"/>
      <c r="J22" s="410"/>
      <c r="K22" s="410"/>
      <c r="L22" s="410"/>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88671875" defaultRowHeight="13.2" x14ac:dyDescent="0.25"/>
  <cols>
    <col min="1" max="1" width="1.4414062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281</v>
      </c>
      <c r="C3" s="33"/>
      <c r="D3" s="33"/>
      <c r="E3" s="33"/>
      <c r="F3" s="33"/>
      <c r="G3" s="33"/>
      <c r="H3" s="33"/>
      <c r="I3" s="33"/>
      <c r="J3" s="33"/>
      <c r="K3" s="33"/>
      <c r="L3" s="33"/>
      <c r="M3" s="33"/>
    </row>
    <row r="4" spans="2:13" s="7" customFormat="1" ht="5.0999999999999996" customHeight="1" x14ac:dyDescent="0.2">
      <c r="I4" s="34"/>
      <c r="J4" s="11"/>
    </row>
    <row r="14" spans="2:13" x14ac:dyDescent="0.25">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6640625" defaultRowHeight="14.4" x14ac:dyDescent="0.3"/>
  <cols>
    <col min="1" max="1" width="1.44140625" style="2" customWidth="1"/>
    <col min="2" max="2" width="3.44140625" style="2" customWidth="1"/>
    <col min="3" max="3" width="26.44140625" style="2" customWidth="1"/>
    <col min="4" max="4" width="1.44140625" style="2" customWidth="1"/>
    <col min="5" max="5" width="9.44140625" style="2" customWidth="1"/>
    <col min="6" max="8" width="20.44140625" style="2" customWidth="1"/>
    <col min="9" max="9" width="1.4414062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283</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284</v>
      </c>
      <c r="I7" s="19"/>
      <c r="J7" s="37"/>
      <c r="K7" s="37"/>
      <c r="L7" s="37"/>
      <c r="M7" s="37"/>
      <c r="N7" s="37"/>
      <c r="O7" s="37"/>
    </row>
    <row r="8" spans="2:15" x14ac:dyDescent="0.3">
      <c r="B8" s="194"/>
      <c r="C8" s="194" t="s">
        <v>285</v>
      </c>
      <c r="D8" s="194" t="s">
        <v>286</v>
      </c>
      <c r="E8" s="194" t="s">
        <v>287</v>
      </c>
      <c r="F8" s="194"/>
      <c r="G8" s="194"/>
      <c r="H8" s="238" t="s">
        <v>288</v>
      </c>
      <c r="I8" s="239"/>
      <c r="J8" s="238"/>
      <c r="K8" s="238"/>
      <c r="L8" s="238"/>
      <c r="M8" s="238"/>
      <c r="N8" s="238"/>
      <c r="O8" s="37"/>
    </row>
    <row r="9" spans="2:15" x14ac:dyDescent="0.3">
      <c r="B9" s="194"/>
      <c r="C9" s="194" t="s">
        <v>289</v>
      </c>
      <c r="D9" s="194" t="s">
        <v>286</v>
      </c>
      <c r="E9" s="195" t="s">
        <v>290</v>
      </c>
      <c r="F9" s="194"/>
      <c r="G9" s="194"/>
      <c r="H9" s="218"/>
      <c r="I9" s="19"/>
      <c r="J9" s="37"/>
      <c r="K9" s="37"/>
      <c r="L9" s="37"/>
      <c r="M9" s="37"/>
      <c r="N9" s="37"/>
      <c r="O9" s="37"/>
    </row>
    <row r="10" spans="2:15" x14ac:dyDescent="0.3">
      <c r="B10" s="194"/>
      <c r="C10" s="194" t="s">
        <v>291</v>
      </c>
      <c r="D10" s="194" t="s">
        <v>286</v>
      </c>
      <c r="E10" s="194" t="s">
        <v>292</v>
      </c>
      <c r="F10" s="194"/>
      <c r="G10" s="194"/>
      <c r="H10" s="218"/>
      <c r="I10" s="19"/>
      <c r="J10" s="37"/>
      <c r="K10" s="37"/>
      <c r="L10" s="37"/>
      <c r="M10" s="37"/>
      <c r="N10" s="37"/>
      <c r="O10" s="37"/>
    </row>
    <row r="11" spans="2:15" x14ac:dyDescent="0.3">
      <c r="B11" s="194"/>
      <c r="C11" s="194" t="s">
        <v>293</v>
      </c>
      <c r="D11" s="194" t="s">
        <v>286</v>
      </c>
      <c r="E11" s="221" t="s">
        <v>294</v>
      </c>
      <c r="F11" s="196"/>
      <c r="G11" s="194"/>
      <c r="H11" s="218"/>
      <c r="I11" s="19"/>
      <c r="J11" s="37"/>
      <c r="K11" s="37"/>
      <c r="L11" s="37"/>
      <c r="M11" s="37"/>
      <c r="N11" s="37"/>
      <c r="O11" s="37"/>
    </row>
    <row r="12" spans="2:15" x14ac:dyDescent="0.3">
      <c r="B12" s="194"/>
      <c r="C12" s="194" t="s">
        <v>295</v>
      </c>
      <c r="D12" s="194" t="s">
        <v>286</v>
      </c>
      <c r="E12" s="218" t="s">
        <v>296</v>
      </c>
      <c r="F12" s="218"/>
      <c r="G12" s="194"/>
      <c r="H12" s="218"/>
      <c r="I12" s="19"/>
      <c r="J12" s="37"/>
      <c r="K12" s="37"/>
      <c r="L12" s="37"/>
      <c r="M12" s="37"/>
      <c r="N12" s="37"/>
      <c r="O12" s="37"/>
    </row>
    <row r="13" spans="2:15" x14ac:dyDescent="0.3">
      <c r="B13" s="194"/>
      <c r="C13" s="194" t="s">
        <v>297</v>
      </c>
      <c r="D13" s="194" t="s">
        <v>286</v>
      </c>
      <c r="E13" s="222" t="s">
        <v>298</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299</v>
      </c>
      <c r="G16" s="206" t="s">
        <v>300</v>
      </c>
      <c r="H16" s="233" t="s">
        <v>301</v>
      </c>
    </row>
    <row r="17" spans="2:8" ht="15" customHeight="1" x14ac:dyDescent="0.3">
      <c r="B17" s="214" t="s">
        <v>302</v>
      </c>
      <c r="C17" s="214"/>
      <c r="D17" s="214"/>
      <c r="E17" s="214"/>
      <c r="F17" s="228">
        <v>10</v>
      </c>
      <c r="G17" s="215">
        <v>100</v>
      </c>
      <c r="H17" s="225">
        <v>100</v>
      </c>
    </row>
    <row r="18" spans="2:8" ht="15" customHeight="1" x14ac:dyDescent="0.3">
      <c r="B18" s="214" t="s">
        <v>303</v>
      </c>
      <c r="C18" s="214"/>
      <c r="D18" s="214"/>
      <c r="E18" s="219"/>
      <c r="F18" s="229"/>
      <c r="G18" s="219"/>
      <c r="H18" s="226"/>
    </row>
    <row r="19" spans="2:8" ht="15" customHeight="1" x14ac:dyDescent="0.3">
      <c r="B19" s="220" t="s">
        <v>127</v>
      </c>
      <c r="C19" s="214" t="s">
        <v>304</v>
      </c>
      <c r="D19" s="214"/>
      <c r="E19" s="219"/>
      <c r="F19" s="228" t="s">
        <v>17</v>
      </c>
      <c r="G19" s="215" t="s">
        <v>17</v>
      </c>
      <c r="H19" s="225" t="s">
        <v>17</v>
      </c>
    </row>
    <row r="20" spans="2:8" ht="15" customHeight="1" x14ac:dyDescent="0.3">
      <c r="B20" s="220" t="s">
        <v>127</v>
      </c>
      <c r="C20" s="214" t="s">
        <v>305</v>
      </c>
      <c r="D20" s="214"/>
      <c r="E20" s="219"/>
      <c r="F20" s="228" t="s">
        <v>17</v>
      </c>
      <c r="G20" s="215" t="s">
        <v>17</v>
      </c>
      <c r="H20" s="225" t="s">
        <v>17</v>
      </c>
    </row>
    <row r="21" spans="2:8" ht="15" customHeight="1" x14ac:dyDescent="0.3">
      <c r="B21" s="220" t="s">
        <v>127</v>
      </c>
      <c r="C21" s="214" t="s">
        <v>306</v>
      </c>
      <c r="D21" s="214"/>
      <c r="E21" s="219"/>
      <c r="F21" s="228" t="s">
        <v>17</v>
      </c>
      <c r="G21" s="215" t="s">
        <v>17</v>
      </c>
      <c r="H21" s="225" t="s">
        <v>17</v>
      </c>
    </row>
    <row r="22" spans="2:8" ht="15" customHeight="1" x14ac:dyDescent="0.3">
      <c r="B22" s="220" t="s">
        <v>127</v>
      </c>
      <c r="C22" s="214" t="s">
        <v>307</v>
      </c>
      <c r="D22" s="214"/>
      <c r="E22" s="219"/>
      <c r="F22" s="228" t="s">
        <v>17</v>
      </c>
      <c r="G22" s="215" t="s">
        <v>17</v>
      </c>
      <c r="H22" s="225" t="s">
        <v>17</v>
      </c>
    </row>
    <row r="23" spans="2:8" ht="15" customHeight="1" x14ac:dyDescent="0.3">
      <c r="B23" s="220" t="s">
        <v>127</v>
      </c>
      <c r="C23" s="214" t="s">
        <v>308</v>
      </c>
      <c r="D23" s="214"/>
      <c r="E23" s="219"/>
      <c r="F23" s="228" t="s">
        <v>17</v>
      </c>
      <c r="G23" s="215" t="s">
        <v>17</v>
      </c>
      <c r="H23" s="225" t="s">
        <v>17</v>
      </c>
    </row>
    <row r="24" spans="2:8" ht="15" customHeight="1" x14ac:dyDescent="0.3">
      <c r="B24" s="220" t="s">
        <v>127</v>
      </c>
      <c r="C24" s="214" t="s">
        <v>309</v>
      </c>
      <c r="D24" s="214"/>
      <c r="E24" s="214"/>
      <c r="F24" s="230" t="s">
        <v>310</v>
      </c>
      <c r="G24" s="216" t="s">
        <v>311</v>
      </c>
      <c r="H24" s="227" t="s">
        <v>311</v>
      </c>
    </row>
    <row r="25" spans="2:8" ht="15" customHeight="1" x14ac:dyDescent="0.3">
      <c r="B25" s="214" t="s">
        <v>312</v>
      </c>
      <c r="C25" s="214"/>
      <c r="D25" s="214"/>
      <c r="E25" s="214"/>
      <c r="F25" s="228" t="s">
        <v>313</v>
      </c>
      <c r="G25" s="215" t="s">
        <v>313</v>
      </c>
      <c r="H25" s="225" t="s">
        <v>314</v>
      </c>
    </row>
    <row r="26" spans="2:8" ht="15" customHeight="1" x14ac:dyDescent="0.3">
      <c r="B26" s="214" t="s">
        <v>315</v>
      </c>
      <c r="C26" s="214"/>
      <c r="D26" s="214"/>
      <c r="E26" s="214"/>
      <c r="F26" s="228" t="s">
        <v>67</v>
      </c>
      <c r="G26" s="215" t="s">
        <v>316</v>
      </c>
      <c r="H26" s="225" t="s">
        <v>317</v>
      </c>
    </row>
    <row r="27" spans="2:8" ht="15" customHeight="1" x14ac:dyDescent="0.3">
      <c r="B27" s="214" t="s">
        <v>318</v>
      </c>
      <c r="C27" s="214"/>
      <c r="D27" s="214"/>
      <c r="E27" s="214"/>
      <c r="F27" s="228" t="s">
        <v>67</v>
      </c>
      <c r="G27" s="215" t="s">
        <v>67</v>
      </c>
      <c r="H27" s="225" t="s">
        <v>17</v>
      </c>
    </row>
    <row r="28" spans="2:8" ht="15" customHeight="1" x14ac:dyDescent="0.3">
      <c r="B28" s="214" t="s">
        <v>319</v>
      </c>
      <c r="C28" s="214"/>
      <c r="D28" s="214"/>
      <c r="E28" s="214"/>
      <c r="F28" s="228" t="s">
        <v>313</v>
      </c>
      <c r="G28" s="215" t="s">
        <v>320</v>
      </c>
      <c r="H28" s="225" t="s">
        <v>320</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321</v>
      </c>
      <c r="H33" s="217" t="s">
        <v>322</v>
      </c>
    </row>
    <row r="35" spans="2:8" ht="15.6" x14ac:dyDescent="0.3">
      <c r="B35" s="411" t="s">
        <v>323</v>
      </c>
      <c r="C35" s="411"/>
      <c r="D35" s="411"/>
      <c r="E35" s="411"/>
      <c r="F35" s="411"/>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ht="13.8" x14ac:dyDescent="0.3">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1</v>
      </c>
      <c r="DR3" s="319">
        <f>SUMPRODUCT((DQ3:DQ8=DQ3)*(DN3:DN8&gt;DN3))</f>
        <v>2</v>
      </c>
      <c r="DS3" s="319">
        <f>SUMPRODUCT((DQ3:DQ8=DQ3)*(DN3:DN8=DN3)*(DL3:DL8&gt;DL3))</f>
        <v>0</v>
      </c>
      <c r="DT3" s="319">
        <f>SUMPRODUCT((DQ3:DQ8=DQ3)*(DN3:DN8=DN3)*(DL3:DL8=DL3)*(DP3:DP8&gt;DP3))</f>
        <v>0</v>
      </c>
      <c r="DU3" s="319">
        <f>IF('Player Scoreboard'!B20="© 2024 | journalSHEET.com",SUM(DQ3:DT3),1)</f>
        <v>3</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Scotland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4</v>
      </c>
      <c r="ALZ3" s="320">
        <f t="shared" ref="ALZ3:ALZ8" ca="1" si="91">ALX3-ALY3+1000</f>
        <v>997</v>
      </c>
      <c r="AMA3" s="320">
        <f t="shared" ref="AMA3:AMA8" ca="1" si="92">ALU3*3+ALV3*1</f>
        <v>1</v>
      </c>
      <c r="AMB3" s="319">
        <f ca="1">VLOOKUP(ALT3,B4:J40,9,FALSE)</f>
        <v>43</v>
      </c>
      <c r="AMC3" s="319">
        <f t="shared" ref="AMC3" ca="1" si="93">RANK(AMA3,AMA3:AMA8)</f>
        <v>4</v>
      </c>
      <c r="AMD3" s="319">
        <f t="shared" ref="AMD3" ca="1" si="94">SUMPRODUCT((AMC3:AMC8=AMC3)*(ALZ3:ALZ8&gt;ALZ3))</f>
        <v>0</v>
      </c>
      <c r="AME3" s="319">
        <f t="shared" ref="AME3" ca="1" si="95">SUMPRODUCT((AMC3:AMC8=AMC3)*(ALZ3:ALZ8=ALZ3)*(ALX3:ALX8&gt;ALX3))</f>
        <v>2</v>
      </c>
      <c r="AMF3" s="319">
        <f t="shared" ref="AMF3" ca="1" si="96">SUMPRODUCT((AMC3:AMC8=AMC3)*(ALZ3:ALZ8=ALZ3)*(ALX3:ALX8=ALX3)*(AMB3:AMB8&gt;AMB3))</f>
        <v>0</v>
      </c>
      <c r="AMG3" s="319">
        <f t="shared" ref="AMG3:AMG8" ca="1" si="97">SUM(AMC3:AMF3)</f>
        <v>6</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1</v>
      </c>
      <c r="DR4" s="319">
        <f>SUMPRODUCT((DQ3:DQ8=DQ4)*(DN3:DN8&gt;DN4))</f>
        <v>1</v>
      </c>
      <c r="DS4" s="319">
        <f>SUMPRODUCT((DQ3:DQ8=DQ4)*(DN3:DN8=DN4)*(DL3:DL8&gt;DL4))</f>
        <v>0</v>
      </c>
      <c r="DT4" s="319">
        <f>SUMPRODUCT((DQ3:DQ8=DQ4)*(DN3:DN8=DN4)*(DL3:DL8=DL4)*(DP3:DP8&gt;DP4))</f>
        <v>0</v>
      </c>
      <c r="DU4" s="319">
        <f t="shared" ref="DU4:DU8" si="163">SUM(DQ4:DT4)</f>
        <v>2</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8</v>
      </c>
      <c r="AHS4" s="319">
        <f t="shared" ref="AHS4" ca="1" si="370">SUMIF(ALO3:ALO60,AHN4,ALM3:ALM60)+SUMIF(ALL3:ALL60,AHN4,ALN3:ALN60)</f>
        <v>1</v>
      </c>
      <c r="AHT4" s="319">
        <f t="shared" ref="AHT4:AHT7" ca="1" si="371">AHR4-AHS4+1000</f>
        <v>1007</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Scotland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1</v>
      </c>
      <c r="ALN4" s="322">
        <f ca="1">IF(OFFSET('Player Game Board'!Q11,0,ALM1)&lt;&gt;"",OFFSET('Player Game Board'!Q11,0,ALM1),0)</f>
        <v>3</v>
      </c>
      <c r="ALO4" s="319" t="str">
        <f t="shared" si="83"/>
        <v>Switzerland</v>
      </c>
      <c r="ALP4" s="319" t="str">
        <f ca="1">IF(AND(OFFSET('Player Game Board'!P11,0,ALM1)&lt;&gt;"",OFFSET('Player Game Board'!Q11,0,ALM1)&lt;&gt;""),IF(ALM4&gt;ALN4,"W",IF(ALM4=ALN4,"D","L")),"")</f>
        <v>L</v>
      </c>
      <c r="ALQ4" s="319" t="str">
        <f t="shared" ca="1" si="84"/>
        <v>W</v>
      </c>
      <c r="ALR4" s="319"/>
      <c r="ALS4" s="319"/>
      <c r="ALT4" s="319" t="str">
        <f t="shared" ref="ALT4" ca="1" si="401">VLOOKUP(3,AHM11:AHN14,2,FALSE)</f>
        <v>Italy</v>
      </c>
      <c r="ALU4" s="320">
        <f t="shared" ref="ALU4" ca="1" si="402">VLOOKUP(ALT4,AHN4:AHS40,2,FALSE)</f>
        <v>1</v>
      </c>
      <c r="ALV4" s="320">
        <f t="shared" ref="ALV4" ca="1" si="403">VLOOKUP(ALT4,AHN4:AHS40,3,FALSE)</f>
        <v>1</v>
      </c>
      <c r="ALW4" s="320">
        <f t="shared" ref="ALW4" ca="1" si="404">VLOOKUP(ALT4,AHN4:AHS40,4,FALSE)</f>
        <v>1</v>
      </c>
      <c r="ALX4" s="320">
        <f t="shared" ref="ALX4" ca="1" si="405">VLOOKUP(ALT4,AHN4:AHS40,5,FALSE)</f>
        <v>7</v>
      </c>
      <c r="ALY4" s="320">
        <f t="shared" ref="ALY4" ca="1" si="406">VLOOKUP(ALT4,AHN4:AHS40,6,FALSE)</f>
        <v>3</v>
      </c>
      <c r="ALZ4" s="320">
        <f t="shared" ca="1" si="91"/>
        <v>1004</v>
      </c>
      <c r="AMA4" s="320">
        <f t="shared" ca="1" si="92"/>
        <v>4</v>
      </c>
      <c r="AMB4" s="319">
        <f ca="1">VLOOKUP(ALT4,B4:J40,9,FALSE)</f>
        <v>36</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0</v>
      </c>
      <c r="AMG4" s="319">
        <f t="shared" ca="1" si="97"/>
        <v>1</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1</v>
      </c>
      <c r="DK5" s="320">
        <f>Matches!W19</f>
        <v>0</v>
      </c>
      <c r="DL5" s="320">
        <f>Matches!X19</f>
        <v>1</v>
      </c>
      <c r="DM5" s="320">
        <f>Matches!Z19</f>
        <v>1</v>
      </c>
      <c r="DN5" s="320">
        <f>Matches!AA19</f>
        <v>0</v>
      </c>
      <c r="DO5" s="320">
        <f>Matches!AB19</f>
        <v>1</v>
      </c>
      <c r="DP5" s="319">
        <f>VLOOKUP(DH5,B4:J40,9,FALSE)</f>
        <v>39</v>
      </c>
      <c r="DQ5" s="319">
        <f>RANK(DO5,DO3:DO8)</f>
        <v>1</v>
      </c>
      <c r="DR5" s="319">
        <f>SUMPRODUCT((DQ3:DQ8=DQ5)*(DN3:DN8&gt;DN5))</f>
        <v>0</v>
      </c>
      <c r="DS5" s="319">
        <f>SUMPRODUCT((DQ3:DQ8=DQ5)*(DN3:DN8=DN5)*(DL3:DL8&gt;DL5))</f>
        <v>0</v>
      </c>
      <c r="DT5" s="319">
        <f>SUMPRODUCT((DQ3:DQ8=DQ5)*(DN3:DN8=DN5)*(DL3:DL8=DL5)*(DP3:DP8&gt;DP5))</f>
        <v>0</v>
      </c>
      <c r="DU5" s="319">
        <f t="shared" si="163"/>
        <v>1</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1</v>
      </c>
      <c r="AHQ5" s="319">
        <f t="shared" ref="AHQ5" ca="1" si="867">SUMPRODUCT((ALL3:ALL42=AHN5)*(ALP3:ALP42="L"))+SUMPRODUCT((ALO3:ALO42=AHN5)*(ALQ3:ALQ42="L"))</f>
        <v>2</v>
      </c>
      <c r="AHR5" s="319">
        <f t="shared" ref="AHR5" ca="1" si="868">SUMIF(ALL3:ALL60,AHN5,ALM3:ALM60)+SUMIF(ALO3:ALO60,AHN5,ALN3:ALN60)</f>
        <v>1</v>
      </c>
      <c r="AHS5" s="319">
        <f t="shared" ref="AHS5" ca="1" si="869">SUMIF(ALO3:ALO60,AHN5,ALM3:ALM60)+SUMIF(ALL3:ALL60,AHN5,ALN3:ALN60)</f>
        <v>4</v>
      </c>
      <c r="AHT5" s="319">
        <f t="shared" ca="1" si="371"/>
        <v>997</v>
      </c>
      <c r="AHU5" s="319">
        <f t="shared" ca="1" si="372"/>
        <v>1</v>
      </c>
      <c r="AHV5" s="319">
        <f t="shared" ref="AHV5:AHV40" si="870">ACX5</f>
        <v>43</v>
      </c>
      <c r="AHW5" s="319">
        <f t="shared" ref="AHW5" ca="1" si="871">IF(COUNTIF(AHU4:AHU8,4)&lt;&gt;4,RANK(AHU5,AHU4:AHU8),AHU45)</f>
        <v>3</v>
      </c>
      <c r="AHX5" s="319"/>
      <c r="AHY5" s="319">
        <f t="shared" ref="AHY5" ca="1" si="872">SUMPRODUCT((AHW4:AHW7=AHW5)*(AHV4:AHV7&lt;AHV5))+AHW5</f>
        <v>3</v>
      </c>
      <c r="AHZ5" s="319" t="str">
        <f t="shared" ref="AHZ5" ca="1" si="873">INDEX(AHN4:AHN8,MATCH(2,AHY4:AHY8,0),0)</f>
        <v>Switzerland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Switzerland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Serbia</v>
      </c>
      <c r="ALU5" s="320">
        <f t="shared" ref="ALU5" ca="1" si="915">VLOOKUP(ALT5,AHN4:AHS40,2,FALSE)</f>
        <v>1</v>
      </c>
      <c r="ALV5" s="320">
        <f t="shared" ref="ALV5" ca="1" si="916">VLOOKUP(ALT5,AHN4:AHS40,3,FALSE)</f>
        <v>1</v>
      </c>
      <c r="ALW5" s="320">
        <f t="shared" ref="ALW5" ca="1" si="917">VLOOKUP(ALT5,AHN4:AHS40,4,FALSE)</f>
        <v>1</v>
      </c>
      <c r="ALX5" s="320">
        <f t="shared" ref="ALX5" ca="1" si="918">VLOOKUP(ALT5,AHN4:AHS40,5,FALSE)</f>
        <v>4</v>
      </c>
      <c r="ALY5" s="320">
        <f t="shared" ref="ALY5" ca="1" si="919">VLOOKUP(ALT5,AHN4:AHS40,6,FALSE)</f>
        <v>4</v>
      </c>
      <c r="ALZ5" s="320">
        <f t="shared" ca="1" si="91"/>
        <v>1000</v>
      </c>
      <c r="AMA5" s="320">
        <f t="shared" ca="1" si="92"/>
        <v>4</v>
      </c>
      <c r="AMB5" s="319">
        <f ca="1">VLOOKUP(ALT5,B4:J40,9,FALSE)</f>
        <v>35</v>
      </c>
      <c r="AMC5" s="319">
        <f t="shared" ref="AMC5" ca="1" si="920">RANK(AMA5,AMA3:AMA8)</f>
        <v>1</v>
      </c>
      <c r="AMD5" s="319">
        <f t="shared" ref="AMD5" ca="1" si="921">SUMPRODUCT((AMC3:AMC8=AMC5)*(ALZ3:ALZ8&gt;ALZ5))</f>
        <v>1</v>
      </c>
      <c r="AME5" s="319">
        <f t="shared" ref="AME5" ca="1" si="922">SUMPRODUCT((AMC3:AMC8=AMC5)*(ALZ3:ALZ8=ALZ5)*(ALX3:ALX8&gt;ALX5))</f>
        <v>0</v>
      </c>
      <c r="AMF5" s="319">
        <f t="shared" ref="AMF5" ca="1" si="923">SUMPRODUCT((AMC3:AMC8=AMC5)*(ALZ3:ALZ8=ALZ5)*(ALX3:ALX8=ALX5)*(AMB3:AMB8&gt;AMB5))</f>
        <v>0</v>
      </c>
      <c r="AMG5" s="319">
        <f t="shared" ca="1" si="97"/>
        <v>2</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Poland</v>
      </c>
      <c r="DI6" s="320">
        <f>Matches!U24</f>
        <v>0</v>
      </c>
      <c r="DJ6" s="320">
        <f>Matches!V24</f>
        <v>0</v>
      </c>
      <c r="DK6" s="320">
        <f>Matches!W24</f>
        <v>1</v>
      </c>
      <c r="DL6" s="320">
        <f>Matches!X24</f>
        <v>1</v>
      </c>
      <c r="DM6" s="320">
        <f>Matches!Z24</f>
        <v>2</v>
      </c>
      <c r="DN6" s="320">
        <f>Matches!AA24</f>
        <v>-1</v>
      </c>
      <c r="DO6" s="320">
        <f>Matches!AB24</f>
        <v>0</v>
      </c>
      <c r="DP6" s="319">
        <f>VLOOKUP(DH6,B4:J40,9,FALSE)</f>
        <v>0</v>
      </c>
      <c r="DQ6" s="319">
        <f>RANK(DO6,DO3:DO8)</f>
        <v>4</v>
      </c>
      <c r="DR6" s="319">
        <f>SUMPRODUCT((DQ3:DQ8=DQ6)*(DN3:DN8&gt;DN6))</f>
        <v>0</v>
      </c>
      <c r="DS6" s="319">
        <f>SUMPRODUCT((DQ3:DQ8=DQ6)*(DN3:DN8=DN6)*(DL3:DL8&gt;DL6))</f>
        <v>0</v>
      </c>
      <c r="DT6" s="319">
        <f>SUMPRODUCT((DQ3:DQ8=DQ6)*(DN3:DN8=DN6)*(DL3:DL8=DL6)*(DP3:DP8&gt;DP6))</f>
        <v>1</v>
      </c>
      <c r="DU6" s="319">
        <f t="shared" si="163"/>
        <v>5</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2</v>
      </c>
      <c r="AHS6" s="319">
        <f t="shared" ref="AHS6" ca="1" si="1471">SUMIF(ALO3:ALO60,AHN6,ALM3:ALM60)+SUMIF(ALL3:ALL60,AHN6,ALN3:ALN60)</f>
        <v>7</v>
      </c>
      <c r="AHT6" s="319">
        <f t="shared" ca="1" si="371"/>
        <v>995</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Scotland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Scotland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19">
        <f t="shared" ref="AKA6:AKA7" ca="1" si="1515">AJY6-AJZ6+1000</f>
        <v>1000</v>
      </c>
      <c r="AKB6" s="319">
        <f t="shared" ref="AKB6:AKB7" ca="1" si="1516">IF(AJU6&lt;&gt;"",AJV6*3+AJW6*1,"")</f>
        <v>1</v>
      </c>
      <c r="AKC6" s="319">
        <f t="shared" ref="AKC6" ca="1" si="1517">IF(AJU6&lt;&gt;"",VLOOKUP(AJU6,AHN4:AHT40,7,FALSE),"")</f>
        <v>997</v>
      </c>
      <c r="AKD6" s="319">
        <f t="shared" ref="AKD6" ca="1" si="1518">IF(AJU6&lt;&gt;"",VLOOKUP(AJU6,AHN4:AHT40,5,FALSE),"")</f>
        <v>1</v>
      </c>
      <c r="AKE6" s="319">
        <f t="shared" ref="AKE6" ca="1" si="1519">IF(AJU6&lt;&gt;"",VLOOKUP(AJU6,AHN4:AHV40,9,FALSE),"")</f>
        <v>43</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Scotland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5</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Poland</v>
      </c>
      <c r="ALU6" s="320">
        <f t="shared" ref="ALU6" ca="1" si="1531">VLOOKUP(ALT6,AHN4:AHS40,2,FALSE)</f>
        <v>0</v>
      </c>
      <c r="ALV6" s="320">
        <f t="shared" ref="ALV6" ca="1" si="1532">VLOOKUP(ALT6,AHN4:AHS40,3,FALSE)</f>
        <v>1</v>
      </c>
      <c r="ALW6" s="320">
        <f t="shared" ref="ALW6" ca="1" si="1533">VLOOKUP(ALT6,AHN4:AHS40,4,FALSE)</f>
        <v>2</v>
      </c>
      <c r="ALX6" s="320">
        <f t="shared" ref="ALX6" ca="1" si="1534">VLOOKUP(ALT6,AHN4:AHS40,5,FALSE)</f>
        <v>3</v>
      </c>
      <c r="ALY6" s="320">
        <f t="shared" ref="ALY6" ca="1" si="1535">VLOOKUP(ALT6,AHN4:AHS40,6,FALSE)</f>
        <v>6</v>
      </c>
      <c r="ALZ6" s="320">
        <f t="shared" ca="1" si="91"/>
        <v>997</v>
      </c>
      <c r="AMA6" s="320">
        <f t="shared" ca="1" si="92"/>
        <v>1</v>
      </c>
      <c r="AMB6" s="319">
        <f ca="1">VLOOKUP(ALT6,B4:J40,9,FALSE)</f>
        <v>0</v>
      </c>
      <c r="AMC6" s="319">
        <f t="shared" ref="AMC6" ca="1" si="1536">RANK(AMA6,AMA3:AMA8)</f>
        <v>4</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5</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Belgium</v>
      </c>
      <c r="DI7" s="320">
        <f>Matches!U29</f>
        <v>0</v>
      </c>
      <c r="DJ7" s="320">
        <f>Matches!V29</f>
        <v>0</v>
      </c>
      <c r="DK7" s="320">
        <f>Matches!W29</f>
        <v>1</v>
      </c>
      <c r="DL7" s="320">
        <f>Matches!X29</f>
        <v>0</v>
      </c>
      <c r="DM7" s="320">
        <f>Matches!Z29</f>
        <v>1</v>
      </c>
      <c r="DN7" s="320">
        <f>Matches!AA29</f>
        <v>-1</v>
      </c>
      <c r="DO7" s="320">
        <f>Matches!AB29</f>
        <v>0</v>
      </c>
      <c r="DP7" s="319">
        <f>VLOOKUP(DH7,B4:J40,9,FALSE)</f>
        <v>50</v>
      </c>
      <c r="DQ7" s="319">
        <f>RANK(DO7,DO3:DO8)</f>
        <v>4</v>
      </c>
      <c r="DR7" s="319">
        <f>SUMPRODUCT((DQ3:DQ8=DQ7)*(DN3:DN8&gt;DN7))</f>
        <v>0</v>
      </c>
      <c r="DS7" s="319">
        <f>SUMPRODUCT((DQ3:DQ8=DQ7)*(DN3:DN8=DN7)*(DL3:DL8&gt;DL7))</f>
        <v>2</v>
      </c>
      <c r="DT7" s="319">
        <f>SUMPRODUCT((DQ3:DQ8=DQ7)*(DN3:DN8=DN7)*(DL3:DL8=DL7)*(DP3:DP8&gt;DP7))</f>
        <v>0</v>
      </c>
      <c r="DU7" s="319">
        <f t="shared" si="163"/>
        <v>6</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2</v>
      </c>
      <c r="AHN7" s="319" t="str">
        <f t="shared" si="365"/>
        <v>Switzerland</v>
      </c>
      <c r="AHO7" s="319">
        <f t="shared" ref="AHO7" ca="1" si="2187">SUMPRODUCT((ALL3:ALL42=AHN7)*(ALP3:ALP42="W"))+SUMPRODUCT((ALO3:ALO42=AHN7)*(ALQ3:ALQ42="W"))</f>
        <v>2</v>
      </c>
      <c r="AHP7" s="319">
        <f t="shared" ref="AHP7" ca="1" si="2188">SUMPRODUCT((ALL3:ALL42=AHN7)*(ALP3:ALP42="D"))+SUMPRODUCT((ALO3:ALO42=AHN7)*(ALQ3:ALQ42="D"))</f>
        <v>0</v>
      </c>
      <c r="AHQ7" s="319">
        <f t="shared" ref="AHQ7" ca="1" si="2189">SUMPRODUCT((ALL3:ALL42=AHN7)*(ALP3:ALP42="L"))+SUMPRODUCT((ALO3:ALO42=AHN7)*(ALQ3:ALQ42="L"))</f>
        <v>1</v>
      </c>
      <c r="AHR7" s="319">
        <f t="shared" ref="AHR7" ca="1" si="2190">SUMIF(ALL3:ALL60,AHN7,ALM3:ALM60)+SUMIF(ALO3:ALO60,AHN7,ALN3:ALN60)</f>
        <v>5</v>
      </c>
      <c r="AHS7" s="319">
        <f t="shared" ref="AHS7" ca="1" si="2191">SUMIF(ALO3:ALO60,AHN7,ALM3:ALM60)+SUMIF(ALL3:ALL60,AHN7,ALN3:ALN60)</f>
        <v>4</v>
      </c>
      <c r="AHT7" s="319">
        <f t="shared" ca="1" si="371"/>
        <v>1001</v>
      </c>
      <c r="AHU7" s="319">
        <f t="shared" ca="1" si="372"/>
        <v>6</v>
      </c>
      <c r="AHV7" s="319">
        <f t="shared" si="870"/>
        <v>34</v>
      </c>
      <c r="AHW7" s="319">
        <f t="shared" ref="AHW7" ca="1" si="2192">IF(COUNTIF(AHU4:AHU8,4)&lt;&gt;4,RANK(AHU7,AHU4:AHU8),AHU47)</f>
        <v>2</v>
      </c>
      <c r="AHX7" s="319"/>
      <c r="AHY7" s="319">
        <f t="shared" ref="AHY7" ca="1" si="2193">SUMPRODUCT((AHW4:AHW7=AHW7)*(AHV4:AHV7&lt;AHV7))+AHW7</f>
        <v>2</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19">
        <f t="shared" ca="1" si="1515"/>
        <v>1000</v>
      </c>
      <c r="AKB7" s="319">
        <f t="shared" ca="1" si="1516"/>
        <v>1</v>
      </c>
      <c r="AKC7" s="319">
        <f t="shared" ref="AKC7" ca="1" si="2231">IF(AJU7&lt;&gt;"",VLOOKUP(AJU7,AHN4:AHT40,7,FALSE),"")</f>
        <v>995</v>
      </c>
      <c r="AKD7" s="319">
        <f t="shared" ref="AKD7" ca="1" si="2232">IF(AJU7&lt;&gt;"",VLOOKUP(AJU7,AHN4:AHT40,5,FALSE),"")</f>
        <v>2</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2</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1</v>
      </c>
      <c r="ALW7" s="320">
        <f t="shared" ref="ALW7" ca="1" si="2265">VLOOKUP(ALT7,AHN4:AHS40,4,FALSE)</f>
        <v>2</v>
      </c>
      <c r="ALX7" s="320">
        <f t="shared" ref="ALX7" ca="1" si="2266">VLOOKUP(ALT7,AHN4:AHS40,5,FALSE)</f>
        <v>3</v>
      </c>
      <c r="ALY7" s="320">
        <f t="shared" ref="ALY7" ca="1" si="2267">VLOOKUP(ALT7,AHN4:AHS40,6,FALSE)</f>
        <v>6</v>
      </c>
      <c r="ALZ7" s="320">
        <f t="shared" ca="1" si="91"/>
        <v>997</v>
      </c>
      <c r="AMA7" s="320">
        <f t="shared" ca="1" si="92"/>
        <v>1</v>
      </c>
      <c r="AMB7" s="319">
        <f ca="1">VLOOKUP(ALT7,B4:J40,9,FALSE)</f>
        <v>38</v>
      </c>
      <c r="AMC7" s="319">
        <f t="shared" ref="AMC7" ca="1" si="2268">RANK(AMA7,AMA3:AMA8)</f>
        <v>4</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4</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4</v>
      </c>
      <c r="DR8" s="319">
        <f>SUMPRODUCT((DQ3:DQ8=DQ8)*(DN3:DN8&gt;DN8))</f>
        <v>0</v>
      </c>
      <c r="DS8" s="319">
        <f>SUMPRODUCT((DQ3:DQ8=DQ8)*(DN3:DN8=DN8)*(DL3:DL8&gt;DL8))</f>
        <v>0</v>
      </c>
      <c r="DT8" s="319">
        <f>SUMPRODUCT((DQ3:DQ8=DQ8)*(DN3:DN8=DN8)*(DL3:DL8=DL8)*(DP3:DP8&gt;DP8))</f>
        <v>0</v>
      </c>
      <c r="DU8" s="319">
        <f t="shared" si="163"/>
        <v>4</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1</v>
      </c>
      <c r="ALN8" s="322">
        <f ca="1">IF(OFFSET('Player Game Board'!Q15,0,ALM1)&lt;&gt;"",OFFSET('Player Game Board'!Q15,0,ALM1),0)</f>
        <v>3</v>
      </c>
      <c r="ALO8" s="319" t="str">
        <f t="shared" si="83"/>
        <v>Denmark</v>
      </c>
      <c r="ALP8" s="319" t="str">
        <f ca="1">IF(AND(OFFSET('Player Game Board'!P15,0,ALM1)&lt;&gt;"",OFFSET('Player Game Board'!Q15,0,ALM1)&lt;&gt;""),IF(ALM8&gt;ALN8,"W",IF(ALM8=ALN8,"D","L")),"")</f>
        <v>L</v>
      </c>
      <c r="ALQ8" s="319" t="str">
        <f t="shared" ca="1" si="84"/>
        <v>W</v>
      </c>
      <c r="ALR8" s="319"/>
      <c r="ALS8" s="319"/>
      <c r="ALT8" s="319" t="str">
        <f t="shared" ref="ALT8" ca="1" si="2656">VLOOKUP(3,AHM37:AHN40,2,FALSE)</f>
        <v>Czechia</v>
      </c>
      <c r="ALU8" s="320">
        <f t="shared" ref="ALU8" ca="1" si="2657">VLOOKUP(ALT8,AHN4:AHS40,2,FALSE)</f>
        <v>1</v>
      </c>
      <c r="ALV8" s="320">
        <f t="shared" ref="ALV8" ca="1" si="2658">VLOOKUP(ALT8,AHN4:AHS40,3,FALSE)</f>
        <v>0</v>
      </c>
      <c r="ALW8" s="320">
        <f t="shared" ref="ALW8" ca="1" si="2659">VLOOKUP(ALT8,AHN4:AHS40,4,FALSE)</f>
        <v>2</v>
      </c>
      <c r="ALX8" s="320">
        <f t="shared" ref="ALX8" ca="1" si="2660">VLOOKUP(ALT8,AHN4:AHS40,5,FALSE)</f>
        <v>4</v>
      </c>
      <c r="ALY8" s="320">
        <f t="shared" ref="ALY8" ca="1" si="2661">VLOOKUP(ALT8,AHN4:AHS40,6,FALSE)</f>
        <v>4</v>
      </c>
      <c r="ALZ8" s="320">
        <f t="shared" ca="1" si="91"/>
        <v>1000</v>
      </c>
      <c r="AMA8" s="320">
        <f t="shared" ca="1" si="92"/>
        <v>3</v>
      </c>
      <c r="AMB8" s="319">
        <f ca="1">VLOOKUP(ALT8,B4:J40,9,FALSE)</f>
        <v>37</v>
      </c>
      <c r="AMC8" s="319">
        <f t="shared" ref="AMC8" ca="1" si="2662">RANK(AMA8,AMA3:AMA8)</f>
        <v>3</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0</v>
      </c>
      <c r="AMG8" s="319">
        <f t="shared" ca="1" si="97"/>
        <v>3</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2</v>
      </c>
      <c r="ALN9" s="322">
        <f ca="1">IF(OFFSET('Player Game Board'!Q16,0,ALM1)&lt;&gt;"",OFFSET('Player Game Board'!Q16,0,ALM1),0)</f>
        <v>3</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0</v>
      </c>
      <c r="F11" s="319">
        <f>SUMIF(CZ3:CZ60,B11,DA3:DA60)+SUMIF(DC3:DC60,B11,DB3:DB60)</f>
        <v>2</v>
      </c>
      <c r="G11" s="319">
        <f>SUMIF(DC3:DC60,B11,DA3:DA60)+SUMIF(CZ3:CZ60,B11,DB3:DB60)</f>
        <v>1</v>
      </c>
      <c r="H11" s="319">
        <f t="shared" ref="H11:H14" si="2706">F11-G11+1000</f>
        <v>1001</v>
      </c>
      <c r="I11" s="319">
        <f t="shared" ref="I11:I14" si="2707">C11*3+D11*1</f>
        <v>3</v>
      </c>
      <c r="J11" s="319">
        <v>36</v>
      </c>
      <c r="K11" s="319">
        <f>IF(COUNTIF(I11:I15,4)&lt;&gt;4,RANK(I11,I11:I15),I51)</f>
        <v>1</v>
      </c>
      <c r="L11" s="319"/>
      <c r="M11" s="319">
        <f>SUMPRODUCT((K11:K14=K11)*(J11:J14&lt;J11))+K11</f>
        <v>1</v>
      </c>
      <c r="N11" s="319" t="str">
        <f>INDEX(B11:B15,MATCH(1,M11:M15,0),0)</f>
        <v>Italy</v>
      </c>
      <c r="O11" s="319">
        <f>INDEX(K11:K15,MATCH(N11,B11:B15,0),0)</f>
        <v>1</v>
      </c>
      <c r="P11" s="319" t="str">
        <f>IF(O12=1,N11,"")</f>
        <v>Italy</v>
      </c>
      <c r="Q11" s="319" t="str">
        <f>IF(O13=2,N12,"")</f>
        <v/>
      </c>
      <c r="R11" s="319" t="str">
        <f>IF(O14=3,N13,"")</f>
        <v>Croatia</v>
      </c>
      <c r="S11" s="319" t="str">
        <f>IF(O15=4,N14,"")</f>
        <v/>
      </c>
      <c r="T11" s="319"/>
      <c r="U11" s="319" t="str">
        <f>IF(P11&lt;&gt;"",P11,"")</f>
        <v>Italy</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f t="shared" ref="AB11:AB14" si="2708">IF(U11&lt;&gt;"",V11*3+W11*1,"")</f>
        <v>0</v>
      </c>
      <c r="AC11" s="319">
        <f>IF(U11&lt;&gt;"",VLOOKUP(U11,B4:H40,7,FALSE),"")</f>
        <v>1001</v>
      </c>
      <c r="AD11" s="319">
        <f>IF(U11&lt;&gt;"",VLOOKUP(U11,B4:H40,5,FALSE),"")</f>
        <v>2</v>
      </c>
      <c r="AE11" s="319">
        <f>IF(U11&lt;&gt;"",VLOOKUP(U11,B4:J40,9,FALSE),"")</f>
        <v>36</v>
      </c>
      <c r="AF11" s="319">
        <f t="shared" ref="AF11:AF14" si="2709">AB11</f>
        <v>0</v>
      </c>
      <c r="AG11" s="319">
        <f>IF(U11&lt;&gt;"",RANK(AF11,AF11:AF15),"")</f>
        <v>1</v>
      </c>
      <c r="AH11" s="319">
        <f>IF(U11&lt;&gt;"",SUMPRODUCT((AF11:AF15=AF11)*(AA11:AA15&gt;AA11)),"")</f>
        <v>0</v>
      </c>
      <c r="AI11" s="319">
        <f>IF(U11&lt;&gt;"",SUMPRODUCT((AF11:AF15=AF11)*(AA11:AA15=AA11)*(Y11:Y15&gt;Y11)),"")</f>
        <v>0</v>
      </c>
      <c r="AJ11" s="319">
        <f>IF(U11&lt;&gt;"",SUMPRODUCT((AF11:AF15=AF11)*(AA11:AA15=AA11)*(Y11:Y15=Y11)*(AC11:AC15&gt;AC11)),"")</f>
        <v>1</v>
      </c>
      <c r="AK11" s="319">
        <f>IF(U11&lt;&gt;"",SUMPRODUCT((AF11:AF15=AF11)*(AA11:AA15=AA11)*(Y11:Y15=Y11)*(AC11:AC15=AC11)*(AD11:AD15&gt;AD11)),"")</f>
        <v>0</v>
      </c>
      <c r="AL11" s="319">
        <f>IF(U11&lt;&gt;"",SUMPRODUCT((AF11:AF15=AF11)*(AA11:AA15=AA11)*(Y11:Y15=Y11)*(AC11:AC15=AC11)*(AD11:AD15=AD11)*(AE11:AE15&gt;AE11)),"")</f>
        <v>0</v>
      </c>
      <c r="AM11" s="319">
        <f>IF(U11&lt;&gt;"",IF(AM51&lt;&gt;"",IF(T50=3,AM51,AM51+T50),SUM(AG11:AL11)),"")</f>
        <v>2</v>
      </c>
      <c r="AN11" s="319" t="str">
        <f>IF(U11&lt;&gt;"",INDEX(U11:U15,MATCH(1,AM11:AM15,0),0),"")</f>
        <v>Spain</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3</v>
      </c>
      <c r="AHN11" s="319" t="str">
        <f t="shared" ref="AHN11:AHN14" si="2867">ACP11</f>
        <v>Italy</v>
      </c>
      <c r="AHO11" s="319">
        <f t="shared" ref="AHO11" ca="1" si="2868">SUMPRODUCT((ALL3:ALL42=AHN11)*(ALP3:ALP42="W"))+SUMPRODUCT((ALO3:ALO42=AHN11)*(ALQ3:ALQ42="W"))</f>
        <v>1</v>
      </c>
      <c r="AHP11" s="319">
        <f t="shared" ref="AHP11" ca="1" si="2869">SUMPRODUCT((ALL3:ALL42=AHN11)*(ALP3:ALP42="D"))+SUMPRODUCT((ALO3:ALO42=AHN11)*(ALQ3:ALQ42="D"))</f>
        <v>1</v>
      </c>
      <c r="AHQ11" s="319">
        <f t="shared" ref="AHQ11" ca="1" si="2870">SUMPRODUCT((ALL3:ALL42=AHN11)*(ALP3:ALP42="L"))+SUMPRODUCT((ALO3:ALO42=AHN11)*(ALQ3:ALQ42="L"))</f>
        <v>1</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4</v>
      </c>
      <c r="AHV11" s="319">
        <f t="shared" si="870"/>
        <v>36</v>
      </c>
      <c r="AHW11" s="319">
        <f t="shared" ref="AHW11" ca="1" si="2875">IF(COUNTIF(AHU11:AHU15,4)&lt;&gt;4,RANK(AHU11,AHU11:AHU15),AHU51)</f>
        <v>3</v>
      </c>
      <c r="AHX11" s="319"/>
      <c r="AHY11" s="319">
        <f t="shared" ref="AHY11" ca="1" si="2876">SUMPRODUCT((AHW11:AHW14=AHW11)*(AHV11:AHV14&lt;AHV11))+AHW11</f>
        <v>3</v>
      </c>
      <c r="AHZ11" s="319" t="str">
        <f t="shared" ref="AHZ11" ca="1" si="2877">INDEX(AHN11:AHN15,MATCH(1,AHY11:AHY15,0),0)</f>
        <v>Spain</v>
      </c>
      <c r="AIA11" s="319">
        <f t="shared" ref="AIA11" ca="1" si="2878">INDEX(AHW11:AHW15,MATCH(AHZ11,AHN11:AHN15,0),0)</f>
        <v>1</v>
      </c>
      <c r="AIB11" s="319" t="str">
        <f t="shared" ref="AIB11" ca="1" si="2879">IF(AIA12=1,AHZ11,"")</f>
        <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t="str">
        <f t="shared" ref="AIN11:AIN14" ca="1" si="2890">IF(AIG11&lt;&gt;"",AIH11*3+AII11*1,"")</f>
        <v/>
      </c>
      <c r="AIO11" s="319" t="str">
        <f t="shared" ref="AIO11" ca="1" si="2891">IF(AIG11&lt;&gt;"",VLOOKUP(AIG11,AHN4:AHT40,7,FALSE),"")</f>
        <v/>
      </c>
      <c r="AIP11" s="319" t="str">
        <f t="shared" ref="AIP11" ca="1" si="2892">IF(AIG11&lt;&gt;"",VLOOKUP(AIG11,AHN4:AHT40,5,FALSE),"")</f>
        <v/>
      </c>
      <c r="AIQ11" s="319" t="str">
        <f t="shared" ref="AIQ11" ca="1" si="2893">IF(AIG11&lt;&gt;"",VLOOKUP(AIG11,AHN4:AHV40,9,FALSE),"")</f>
        <v/>
      </c>
      <c r="AIR11" s="319" t="str">
        <f t="shared" ref="AIR11:AIR14" ca="1" si="2894">AIN11</f>
        <v/>
      </c>
      <c r="AIS11" s="319" t="str">
        <f t="shared" ref="AIS11" ca="1" si="2895">IF(AIG11&lt;&gt;"",RANK(AIR11,AIR11:AIR15),"")</f>
        <v/>
      </c>
      <c r="AIT11" s="319" t="str">
        <f t="shared" ref="AIT11" ca="1" si="2896">IF(AIG11&lt;&gt;"",SUMPRODUCT((AIR11:AIR15=AIR11)*(AIM11:AIM15&gt;AIM11)),"")</f>
        <v/>
      </c>
      <c r="AIU11" s="319" t="str">
        <f t="shared" ref="AIU11" ca="1" si="2897">IF(AIG11&lt;&gt;"",SUMPRODUCT((AIR11:AIR15=AIR11)*(AIM11:AIM15=AIM11)*(AIK11:AIK15&gt;AIK11)),"")</f>
        <v/>
      </c>
      <c r="AIV11" s="319" t="str">
        <f t="shared" ref="AIV11" ca="1" si="2898">IF(AIG11&lt;&gt;"",SUMPRODUCT((AIR11:AIR15=AIR11)*(AIM11:AIM15=AIM11)*(AIK11:AIK15=AIK11)*(AIO11:AIO15&gt;AIO11)),"")</f>
        <v/>
      </c>
      <c r="AIW11" s="319" t="str">
        <f t="shared" ref="AIW11" ca="1" si="2899">IF(AIG11&lt;&gt;"",SUMPRODUCT((AIR11:AIR15=AIR11)*(AIM11:AIM15=AIM11)*(AIK11:AIK15=AIK11)*(AIO11:AIO15=AIO11)*(AIP11:AIP15&gt;AIP11)),"")</f>
        <v/>
      </c>
      <c r="AIX11" s="319" t="str">
        <f t="shared" ref="AIX11" ca="1" si="2900">IF(AIG11&lt;&gt;"",SUMPRODUCT((AIR11:AIR15=AIR11)*(AIM11:AIM15=AIM11)*(AIK11:AIK15=AIK11)*(AIO11:AIO15=AIO11)*(AIP11:AIP15=AIP11)*(AIQ11:AIQ15&gt;AIQ11)),"")</f>
        <v/>
      </c>
      <c r="AIY11" s="319" t="str">
        <f ca="1">IF(AIG11&lt;&gt;"",IF(AIY51&lt;&gt;"",IF(AIF50=3,AIY51,AIY51+AIF50),SUM(AIS11:AIX11)),"")</f>
        <v/>
      </c>
      <c r="AIZ11" s="319" t="str">
        <f t="shared" ref="AIZ11" ca="1" si="2901">IF(AIG11&lt;&gt;"",INDEX(AIG11:AIG15,MATCH(1,AIY11:AIY15,0),0),"")</f>
        <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2</v>
      </c>
      <c r="ALN11" s="322">
        <f ca="1">IF(OFFSET('Player Game Board'!Q18,0,ALM1)&lt;&gt;"",OFFSET('Player Game Board'!Q18,0,ALM1),0)</f>
        <v>1</v>
      </c>
      <c r="ALO11" s="319" t="str">
        <f t="shared" si="83"/>
        <v>Slovakia</v>
      </c>
      <c r="ALP11" s="319" t="str">
        <f ca="1">IF(AND(OFFSET('Player Game Board'!P18,0,ALM1)&lt;&gt;"",OFFSET('Player Game Board'!Q18,0,ALM1)&lt;&gt;""),IF(ALM11&gt;ALN11,"W",IF(ALM11=ALN11,"D","L")),"")</f>
        <v>W</v>
      </c>
      <c r="ALQ11" s="319" t="str">
        <f t="shared" ca="1" si="84"/>
        <v>L</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Spain</v>
      </c>
      <c r="O12" s="319">
        <f>INDEX(K11:K15,MATCH(N12,B11:B15,0),0)</f>
        <v>1</v>
      </c>
      <c r="P12" s="319" t="str">
        <f>IF(P11&lt;&gt;"",N12,"")</f>
        <v>Spain</v>
      </c>
      <c r="Q12" s="319" t="str">
        <f>IF(Q11&lt;&gt;"",N13,"")</f>
        <v/>
      </c>
      <c r="R12" s="319" t="str">
        <f>IF(R11&lt;&gt;"",N14,"")</f>
        <v>Albania</v>
      </c>
      <c r="S12" s="319" t="str">
        <f>IF(S11&lt;&gt;"",N15,"")</f>
        <v/>
      </c>
      <c r="T12" s="319"/>
      <c r="U12" s="319" t="str">
        <f t="shared" ref="U12:U14" si="3051">IF(P12&lt;&gt;"",P12,"")</f>
        <v>Spain</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f t="shared" si="2708"/>
        <v>0</v>
      </c>
      <c r="AC12" s="319">
        <f>IF(U12&lt;&gt;"",VLOOKUP(U12,B4:H40,7,FALSE),"")</f>
        <v>1003</v>
      </c>
      <c r="AD12" s="319">
        <f>IF(U12&lt;&gt;"",VLOOKUP(U12,B4:H40,5,FALSE),"")</f>
        <v>3</v>
      </c>
      <c r="AE12" s="319">
        <f>IF(U12&lt;&gt;"",VLOOKUP(U12,B4:J40,9,FALSE),"")</f>
        <v>51</v>
      </c>
      <c r="AF12" s="319">
        <f t="shared" si="2709"/>
        <v>0</v>
      </c>
      <c r="AG12" s="319">
        <f>IF(U12&lt;&gt;"",RANK(AF12,AF11:AF15),"")</f>
        <v>1</v>
      </c>
      <c r="AH12" s="319">
        <f>IF(U12&lt;&gt;"",SUMPRODUCT((AF11:AF15=AF12)*(AA11:AA15&gt;AA12)),"")</f>
        <v>0</v>
      </c>
      <c r="AI12" s="319">
        <f>IF(U12&lt;&gt;"",SUMPRODUCT((AF11:AF15=AF12)*(AA11:AA15=AA12)*(Y11:Y15&gt;Y12)),"")</f>
        <v>0</v>
      </c>
      <c r="AJ12" s="319">
        <f>IF(U12&lt;&gt;"",SUMPRODUCT((AF11:AF15=AF12)*(AA11:AA15=AA12)*(Y11:Y15=Y12)*(AC11:AC15&gt;AC12)),"")</f>
        <v>0</v>
      </c>
      <c r="AK12" s="319">
        <f>IF(U12&lt;&gt;"",SUMPRODUCT((AF11:AF15=AF12)*(AA11:AA15=AA12)*(Y11:Y15=Y12)*(AC11:AC15=AC12)*(AD11:AD15&gt;AD12)),"")</f>
        <v>0</v>
      </c>
      <c r="AL12" s="319">
        <f>IF(U12&lt;&gt;"",SUMPRODUCT((AF11:AF15=AF12)*(AA11:AA15=AA12)*(Y11:Y15=Y12)*(AC11:AC15=AC12)*(AD11:AD15=AD12)*(AE11:AE15&gt;AE12)),"")</f>
        <v>0</v>
      </c>
      <c r="AM12" s="319">
        <f>IF(U12&lt;&gt;"",IF(AM52&lt;&gt;"",IF(T50=3,AM52,AM52+T50),SUM(AG12:AL12)),"")</f>
        <v>1</v>
      </c>
      <c r="AN12" s="319" t="str">
        <f>IF(U12&lt;&gt;"",INDEX(U11:U15,MATCH(2,AM11:AM15,0),0),"")</f>
        <v>Italy</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C</v>
      </c>
      <c r="DR12" s="326" t="str">
        <f>Matches!AC40</f>
        <v>B</v>
      </c>
      <c r="DS12" s="326" t="str">
        <f>Matches!AC41</f>
        <v>A</v>
      </c>
      <c r="DT12" s="326" t="str">
        <f>Matches!AC42</f>
        <v>F</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0</v>
      </c>
      <c r="AHS12" s="319">
        <f t="shared" ref="AHS12" ca="1" si="3279">SUMIF(ALO3:ALO60,AHN12,ALM3:ALM60)+SUMIF(ALL3:ALL60,AHN12,ALN3:ALN60)</f>
        <v>14</v>
      </c>
      <c r="AHT12" s="319">
        <f t="shared" ca="1" si="2873"/>
        <v>986</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Croatia</v>
      </c>
      <c r="AIA12" s="319">
        <f t="shared" ref="AIA12" ca="1" si="3283">INDEX(AHW11:AHW15,MATCH(AHZ12,AHN11:AHN15,0),0)</f>
        <v>2</v>
      </c>
      <c r="AIB12" s="319" t="str">
        <f t="shared" ref="AIB12" ca="1" si="3284">IF(AIB11&lt;&gt;"",AHZ12,"")</f>
        <v/>
      </c>
      <c r="AIC12" s="319" t="str">
        <f t="shared" ref="AIC12" ca="1" si="3285">IF(AIC11&lt;&gt;"",AHZ13,"")</f>
        <v/>
      </c>
      <c r="AID12" s="319" t="str">
        <f t="shared" ref="AID12" ca="1" si="3286">IF(AID11&lt;&gt;"",AHZ14,"")</f>
        <v/>
      </c>
      <c r="AIE12" s="319" t="str">
        <f t="shared" ref="AIE12" si="3287">IF(AIE11&lt;&gt;"",AHZ15,"")</f>
        <v/>
      </c>
      <c r="AIF12" s="319"/>
      <c r="AIG12" s="319" t="str">
        <f t="shared" ca="1" si="2883"/>
        <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t="str">
        <f t="shared" ca="1" si="2890"/>
        <v/>
      </c>
      <c r="AIO12" s="319" t="str">
        <f t="shared" ref="AIO12" ca="1" si="3293">IF(AIG12&lt;&gt;"",VLOOKUP(AIG12,AHN4:AHT40,7,FALSE),"")</f>
        <v/>
      </c>
      <c r="AIP12" s="319" t="str">
        <f t="shared" ref="AIP12" ca="1" si="3294">IF(AIG12&lt;&gt;"",VLOOKUP(AIG12,AHN4:AHT40,5,FALSE),"")</f>
        <v/>
      </c>
      <c r="AIQ12" s="319" t="str">
        <f t="shared" ref="AIQ12" ca="1" si="3295">IF(AIG12&lt;&gt;"",VLOOKUP(AIG12,AHN4:AHV40,9,FALSE),"")</f>
        <v/>
      </c>
      <c r="AIR12" s="319" t="str">
        <f t="shared" ca="1" si="2894"/>
        <v/>
      </c>
      <c r="AIS12" s="319" t="str">
        <f t="shared" ref="AIS12" ca="1" si="3296">IF(AIG12&lt;&gt;"",RANK(AIR12,AIR11:AIR15),"")</f>
        <v/>
      </c>
      <c r="AIT12" s="319" t="str">
        <f t="shared" ref="AIT12" ca="1" si="3297">IF(AIG12&lt;&gt;"",SUMPRODUCT((AIR11:AIR15=AIR12)*(AIM11:AIM15&gt;AIM12)),"")</f>
        <v/>
      </c>
      <c r="AIU12" s="319" t="str">
        <f t="shared" ref="AIU12" ca="1" si="3298">IF(AIG12&lt;&gt;"",SUMPRODUCT((AIR11:AIR15=AIR12)*(AIM11:AIM15=AIM12)*(AIK11:AIK15&gt;AIK12)),"")</f>
        <v/>
      </c>
      <c r="AIV12" s="319" t="str">
        <f t="shared" ref="AIV12" ca="1" si="3299">IF(AIG12&lt;&gt;"",SUMPRODUCT((AIR11:AIR15=AIR12)*(AIM11:AIM15=AIM12)*(AIK11:AIK15=AIK12)*(AIO11:AIO15&gt;AIO12)),"")</f>
        <v/>
      </c>
      <c r="AIW12" s="319" t="str">
        <f t="shared" ref="AIW12" ca="1" si="3300">IF(AIG12&lt;&gt;"",SUMPRODUCT((AIR11:AIR15=AIR12)*(AIM11:AIM15=AIM12)*(AIK11:AIK15=AIK12)*(AIO11:AIO15=AIO12)*(AIP11:AIP15&gt;AIP12)),"")</f>
        <v/>
      </c>
      <c r="AIX12" s="319" t="str">
        <f t="shared" ref="AIX12" ca="1" si="3301">IF(AIG12&lt;&gt;"",SUMPRODUCT((AIR11:AIR15=AIR12)*(AIM11:AIM15=AIM12)*(AIK11:AIK15=AIK12)*(AIO11:AIO15=AIO12)*(AIP11:AIP15=AIP12)*(AIQ11:AIQ15&gt;AIQ12)),"")</f>
        <v/>
      </c>
      <c r="AIY12" s="319" t="str">
        <f ca="1">IF(AIG12&lt;&gt;"",IF(AIY52&lt;&gt;"",IF(AIF50=3,AIY52,AIY52+AIF50),SUM(AIS12:AIX12)),"")</f>
        <v/>
      </c>
      <c r="AIZ12" s="319" t="str">
        <f t="shared" ref="AIZ12" ca="1" si="3302">IF(AIG12&lt;&gt;"",INDEX(AIG11:AIG15,MATCH(2,AIY11:AIY15,0),0),"")</f>
        <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Croatia</v>
      </c>
      <c r="ALJ12" s="319">
        <v>2</v>
      </c>
      <c r="ALK12" s="319">
        <v>10</v>
      </c>
      <c r="ALL12" s="319" t="str">
        <f t="shared" si="82"/>
        <v>Romania</v>
      </c>
      <c r="ALM12" s="322">
        <f ca="1">IF(OFFSET('Player Game Board'!P19,0,ALM1)&lt;&gt;"",OFFSET('Player Game Board'!P19,0,ALM1),0)</f>
        <v>1</v>
      </c>
      <c r="ALN12" s="322">
        <f ca="1">IF(OFFSET('Player Game Board'!Q19,0,ALM1)&lt;&gt;"",OFFSET('Player Game Board'!Q19,0,ALM1),0)</f>
        <v>4</v>
      </c>
      <c r="ALO12" s="319" t="str">
        <f t="shared" si="83"/>
        <v>Ukraine</v>
      </c>
      <c r="ALP12" s="319" t="str">
        <f ca="1">IF(AND(OFFSET('Player Game Board'!P19,0,ALM1)&lt;&gt;"",OFFSET('Player Game Board'!Q19,0,ALM1)&lt;&gt;""),IF(ALM12&gt;ALN12,"W",IF(ALM12=ALN12,"D","L")),"")</f>
        <v>L</v>
      </c>
      <c r="ALQ12" s="319" t="str">
        <f t="shared" ca="1" si="84"/>
        <v>W</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B</v>
      </c>
      <c r="AMD12" s="326" t="str">
        <f t="shared" ref="AMD12" ca="1" si="3324">INDEX(AMH3:AMH8,MATCH(2,AMG3:AMG8,0),0)</f>
        <v>C</v>
      </c>
      <c r="AME12" s="326" t="str">
        <f t="shared" ref="AME12" ca="1" si="3325">INDEX(AMH3:AMH8,MATCH(3,AMG3:AMG8,0),0)</f>
        <v>F</v>
      </c>
      <c r="AMF12" s="326" t="str">
        <f t="shared" ref="AMF12" ca="1" si="3326">INDEX(AMH3:AMH8,MATCH(4,AMG3:AMG8,0),0)</f>
        <v>E</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1</v>
      </c>
      <c r="D13" s="319">
        <f>SUMPRODUCT((CZ3:CZ42=B13)*(DD3:DD42="D"))+SUMPRODUCT((DC3:DC42=B13)*(DE3:DE42="D"))</f>
        <v>0</v>
      </c>
      <c r="E13" s="319">
        <f>SUMPRODUCT((CZ3:CZ42=B13)*(DD3:DD42="L"))+SUMPRODUCT((DC3:DC42=B13)*(DE3:DE42="L"))</f>
        <v>0</v>
      </c>
      <c r="F13" s="319">
        <f>SUMIF(CZ3:CZ60,B13,DA3:DA60)+SUMIF(DC3:DC60,B13,DB3:DB60)</f>
        <v>3</v>
      </c>
      <c r="G13" s="319">
        <f>SUMIF(DC3:DC60,B13,DA3:DA60)+SUMIF(CZ3:CZ60,B13,DB3:DB60)</f>
        <v>0</v>
      </c>
      <c r="H13" s="319">
        <f t="shared" si="2706"/>
        <v>1003</v>
      </c>
      <c r="I13" s="319">
        <f t="shared" si="2707"/>
        <v>3</v>
      </c>
      <c r="J13" s="319">
        <v>51</v>
      </c>
      <c r="K13" s="319">
        <f>IF(COUNTIF(I11:I15,4)&lt;&gt;4,RANK(I13,I11:I15),I53)</f>
        <v>1</v>
      </c>
      <c r="L13" s="319"/>
      <c r="M13" s="319">
        <f>SUMPRODUCT((K11:K14=K13)*(J11:J14&lt;J13))+K13</f>
        <v>2</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101</v>
      </c>
      <c r="DI13" s="325" t="s">
        <v>102</v>
      </c>
      <c r="DJ13" s="325" t="s">
        <v>103</v>
      </c>
      <c r="DK13" s="325" t="s">
        <v>104</v>
      </c>
      <c r="DL13" s="324" t="s">
        <v>101</v>
      </c>
      <c r="DM13" s="324" t="s">
        <v>104</v>
      </c>
      <c r="DN13" s="324" t="s">
        <v>102</v>
      </c>
      <c r="DO13" s="324" t="s">
        <v>103</v>
      </c>
      <c r="DP13" s="325"/>
      <c r="DQ13" s="326">
        <f>IFERROR(MATCH(DQ12,DH13:DK13,0),0)</f>
        <v>3</v>
      </c>
      <c r="DR13" s="326">
        <f>IFERROR(MATCH(DR12,DH13:DK13,0),0)</f>
        <v>2</v>
      </c>
      <c r="DS13" s="326">
        <f>IFERROR(MATCH(DS12,DH13:DK13,0),0)</f>
        <v>1</v>
      </c>
      <c r="DT13" s="326">
        <f>IFERROR(MATCH(DT12,DH13:DK13,0),0)</f>
        <v>0</v>
      </c>
      <c r="DU13" s="326">
        <f t="shared" ref="DU13:DU27" si="3541">SUM(DQ13:DT13)</f>
        <v>6</v>
      </c>
      <c r="DV13" s="325"/>
      <c r="DW13" s="325" t="str">
        <f>INDEX(DH3:DH8,MATCH(1,DU3:DU8,0),0)</f>
        <v>Slovenia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7</v>
      </c>
      <c r="AHS13" s="319">
        <f t="shared" ref="AHS13" ca="1" si="3833">SUMIF(ALO3:ALO60,AHN13,ALM3:ALM60)+SUMIF(ALL3:ALL60,AHN13,ALN3:ALN60)</f>
        <v>2</v>
      </c>
      <c r="AHT13" s="319">
        <f t="shared" ca="1" si="2873"/>
        <v>1005</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1</v>
      </c>
      <c r="AHZ13" s="319" t="str">
        <f t="shared" ref="AHZ13" ca="1" si="3836">INDEX(AHN11:AHN15,MATCH(3,AHY11:AHY15,0),0)</f>
        <v>Italy</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Italy</v>
      </c>
      <c r="ALJ13" s="319">
        <v>3</v>
      </c>
      <c r="ALK13" s="319">
        <v>11</v>
      </c>
      <c r="ALL13" s="319" t="str">
        <f t="shared" si="82"/>
        <v>Türkiye</v>
      </c>
      <c r="ALM13" s="322">
        <f ca="1">IF(OFFSET('Player Game Board'!P20,0,ALM1)&lt;&gt;"",OFFSET('Player Game Board'!P20,0,ALM1),0)</f>
        <v>3</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2</v>
      </c>
      <c r="AMD13" s="326">
        <f t="shared" ref="AMD13" ca="1" si="3893">IFERROR(MATCH(AMD12,ALT13:ALW13,0),0)</f>
        <v>3</v>
      </c>
      <c r="AME13" s="326">
        <f t="shared" ref="AME13" ca="1" si="3894">IFERROR(MATCH(AME12,ALT13:ALW13,0),0)</f>
        <v>0</v>
      </c>
      <c r="AMF13" s="326">
        <f t="shared" ref="AMF13" ca="1" si="3895">IFERROR(MATCH(AMF12,ALT13:ALW13,0),0)</f>
        <v>0</v>
      </c>
      <c r="AMG13" s="326">
        <f t="shared" ref="AMG13:AMG27" ca="1" si="3896">SUM(AMC13:AMF13)</f>
        <v>5</v>
      </c>
      <c r="AMH13" s="325"/>
      <c r="AMI13" s="325" t="str">
        <f t="shared" ref="AMI13" ca="1" si="3897">IF(AMI38="A",INDEX(ALT3:ALT8,MATCH(1,AMG3:AMG8,0),0),"")</f>
        <v>Italy</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101</v>
      </c>
      <c r="DI14" s="325" t="s">
        <v>102</v>
      </c>
      <c r="DJ14" s="325" t="s">
        <v>103</v>
      </c>
      <c r="DK14" s="325" t="s">
        <v>105</v>
      </c>
      <c r="DL14" s="324" t="s">
        <v>101</v>
      </c>
      <c r="DM14" s="324" t="s">
        <v>105</v>
      </c>
      <c r="DN14" s="324" t="s">
        <v>102</v>
      </c>
      <c r="DO14" s="324" t="s">
        <v>103</v>
      </c>
      <c r="DP14" s="325"/>
      <c r="DQ14" s="326">
        <f>IFERROR(MATCH(DQ12,DH14:DK14,0),0)</f>
        <v>3</v>
      </c>
      <c r="DR14" s="326">
        <f>IFERROR(MATCH(DR12,DH14:DK14,0),0)</f>
        <v>2</v>
      </c>
      <c r="DS14" s="326">
        <f>IFERROR(MATCH(DS12,DH14:DK14,0),0)</f>
        <v>1</v>
      </c>
      <c r="DT14" s="326">
        <f>IFERROR(MATCH(DT12,DH14:DK14,0),0)</f>
        <v>0</v>
      </c>
      <c r="DU14" s="326">
        <f t="shared" si="3541"/>
        <v>6</v>
      </c>
      <c r="DV14" s="325"/>
      <c r="DW14" s="325" t="str">
        <f>INDEX(DH3:DH8,MATCH(2,DU3:DU8,0),0)</f>
        <v>Albania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2</v>
      </c>
      <c r="AHN14" s="319" t="str">
        <f t="shared" si="2867"/>
        <v>Croatia</v>
      </c>
      <c r="AHO14" s="319">
        <f t="shared" ref="AHO14" ca="1" si="4509">SUMPRODUCT((ALL3:ALL42=AHN14)*(ALP3:ALP42="W"))+SUMPRODUCT((ALO3:ALO42=AHN14)*(ALQ3:ALQ42="W"))</f>
        <v>2</v>
      </c>
      <c r="AHP14" s="319">
        <f t="shared" ref="AHP14" ca="1" si="4510">SUMPRODUCT((ALL3:ALL42=AHN14)*(ALP3:ALP42="D"))+SUMPRODUCT((ALO3:ALO42=AHN14)*(ALQ3:ALQ42="D"))</f>
        <v>0</v>
      </c>
      <c r="AHQ14" s="319">
        <f t="shared" ref="AHQ14" ca="1" si="4511">SUMPRODUCT((ALL3:ALL42=AHN14)*(ALP3:ALP42="L"))+SUMPRODUCT((ALO3:ALO42=AHN14)*(ALQ3:ALQ42="L"))</f>
        <v>1</v>
      </c>
      <c r="AHR14" s="319">
        <f t="shared" ref="AHR14" ca="1" si="4512">SUMIF(ALL3:ALL60,AHN14,ALM3:ALM60)+SUMIF(ALO3:ALO60,AHN14,ALN3:ALN60)</f>
        <v>8</v>
      </c>
      <c r="AHS14" s="319">
        <f t="shared" ref="AHS14" ca="1" si="4513">SUMIF(ALO3:ALO60,AHN14,ALM3:ALM60)+SUMIF(ALL3:ALL60,AHN14,ALN3:ALN60)</f>
        <v>3</v>
      </c>
      <c r="AHT14" s="319">
        <f t="shared" ca="1" si="2873"/>
        <v>1005</v>
      </c>
      <c r="AHU14" s="319">
        <f t="shared" ca="1" si="2874"/>
        <v>6</v>
      </c>
      <c r="AHV14" s="319">
        <f t="shared" si="870"/>
        <v>40</v>
      </c>
      <c r="AHW14" s="319">
        <f t="shared" ref="AHW14" ca="1" si="4514">IF(COUNTIF(AHU11:AHU15,4)&lt;&gt;4,RANK(AHU14,AHU11:AHU15),AHU54)</f>
        <v>2</v>
      </c>
      <c r="AHX14" s="319"/>
      <c r="AHY14" s="319">
        <f t="shared" ref="AHY14" ca="1" si="4515">SUMPRODUCT((AHW11:AHW14=AHW14)*(AHV11:AHV14&lt;AHV14))+AHW14</f>
        <v>2</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1</v>
      </c>
      <c r="ALO14" s="319" t="str">
        <f t="shared" si="83"/>
        <v>Czechia</v>
      </c>
      <c r="ALP14" s="319" t="str">
        <f ca="1">IF(AND(OFFSET('Player Game Board'!P21,0,ALM1)&lt;&gt;"",OFFSET('Player Game Board'!Q21,0,ALM1)&lt;&gt;""),IF(ALM14&gt;ALN14,"W",IF(ALM14=ALN14,"D","L")),"")</f>
        <v>W</v>
      </c>
      <c r="ALQ14" s="319" t="str">
        <f t="shared" ca="1" si="84"/>
        <v>L</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2</v>
      </c>
      <c r="AMD14" s="326">
        <f t="shared" ref="AMD14" ca="1" si="4585">IFERROR(MATCH(AMD12,ALT14:ALW14,0),0)</f>
        <v>3</v>
      </c>
      <c r="AME14" s="326">
        <f t="shared" ref="AME14" ca="1" si="4586">IFERROR(MATCH(AME12,ALT14:ALW14,0),0)</f>
        <v>0</v>
      </c>
      <c r="AMF14" s="326">
        <f t="shared" ref="AMF14" ca="1" si="4587">IFERROR(MATCH(AMF12,ALT14:ALW14,0),0)</f>
        <v>4</v>
      </c>
      <c r="AMG14" s="326">
        <f t="shared" ca="1" si="3896"/>
        <v>9</v>
      </c>
      <c r="AMH14" s="325"/>
      <c r="AMI14" s="325" t="str">
        <f t="shared" ref="AMI14" ca="1" si="4588">INDEX(ALT3:ALT8,MATCH(2,AMG3:AMG8,0),0)</f>
        <v>Serbia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101</v>
      </c>
      <c r="DI15" s="325" t="s">
        <v>102</v>
      </c>
      <c r="DJ15" s="325" t="s">
        <v>103</v>
      </c>
      <c r="DK15" s="325" t="s">
        <v>106</v>
      </c>
      <c r="DL15" s="324" t="s">
        <v>101</v>
      </c>
      <c r="DM15" s="324" t="s">
        <v>106</v>
      </c>
      <c r="DN15" s="324" t="s">
        <v>102</v>
      </c>
      <c r="DO15" s="324" t="s">
        <v>103</v>
      </c>
      <c r="DP15" s="325"/>
      <c r="DQ15" s="326">
        <f>IFERROR(MATCH(DQ12,DH15:DK15,0),0)</f>
        <v>3</v>
      </c>
      <c r="DR15" s="326">
        <f>IFERROR(MATCH(DR12,DH15:DK15,0),0)</f>
        <v>2</v>
      </c>
      <c r="DS15" s="326">
        <f>IFERROR(MATCH(DS12,DH15:DK15,0),0)</f>
        <v>1</v>
      </c>
      <c r="DT15" s="326">
        <f>IFERROR(MATCH(DT12,DH15:DK15,0),0)</f>
        <v>4</v>
      </c>
      <c r="DU15" s="326">
        <f t="shared" si="3541"/>
        <v>10</v>
      </c>
      <c r="DV15" s="325"/>
      <c r="DW15" s="325" t="str">
        <f>INDEX(DH3:DH8,MATCH(3,DU3:DU8,0),0)</f>
        <v>Scotland</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L</v>
      </c>
      <c r="ALQ15" s="319" t="str">
        <f t="shared" ca="1" si="84"/>
        <v>W</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2</v>
      </c>
      <c r="AMD15" s="326">
        <f t="shared" ref="AMD15" ca="1" si="4934">IFERROR(MATCH(AMD12,ALT15:ALW15,0),0)</f>
        <v>3</v>
      </c>
      <c r="AME15" s="326">
        <f t="shared" ref="AME15" ca="1" si="4935">IFERROR(MATCH(AME12,ALT15:ALW15,0),0)</f>
        <v>4</v>
      </c>
      <c r="AMF15" s="326">
        <f t="shared" ref="AMF15" ca="1" si="4936">IFERROR(MATCH(AMF12,ALT15:ALW15,0),0)</f>
        <v>0</v>
      </c>
      <c r="AMG15" s="326">
        <f t="shared" ca="1" si="3896"/>
        <v>9</v>
      </c>
      <c r="AMH15" s="325"/>
      <c r="AMI15" s="325" t="str">
        <f t="shared" ref="AMI15" ca="1" si="4937">INDEX(ALT3:ALT8,MATCH(3,AMG3:AMG8,0),0)</f>
        <v>Czechia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101</v>
      </c>
      <c r="DI16" s="325" t="s">
        <v>102</v>
      </c>
      <c r="DJ16" s="325" t="s">
        <v>104</v>
      </c>
      <c r="DK16" s="325" t="s">
        <v>105</v>
      </c>
      <c r="DL16" s="324" t="s">
        <v>104</v>
      </c>
      <c r="DM16" s="324" t="s">
        <v>105</v>
      </c>
      <c r="DN16" s="324" t="s">
        <v>101</v>
      </c>
      <c r="DO16" s="324" t="s">
        <v>102</v>
      </c>
      <c r="DP16" s="325"/>
      <c r="DQ16" s="326">
        <f>IFERROR(MATCH(DQ12,DH16:DK16,0),0)</f>
        <v>0</v>
      </c>
      <c r="DR16" s="326">
        <f>IFERROR(MATCH(DR12,DH16:DK16,0),0)</f>
        <v>2</v>
      </c>
      <c r="DS16" s="326">
        <f>IFERROR(MATCH(DS12,DH16:DK16,0),0)</f>
        <v>1</v>
      </c>
      <c r="DT16" s="326">
        <f>IFERROR(MATCH(DT12,DH16:DK16,0),0)</f>
        <v>0</v>
      </c>
      <c r="DU16" s="326">
        <f t="shared" si="3541"/>
        <v>3</v>
      </c>
      <c r="DV16" s="325"/>
      <c r="DW16" s="325" t="str">
        <f>INDEX(DH3:DH8,MATCH(4,DU3:DU8,0),0)</f>
        <v>Czechia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0</v>
      </c>
      <c r="ALO16" s="319" t="str">
        <f t="shared" si="83"/>
        <v>Hungary</v>
      </c>
      <c r="ALP16" s="319" t="str">
        <f ca="1">IF(AND(OFFSET('Player Game Board'!P23,0,ALM1)&lt;&gt;"",OFFSET('Player Game Board'!Q23,0,ALM1)&lt;&gt;""),IF(ALM16&gt;ALN16,"W",IF(ALM16=ALN16,"D","L")),"")</f>
        <v>W</v>
      </c>
      <c r="ALQ16" s="319" t="str">
        <f t="shared" ca="1" si="84"/>
        <v>L</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2</v>
      </c>
      <c r="AMD16" s="326">
        <f t="shared" ref="AMD16" ca="1" si="4979">IFERROR(MATCH(AMD12,ALT16:ALW16,0),0)</f>
        <v>0</v>
      </c>
      <c r="AME16" s="326">
        <f t="shared" ref="AME16" ca="1" si="4980">IFERROR(MATCH(AME12,ALT16:ALW16,0),0)</f>
        <v>0</v>
      </c>
      <c r="AMF16" s="326">
        <f t="shared" ref="AMF16" ca="1" si="4981">IFERROR(MATCH(AMF12,ALT16:ALW16,0),0)</f>
        <v>4</v>
      </c>
      <c r="AMG16" s="326">
        <f t="shared" ca="1" si="3896"/>
        <v>6</v>
      </c>
      <c r="AMH16" s="325"/>
      <c r="AMI16" s="325" t="str">
        <f t="shared" ref="AMI16" ca="1" si="4982">INDEX(ALT3:ALT8,MATCH(4,AMG3:AMG8,0),0)</f>
        <v>Slovakia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101</v>
      </c>
      <c r="DI17" s="325" t="s">
        <v>102</v>
      </c>
      <c r="DJ17" s="325" t="s">
        <v>104</v>
      </c>
      <c r="DK17" s="325" t="s">
        <v>106</v>
      </c>
      <c r="DL17" s="324" t="s">
        <v>104</v>
      </c>
      <c r="DM17" s="324" t="s">
        <v>106</v>
      </c>
      <c r="DN17" s="324" t="s">
        <v>101</v>
      </c>
      <c r="DO17" s="324" t="s">
        <v>102</v>
      </c>
      <c r="DP17" s="325"/>
      <c r="DQ17" s="326">
        <f>IFERROR(MATCH(DQ12,DH17:DK17,0),0)</f>
        <v>0</v>
      </c>
      <c r="DR17" s="326">
        <f>IFERROR(MATCH(DR12,DH17:DK17,0),0)</f>
        <v>2</v>
      </c>
      <c r="DS17" s="326">
        <f>IFERROR(MATCH(DS12,DH17:DK17,0),0)</f>
        <v>1</v>
      </c>
      <c r="DT17" s="326">
        <f>IFERROR(MATCH(DT12,DH17:DK17,0),0)</f>
        <v>4</v>
      </c>
      <c r="DU17" s="326">
        <f t="shared" si="3541"/>
        <v>7</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5</v>
      </c>
      <c r="ALN17" s="322">
        <f ca="1">IF(OFFSET('Player Game Board'!Q24,0,ALM1)&lt;&gt;"",OFFSET('Player Game Board'!Q24,0,ALM1),0)</f>
        <v>0</v>
      </c>
      <c r="ALO17" s="319" t="str">
        <f t="shared" si="83"/>
        <v>Albania</v>
      </c>
      <c r="ALP17" s="319" t="str">
        <f ca="1">IF(AND(OFFSET('Player Game Board'!P24,0,ALM1)&lt;&gt;"",OFFSET('Player Game Board'!Q24,0,ALM1)&lt;&gt;""),IF(ALM17&gt;ALN17,"W",IF(ALM17=ALN17,"D","L")),"")</f>
        <v>W</v>
      </c>
      <c r="ALQ17" s="319" t="str">
        <f t="shared" ca="1" si="84"/>
        <v>L</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2</v>
      </c>
      <c r="AMD17" s="326">
        <f t="shared" ref="AMD17" ca="1" si="5020">IFERROR(MATCH(AMD12,ALT17:ALW17,0),0)</f>
        <v>0</v>
      </c>
      <c r="AME17" s="326">
        <f t="shared" ref="AME17" ca="1" si="5021">IFERROR(MATCH(AME12,ALT17:ALW17,0),0)</f>
        <v>4</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0</v>
      </c>
      <c r="E18" s="319">
        <f>SUMPRODUCT((CZ3:CZ42=B18)*(DD3:DD42="L"))+SUMPRODUCT((DC3:DC42=B18)*(DE3:DE42="L"))</f>
        <v>1</v>
      </c>
      <c r="F18" s="319">
        <f>SUMIF(CZ3:CZ60,B18,DA3:DA60)+SUMIF(DC3:DC60,B18,DB3:DB60)</f>
        <v>0</v>
      </c>
      <c r="G18" s="319">
        <f>SUMIF(DC3:DC60,B18,DA3:DA60)+SUMIF(CZ3:CZ60,B18,DB3:DB60)</f>
        <v>1</v>
      </c>
      <c r="H18" s="319">
        <f t="shared" ref="H18:H21" si="5039">F18-G18+1000</f>
        <v>999</v>
      </c>
      <c r="I18" s="319">
        <f t="shared" ref="I18:I21" si="5040">C18*3+D18*1</f>
        <v>0</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0</v>
      </c>
      <c r="DB18" s="319">
        <f>IF(AND(Matches!I23&lt;&gt;"",Matches!H23&lt;&gt;""),Matches!I23,0)</f>
        <v>0</v>
      </c>
      <c r="DC18" s="319" t="str">
        <f>Matches!J23</f>
        <v>Italy</v>
      </c>
      <c r="DD18" s="319" t="str">
        <f>IF(AND(Matches!H23&lt;&gt;"",Matches!I23&lt;&gt;""),IF(DA18&gt;DB18,"W",IF(DA18=DB18,"D","L")),"")</f>
        <v/>
      </c>
      <c r="DE18" s="319" t="str">
        <f t="shared" si="162"/>
        <v/>
      </c>
      <c r="DF18" s="319"/>
      <c r="DG18" s="319"/>
      <c r="DH18" s="324" t="s">
        <v>101</v>
      </c>
      <c r="DI18" s="325" t="s">
        <v>102</v>
      </c>
      <c r="DJ18" s="325" t="s">
        <v>105</v>
      </c>
      <c r="DK18" s="325" t="s">
        <v>106</v>
      </c>
      <c r="DL18" s="324" t="s">
        <v>105</v>
      </c>
      <c r="DM18" s="324" t="s">
        <v>106</v>
      </c>
      <c r="DN18" s="324" t="s">
        <v>102</v>
      </c>
      <c r="DO18" s="324" t="s">
        <v>101</v>
      </c>
      <c r="DP18" s="325"/>
      <c r="DQ18" s="326">
        <f>IFERROR(MATCH(DQ12,DH18:DK18,0),0)</f>
        <v>0</v>
      </c>
      <c r="DR18" s="326">
        <f>IFERROR(MATCH(DR12,DH18:DK18,0),0)</f>
        <v>2</v>
      </c>
      <c r="DS18" s="326">
        <f>IFERROR(MATCH(DS12,DH18:DK18,0),0)</f>
        <v>1</v>
      </c>
      <c r="DT18" s="326">
        <f>IFERROR(MATCH(DT12,DH18:DK18,0),0)</f>
        <v>4</v>
      </c>
      <c r="DU18" s="326">
        <f t="shared" si="3541"/>
        <v>7</v>
      </c>
      <c r="DV18" s="325" t="s">
        <v>358</v>
      </c>
      <c r="DW18" s="325" t="str">
        <f>INDEX(DH3:DH8,MATCH(INDEX(DL13:DL27,MATCH(10,DU13:DU27,0),0),DV3:DV8,0),0)</f>
        <v>Scotland</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0</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1</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1</v>
      </c>
      <c r="AHM18" s="319">
        <f t="shared" ref="AHM18" ca="1" si="5225">VLOOKUP(AHN18,ALI18:ALJ22,2,FALSE)</f>
        <v>3</v>
      </c>
      <c r="AHN18" s="319" t="str">
        <f t="shared" ref="AHN18:AHN21" si="5226">ACP18</f>
        <v>Serbia</v>
      </c>
      <c r="AHO18" s="319">
        <f t="shared" ref="AHO18" ca="1" si="5227">SUMPRODUCT((ALL3:ALL42=AHN18)*(ALP3:ALP42="W"))+SUMPRODUCT((ALO3:ALO42=AHN18)*(ALQ3:ALQ42="W"))</f>
        <v>1</v>
      </c>
      <c r="AHP18" s="319">
        <f t="shared" ref="AHP18" ca="1" si="5228">SUMPRODUCT((ALL3:ALL42=AHN18)*(ALP3:ALP42="D"))+SUMPRODUCT((ALO3:ALO42=AHN18)*(ALQ3:ALQ42="D"))</f>
        <v>1</v>
      </c>
      <c r="AHQ18" s="319">
        <f t="shared" ref="AHQ18" ca="1" si="5229">SUMPRODUCT((ALL3:ALL42=AHN18)*(ALP3:ALP42="L"))+SUMPRODUCT((ALO3:ALO42=AHN18)*(ALQ3:ALQ42="L"))</f>
        <v>1</v>
      </c>
      <c r="AHR18" s="319">
        <f t="shared" ref="AHR18" ca="1" si="5230">SUMIF(ALL3:ALL60,AHN18,ALM3:ALM60)+SUMIF(ALO3:ALO60,AHN18,ALN3:ALN60)</f>
        <v>4</v>
      </c>
      <c r="AHS18" s="319">
        <f t="shared" ref="AHS18" ca="1" si="5231">SUMIF(ALO3:ALO60,AHN18,ALM3:ALM60)+SUMIF(ALL3:ALL60,AHN18,ALN3:ALN60)</f>
        <v>4</v>
      </c>
      <c r="AHT18" s="319">
        <f t="shared" ref="AHT18:AHT21" ca="1" si="5232">AHR18-AHS18+1000</f>
        <v>1000</v>
      </c>
      <c r="AHU18" s="319">
        <f t="shared" ref="AHU18:AHU21" ca="1" si="5233">AHO18*3+AHP18*1</f>
        <v>4</v>
      </c>
      <c r="AHV18" s="319">
        <f t="shared" si="870"/>
        <v>35</v>
      </c>
      <c r="AHW18" s="319">
        <f t="shared" ref="AHW18" ca="1" si="5234">IF(COUNTIF(AHU18:AHU22,4)&lt;&gt;4,RANK(AHU18,AHU18:AHU22),AHU58)</f>
        <v>2</v>
      </c>
      <c r="AHX18" s="319"/>
      <c r="AHY18" s="319">
        <f t="shared" ref="AHY18" ca="1" si="5235">SUMPRODUCT((AHW18:AHW21=AHW18)*(AHV18:AHV21&lt;AHV18))+AHW18</f>
        <v>2</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Serbia</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1</v>
      </c>
      <c r="ALN18" s="322">
        <f ca="1">IF(OFFSET('Player Game Board'!Q25,0,ALM1)&lt;&gt;"",OFFSET('Player Game Board'!Q25,0,ALM1),0)</f>
        <v>1</v>
      </c>
      <c r="ALO18" s="319" t="str">
        <f t="shared" si="83"/>
        <v>Italy</v>
      </c>
      <c r="ALP18" s="319" t="str">
        <f ca="1">IF(AND(OFFSET('Player Game Board'!P25,0,ALM1)&lt;&gt;"",OFFSET('Player Game Board'!Q25,0,ALM1)&lt;&gt;""),IF(ALM18&gt;ALN18,"W",IF(ALM18=ALN18,"D","L")),"")</f>
        <v>D</v>
      </c>
      <c r="ALQ18" s="319" t="str">
        <f t="shared" ca="1" si="84"/>
        <v>D</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2</v>
      </c>
      <c r="AMD18" s="326">
        <f t="shared" ref="AMD18" ca="1" si="5263">IFERROR(MATCH(AMD12,ALT18:ALW18,0),0)</f>
        <v>0</v>
      </c>
      <c r="AME18" s="326">
        <f t="shared" ref="AME18" ca="1" si="5264">IFERROR(MATCH(AME12,ALT18:ALW18,0),0)</f>
        <v>4</v>
      </c>
      <c r="AMF18" s="326">
        <f t="shared" ref="AMF18" ca="1" si="5265">IFERROR(MATCH(AMF12,ALT18:ALW18,0),0)</f>
        <v>3</v>
      </c>
      <c r="AMG18" s="326">
        <f t="shared" ca="1" si="3896"/>
        <v>9</v>
      </c>
      <c r="AMH18" s="325" t="s">
        <v>358</v>
      </c>
      <c r="AMI18" s="325" t="str">
        <f t="shared" ref="AMI18" ca="1" si="5266">INDEX(ALT3:ALT8,MATCH(INDEX(ALX13:ALX27,MATCH(10,AMG13:AMG27,0),0),AMH3:AMH8,0),0)</f>
        <v>Czechia</v>
      </c>
      <c r="AMJ18" s="325">
        <f t="shared" ref="AMJ18:AMJ33" ca="1" si="5267">IFERROR(IF(MATCH(AMI18,QualifiedCountries,0),1,0),0)</f>
        <v>1</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1</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1</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1</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1</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0</v>
      </c>
      <c r="E19" s="319">
        <f>SUMPRODUCT((CZ3:CZ42=B19)*(DD3:DD42="L"))+SUMPRODUCT((DC3:DC42=B19)*(DE3:DE42="L"))</f>
        <v>0</v>
      </c>
      <c r="F19" s="319">
        <f>SUMIF(CZ3:CZ60,B19,DA3:DA60)+SUMIF(DC3:DC60,B19,DB3:DB60)</f>
        <v>1</v>
      </c>
      <c r="G19" s="319">
        <f>SUMIF(DC3:DC60,B19,DA3:DA60)+SUMIF(CZ3:CZ60,B19,DB3:DB60)</f>
        <v>0</v>
      </c>
      <c r="H19" s="319">
        <f t="shared" si="5039"/>
        <v>1001</v>
      </c>
      <c r="I19" s="319">
        <f t="shared" si="5040"/>
        <v>3</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1</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0</v>
      </c>
      <c r="DB19" s="319">
        <f>IF(License!G14="Musa",IF(AND(Matches!I24&lt;&gt;"",Matches!H24&lt;&gt;""),Matches!I24,0),1)</f>
        <v>0</v>
      </c>
      <c r="DC19" s="319" t="str">
        <f>Matches!J24</f>
        <v>England</v>
      </c>
      <c r="DD19" s="319" t="str">
        <f>IF(AND(Matches!H24&lt;&gt;"",Matches!I24&lt;&gt;""),IF(DA19&gt;DB19,"W",IF(DA19=DB19,"D","L")),"")</f>
        <v/>
      </c>
      <c r="DE19" s="319" t="str">
        <f t="shared" si="162"/>
        <v/>
      </c>
      <c r="DF19" s="319"/>
      <c r="DG19" s="319"/>
      <c r="DH19" s="324" t="s">
        <v>101</v>
      </c>
      <c r="DI19" s="325" t="s">
        <v>103</v>
      </c>
      <c r="DJ19" s="325" t="s">
        <v>104</v>
      </c>
      <c r="DK19" s="325" t="s">
        <v>105</v>
      </c>
      <c r="DL19" s="324" t="s">
        <v>105</v>
      </c>
      <c r="DM19" s="324" t="s">
        <v>104</v>
      </c>
      <c r="DN19" s="324" t="s">
        <v>103</v>
      </c>
      <c r="DO19" s="324" t="s">
        <v>101</v>
      </c>
      <c r="DP19" s="325"/>
      <c r="DQ19" s="326">
        <f>IFERROR(MATCH(DQ12,DH19:DK19,0),0)</f>
        <v>2</v>
      </c>
      <c r="DR19" s="326">
        <f>IFERROR(MATCH(DR12,DH19:DK19,0),0)</f>
        <v>0</v>
      </c>
      <c r="DS19" s="326">
        <f>IFERROR(MATCH(DS12,DH19:DK19,0),0)</f>
        <v>1</v>
      </c>
      <c r="DT19" s="326">
        <f>IFERROR(MATCH(DT12,DH19:DK19,0),0)</f>
        <v>0</v>
      </c>
      <c r="DU19" s="326">
        <f t="shared" si="3541"/>
        <v>3</v>
      </c>
      <c r="DV19" s="325" t="s">
        <v>353</v>
      </c>
      <c r="DW19" s="325" t="str">
        <f>INDEX(DH3:DH8,MATCH(INDEX(DM13:DM27,MATCH(10,DU13:DU27,0),0),DV3:DV8,0),0)</f>
        <v>Czechia</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0</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1</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0</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6</v>
      </c>
      <c r="AHS19" s="319">
        <f t="shared" ref="AHS19" ca="1" si="5676">SUMIF(ALO3:ALO60,AHN19,ALM3:ALM60)+SUMIF(ALL3:ALL60,AHN19,ALN3:ALN60)</f>
        <v>1</v>
      </c>
      <c r="AHT19" s="319">
        <f t="shared" ca="1" si="5232"/>
        <v>1005</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Serbia</v>
      </c>
      <c r="AIA19" s="319">
        <f t="shared" ref="AIA19" ca="1" si="5680">INDEX(AHW18:AHW22,MATCH(AHZ19,AHN18:AHN22,0),0)</f>
        <v>2</v>
      </c>
      <c r="AIB19" s="319" t="str">
        <f t="shared" ref="AIB19" ca="1" si="5681">IF(AIB18&lt;&gt;"",AHZ19,"")</f>
        <v/>
      </c>
      <c r="AIC19" s="319" t="str">
        <f t="shared" ref="AIC19" ca="1" si="5682">IF(AIC18&lt;&gt;"",AHZ20,"")</f>
        <v>Denmark</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Serbia</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19">
        <f t="shared" ref="AJG19:AJG21" ca="1" si="5706">AJE19-AJF19+1000</f>
        <v>1000</v>
      </c>
      <c r="AJH19" s="319">
        <f t="shared" ref="AJH19:AJH21" ca="1" si="5707">IF(AJA19&lt;&gt;"",AJB19*3+AJC19*1,"")</f>
        <v>1</v>
      </c>
      <c r="AJI19" s="319">
        <f t="shared" ref="AJI19" ca="1" si="5708">IF(AJA19&lt;&gt;"",VLOOKUP(AJA19,AHN4:AHT40,7,FALSE),"")</f>
        <v>1000</v>
      </c>
      <c r="AJJ19" s="319">
        <f t="shared" ref="AJJ19" ca="1" si="5709">IF(AJA19&lt;&gt;"",VLOOKUP(AJA19,AHN4:AHT40,5,FALSE),"")</f>
        <v>4</v>
      </c>
      <c r="AJK19" s="319">
        <f t="shared" ref="AJK19" ca="1" si="5710">IF(AJA19&lt;&gt;"",VLOOKUP(AJA19,AHN4:AHV40,9,FALSE),"")</f>
        <v>35</v>
      </c>
      <c r="AJL19" s="319">
        <f t="shared" ref="AJL19:AJL21" ca="1" si="5711">AJH19</f>
        <v>1</v>
      </c>
      <c r="AJM19" s="319">
        <f t="shared" ref="AJM19" ca="1" si="5712">IF(AJA19&lt;&gt;"",RANK(AJL19,AJL18:AJL22),"")</f>
        <v>1</v>
      </c>
      <c r="AJN19" s="319">
        <f t="shared" ref="AJN19" ca="1" si="5713">IF(AJA19&lt;&gt;"",SUMPRODUCT((AJL18:AJL22=AJL19)*(AJG18:AJG22&gt;AJG19)),"")</f>
        <v>0</v>
      </c>
      <c r="AJO19" s="319">
        <f t="shared" ref="AJO19" ca="1" si="5714">IF(AJA19&lt;&gt;"",SUMPRODUCT((AJL18:AJL22=AJL19)*(AJG18:AJG22=AJG19)*(AJE18:AJE22&gt;AJE19)),"")</f>
        <v>0</v>
      </c>
      <c r="AJP19" s="319">
        <f t="shared" ref="AJP19" ca="1" si="5715">IF(AJA19&lt;&gt;"",SUMPRODUCT((AJL18:AJL22=AJL19)*(AJG18:AJG22=AJG19)*(AJE18:AJE22=AJE19)*(AJI18:AJI22&gt;AJI19)),"")</f>
        <v>1</v>
      </c>
      <c r="AJQ19" s="319">
        <f t="shared" ref="AJQ19" ca="1" si="5716">IF(AJA19&lt;&gt;"",SUMPRODUCT((AJL18:AJL22=AJL19)*(AJG18:AJG22=AJG19)*(AJE18:AJE22=AJE19)*(AJI18:AJI22=AJI19)*(AJJ18:AJJ22&gt;AJJ19)),"")</f>
        <v>0</v>
      </c>
      <c r="AJR19" s="319">
        <f t="shared" ref="AJR19" ca="1" si="5717">IF(AJA19&lt;&gt;"",SUMPRODUCT((AJL18:AJL22=AJL19)*(AJG18:AJG22=AJG19)*(AJE18:AJE22=AJE19)*(AJI18:AJI22=AJI19)*(AJJ18:AJJ22=AJJ19)*(AJK18:AJK22&gt;AJK19)),"")</f>
        <v>0</v>
      </c>
      <c r="AJS19" s="319">
        <f ca="1">IF(AJA19&lt;&gt;"",IF(AJS59&lt;&gt;"",IF(AIZ57=3,AJS59,AJS59+AIZ57),SUM(AJM19:AJR19)+1),"")</f>
        <v>3</v>
      </c>
      <c r="AJT19" s="319" t="str">
        <f t="shared" ref="AJT19" ca="1" si="5718">IF(AJA19&lt;&gt;"",INDEX(AJA19:AJA22,MATCH(2,AJS19:AJS22,0),0),"")</f>
        <v>Denmark</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0</v>
      </c>
      <c r="AMD19" s="326">
        <f t="shared" ref="AMD19" ca="1" si="5722">IFERROR(MATCH(AMD12,ALT19:ALW19,0),0)</f>
        <v>2</v>
      </c>
      <c r="AME19" s="326">
        <f t="shared" ref="AME19" ca="1" si="5723">IFERROR(MATCH(AME12,ALT19:ALW19,0),0)</f>
        <v>0</v>
      </c>
      <c r="AMF19" s="326">
        <f t="shared" ref="AMF19" ca="1" si="5724">IFERROR(MATCH(AMF12,ALT19:ALW19,0),0)</f>
        <v>4</v>
      </c>
      <c r="AMG19" s="326">
        <f t="shared" ca="1" si="3896"/>
        <v>6</v>
      </c>
      <c r="AMH19" s="325" t="s">
        <v>353</v>
      </c>
      <c r="AMI19" s="325" t="str">
        <f t="shared" ref="AMI19" ca="1" si="5725">INDEX(ALT3:ALT8,MATCH(INDEX(ALY13:ALY27,MATCH(10,AMG13:AMG27,0),0),AMH3:AMH8,0),0)</f>
        <v>Slovakia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0</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0</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0</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0</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1</v>
      </c>
      <c r="E20" s="319">
        <f>SUMPRODUCT((CZ3:CZ42=B20)*(DD3:DD42="L"))+SUMPRODUCT((DC3:DC42=B20)*(DE3:DE42="L"))</f>
        <v>0</v>
      </c>
      <c r="F20" s="319">
        <f>SUMIF(CZ3:CZ60,B20,DA3:DA60)+SUMIF(DC3:DC60,B20,DB3:DB60)</f>
        <v>1</v>
      </c>
      <c r="G20" s="319">
        <f>SUMIF(DC3:DC60,B20,DA3:DA60)+SUMIF(CZ3:CZ60,B20,DB3:DB60)</f>
        <v>1</v>
      </c>
      <c r="H20" s="319">
        <f t="shared" si="5039"/>
        <v>1000</v>
      </c>
      <c r="I20" s="319">
        <f t="shared" si="5040"/>
        <v>1</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1</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0</v>
      </c>
      <c r="DB20" s="319">
        <f>IF(AND(Matches!I25&lt;&gt;"",Matches!H25&lt;&gt;""),Matches!I25,0)</f>
        <v>0</v>
      </c>
      <c r="DC20" s="319" t="str">
        <f>Matches!J25</f>
        <v>Serbia</v>
      </c>
      <c r="DD20" s="319" t="str">
        <f>IF(AND(Matches!H25&lt;&gt;"",Matches!I25&lt;&gt;""),IF(DA20&gt;DB20,"W",IF(DA20=DB20,"D","L")),"")</f>
        <v/>
      </c>
      <c r="DE20" s="319" t="str">
        <f t="shared" si="162"/>
        <v/>
      </c>
      <c r="DF20" s="319"/>
      <c r="DG20" s="319"/>
      <c r="DH20" s="324" t="s">
        <v>101</v>
      </c>
      <c r="DI20" s="325" t="s">
        <v>103</v>
      </c>
      <c r="DJ20" s="325" t="s">
        <v>104</v>
      </c>
      <c r="DK20" s="325" t="s">
        <v>106</v>
      </c>
      <c r="DL20" s="324" t="s">
        <v>106</v>
      </c>
      <c r="DM20" s="324" t="s">
        <v>104</v>
      </c>
      <c r="DN20" s="324" t="s">
        <v>103</v>
      </c>
      <c r="DO20" s="324" t="s">
        <v>101</v>
      </c>
      <c r="DP20" s="325"/>
      <c r="DQ20" s="326">
        <f>IFERROR(MATCH(DQ12,DH20:DK20,0),0)</f>
        <v>2</v>
      </c>
      <c r="DR20" s="326">
        <f>IFERROR(MATCH(DR12,DH20:DK20,0),0)</f>
        <v>0</v>
      </c>
      <c r="DS20" s="326">
        <f>IFERROR(MATCH(DS12,DH20:DK20,0),0)</f>
        <v>1</v>
      </c>
      <c r="DT20" s="326">
        <f>IFERROR(MATCH(DT12,DH20:DK20,0),0)</f>
        <v>4</v>
      </c>
      <c r="DU20" s="326">
        <f t="shared" si="3541"/>
        <v>7</v>
      </c>
      <c r="DV20" s="325" t="s">
        <v>354</v>
      </c>
      <c r="DW20" s="325" t="str">
        <f>INDEX(DH3:DH8,MATCH(INDEX(DN13:DN27,MATCH(10,DU13:DU27,0),0),DV3:DV8,0),0)</f>
        <v>Albania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4</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3</v>
      </c>
      <c r="AHR20" s="319">
        <f t="shared" ref="AHR20" ca="1" si="6232">SUMIF(ALL3:ALL60,AHN20,ALM3:ALM60)+SUMIF(ALO3:ALO60,AHN20,ALN3:ALN60)</f>
        <v>1</v>
      </c>
      <c r="AHS20" s="319">
        <f t="shared" ref="AHS20" ca="1" si="6233">SUMIF(ALO3:ALO60,AHN20,ALM3:ALM60)+SUMIF(ALL3:ALL60,AHN20,ALN3:ALN60)</f>
        <v>7</v>
      </c>
      <c r="AHT20" s="319">
        <f t="shared" ca="1" si="5232"/>
        <v>994</v>
      </c>
      <c r="AHU20" s="319">
        <f t="shared" ca="1" si="5233"/>
        <v>0</v>
      </c>
      <c r="AHV20" s="319">
        <f t="shared" si="870"/>
        <v>39</v>
      </c>
      <c r="AHW20" s="319">
        <f t="shared" ref="AHW20" ca="1" si="6234">IF(COUNTIF(AHU18:AHU22,4)&lt;&gt;4,RANK(AHU20,AHU18:AHU22),AHU60)</f>
        <v>4</v>
      </c>
      <c r="AHX20" s="319"/>
      <c r="AHY20" s="319">
        <f t="shared" ref="AHY20" ca="1" si="6235">SUMPRODUCT((AHW18:AHW21=AHW20)*(AHV18:AHV21&lt;AHV20))+AHW20</f>
        <v>4</v>
      </c>
      <c r="AHZ20" s="319" t="str">
        <f t="shared" ref="AHZ20" ca="1" si="6236">INDEX(AHN18:AHN22,MATCH(3,AHY18:AHY22,0),0)</f>
        <v>Denmark</v>
      </c>
      <c r="AIA20" s="319">
        <f t="shared" ref="AIA20" ca="1" si="6237">INDEX(AHW18:AHW22,MATCH(AHZ20,AHN18:AHN22,0),0)</f>
        <v>2</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Denmark</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19">
        <f t="shared" ca="1" si="5706"/>
        <v>1000</v>
      </c>
      <c r="AJH20" s="319">
        <f t="shared" ca="1" si="5707"/>
        <v>1</v>
      </c>
      <c r="AJI20" s="319">
        <f t="shared" ref="AJI20" ca="1" si="6261">IF(AJA20&lt;&gt;"",VLOOKUP(AJA20,AHN4:AHT40,7,FALSE),"")</f>
        <v>1001</v>
      </c>
      <c r="AJJ20" s="319">
        <f t="shared" ref="AJJ20" ca="1" si="6262">IF(AJA20&lt;&gt;"",VLOOKUP(AJA20,AHN4:AHT40,5,FALSE),"")</f>
        <v>6</v>
      </c>
      <c r="AJK20" s="319">
        <f t="shared" ref="AJK20" ca="1" si="6263">IF(AJA20&lt;&gt;"",VLOOKUP(AJA20,AHN4:AHV40,9,FALSE),"")</f>
        <v>45</v>
      </c>
      <c r="AJL20" s="319">
        <f t="shared" ca="1" si="5711"/>
        <v>1</v>
      </c>
      <c r="AJM20" s="319">
        <f t="shared" ref="AJM20" ca="1" si="6264">IF(AJA20&lt;&gt;"",RANK(AJL20,AJL18:AJL22),"")</f>
        <v>1</v>
      </c>
      <c r="AJN20" s="319">
        <f t="shared" ref="AJN20" ca="1" si="6265">IF(AJA20&lt;&gt;"",SUMPRODUCT((AJL18:AJL22=AJL20)*(AJG18:AJG22&gt;AJG20)),"")</f>
        <v>0</v>
      </c>
      <c r="AJO20" s="319">
        <f t="shared" ref="AJO20" ca="1" si="6266">IF(AJA20&lt;&gt;"",SUMPRODUCT((AJL18:AJL22=AJL20)*(AJG18:AJG22=AJG20)*(AJE18:AJE22&gt;AJE20)),"")</f>
        <v>0</v>
      </c>
      <c r="AJP20" s="319">
        <f t="shared" ref="AJP20" ca="1" si="6267">IF(AJA20&lt;&gt;"",SUMPRODUCT((AJL18:AJL22=AJL20)*(AJG18:AJG22=AJG20)*(AJE18:AJE22=AJE20)*(AJI18:AJI22&gt;AJI20)),"")</f>
        <v>0</v>
      </c>
      <c r="AJQ20" s="319">
        <f t="shared" ref="AJQ20" ca="1" si="6268">IF(AJA20&lt;&gt;"",SUMPRODUCT((AJL18:AJL22=AJL20)*(AJG18:AJG22=AJG20)*(AJE18:AJE22=AJE20)*(AJI18:AJI22=AJI20)*(AJJ18:AJJ22&gt;AJJ20)),"")</f>
        <v>0</v>
      </c>
      <c r="AJR20" s="319">
        <f t="shared" ref="AJR20" ca="1" si="6269">IF(AJA20&lt;&gt;"",SUMPRODUCT((AJL18:AJL22=AJL20)*(AJG18:AJG22=AJG20)*(AJE18:AJE22=AJE20)*(AJI18:AJI22=AJI20)*(AJJ18:AJJ22=AJJ20)*(AJK18:AJK22&gt;AJK20)),"")</f>
        <v>0</v>
      </c>
      <c r="AJS20" s="319">
        <f ca="1">IF(AJA20&lt;&gt;"",IF(AJS60&lt;&gt;"",IF(AIZ57=3,AJS60,AJS60+AIZ57),SUM(AJM20:AJR20)+1),"")</f>
        <v>2</v>
      </c>
      <c r="AJT20" s="319" t="str">
        <f t="shared" ref="AJT20" ca="1" si="6270">IF(AJA20&lt;&gt;"",INDEX(AJA19:AJA22,MATCH(3,AJS19:AJS22,0),0),"")</f>
        <v>Serbia</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Serbia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2</v>
      </c>
      <c r="ALO20" s="319" t="str">
        <f t="shared" si="83"/>
        <v>Serbia</v>
      </c>
      <c r="ALP20" s="319" t="str">
        <f ca="1">IF(AND(OFFSET('Player Game Board'!P27,0,ALM1)&lt;&gt;"",OFFSET('Player Game Board'!Q27,0,ALM1)&lt;&gt;""),IF(ALM20&gt;ALN20,"W",IF(ALM20=ALN20,"D","L")),"")</f>
        <v>L</v>
      </c>
      <c r="ALQ20" s="319" t="str">
        <f t="shared" ca="1" si="5720"/>
        <v>W</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0</v>
      </c>
      <c r="AMD20" s="326">
        <f t="shared" ref="AMD20" ca="1" si="6293">IFERROR(MATCH(AMD12,ALT20:ALW20,0),0)</f>
        <v>2</v>
      </c>
      <c r="AME20" s="326">
        <f t="shared" ref="AME20" ca="1" si="6294">IFERROR(MATCH(AME12,ALT20:ALW20,0),0)</f>
        <v>4</v>
      </c>
      <c r="AMF20" s="326">
        <f t="shared" ref="AMF20" ca="1" si="6295">IFERROR(MATCH(AMF12,ALT20:ALW20,0),0)</f>
        <v>0</v>
      </c>
      <c r="AMG20" s="326">
        <f t="shared" ca="1" si="3896"/>
        <v>6</v>
      </c>
      <c r="AMH20" s="325" t="s">
        <v>354</v>
      </c>
      <c r="AMI20" s="325" t="str">
        <f t="shared" ref="AMI20" ca="1" si="6296">INDEX(ALT3:ALT8,MATCH(INDEX(ALZ13:ALZ27,MATCH(10,AMG13:AMG27,0),0),AMH3:AMH8,0),0)</f>
        <v>Serbia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1</v>
      </c>
      <c r="E21" s="319">
        <f>SUMPRODUCT((CZ3:CZ42=B21)*(DD3:DD42="L"))+SUMPRODUCT((DC3:DC42=B21)*(DE3:DE42="L"))</f>
        <v>0</v>
      </c>
      <c r="F21" s="319">
        <f>SUMIF(CZ3:CZ60,B21,DA3:DA60)+SUMIF(DC3:DC60,B21,DB3:DB60)</f>
        <v>1</v>
      </c>
      <c r="G21" s="319">
        <f>SUMIF(DC3:DC60,B21,DA3:DA60)+SUMIF(CZ3:CZ60,B21,DB3:DB60)</f>
        <v>1</v>
      </c>
      <c r="H21" s="319">
        <f t="shared" si="5039"/>
        <v>1000</v>
      </c>
      <c r="I21" s="319">
        <f t="shared" si="5040"/>
        <v>1</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0</v>
      </c>
      <c r="DB21" s="319">
        <f>IF(AND(Matches!I26&lt;&gt;"",Matches!H26&lt;&gt;""),Matches!I26,0)</f>
        <v>0</v>
      </c>
      <c r="DC21" s="319" t="str">
        <f>Matches!J26</f>
        <v>Austria</v>
      </c>
      <c r="DD21" s="319" t="str">
        <f>IF(AND(Matches!H26&lt;&gt;"",Matches!I26&lt;&gt;""),IF(DA21&gt;DB21,"W",IF(DA21=DB21,"D","L")),"")</f>
        <v/>
      </c>
      <c r="DE21" s="319" t="str">
        <f t="shared" si="162"/>
        <v/>
      </c>
      <c r="DF21" s="319"/>
      <c r="DG21" s="319"/>
      <c r="DH21" s="324" t="s">
        <v>101</v>
      </c>
      <c r="DI21" s="325" t="s">
        <v>103</v>
      </c>
      <c r="DJ21" s="325" t="s">
        <v>105</v>
      </c>
      <c r="DK21" s="325" t="s">
        <v>106</v>
      </c>
      <c r="DL21" s="324" t="s">
        <v>105</v>
      </c>
      <c r="DM21" s="324" t="s">
        <v>106</v>
      </c>
      <c r="DN21" s="324" t="s">
        <v>103</v>
      </c>
      <c r="DO21" s="324" t="s">
        <v>101</v>
      </c>
      <c r="DP21" s="325"/>
      <c r="DQ21" s="326">
        <f>IFERROR(MATCH(DQ12,DH21:DK21,0),0)</f>
        <v>2</v>
      </c>
      <c r="DR21" s="326">
        <f>IFERROR(MATCH(DR12,DH21:DK21,0),0)</f>
        <v>0</v>
      </c>
      <c r="DS21" s="326">
        <f>IFERROR(MATCH(DS12,DH21:DK21,0),0)</f>
        <v>1</v>
      </c>
      <c r="DT21" s="326">
        <f>IFERROR(MATCH(DT12,DH21:DK21,0),0)</f>
        <v>4</v>
      </c>
      <c r="DU21" s="326">
        <f t="shared" si="3541"/>
        <v>7</v>
      </c>
      <c r="DV21" s="325" t="s">
        <v>359</v>
      </c>
      <c r="DW21" s="325" t="str">
        <f>INDEX(DH3:DH8,MATCH(INDEX(DO13:DO27,MATCH(10,DU13:DU27,0),0),DV3:DV8,0),0)</f>
        <v>Slovenia</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0</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1</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6</v>
      </c>
      <c r="AHS21" s="319">
        <f t="shared" ref="AHS21" ca="1" si="6908">SUMIF(ALO3:ALO60,AHN21,ALM3:ALM60)+SUMIF(ALL3:ALL60,AHN21,ALN3:ALN60)</f>
        <v>5</v>
      </c>
      <c r="AHT21" s="319">
        <f t="shared" ca="1" si="5232"/>
        <v>1001</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3</v>
      </c>
      <c r="AHZ21" s="319" t="str">
        <f t="shared" ref="AHZ21" ca="1" si="6911">INDEX(AHN18:AHN22,MATCH(4,AHY18:AHY22,0),0)</f>
        <v>Slovenia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Slovenia</v>
      </c>
      <c r="ALJ21" s="319">
        <v>4</v>
      </c>
      <c r="ALK21" s="319">
        <v>19</v>
      </c>
      <c r="ALL21" s="319" t="str">
        <f t="shared" si="82"/>
        <v>Poland</v>
      </c>
      <c r="ALM21" s="322">
        <f ca="1">IF(OFFSET('Player Game Board'!P28,0,ALM1)&lt;&gt;"",OFFSET('Player Game Board'!P28,0,ALM1),0)</f>
        <v>1</v>
      </c>
      <c r="ALN21" s="322">
        <f ca="1">IF(OFFSET('Player Game Board'!Q28,0,ALM1)&lt;&gt;"",OFFSET('Player Game Board'!Q28,0,ALM1),0)</f>
        <v>1</v>
      </c>
      <c r="ALO21" s="319" t="str">
        <f t="shared" si="83"/>
        <v>Austria</v>
      </c>
      <c r="ALP21" s="319" t="str">
        <f ca="1">IF(AND(OFFSET('Player Game Board'!P28,0,ALM1)&lt;&gt;"",OFFSET('Player Game Board'!Q28,0,ALM1)&lt;&gt;""),IF(ALM21&gt;ALN21,"W",IF(ALM21=ALN21,"D","L")),"")</f>
        <v>D</v>
      </c>
      <c r="ALQ21" s="319" t="str">
        <f t="shared" ca="1" si="5720"/>
        <v>D</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0</v>
      </c>
      <c r="AMD21" s="326">
        <f t="shared" ref="AMD21" ca="1" si="6980">IFERROR(MATCH(AMD12,ALT21:ALW21,0),0)</f>
        <v>2</v>
      </c>
      <c r="AME21" s="326">
        <f t="shared" ref="AME21" ca="1" si="6981">IFERROR(MATCH(AME12,ALT21:ALW21,0),0)</f>
        <v>4</v>
      </c>
      <c r="AMF21" s="326">
        <f t="shared" ref="AMF21" ca="1" si="6982">IFERROR(MATCH(AMF12,ALT21:ALW21,0),0)</f>
        <v>3</v>
      </c>
      <c r="AMG21" s="326">
        <f t="shared" ca="1" si="3896"/>
        <v>9</v>
      </c>
      <c r="AMH21" s="325" t="s">
        <v>359</v>
      </c>
      <c r="AMI21" s="325" t="str">
        <f t="shared" ref="AMI21" ca="1" si="6983">INDEX(ALT3:ALT8,MATCH(INDEX(AMA13:AMA27,MATCH(10,AMG13:AMG27,0),0),AMH3:AMH8,0),0)</f>
        <v>Italy</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101</v>
      </c>
      <c r="DI22" s="325" t="s">
        <v>104</v>
      </c>
      <c r="DJ22" s="325" t="s">
        <v>105</v>
      </c>
      <c r="DK22" s="325" t="s">
        <v>106</v>
      </c>
      <c r="DL22" s="324" t="s">
        <v>105</v>
      </c>
      <c r="DM22" s="324" t="s">
        <v>106</v>
      </c>
      <c r="DN22" s="324" t="s">
        <v>104</v>
      </c>
      <c r="DO22" s="324" t="s">
        <v>101</v>
      </c>
      <c r="DP22" s="325"/>
      <c r="DQ22" s="326">
        <f>IFERROR(MATCH(DQ12,DH22:DK22,0),0)</f>
        <v>0</v>
      </c>
      <c r="DR22" s="326">
        <f>IFERROR(MATCH(DR12,DH22:DK22,0),0)</f>
        <v>0</v>
      </c>
      <c r="DS22" s="326">
        <f>IFERROR(MATCH(DS12,DH22:DK22,0),0)</f>
        <v>1</v>
      </c>
      <c r="DT22" s="326">
        <f>IFERROR(MATCH(DT12,DH22:DK22,0),0)</f>
        <v>4</v>
      </c>
      <c r="DU22" s="326">
        <f t="shared" si="3541"/>
        <v>5</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D</v>
      </c>
      <c r="ALQ22" s="319" t="str">
        <f t="shared" ca="1" si="5720"/>
        <v>D</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0</v>
      </c>
      <c r="AMD22" s="326">
        <f t="shared" ref="AMD22" ca="1" si="7329">IFERROR(MATCH(AMD12,ALT22:ALW22,0),0)</f>
        <v>0</v>
      </c>
      <c r="AME22" s="326">
        <f t="shared" ref="AME22" ca="1" si="7330">IFERROR(MATCH(AME12,ALT22:ALW22,0),0)</f>
        <v>4</v>
      </c>
      <c r="AMF22" s="326">
        <f t="shared" ref="AMF22" ca="1" si="7331">IFERROR(MATCH(AMF12,ALT22:ALW22,0),0)</f>
        <v>3</v>
      </c>
      <c r="AMG22" s="326">
        <f t="shared" ca="1" si="3896"/>
        <v>7</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0</v>
      </c>
      <c r="DB23" s="319">
        <f>IF(AND(Matches!I28&lt;&gt;"",Matches!H28&lt;&gt;""),Matches!I28,0)</f>
        <v>0</v>
      </c>
      <c r="DC23" s="319" t="str">
        <f>Matches!J28</f>
        <v>Ukraine</v>
      </c>
      <c r="DD23" s="319" t="str">
        <f>IF(AND(Matches!H28&lt;&gt;"",Matches!I28&lt;&gt;""),IF(DA23&gt;DB23,"W",IF(DA23=DB23,"D","L")),"")</f>
        <v/>
      </c>
      <c r="DE23" s="319" t="str">
        <f t="shared" si="162"/>
        <v/>
      </c>
      <c r="DF23" s="319"/>
      <c r="DG23" s="319"/>
      <c r="DH23" s="324" t="s">
        <v>102</v>
      </c>
      <c r="DI23" s="325" t="s">
        <v>103</v>
      </c>
      <c r="DJ23" s="325" t="s">
        <v>104</v>
      </c>
      <c r="DK23" s="325" t="s">
        <v>105</v>
      </c>
      <c r="DL23" s="324" t="s">
        <v>105</v>
      </c>
      <c r="DM23" s="324" t="s">
        <v>104</v>
      </c>
      <c r="DN23" s="324" t="s">
        <v>102</v>
      </c>
      <c r="DO23" s="324" t="s">
        <v>103</v>
      </c>
      <c r="DP23" s="325"/>
      <c r="DQ23" s="326">
        <f>IFERROR(MATCH(DQ12,DH23:DK23,0),0)</f>
        <v>2</v>
      </c>
      <c r="DR23" s="326">
        <f>IFERROR(MATCH(DR12,DH23:DK23,0),0)</f>
        <v>1</v>
      </c>
      <c r="DS23" s="326">
        <f>IFERROR(MATCH(DS12,DH23:DK23,0),0)</f>
        <v>0</v>
      </c>
      <c r="DT23" s="326">
        <f>IFERROR(MATCH(DT12,DH23:DK23,0),0)</f>
        <v>0</v>
      </c>
      <c r="DU23" s="326">
        <f t="shared" si="3541"/>
        <v>3</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1</v>
      </c>
      <c r="ALN23" s="322">
        <f ca="1">IF(OFFSET('Player Game Board'!Q30,0,ALM1)&lt;&gt;"",OFFSET('Player Game Board'!Q30,0,ALM1),0)</f>
        <v>3</v>
      </c>
      <c r="ALO23" s="319" t="str">
        <f t="shared" si="83"/>
        <v>Ukraine</v>
      </c>
      <c r="ALP23" s="319" t="str">
        <f ca="1">IF(AND(OFFSET('Player Game Board'!P30,0,ALM1)&lt;&gt;"",OFFSET('Player Game Board'!Q30,0,ALM1)&lt;&gt;""),IF(ALM23&gt;ALN23,"W",IF(ALM23=ALN23,"D","L")),"")</f>
        <v>L</v>
      </c>
      <c r="ALQ23" s="319" t="str">
        <f t="shared" ca="1" si="5720"/>
        <v>W</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1</v>
      </c>
      <c r="AMD23" s="326">
        <f t="shared" ref="AMD23" ca="1" si="7374">IFERROR(MATCH(AMD12,ALT23:ALW23,0),0)</f>
        <v>2</v>
      </c>
      <c r="AME23" s="326">
        <f t="shared" ref="AME23" ca="1" si="7375">IFERROR(MATCH(AME12,ALT23:ALW23,0),0)</f>
        <v>0</v>
      </c>
      <c r="AMF23" s="326">
        <f t="shared" ref="AMF23" ca="1" si="7376">IFERROR(MATCH(AMF12,ALT23:ALW23,0),0)</f>
        <v>4</v>
      </c>
      <c r="AMG23" s="326">
        <f t="shared" ca="1" si="3896"/>
        <v>7</v>
      </c>
      <c r="AMH23" s="325"/>
      <c r="AMI23" s="325" t="str">
        <f t="shared" ref="AMI23" ca="1" si="7377">VLOOKUP(2,AHM4:AHN7,2,FALSE)</f>
        <v>Switzerland</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102</v>
      </c>
      <c r="DI24" s="325" t="s">
        <v>103</v>
      </c>
      <c r="DJ24" s="325" t="s">
        <v>104</v>
      </c>
      <c r="DK24" s="325" t="s">
        <v>106</v>
      </c>
      <c r="DL24" s="324" t="s">
        <v>106</v>
      </c>
      <c r="DM24" s="324" t="s">
        <v>104</v>
      </c>
      <c r="DN24" s="324" t="s">
        <v>103</v>
      </c>
      <c r="DO24" s="324" t="s">
        <v>102</v>
      </c>
      <c r="DP24" s="325"/>
      <c r="DQ24" s="326">
        <f>IFERROR(MATCH(DQ12,DH24:DK24,0),0)</f>
        <v>2</v>
      </c>
      <c r="DR24" s="326">
        <f>IFERROR(MATCH(DR12,DH24:DK24,0),0)</f>
        <v>1</v>
      </c>
      <c r="DS24" s="326">
        <f>IFERROR(MATCH(DS12,DH24:DK24,0),0)</f>
        <v>0</v>
      </c>
      <c r="DT24" s="326">
        <f>IFERROR(MATCH(DT12,DH24:DK24,0),0)</f>
        <v>4</v>
      </c>
      <c r="DU24" s="326">
        <f t="shared" si="3541"/>
        <v>7</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3</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1</v>
      </c>
      <c r="AMD24" s="326">
        <f t="shared" ref="AMD24" ca="1" si="7419">IFERROR(MATCH(AMD12,ALT24:ALW24,0),0)</f>
        <v>2</v>
      </c>
      <c r="AME24" s="326">
        <f t="shared" ref="AME24" ca="1" si="7420">IFERROR(MATCH(AME12,ALT24:ALW24,0),0)</f>
        <v>4</v>
      </c>
      <c r="AMF24" s="326">
        <f t="shared" ref="AMF24" ca="1" si="7421">IFERROR(MATCH(AMF12,ALT24:ALW24,0),0)</f>
        <v>0</v>
      </c>
      <c r="AMG24" s="326">
        <f t="shared" ca="1" si="3896"/>
        <v>7</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ht="13.8" x14ac:dyDescent="0.3">
      <c r="A25" s="319">
        <f>VLOOKUP(B25,CW25:CX29,2,FALSE)</f>
        <v>3</v>
      </c>
      <c r="B25" s="319" t="str">
        <f>'Language Table'!C27</f>
        <v>Poland</v>
      </c>
      <c r="C25" s="319">
        <f>SUMPRODUCT((CZ3:CZ42=B25)*(DD3:DD42="W"))+SUMPRODUCT((DC3:DC42=B25)*(DE3:DE42="W"))</f>
        <v>0</v>
      </c>
      <c r="D25" s="319">
        <f>SUMPRODUCT((CZ3:CZ42=B25)*(DD3:DD42="D"))+SUMPRODUCT((DC3:DC42=B25)*(DE3:DE42="D"))</f>
        <v>0</v>
      </c>
      <c r="E25" s="319">
        <f>SUMPRODUCT((CZ3:CZ42=B25)*(DD3:DD42="L"))+SUMPRODUCT((DC3:DC42=B25)*(DE3:DE42="L"))</f>
        <v>1</v>
      </c>
      <c r="F25" s="319">
        <f>SUMIF(CZ3:CZ60,B25,DA3:DA60)+SUMIF(DC3:DC60,B25,DB3:DB60)</f>
        <v>1</v>
      </c>
      <c r="G25" s="319">
        <f>SUMIF(DC3:DC60,B25,DA3:DA60)+SUMIF(CZ3:CZ60,B25,DB3:DB60)</f>
        <v>2</v>
      </c>
      <c r="H25" s="319">
        <f t="shared" ref="H25:H28" si="7443">F25-G25+1000</f>
        <v>999</v>
      </c>
      <c r="I25" s="319">
        <f t="shared" ref="I25:I28" si="7444">C25*3+D25*1</f>
        <v>0</v>
      </c>
      <c r="J25" s="319">
        <v>0</v>
      </c>
      <c r="K25" s="319">
        <f>IF(COUNTIF(I25:I29,4)&lt;&gt;4,RANK(I25,I25:I29),I65)</f>
        <v>3</v>
      </c>
      <c r="L25" s="319"/>
      <c r="M25" s="319">
        <f>SUMPRODUCT((K25:K28=K25)*(J25:J28&lt;J25))+K25</f>
        <v>3</v>
      </c>
      <c r="N25" s="319" t="str">
        <f>INDEX(B25:B29,MATCH(1,M25:M29,0),0)</f>
        <v>Netherlands</v>
      </c>
      <c r="O25" s="319">
        <f>INDEX(K25:K29,MATCH(N25,B25:B29,0),0)</f>
        <v>1</v>
      </c>
      <c r="P25" s="319" t="str">
        <f>IF(O26=1,N25,"")</f>
        <v>Netherlands</v>
      </c>
      <c r="Q25" s="319" t="str">
        <f>IF(O27=2,N26,"")</f>
        <v/>
      </c>
      <c r="R25" s="319" t="str">
        <f>IF(O28=3,N27,"")</f>
        <v>Poland</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0</v>
      </c>
      <c r="AC25" s="319">
        <f>IF(U25&lt;&gt;"",VLOOKUP(U25,B4:H40,7,FALSE),"")</f>
        <v>1001</v>
      </c>
      <c r="AD25" s="319">
        <f>IF(U25&lt;&gt;"",VLOOKUP(U25,B4:H40,5,FALSE),"")</f>
        <v>2</v>
      </c>
      <c r="AE25" s="319">
        <f>IF(U25&lt;&gt;"",VLOOKUP(U25,B4:J40,9,FALSE),"")</f>
        <v>42</v>
      </c>
      <c r="AF25" s="319">
        <f t="shared" ref="AF25:AF28" si="7446">AB25</f>
        <v>0</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102</v>
      </c>
      <c r="DI25" s="325" t="s">
        <v>103</v>
      </c>
      <c r="DJ25" s="325" t="s">
        <v>105</v>
      </c>
      <c r="DK25" s="325" t="s">
        <v>106</v>
      </c>
      <c r="DL25" s="324" t="s">
        <v>106</v>
      </c>
      <c r="DM25" s="324" t="s">
        <v>105</v>
      </c>
      <c r="DN25" s="324" t="s">
        <v>103</v>
      </c>
      <c r="DO25" s="324" t="s">
        <v>102</v>
      </c>
      <c r="DP25" s="325"/>
      <c r="DQ25" s="326">
        <f>IFERROR(MATCH(DQ12,DH25:DK25,0),0)</f>
        <v>2</v>
      </c>
      <c r="DR25" s="326">
        <f>IFERROR(MATCH(DR12,DH25:DK25,0),0)</f>
        <v>1</v>
      </c>
      <c r="DS25" s="326">
        <f>IFERROR(MATCH(DS12,DH25:DK25,0),0)</f>
        <v>0</v>
      </c>
      <c r="DT25" s="326">
        <f>IFERROR(MATCH(DT12,DH25:DK25,0),0)</f>
        <v>4</v>
      </c>
      <c r="DU25" s="326">
        <f t="shared" si="3541"/>
        <v>7</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3</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1</v>
      </c>
      <c r="AHQ25" s="319">
        <f t="shared" ref="AHQ25" ca="1" si="7627">SUMPRODUCT((ALL3:ALL42=AHN25)*(ALP3:ALP42="L"))+SUMPRODUCT((ALO3:ALO42=AHN25)*(ALQ3:ALQ42="L"))</f>
        <v>2</v>
      </c>
      <c r="AHR25" s="319">
        <f t="shared" ref="AHR25" ca="1" si="7628">SUMIF(ALL3:ALL60,AHN25,ALM3:ALM60)+SUMIF(ALO3:ALO60,AHN25,ALN3:ALN60)</f>
        <v>3</v>
      </c>
      <c r="AHS25" s="319">
        <f t="shared" ref="AHS25" ca="1" si="7629">SUMIF(ALO3:ALO60,AHN25,ALM3:ALM60)+SUMIF(ALL3:ALL60,AHN25,ALN3:ALN60)</f>
        <v>6</v>
      </c>
      <c r="AHT25" s="319">
        <f t="shared" ref="AHT25:AHT28" ca="1" si="7630">AHR25-AHS25+1000</f>
        <v>997</v>
      </c>
      <c r="AHU25" s="319">
        <f t="shared" ref="AHU25:AHU28" ca="1" si="7631">AHO25*3+AHP25*1</f>
        <v>1</v>
      </c>
      <c r="AHV25" s="319">
        <f t="shared" si="870"/>
        <v>0</v>
      </c>
      <c r="AHW25" s="319">
        <f t="shared" ref="AHW25" ca="1" si="7632">IF(COUNTIF(AHU25:AHU29,4)&lt;&gt;4,RANK(AHU25,AHU25:AHU29),AHU65)</f>
        <v>3</v>
      </c>
      <c r="AHX25" s="319"/>
      <c r="AHY25" s="319">
        <f t="shared" ref="AHY25" ca="1" si="7633">SUMPRODUCT((AHW25:AHW28=AHW25)*(AHV25:AHV28&lt;AHV25))+AHW25</f>
        <v>3</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Poland</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1</v>
      </c>
      <c r="AIO25" s="319">
        <f t="shared" ref="AIO25" ca="1" si="7648">IF(AIG25&lt;&gt;"",VLOOKUP(AIG25,AHN4:AHT40,7,FALSE),"")</f>
        <v>1003</v>
      </c>
      <c r="AIP25" s="319">
        <f t="shared" ref="AIP25" ca="1" si="7649">IF(AIG25&lt;&gt;"",VLOOKUP(AIG25,AHN4:AHT40,5,FALSE),"")</f>
        <v>6</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2</v>
      </c>
      <c r="ALN25" s="322">
        <f ca="1">IF(OFFSET('Player Game Board'!Q32,0,ALM1)&lt;&gt;"",OFFSET('Player Game Board'!Q32,0,ALM1),0)</f>
        <v>2</v>
      </c>
      <c r="ALO25" s="319" t="str">
        <f t="shared" si="83"/>
        <v>Portugal</v>
      </c>
      <c r="ALP25" s="319" t="str">
        <f ca="1">IF(AND(OFFSET('Player Game Board'!P32,0,ALM1)&lt;&gt;"",OFFSET('Player Game Board'!Q32,0,ALM1)&lt;&gt;""),IF(ALM25&gt;ALN25,"W",IF(ALM25=ALN25,"D","L")),"")</f>
        <v>D</v>
      </c>
      <c r="ALQ25" s="319" t="str">
        <f t="shared" ca="1" si="5720"/>
        <v>D</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1</v>
      </c>
      <c r="AMD25" s="326">
        <f t="shared" ref="AMD25" ca="1" si="7661">IFERROR(MATCH(AMD12,ALT25:ALW25,0),0)</f>
        <v>2</v>
      </c>
      <c r="AME25" s="326">
        <f t="shared" ref="AME25" ca="1" si="7662">IFERROR(MATCH(AME12,ALT25:ALW25,0),0)</f>
        <v>4</v>
      </c>
      <c r="AMF25" s="326">
        <f t="shared" ref="AMF25" ca="1" si="7663">IFERROR(MATCH(AMF12,ALT25:ALW25,0),0)</f>
        <v>3</v>
      </c>
      <c r="AMG25" s="326">
        <f t="shared" ca="1" si="3896"/>
        <v>10</v>
      </c>
      <c r="AMH25" s="325"/>
      <c r="AMI25" s="325" t="str">
        <f t="shared" ref="AMI25" ca="1" si="7664">VLOOKUP(2,AHM11:AHN14,2,FALSE)</f>
        <v>Croatia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1</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Austria</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1</v>
      </c>
      <c r="AE26" s="319">
        <f>IF(U26&lt;&gt;"",VLOOKUP(U26,B4:J40,9,FALSE),"")</f>
        <v>52</v>
      </c>
      <c r="AF26" s="319">
        <f t="shared" si="7446"/>
        <v>0</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102</v>
      </c>
      <c r="DI26" s="325" t="s">
        <v>104</v>
      </c>
      <c r="DJ26" s="325" t="s">
        <v>105</v>
      </c>
      <c r="DK26" s="325" t="s">
        <v>106</v>
      </c>
      <c r="DL26" s="324" t="s">
        <v>106</v>
      </c>
      <c r="DM26" s="324" t="s">
        <v>105</v>
      </c>
      <c r="DN26" s="324" t="s">
        <v>104</v>
      </c>
      <c r="DO26" s="324" t="s">
        <v>102</v>
      </c>
      <c r="DP26" s="325"/>
      <c r="DQ26" s="326">
        <f>IFERROR(MATCH(DQ12,DH26:DK26,0),0)</f>
        <v>0</v>
      </c>
      <c r="DR26" s="326">
        <f>IFERROR(MATCH(DR12,DH26:DK26,0),0)</f>
        <v>1</v>
      </c>
      <c r="DS26" s="326">
        <f>IFERROR(MATCH(DS12,DH26:DK26,0),0)</f>
        <v>0</v>
      </c>
      <c r="DT26" s="326">
        <f>IFERROR(MATCH(DT12,DH26:DK26,0),0)</f>
        <v>4</v>
      </c>
      <c r="DU26" s="326">
        <f t="shared" si="3541"/>
        <v>5</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6</v>
      </c>
      <c r="AHS26" s="319">
        <f t="shared" ref="AHS26" ca="1" si="8065">SUMIF(ALO3:ALO60,AHN26,ALM3:ALM60)+SUMIF(ALL3:ALL60,AHN26,ALN3:ALN60)</f>
        <v>3</v>
      </c>
      <c r="AHT26" s="319">
        <f t="shared" ca="1" si="7630"/>
        <v>1003</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Austria</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1</v>
      </c>
      <c r="AIO26" s="319">
        <f t="shared" ref="AIO26" ca="1" si="8079">IF(AIG26&lt;&gt;"",VLOOKUP(AIG26,AHN4:AHT40,7,FALSE),"")</f>
        <v>1004</v>
      </c>
      <c r="AIP26" s="319">
        <f t="shared" ref="AIP26" ca="1" si="8080">IF(AIG26&lt;&gt;"",VLOOKUP(AIG26,AHN4:AHT40,5,FALSE),"")</f>
        <v>4</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2</v>
      </c>
      <c r="ALO26" s="319" t="str">
        <f t="shared" si="83"/>
        <v>Czechia</v>
      </c>
      <c r="ALP26" s="319" t="str">
        <f ca="1">IF(AND(OFFSET('Player Game Board'!P33,0,ALM1)&lt;&gt;"",OFFSET('Player Game Board'!Q33,0,ALM1)&lt;&gt;""),IF(ALM26&gt;ALN26,"W",IF(ALM26=ALN26,"D","L")),"")</f>
        <v>L</v>
      </c>
      <c r="ALQ26" s="319" t="str">
        <f t="shared" ca="1" si="5720"/>
        <v>W</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1</v>
      </c>
      <c r="AMD26" s="326">
        <f t="shared" ref="AMD26" ca="1" si="8110">IFERROR(MATCH(AMD12,ALT26:ALW26,0),0)</f>
        <v>0</v>
      </c>
      <c r="AME26" s="326">
        <f t="shared" ref="AME26" ca="1" si="8111">IFERROR(MATCH(AME12,ALT26:ALW26,0),0)</f>
        <v>4</v>
      </c>
      <c r="AMF26" s="326">
        <f t="shared" ref="AMF26" ca="1" si="8112">IFERROR(MATCH(AMF12,ALT26:ALW26,0),0)</f>
        <v>3</v>
      </c>
      <c r="AMG26" s="326">
        <f t="shared" ca="1" si="3896"/>
        <v>8</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ht="13.8" x14ac:dyDescent="0.3">
      <c r="A27" s="319">
        <f>VLOOKUP(B27,CW25:CX29,2,FALSE)</f>
        <v>4</v>
      </c>
      <c r="B27" s="319" t="str">
        <f>'Language Table'!C7</f>
        <v>Austria</v>
      </c>
      <c r="C27" s="319">
        <f>SUMPRODUCT((CZ3:CZ42=B27)*(DD3:DD42="W"))+SUMPRODUCT((DC3:DC42=B27)*(DE3:DE42="W"))</f>
        <v>0</v>
      </c>
      <c r="D27" s="319">
        <f>SUMPRODUCT((CZ3:CZ42=B27)*(DD3:DD42="D"))+SUMPRODUCT((DC3:DC42=B27)*(DE3:DE42="D"))</f>
        <v>0</v>
      </c>
      <c r="E27" s="319">
        <f>SUMPRODUCT((CZ3:CZ42=B27)*(DD3:DD42="L"))+SUMPRODUCT((DC3:DC42=B27)*(DE3:DE42="L"))</f>
        <v>1</v>
      </c>
      <c r="F27" s="319">
        <f>SUMIF(CZ3:CZ60,B27,DA3:DA60)+SUMIF(DC3:DC60,B27,DB3:DB60)</f>
        <v>0</v>
      </c>
      <c r="G27" s="319">
        <f>SUMIF(DC3:DC60,B27,DA3:DA60)+SUMIF(CZ3:CZ60,B27,DB3:DB60)</f>
        <v>1</v>
      </c>
      <c r="H27" s="319">
        <f t="shared" si="7443"/>
        <v>999</v>
      </c>
      <c r="I27" s="319">
        <f t="shared" si="7444"/>
        <v>0</v>
      </c>
      <c r="J27" s="319">
        <v>41</v>
      </c>
      <c r="K27" s="319">
        <f>IF(COUNTIF(I25:I29,4)&lt;&gt;4,RANK(I27,I25:I29),I67)</f>
        <v>3</v>
      </c>
      <c r="L27" s="319"/>
      <c r="M27" s="319">
        <f>SUMPRODUCT((K25:K28=K27)*(J25:J28&lt;J27))+K27</f>
        <v>4</v>
      </c>
      <c r="N27" s="319" t="str">
        <f>INDEX(B25:B29,MATCH(3,M25:M29,0),0)</f>
        <v>Poland</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Poland</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f t="shared" ref="BP27:BP28" si="8330">IF(BI27&lt;&gt;"",BJ27*3+BK27*1,"")</f>
        <v>0</v>
      </c>
      <c r="BQ27" s="319">
        <f>IF(BI27&lt;&gt;"",VLOOKUP(BI27,B4:H40,7,FALSE),"")</f>
        <v>999</v>
      </c>
      <c r="BR27" s="319">
        <f>IF(BI27&lt;&gt;"",VLOOKUP(BI27,B4:H40,5,FALSE),"")</f>
        <v>1</v>
      </c>
      <c r="BS27" s="319">
        <f>IF(BI27&lt;&gt;"",VLOOKUP(BI27,B4:J40,9,FALSE),"")</f>
        <v>0</v>
      </c>
      <c r="BT27" s="319">
        <f t="shared" ref="BT27:BT28" si="8331">BP27</f>
        <v>0</v>
      </c>
      <c r="BU27" s="319">
        <f>IF(BI27&lt;&gt;"",RANK(BT27,BT25:BT29),"")</f>
        <v>1</v>
      </c>
      <c r="BV27" s="319">
        <f>IF(BI27&lt;&gt;"",SUMPRODUCT((BT25:BT29=BT27)*(BO25:BO29&gt;BO27)),"")</f>
        <v>0</v>
      </c>
      <c r="BW27" s="319">
        <f>IF(BI27&lt;&gt;"",SUMPRODUCT((BT25:BT29=BT27)*(BO25:BO29=BO27)*(BM25:BM29&gt;BM27)),"")</f>
        <v>0</v>
      </c>
      <c r="BX27" s="319">
        <f>IF(BI27&lt;&gt;"",SUMPRODUCT((BT25:BT29=BT27)*(BO25:BO29=BO27)*(BM25:BM29=BM27)*(BQ25:BQ29&gt;BQ27)),"")</f>
        <v>0</v>
      </c>
      <c r="BY27" s="319">
        <f>IF(BI27&lt;&gt;"",SUMPRODUCT((BT25:BT29=BT27)*(BO25:BO29=BO27)*(BM25:BM29=BM27)*(BQ25:BQ29=BQ27)*(BR25:BR29&gt;BR27)),"")</f>
        <v>0</v>
      </c>
      <c r="BZ27" s="319">
        <f>IF(BI27&lt;&gt;"",SUMPRODUCT((BT25:BT29=BT27)*(BO25:BO29=BO27)*(BM25:BM29=BM27)*(BQ25:BQ29=BQ27)*(BR25:BR29=BR27)*(BS25:BS29&gt;BS27)),"")</f>
        <v>0</v>
      </c>
      <c r="CA27" s="319">
        <f>IF(BI27&lt;&gt;"",SUM(BU27:BZ27)+2,"")</f>
        <v>3</v>
      </c>
      <c r="CB27" s="319" t="str">
        <f>IF(BI27&lt;&gt;"",INDEX(BI27:BI29,MATCH(3,CA27:CA29,0),0),"")</f>
        <v>Poland</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Poland</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103</v>
      </c>
      <c r="DI27" s="325" t="s">
        <v>104</v>
      </c>
      <c r="DJ27" s="325" t="s">
        <v>105</v>
      </c>
      <c r="DK27" s="325" t="s">
        <v>106</v>
      </c>
      <c r="DL27" s="324" t="s">
        <v>106</v>
      </c>
      <c r="DM27" s="324" t="s">
        <v>105</v>
      </c>
      <c r="DN27" s="324" t="s">
        <v>104</v>
      </c>
      <c r="DO27" s="324" t="s">
        <v>103</v>
      </c>
      <c r="DP27" s="325"/>
      <c r="DQ27" s="326">
        <f>IFERROR(MATCH(DQ12,DH27:DK27,0),0)</f>
        <v>1</v>
      </c>
      <c r="DR27" s="326">
        <f>IFERROR(MATCH(DR12,DH27:DK27,0),0)</f>
        <v>0</v>
      </c>
      <c r="DS27" s="326">
        <f>IFERROR(MATCH(DS12,DH27:DK27,0),0)</f>
        <v>0</v>
      </c>
      <c r="DT27" s="326">
        <f>IFERROR(MATCH(DT12,DH27:DK27,0),0)</f>
        <v>4</v>
      </c>
      <c r="DU27" s="326">
        <f t="shared" si="3541"/>
        <v>5</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4</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1</v>
      </c>
      <c r="AHQ27" s="319">
        <f t="shared" ref="AHQ27" ca="1" si="8615">SUMPRODUCT((ALL3:ALL42=AHN27)*(ALP3:ALP42="L"))+SUMPRODUCT((ALO3:ALO42=AHN27)*(ALQ3:ALQ42="L"))</f>
        <v>2</v>
      </c>
      <c r="AHR27" s="319">
        <f t="shared" ref="AHR27" ca="1" si="8616">SUMIF(ALL3:ALL60,AHN27,ALM3:ALM60)+SUMIF(ALO3:ALO60,AHN27,ALN3:ALN60)</f>
        <v>2</v>
      </c>
      <c r="AHS27" s="319">
        <f t="shared" ref="AHS27" ca="1" si="8617">SUMIF(ALO3:ALO60,AHN27,ALM3:ALM60)+SUMIF(ALL3:ALL60,AHN27,ALN3:ALN60)</f>
        <v>6</v>
      </c>
      <c r="AHT27" s="319">
        <f t="shared" ca="1" si="7630"/>
        <v>996</v>
      </c>
      <c r="AHU27" s="319">
        <f t="shared" ca="1" si="7631"/>
        <v>1</v>
      </c>
      <c r="AHV27" s="319">
        <f t="shared" si="870"/>
        <v>41</v>
      </c>
      <c r="AHW27" s="319">
        <f t="shared" ref="AHW27" ca="1" si="8618">IF(COUNTIF(AHU25:AHU29,4)&lt;&gt;4,RANK(AHU27,AHU25:AHU29),AHU67)</f>
        <v>3</v>
      </c>
      <c r="AHX27" s="319"/>
      <c r="AHY27" s="319">
        <f t="shared" ref="AHY27" ca="1" si="8619">SUMPRODUCT((AHW25:AHW28=AHW27)*(AHV25:AHV28&lt;AHV27))+AHW27</f>
        <v>4</v>
      </c>
      <c r="AHZ27" s="319" t="str">
        <f t="shared" ref="AHZ27" ca="1" si="8620">INDEX(AHN25:AHN29,MATCH(3,AHY25:AHY29,0),0)</f>
        <v>Poland</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Poland</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19">
        <f t="shared" ref="AKA27:AKA28" ca="1" si="8661">AJY27-AJZ27+1000</f>
        <v>1000</v>
      </c>
      <c r="AKB27" s="319">
        <f t="shared" ref="AKB27:AKB28" ca="1" si="8662">IF(AJU27&lt;&gt;"",AJV27*3+AJW27*1,"")</f>
        <v>1</v>
      </c>
      <c r="AKC27" s="319">
        <f t="shared" ref="AKC27" ca="1" si="8663">IF(AJU27&lt;&gt;"",VLOOKUP(AJU27,AHN4:AHT40,7,FALSE),"")</f>
        <v>997</v>
      </c>
      <c r="AKD27" s="319">
        <f t="shared" ref="AKD27" ca="1" si="8664">IF(AJU27&lt;&gt;"",VLOOKUP(AJU27,AHN4:AHT40,5,FALSE),"")</f>
        <v>3</v>
      </c>
      <c r="AKE27" s="319">
        <f t="shared" ref="AKE27" ca="1" si="8665">IF(AJU27&lt;&gt;"",VLOOKUP(AJU27,AHN4:AHV40,9,FALSE),"")</f>
        <v>0</v>
      </c>
      <c r="AKF27" s="319">
        <f t="shared" ref="AKF27:AKF28" ca="1" si="8666">AKB27</f>
        <v>1</v>
      </c>
      <c r="AKG27" s="319">
        <f t="shared" ref="AKG27" ca="1" si="8667">IF(AJU27&lt;&gt;"",RANK(AKF27,AKF25:AKF29),"")</f>
        <v>1</v>
      </c>
      <c r="AKH27" s="319">
        <f t="shared" ref="AKH27" ca="1" si="8668">IF(AJU27&lt;&gt;"",SUMPRODUCT((AKF25:AKF29=AKF27)*(AKA25:AKA29&gt;AKA27)),"")</f>
        <v>0</v>
      </c>
      <c r="AKI27" s="319">
        <f t="shared" ref="AKI27" ca="1" si="8669">IF(AJU27&lt;&gt;"",SUMPRODUCT((AKF25:AKF29=AKF27)*(AKA25:AKA29=AKA27)*(AJY25:AJY29&gt;AJY27)),"")</f>
        <v>0</v>
      </c>
      <c r="AKJ27" s="319">
        <f t="shared" ref="AKJ27" ca="1" si="8670">IF(AJU27&lt;&gt;"",SUMPRODUCT((AKF25:AKF29=AKF27)*(AKA25:AKA29=AKA27)*(AJY25:AJY29=AJY27)*(AKC25:AKC29&gt;AKC27)),"")</f>
        <v>0</v>
      </c>
      <c r="AKK27" s="319">
        <f t="shared" ref="AKK27" ca="1" si="8671">IF(AJU27&lt;&gt;"",SUMPRODUCT((AKF25:AKF29=AKF27)*(AKA25:AKA29=AKA27)*(AJY25:AJY29=AJY27)*(AKC25:AKC29=AKC27)*(AKD25:AKD29&gt;AKD27)),"")</f>
        <v>0</v>
      </c>
      <c r="AKL27" s="319">
        <f t="shared" ref="AKL27" ca="1" si="8672">IF(AJU27&lt;&gt;"",SUMPRODUCT((AKF25:AKF29=AKF27)*(AKA25:AKA29=AKA27)*(AJY25:AJY29=AJY27)*(AKC25:AKC29=AKC27)*(AKD25:AKD29=AKD27)*(AKE25:AKE29&gt;AKE27)),"")</f>
        <v>0</v>
      </c>
      <c r="AKM27" s="319">
        <f t="shared" ref="AKM27:AKM28" ca="1" si="8673">IF(AJU27&lt;&gt;"",SUM(AKG27:AKL27)+2,"")</f>
        <v>3</v>
      </c>
      <c r="AKN27" s="319" t="str">
        <f t="shared" ref="AKN27" ca="1" si="8674">IF(AJU27&lt;&gt;"",INDEX(AJU27:AJU29,MATCH(3,AKM27:AKM29,0),0),"")</f>
        <v>Poland</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Poland</v>
      </c>
      <c r="ALJ27" s="319">
        <v>3</v>
      </c>
      <c r="ALK27" s="319">
        <v>25</v>
      </c>
      <c r="ALL27" s="319" t="str">
        <f t="shared" si="82"/>
        <v>Switzerland</v>
      </c>
      <c r="ALM27" s="322">
        <f ca="1">IF(OFFSET('Player Game Board'!P34,0,ALM1)&lt;&gt;"",OFFSET('Player Game Board'!P34,0,ALM1),0)</f>
        <v>1</v>
      </c>
      <c r="ALN27" s="322">
        <f ca="1">IF(OFFSET('Player Game Board'!Q34,0,ALM1)&lt;&gt;"",OFFSET('Player Game Board'!Q34,0,ALM1),0)</f>
        <v>3</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1</v>
      </c>
      <c r="AME27" s="326">
        <f t="shared" ref="AME27" ca="1" si="8678">IFERROR(MATCH(AME12,ALT27:ALW27,0),0)</f>
        <v>4</v>
      </c>
      <c r="AMF27" s="326">
        <f t="shared" ref="AMF27" ca="1" si="8679">IFERROR(MATCH(AMF12,ALT27:ALW27,0),0)</f>
        <v>3</v>
      </c>
      <c r="AMG27" s="326">
        <f t="shared" ca="1" si="3896"/>
        <v>8</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2</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2</v>
      </c>
      <c r="N28" s="319" t="str">
        <f>INDEX(B25:B29,MATCH(4,M25:M29,0),0)</f>
        <v>Austria</v>
      </c>
      <c r="O28" s="319">
        <f>INDEX(K25:K29,MATCH(N28,B25:B29,0),0)</f>
        <v>3</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Austria</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f t="shared" si="8330"/>
        <v>0</v>
      </c>
      <c r="BQ28" s="319">
        <f>IF(BI28&lt;&gt;"",VLOOKUP(BI28,B4:H40,7,FALSE),"")</f>
        <v>999</v>
      </c>
      <c r="BR28" s="319">
        <f>IF(BI28&lt;&gt;"",VLOOKUP(BI28,B4:H40,5,FALSE),"")</f>
        <v>0</v>
      </c>
      <c r="BS28" s="319">
        <f>IF(BI28&lt;&gt;"",VLOOKUP(BI28,B4:J40,9,FALSE),"")</f>
        <v>41</v>
      </c>
      <c r="BT28" s="319">
        <f t="shared" si="8331"/>
        <v>0</v>
      </c>
      <c r="BU28" s="319">
        <f>IF(BI28&lt;&gt;"",RANK(BT28,BT25:BT29),"")</f>
        <v>1</v>
      </c>
      <c r="BV28" s="319">
        <f>IF(BI28&lt;&gt;"",SUMPRODUCT((BT25:BT29=BT28)*(BO25:BO29&gt;BO28)),"")</f>
        <v>0</v>
      </c>
      <c r="BW28" s="319">
        <f>IF(BI28&lt;&gt;"",SUMPRODUCT((BT25:BT29=BT28)*(BO25:BO29=BO28)*(BM25:BM29&gt;BM28)),"")</f>
        <v>0</v>
      </c>
      <c r="BX28" s="319">
        <f>IF(BI28&lt;&gt;"",SUMPRODUCT((BT25:BT29=BT28)*(BO25:BO29=BO28)*(BM25:BM29=BM28)*(BQ25:BQ29&gt;BQ28)),"")</f>
        <v>0</v>
      </c>
      <c r="BY28" s="319">
        <f>IF(BI28&lt;&gt;"",SUMPRODUCT((BT25:BT29=BT28)*(BO25:BO29=BO28)*(BM25:BM29=BM28)*(BQ25:BQ29=BQ28)*(BR25:BR29&gt;BR28)),"")</f>
        <v>1</v>
      </c>
      <c r="BZ28" s="319">
        <f>IF(BI28&lt;&gt;"",SUMPRODUCT((BT25:BT29=BT28)*(BO25:BO29=BO28)*(BM25:BM29=BM28)*(BQ25:BQ29=BQ28)*(BR25:BR29=BR28)*(BS25:BS29&gt;BS28)),"")</f>
        <v>0</v>
      </c>
      <c r="CA28" s="319">
        <f>IF(BI28&lt;&gt;"",SUM(BU28:BZ28)+2,"")</f>
        <v>4</v>
      </c>
      <c r="CB28" s="319" t="str">
        <f>IF(BI28&lt;&gt;"",INDEX(BI27:BI29,MATCH(4,CA27:CA29,0),0),"")</f>
        <v>Austria</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Austria</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4</v>
      </c>
      <c r="AHS28" s="319">
        <f t="shared" ref="AHS28" ca="1" si="9276">SUMIF(ALO3:ALO60,AHN28,ALM3:ALM60)+SUMIF(ALL3:ALL60,AHN28,ALN3:ALN60)</f>
        <v>0</v>
      </c>
      <c r="AHT28" s="319">
        <f t="shared" ca="1" si="7630"/>
        <v>1004</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Austria</v>
      </c>
      <c r="AIA28" s="319">
        <f t="shared" ref="AIA28" ca="1" si="9280">INDEX(AHW25:AHW29,MATCH(AHZ28,AHN25:AHN29,0),0)</f>
        <v>3</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Austria</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19">
        <f t="shared" ca="1" si="8661"/>
        <v>1000</v>
      </c>
      <c r="AKB28" s="319">
        <f t="shared" ca="1" si="8662"/>
        <v>1</v>
      </c>
      <c r="AKC28" s="319">
        <f t="shared" ref="AKC28" ca="1" si="9316">IF(AJU28&lt;&gt;"",VLOOKUP(AJU28,AHN4:AHT40,7,FALSE),"")</f>
        <v>996</v>
      </c>
      <c r="AKD28" s="319">
        <f t="shared" ref="AKD28" ca="1" si="9317">IF(AJU28&lt;&gt;"",VLOOKUP(AJU28,AHN4:AHT40,5,FALSE),"")</f>
        <v>2</v>
      </c>
      <c r="AKE28" s="319">
        <f t="shared" ref="AKE28" ca="1" si="9318">IF(AJU28&lt;&gt;"",VLOOKUP(AJU28,AHN4:AHV40,9,FALSE),"")</f>
        <v>41</v>
      </c>
      <c r="AKF28" s="319">
        <f t="shared" ca="1" si="8666"/>
        <v>1</v>
      </c>
      <c r="AKG28" s="319">
        <f t="shared" ref="AKG28" ca="1" si="9319">IF(AJU28&lt;&gt;"",RANK(AKF28,AKF25:AKF29),"")</f>
        <v>1</v>
      </c>
      <c r="AKH28" s="319">
        <f t="shared" ref="AKH28" ca="1" si="9320">IF(AJU28&lt;&gt;"",SUMPRODUCT((AKF25:AKF29=AKF28)*(AKA25:AKA29&gt;AKA28)),"")</f>
        <v>0</v>
      </c>
      <c r="AKI28" s="319">
        <f t="shared" ref="AKI28" ca="1" si="9321">IF(AJU28&lt;&gt;"",SUMPRODUCT((AKF25:AKF29=AKF28)*(AKA25:AKA29=AKA28)*(AJY25:AJY29&gt;AJY28)),"")</f>
        <v>0</v>
      </c>
      <c r="AKJ28" s="319">
        <f t="shared" ref="AKJ28" ca="1" si="9322">IF(AJU28&lt;&gt;"",SUMPRODUCT((AKF25:AKF29=AKF28)*(AKA25:AKA29=AKA28)*(AJY25:AJY29=AJY28)*(AKC25:AKC29&gt;AKC28)),"")</f>
        <v>1</v>
      </c>
      <c r="AKK28" s="319">
        <f t="shared" ref="AKK28" ca="1" si="9323">IF(AJU28&lt;&gt;"",SUMPRODUCT((AKF25:AKF29=AKF28)*(AKA25:AKA29=AKA28)*(AJY25:AJY29=AJY28)*(AKC25:AKC29=AKC28)*(AKD25:AKD29&gt;AKD28)),"")</f>
        <v>0</v>
      </c>
      <c r="AKL28" s="319">
        <f t="shared" ref="AKL28" ca="1" si="9324">IF(AJU28&lt;&gt;"",SUMPRODUCT((AKF25:AKF29=AKF28)*(AKA25:AKA29=AKA28)*(AJY25:AJY29=AJY28)*(AKC25:AKC29=AKC28)*(AKD25:AKD29=AKD28)*(AKE25:AKE29&gt;AKE28)),"")</f>
        <v>0</v>
      </c>
      <c r="AKM28" s="319">
        <f t="shared" ca="1" si="8673"/>
        <v>4</v>
      </c>
      <c r="AKN28" s="319" t="str">
        <f t="shared" ref="AKN28" ca="1" si="9325">IF(AJU28&lt;&gt;"",INDEX(AJU27:AJU29,MATCH(4,AKM27:AKM29,0),0),"")</f>
        <v>Austria</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Austria</v>
      </c>
      <c r="ALJ28" s="319">
        <v>4</v>
      </c>
      <c r="ALK28" s="319">
        <v>26</v>
      </c>
      <c r="ALL28" s="319" t="str">
        <f t="shared" si="82"/>
        <v>Scotland</v>
      </c>
      <c r="ALM28" s="322">
        <f ca="1">IF(OFFSET('Player Game Board'!P35,0,ALM1)&lt;&gt;"",OFFSET('Player Game Board'!P35,0,ALM1),0)</f>
        <v>1</v>
      </c>
      <c r="ALN28" s="322">
        <f ca="1">IF(OFFSET('Player Game Board'!Q35,0,ALM1)&lt;&gt;"",OFFSET('Player Game Board'!Q35,0,ALM1),0)</f>
        <v>1</v>
      </c>
      <c r="ALO28" s="319" t="str">
        <f t="shared" si="83"/>
        <v>Hungary</v>
      </c>
      <c r="ALP28" s="319" t="str">
        <f ca="1">IF(AND(OFFSET('Player Game Board'!P35,0,ALM1)&lt;&gt;"",OFFSET('Player Game Board'!Q35,0,ALM1)&lt;&gt;""),IF(ALM28&gt;ALN28,"W",IF(ALM28=ALN28,"D","L")),"")</f>
        <v>D</v>
      </c>
      <c r="ALQ28" s="319" t="str">
        <f t="shared" ca="1" si="5720"/>
        <v>D</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4</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2</v>
      </c>
      <c r="ALN30" s="322">
        <f ca="1">IF(OFFSET('Player Game Board'!Q37,0,ALM1)&lt;&gt;"",OFFSET('Player Game Board'!Q37,0,ALM1),0)</f>
        <v>1</v>
      </c>
      <c r="ALO30" s="319" t="str">
        <f t="shared" si="83"/>
        <v>Italy</v>
      </c>
      <c r="ALP30" s="319" t="str">
        <f ca="1">IF(AND(OFFSET('Player Game Board'!P37,0,ALM1)&lt;&gt;"",OFFSET('Player Game Board'!Q37,0,ALM1)&lt;&gt;""),IF(ALM30&gt;ALN30,"W",IF(ALM30=ALN30,"D","L")),"")</f>
        <v>W</v>
      </c>
      <c r="ALQ30" s="319" t="str">
        <f t="shared" ca="1" si="5720"/>
        <v>L</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0</v>
      </c>
    </row>
    <row r="31" spans="1:1536" ht="13.8" x14ac:dyDescent="0.3">
      <c r="A31" s="319">
        <f>VLOOKUP(B31,CW31:CX35,2,FALSE)</f>
        <v>3</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3</v>
      </c>
      <c r="L31" s="319"/>
      <c r="M31" s="319">
        <f>SUMPRODUCT((K31:K34=K31)*(J31:J34&lt;J31))+K31</f>
        <v>4</v>
      </c>
      <c r="N31" s="319" t="str">
        <f>INDEX(B31:B35,MATCH(1,M31:M35,0),0)</f>
        <v>Slovakia</v>
      </c>
      <c r="O31" s="319">
        <f>INDEX(K31:K35,MATCH(N31,B31:B35,0),0)</f>
        <v>1</v>
      </c>
      <c r="P31" s="319" t="str">
        <f>IF(O32=1,N31,"")</f>
        <v>Slovakia</v>
      </c>
      <c r="Q31" s="319" t="str">
        <f>IF(O33=2,N32,"")</f>
        <v/>
      </c>
      <c r="R31" s="319" t="str">
        <f>IF(O34=3,N33,"")</f>
        <v>Ukraine</v>
      </c>
      <c r="S31" s="319" t="str">
        <f>IF(O35=4,N34,"")</f>
        <v/>
      </c>
      <c r="T31" s="319"/>
      <c r="U31" s="319" t="str">
        <f>IF(P31&lt;&gt;"",P31,"")</f>
        <v>Slovakia</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0</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0</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0</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0</v>
      </c>
      <c r="AA31" s="319">
        <f>Y31-Z31+1000</f>
        <v>1000</v>
      </c>
      <c r="AB31" s="319">
        <f t="shared" ref="AB31:AB34" si="9694">IF(U31&lt;&gt;"",V31*3+W31*1,"")</f>
        <v>0</v>
      </c>
      <c r="AC31" s="319">
        <f>IF(U31&lt;&gt;"",VLOOKUP(U31,B4:H40,7,FALSE),"")</f>
        <v>1001</v>
      </c>
      <c r="AD31" s="319">
        <f>IF(U31&lt;&gt;"",VLOOKUP(U31,B4:H40,5,FALSE),"")</f>
        <v>1</v>
      </c>
      <c r="AE31" s="319">
        <f>IF(U31&lt;&gt;"",VLOOKUP(U31,B4:J40,9,FALSE),"")</f>
        <v>38</v>
      </c>
      <c r="AF31" s="319">
        <f t="shared" ref="AF31:AF34" si="9695">AB31</f>
        <v>0</v>
      </c>
      <c r="AG31" s="319">
        <f>IF(U31&lt;&gt;"",RANK(AF31,AF31:AF35),"")</f>
        <v>1</v>
      </c>
      <c r="AH31" s="319">
        <f>IF(U31&lt;&gt;"",SUMPRODUCT((AF31:AF35=AF31)*(AA31:AA35&gt;AA31)),"")</f>
        <v>0</v>
      </c>
      <c r="AI31" s="319">
        <f>IF(U31&lt;&gt;"",SUMPRODUCT((AF31:AF35=AF31)*(AA31:AA35=AA31)*(Y31:Y35&gt;Y31)),"")</f>
        <v>0</v>
      </c>
      <c r="AJ31" s="319">
        <f>IF(U31&lt;&gt;"",SUMPRODUCT((AF31:AF35=AF31)*(AA31:AA35=AA31)*(Y31:Y35=Y31)*(AC31:AC35&gt;AC31)),"")</f>
        <v>1</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Slovakia</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0</v>
      </c>
      <c r="AHM31" s="319">
        <f t="shared" ref="AHM31" ca="1" si="9856">VLOOKUP(AHN31,ALI31:ALJ35,2,FALSE)</f>
        <v>1</v>
      </c>
      <c r="AHN31" s="319" t="str">
        <f t="shared" ref="AHN31:AHN34" si="9857">ACP31</f>
        <v>Belgium</v>
      </c>
      <c r="AHO31" s="319">
        <f t="shared" ref="AHO31" ca="1" si="9858">SUMPRODUCT((ALL3:ALL42=AHN31)*(ALP3:ALP42="W"))+SUMPRODUCT((ALO3:ALO42=AHN31)*(ALQ3:ALQ42="W"))</f>
        <v>3</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8</v>
      </c>
      <c r="AHS31" s="319">
        <f t="shared" ref="AHS31" ca="1" si="9862">SUMIF(ALO3:ALO60,AHN31,ALM3:ALM60)+SUMIF(ALL3:ALL60,AHN31,ALN3:ALN60)</f>
        <v>2</v>
      </c>
      <c r="AHT31" s="319">
        <f t="shared" ref="AHT31:AHT34" ca="1" si="9863">AHR31-AHS31+1000</f>
        <v>1006</v>
      </c>
      <c r="AHU31" s="319">
        <f t="shared" ref="AHU31:AHU34" ca="1" si="9864">AHO31*3+AHP31*1</f>
        <v>9</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Slovakia</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0</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Ukraine</v>
      </c>
      <c r="AMJ31" s="325">
        <f t="shared" ca="1" si="5267"/>
        <v>0</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2</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0</v>
      </c>
      <c r="F32" s="319">
        <f>SUMIF(CZ3:CZ60,B32,DA3:DA60)+SUMIF(DC3:DC60,B32,DB3:DB60)</f>
        <v>1</v>
      </c>
      <c r="G32" s="319">
        <f>SUMIF(DC3:DC60,B32,DA3:DA60)+SUMIF(CZ3:CZ60,B32,DB3:DB60)</f>
        <v>0</v>
      </c>
      <c r="H32" s="319">
        <f t="shared" si="9692"/>
        <v>1001</v>
      </c>
      <c r="I32" s="319">
        <f t="shared" si="9693"/>
        <v>3</v>
      </c>
      <c r="J32" s="319">
        <v>38</v>
      </c>
      <c r="K32" s="319">
        <f>IF(COUNTIF(I31:I35,4)&lt;&gt;4,RANK(I32,I31:I35),I72)</f>
        <v>1</v>
      </c>
      <c r="L32" s="319"/>
      <c r="M32" s="319">
        <f>SUMPRODUCT((K31:K34=K32)*(J31:J34&lt;J32))+K32</f>
        <v>1</v>
      </c>
      <c r="N32" s="319" t="str">
        <f>INDEX(B31:B35,MATCH(2,M31:M35,0),0)</f>
        <v>Romania</v>
      </c>
      <c r="O32" s="319">
        <f>INDEX(K31:K35,MATCH(N32,B31:B35,0),0)</f>
        <v>1</v>
      </c>
      <c r="P32" s="319" t="str">
        <f>IF(P31&lt;&gt;"",N32,"")</f>
        <v>Romania</v>
      </c>
      <c r="Q32" s="319" t="str">
        <f>IF(Q31&lt;&gt;"",N33,"")</f>
        <v/>
      </c>
      <c r="R32" s="319" t="str">
        <f>IF(R31&lt;&gt;"",N34,"")</f>
        <v>Belgium</v>
      </c>
      <c r="S32" s="319" t="str">
        <f>IF(S31&lt;&gt;"",N35,"")</f>
        <v/>
      </c>
      <c r="T32" s="319"/>
      <c r="U32" s="319" t="str">
        <f t="shared" ref="U32:U34" si="10046">IF(P32&lt;&gt;"",P32,"")</f>
        <v>Romania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0</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0</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0</v>
      </c>
      <c r="AA32" s="319">
        <f>Y32-Z32+1000</f>
        <v>1000</v>
      </c>
      <c r="AB32" s="319">
        <f t="shared" si="9694"/>
        <v>0</v>
      </c>
      <c r="AC32" s="319">
        <f>IF(U32&lt;&gt;"",VLOOKUP(U32,B4:H40,7,FALSE),"")</f>
        <v>1003</v>
      </c>
      <c r="AD32" s="319">
        <f>IF(U32&lt;&gt;"",VLOOKUP(U32,B4:H40,5,FALSE),"")</f>
        <v>3</v>
      </c>
      <c r="AE32" s="319">
        <f>IF(U32&lt;&gt;"",VLOOKUP(U32,B4:J40,9,FALSE),"")</f>
        <v>46</v>
      </c>
      <c r="AF32" s="319">
        <f t="shared" si="9695"/>
        <v>0</v>
      </c>
      <c r="AG32" s="319">
        <f>IF(U32&lt;&gt;"",RANK(AF32,AF31:AF35),"")</f>
        <v>1</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1</v>
      </c>
      <c r="AN32" s="319" t="str">
        <f>IF(U32&lt;&gt;"",INDEX(U31:U35,MATCH(2,AM31:AM35,0),0),"")</f>
        <v>Slovakia</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Slovakia</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Türkiye</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1</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1</v>
      </c>
      <c r="AHQ32" s="319">
        <f t="shared" ref="AHQ32" ca="1" si="10260">SUMPRODUCT((ALL3:ALL42=AHN32)*(ALP3:ALP42="L"))+SUMPRODUCT((ALO3:ALO42=AHN32)*(ALQ3:ALQ42="L"))</f>
        <v>2</v>
      </c>
      <c r="AHR32" s="319">
        <f t="shared" ref="AHR32" ca="1" si="10261">SUMIF(ALL3:ALL60,AHN32,ALM3:ALM60)+SUMIF(ALO3:ALO60,AHN32,ALN3:ALN60)</f>
        <v>3</v>
      </c>
      <c r="AHS32" s="319">
        <f t="shared" ref="AHS32" ca="1" si="10262">SUMIF(ALO3:ALO60,AHN32,ALM3:ALM60)+SUMIF(ALL3:ALL60,AHN32,ALN3:ALN60)</f>
        <v>6</v>
      </c>
      <c r="AHT32" s="319">
        <f t="shared" ca="1" si="9863"/>
        <v>997</v>
      </c>
      <c r="AHU32" s="319">
        <f t="shared" ca="1" si="9864"/>
        <v>1</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Ukraine</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Romania</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Ukraine</v>
      </c>
      <c r="ALJ32" s="319">
        <v>2</v>
      </c>
      <c r="ALK32" s="319">
        <v>30</v>
      </c>
      <c r="ALL32" s="319" t="str">
        <f t="shared" si="82"/>
        <v>Denmark</v>
      </c>
      <c r="ALM32" s="322">
        <f ca="1">IF(OFFSET('Player Game Board'!P39,0,ALM1)&lt;&gt;"",OFFSET('Player Game Board'!P39,0,ALM1),0)</f>
        <v>2</v>
      </c>
      <c r="ALN32" s="322">
        <f ca="1">IF(OFFSET('Player Game Board'!Q39,0,ALM1)&lt;&gt;"",OFFSET('Player Game Board'!Q39,0,ALM1),0)</f>
        <v>2</v>
      </c>
      <c r="ALO32" s="319" t="str">
        <f t="shared" si="83"/>
        <v>Serbia</v>
      </c>
      <c r="ALP32" s="319" t="str">
        <f ca="1">IF(AND(OFFSET('Player Game Board'!P39,0,ALM1)&lt;&gt;"",OFFSET('Player Game Board'!Q39,0,ALM1)&lt;&gt;""),IF(ALM32&gt;ALN32,"W",IF(ALM32=ALN32,"D","L")),"")</f>
        <v>D</v>
      </c>
      <c r="ALQ32" s="319" t="str">
        <f t="shared" ca="1" si="5720"/>
        <v>D</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2</v>
      </c>
      <c r="N33" s="319" t="str">
        <f>INDEX(B31:B35,MATCH(3,M31:M35,0),0)</f>
        <v>Ukraine</v>
      </c>
      <c r="O33" s="319">
        <f>INDEX(K31:K35,MATCH(N33,B31:B35,0),0)</f>
        <v>3</v>
      </c>
      <c r="P33" s="319" t="str">
        <f>IF(AND(P32&lt;&gt;"",O33=1),N33,"")</f>
        <v/>
      </c>
      <c r="Q33" s="319" t="str">
        <f>IF(AND(Q32&lt;&gt;"",O34=2),N34,"")</f>
        <v/>
      </c>
      <c r="R33" s="319" t="str">
        <f>IF(AND(R32&lt;&gt;"",O35=3),N35,"")</f>
        <v/>
      </c>
      <c r="S33" s="319"/>
      <c r="T33" s="319"/>
      <c r="U33" s="319" t="str">
        <f t="shared" si="10046"/>
        <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0</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0</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1000</v>
      </c>
      <c r="AB33" s="319" t="str">
        <f t="shared" si="9694"/>
        <v/>
      </c>
      <c r="AC33" s="319" t="str">
        <f>IF(U33&lt;&gt;"",VLOOKUP(U33,B4:H40,7,FALSE),"")</f>
        <v/>
      </c>
      <c r="AD33" s="319" t="str">
        <f>IF(U33&lt;&gt;"",VLOOKUP(U33,B4:H40,5,FALSE),"")</f>
        <v/>
      </c>
      <c r="AE33" s="319" t="str">
        <f>IF(U33&lt;&gt;"",VLOOKUP(U33,B4:J40,9,FALSE),"")</f>
        <v/>
      </c>
      <c r="AF33" s="319" t="str">
        <f t="shared" si="9695"/>
        <v/>
      </c>
      <c r="AG33" s="319" t="str">
        <f>IF(U33&lt;&gt;"",RANK(AF33,AF31:AF35),"")</f>
        <v/>
      </c>
      <c r="AH33" s="319" t="str">
        <f>IF(U33&lt;&gt;"",SUMPRODUCT((AF31:AF35=AF33)*(AA31:AA35&gt;AA33)),"")</f>
        <v/>
      </c>
      <c r="AI33" s="319" t="str">
        <f>IF(U33&lt;&gt;"",SUMPRODUCT((AF31:AF35=AF33)*(AA31:AA35=AA33)*(Y31:Y35&gt;Y33)),"")</f>
        <v/>
      </c>
      <c r="AJ33" s="319" t="str">
        <f>IF(U33&lt;&gt;"",SUMPRODUCT((AF31:AF35=AF33)*(AA31:AA35=AA33)*(Y31:Y35=Y33)*(AC31:AC35&gt;AC33)),"")</f>
        <v/>
      </c>
      <c r="AK33" s="319" t="str">
        <f>IF(U33&lt;&gt;"",SUMPRODUCT((AF31:AF35=AF33)*(AA31:AA35=AA33)*(Y31:Y35=Y33)*(AC31:AC35=AC33)*(AD31:AD35&gt;AD33)),"")</f>
        <v/>
      </c>
      <c r="AL33" s="319" t="str">
        <f>IF(U33&lt;&gt;"",SUMPRODUCT((AF31:AF35=AF33)*(AA31:AA35=AA33)*(Y31:Y35=Y33)*(AC31:AC35=AC33)*(AD31:AD35=AD33)*(AE31:AE35&gt;AE33)),"")</f>
        <v/>
      </c>
      <c r="AM33" s="319" t="str">
        <f>IF(U33&lt;&gt;"",IF(AM73&lt;&gt;"",IF(T70=3,AM73,AM73+T70),SUM(AG33:AL33)),"")</f>
        <v/>
      </c>
      <c r="AN33" s="319" t="str">
        <f>IF(U33&lt;&gt;"",INDEX(U31:U35,MATCH(3,AM31:AM35,0),0),"")</f>
        <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Ukraine</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f t="shared" ref="BP33:BP34" si="10507">IF(BI33&lt;&gt;"",BJ33*3+BK33*1,"")</f>
        <v>0</v>
      </c>
      <c r="BQ33" s="319">
        <f>IF(BI33&lt;&gt;"",VLOOKUP(BI33,B4:H40,7,FALSE),"")</f>
        <v>997</v>
      </c>
      <c r="BR33" s="319">
        <f>IF(BI33&lt;&gt;"",VLOOKUP(BI33,B4:H40,5,FALSE),"")</f>
        <v>0</v>
      </c>
      <c r="BS33" s="319">
        <f>IF(BI33&lt;&gt;"",VLOOKUP(BI33,B4:J40,9,FALSE),"")</f>
        <v>0</v>
      </c>
      <c r="BT33" s="319">
        <f t="shared" ref="BT33:BT34" si="10508">BP33</f>
        <v>0</v>
      </c>
      <c r="BU33" s="319">
        <f>IF(BI33&lt;&gt;"",RANK(BT33,BT32:BT35),"")</f>
        <v>1</v>
      </c>
      <c r="BV33" s="319">
        <f>IF(BI33&lt;&gt;"",SUMPRODUCT((BT31:BT35=BT33)*(BO31:BO35&gt;BO33)),"")</f>
        <v>0</v>
      </c>
      <c r="BW33" s="319">
        <f>IF(BI33&lt;&gt;"",SUMPRODUCT((BT31:BT35=BT33)*(BO31:BO35=BO33)*(BM31:BM35&gt;BM33)),"")</f>
        <v>0</v>
      </c>
      <c r="BX33" s="319">
        <f>IF(BI33&lt;&gt;"",SUMPRODUCT((BT31:BT35=BT33)*(BO31:BO35=BO33)*(BM31:BM35=BM33)*(BQ31:BQ35&gt;BQ33)),"")</f>
        <v>1</v>
      </c>
      <c r="BY33" s="319">
        <f>IF(BI33&lt;&gt;"",SUMPRODUCT((BT31:BT35=BT33)*(BO31:BO35=BO33)*(BM31:BM35=BM33)*(BQ31:BQ35=BQ33)*(BR31:BR35&gt;BR33)),"")</f>
        <v>0</v>
      </c>
      <c r="BZ33" s="319">
        <f>IF(BI33&lt;&gt;"",SUMPRODUCT((BT31:BT35=BT33)*(BO31:BO35=BO33)*(BM31:BM35=BM33)*(BQ31:BQ35=BQ33)*(BR31:BR35=BR33)*(BS31:BS35&gt;BS33)),"")</f>
        <v>0</v>
      </c>
      <c r="CA33" s="319">
        <f>IF(BI33&lt;&gt;"",SUM(BU33:BZ33)+2,"")</f>
        <v>4</v>
      </c>
      <c r="CB33" s="319" t="str">
        <f>IF(BI33&lt;&gt;"",INDEX(BI33:BI35,MATCH(3,CA33:CA35,0),0),"")</f>
        <v>Belgium</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Belgium</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1</v>
      </c>
      <c r="AHM33" s="319">
        <f t="shared" ref="AHM33" ca="1" si="10773">VLOOKUP(AHN33,ALI31:ALJ35,2,FALSE)</f>
        <v>4</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1</v>
      </c>
      <c r="AHQ33" s="319">
        <f t="shared" ref="AHQ33" ca="1" si="10776">SUMPRODUCT((ALL3:ALL42=AHN33)*(ALP3:ALP42="L"))+SUMPRODUCT((ALO3:ALO42=AHN33)*(ALQ3:ALQ42="L"))</f>
        <v>2</v>
      </c>
      <c r="AHR33" s="319">
        <f t="shared" ref="AHR33" ca="1" si="10777">SUMIF(ALL3:ALL60,AHN33,ALM3:ALM60)+SUMIF(ALO3:ALO60,AHN33,ALN3:ALN60)</f>
        <v>2</v>
      </c>
      <c r="AHS33" s="319">
        <f t="shared" ref="AHS33" ca="1" si="10778">SUMIF(ALO3:ALO60,AHN33,ALM3:ALM60)+SUMIF(ALL3:ALL60,AHN33,ALN3:ALN60)</f>
        <v>8</v>
      </c>
      <c r="AHT33" s="319">
        <f t="shared" ca="1" si="9863"/>
        <v>994</v>
      </c>
      <c r="AHU33" s="319">
        <f t="shared" ca="1" si="9864"/>
        <v>1</v>
      </c>
      <c r="AHV33" s="319">
        <f t="shared" si="870"/>
        <v>46</v>
      </c>
      <c r="AHW33" s="319">
        <f t="shared" ref="AHW33" ca="1" si="10779">IF(COUNTIF(AHU31:AHU35,4)&lt;&gt;4,RANK(AHU33,AHU31:AHU35),AHU73)</f>
        <v>3</v>
      </c>
      <c r="AHX33" s="319"/>
      <c r="AHY33" s="319">
        <f t="shared" ref="AHY33" ca="1" si="10780">SUMPRODUCT((AHW31:AHW34=AHW33)*(AHV31:AHV34&lt;AHV33))+AHW33</f>
        <v>4</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Slovakia</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19">
        <f t="shared" ref="AKA33:AKA34" ca="1" si="10822">AJY33-AJZ33+1000</f>
        <v>1000</v>
      </c>
      <c r="AKB33" s="319">
        <f t="shared" ref="AKB33:AKB34" ca="1" si="10823">IF(AJU33&lt;&gt;"",AJV33*3+AJW33*1,"")</f>
        <v>1</v>
      </c>
      <c r="AKC33" s="319">
        <f t="shared" ref="AKC33" ca="1" si="10824">IF(AJU33&lt;&gt;"",VLOOKUP(AJU33,AHN4:AHT40,7,FALSE),"")</f>
        <v>997</v>
      </c>
      <c r="AKD33" s="319">
        <f t="shared" ref="AKD33" ca="1" si="10825">IF(AJU33&lt;&gt;"",VLOOKUP(AJU33,AHN4:AHT40,5,FALSE),"")</f>
        <v>3</v>
      </c>
      <c r="AKE33" s="319">
        <f t="shared" ref="AKE33" ca="1" si="10826">IF(AJU33&lt;&gt;"",VLOOKUP(AJU33,AHN4:AHV40,9,FALSE),"")</f>
        <v>38</v>
      </c>
      <c r="AKF33" s="319">
        <f t="shared" ref="AKF33:AKF34" ca="1" si="10827">AKB33</f>
        <v>1</v>
      </c>
      <c r="AKG33" s="319">
        <f t="shared" ref="AKG33" ca="1" si="10828">IF(AJU33&lt;&gt;"",RANK(AKF33,AKF32:AKF35),"")</f>
        <v>1</v>
      </c>
      <c r="AKH33" s="319">
        <f t="shared" ref="AKH33" ca="1" si="10829">IF(AJU33&lt;&gt;"",SUMPRODUCT((AKF31:AKF35=AKF33)*(AKA31:AKA35&gt;AKA33)),"")</f>
        <v>0</v>
      </c>
      <c r="AKI33" s="319">
        <f t="shared" ref="AKI33" ca="1" si="10830">IF(AJU33&lt;&gt;"",SUMPRODUCT((AKF31:AKF35=AKF33)*(AKA31:AKA35=AKA33)*(AJY31:AJY35&gt;AJY33)),"")</f>
        <v>0</v>
      </c>
      <c r="AKJ33" s="319">
        <f t="shared" ref="AKJ33" ca="1" si="10831">IF(AJU33&lt;&gt;"",SUMPRODUCT((AKF31:AKF35=AKF33)*(AKA31:AKA35=AKA33)*(AJY31:AJY35=AJY33)*(AKC31:AKC35&gt;AKC33)),"")</f>
        <v>0</v>
      </c>
      <c r="AKK33" s="319">
        <f t="shared" ref="AKK33" ca="1" si="10832">IF(AJU33&lt;&gt;"",SUMPRODUCT((AKF31:AKF35=AKF33)*(AKA31:AKA35=AKA33)*(AJY31:AJY35=AJY33)*(AKC31:AKC35=AKC33)*(AKD31:AKD35&gt;AKD33)),"")</f>
        <v>0</v>
      </c>
      <c r="AKL33" s="319">
        <f t="shared" ref="AKL33" ca="1" si="10833">IF(AJU33&lt;&gt;"",SUMPRODUCT((AKF31:AKF35=AKF33)*(AKA31:AKA35=AKA33)*(AJY31:AJY35=AJY33)*(AKC31:AKC35=AKC33)*(AKD31:AKD35=AKD33)*(AKE31:AKE35&gt;AKE33)),"")</f>
        <v>0</v>
      </c>
      <c r="AKM33" s="319">
        <f t="shared" ref="AKM33:AKM34" ca="1" si="10834">IF(AJU33&lt;&gt;"",SUM(AKG33:AKL33)+2,"")</f>
        <v>3</v>
      </c>
      <c r="AKN33" s="319" t="str">
        <f t="shared" ref="AKN33" ca="1" si="10835">IF(AJU33&lt;&gt;"",INDEX(AJU33:AJU35,MATCH(3,AKM33:AKM35,0),0),"")</f>
        <v>Slovakia</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3</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4</v>
      </c>
      <c r="B34" s="319" t="str">
        <f>'Language Table'!C28</f>
        <v>Ukraine</v>
      </c>
      <c r="C34" s="319">
        <f>SUMPRODUCT((CZ3:CZ42=B34)*(DD3:DD42="W"))+SUMPRODUCT((DC3:DC42=B34)*(DE3:DE42="W"))</f>
        <v>0</v>
      </c>
      <c r="D34" s="319">
        <f>SUMPRODUCT((CZ3:CZ42=B34)*(DD3:DD42="D"))+SUMPRODUCT((DC3:DC42=B34)*(DE3:DE42="D"))</f>
        <v>0</v>
      </c>
      <c r="E34" s="319">
        <f>SUMPRODUCT((CZ3:CZ42=B34)*(DD3:DD42="L"))+SUMPRODUCT((DC3:DC42=B34)*(DE3:DE42="L"))</f>
        <v>1</v>
      </c>
      <c r="F34" s="319">
        <f>SUMIF(CZ3:CZ60,B34,DA3:DA60)+SUMIF(DC3:DC60,B34,DB3:DB60)</f>
        <v>0</v>
      </c>
      <c r="G34" s="319">
        <f>SUMIF(DC3:DC60,B34,DA3:DA60)+SUMIF(CZ3:CZ60,B34,DB3:DB60)</f>
        <v>3</v>
      </c>
      <c r="H34" s="319">
        <f t="shared" si="9692"/>
        <v>997</v>
      </c>
      <c r="I34" s="319">
        <f t="shared" si="9693"/>
        <v>0</v>
      </c>
      <c r="J34" s="319">
        <v>0</v>
      </c>
      <c r="K34" s="319">
        <f>IF(COUNTIF(I31:I35,4)&lt;&gt;4,RANK(I34,I31:I35),I74)</f>
        <v>3</v>
      </c>
      <c r="L34" s="319"/>
      <c r="M34" s="319">
        <f>SUMPRODUCT((K31:K34=K34)*(J31:J34&lt;J34))+K34</f>
        <v>3</v>
      </c>
      <c r="N34" s="319" t="str">
        <f>INDEX(B31:B35,MATCH(4,M31:M35,0),0)</f>
        <v>Belgium</v>
      </c>
      <c r="O34" s="319">
        <f>INDEX(K31:K35,MATCH(N34,B31:B35,0),0)</f>
        <v>3</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Belgium</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f t="shared" si="10507"/>
        <v>0</v>
      </c>
      <c r="BQ34" s="319">
        <f>IF(BI34&lt;&gt;"",VLOOKUP(BI34,B4:H40,7,FALSE),"")</f>
        <v>999</v>
      </c>
      <c r="BR34" s="319">
        <f>IF(BI34&lt;&gt;"",VLOOKUP(BI34,B4:H40,5,FALSE),"")</f>
        <v>0</v>
      </c>
      <c r="BS34" s="319">
        <f>IF(BI34&lt;&gt;"",VLOOKUP(BI34,B4:J40,9,FALSE),"")</f>
        <v>50</v>
      </c>
      <c r="BT34" s="319">
        <f t="shared" si="10508"/>
        <v>0</v>
      </c>
      <c r="BU34" s="319">
        <f>IF(BI34&lt;&gt;"",RANK(BT34,BT32:BT35),"")</f>
        <v>1</v>
      </c>
      <c r="BV34" s="319">
        <f>IF(BI34&lt;&gt;"",SUMPRODUCT((BT31:BT35=BT34)*(BO31:BO35&gt;BO34)),"")</f>
        <v>0</v>
      </c>
      <c r="BW34" s="319">
        <f>IF(BI34&lt;&gt;"",SUMPRODUCT((BT31:BT35=BT34)*(BO31:BO35=BO34)*(BM31:BM35&gt;BM34)),"")</f>
        <v>0</v>
      </c>
      <c r="BX34" s="319">
        <f>IF(BI34&lt;&gt;"",SUMPRODUCT((BT31:BT35=BT34)*(BO31:BO35=BO34)*(BM31:BM35=BM34)*(BQ31:BQ35&gt;BQ34)),"")</f>
        <v>0</v>
      </c>
      <c r="BY34" s="319">
        <f>IF(BI34&lt;&gt;"",SUMPRODUCT((BT31:BT35=BT34)*(BO31:BO35=BO34)*(BM31:BM35=BM34)*(BQ31:BQ35=BQ34)*(BR31:BR35&gt;BR34)),"")</f>
        <v>0</v>
      </c>
      <c r="BZ34" s="319">
        <f>IF(BI34&lt;&gt;"",SUMPRODUCT((BT31:BT35=BT34)*(BO31:BO35=BO34)*(BM31:BM35=BM34)*(BQ31:BQ35=BQ34)*(BR31:BR35=BR34)*(BS31:BS35&gt;BS34)),"")</f>
        <v>0</v>
      </c>
      <c r="CA34" s="319">
        <f>IF(BI34&lt;&gt;"",SUM(BU34:BZ34)+2,"")</f>
        <v>3</v>
      </c>
      <c r="CB34" s="319" t="str">
        <f>IF(BI34&lt;&gt;"",INDEX(BI33:BI35,MATCH(4,CA33:CA35,0),0),"")</f>
        <v>Ukraine</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11</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13</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11</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2</v>
      </c>
      <c r="AHN34" s="319" t="str">
        <f t="shared" si="9857"/>
        <v>Ukraine</v>
      </c>
      <c r="AHO34" s="319">
        <f t="shared" ref="AHO34" ca="1" si="11409">SUMPRODUCT((ALL3:ALL42=AHN34)*(ALP3:ALP42="W"))+SUMPRODUCT((ALO3:ALO42=AHN34)*(ALQ3:ALQ42="W"))</f>
        <v>2</v>
      </c>
      <c r="AHP34" s="319">
        <f t="shared" ref="AHP34" ca="1" si="11410">SUMPRODUCT((ALL3:ALL42=AHN34)*(ALP3:ALP42="D"))+SUMPRODUCT((ALO3:ALO42=AHN34)*(ALQ3:ALQ42="D"))</f>
        <v>0</v>
      </c>
      <c r="AHQ34" s="319">
        <f t="shared" ref="AHQ34" ca="1" si="11411">SUMPRODUCT((ALL3:ALL42=AHN34)*(ALP3:ALP42="L"))+SUMPRODUCT((ALO3:ALO42=AHN34)*(ALQ3:ALQ42="L"))</f>
        <v>1</v>
      </c>
      <c r="AHR34" s="319">
        <f t="shared" ref="AHR34" ca="1" si="11412">SUMIF(ALL3:ALL60,AHN34,ALM3:ALM60)+SUMIF(ALO3:ALO60,AHN34,ALN3:ALN60)</f>
        <v>8</v>
      </c>
      <c r="AHS34" s="319">
        <f t="shared" ref="AHS34" ca="1" si="11413">SUMIF(ALO3:ALO60,AHN34,ALM3:ALM60)+SUMIF(ALL3:ALL60,AHN34,ALN3:ALN60)</f>
        <v>5</v>
      </c>
      <c r="AHT34" s="319">
        <f t="shared" ca="1" si="9863"/>
        <v>1003</v>
      </c>
      <c r="AHU34" s="319">
        <f t="shared" ca="1" si="9864"/>
        <v>6</v>
      </c>
      <c r="AHV34" s="319">
        <f t="shared" si="870"/>
        <v>0</v>
      </c>
      <c r="AHW34" s="319">
        <f t="shared" ref="AHW34" ca="1" si="11414">IF(COUNTIF(AHU31:AHU35,4)&lt;&gt;4,RANK(AHU34,AHU31:AHU35),AHU74)</f>
        <v>2</v>
      </c>
      <c r="AHX34" s="319"/>
      <c r="AHY34" s="319">
        <f t="shared" ref="AHY34" ca="1" si="11415">SUMPRODUCT((AHW31:AHW34=AHW34)*(AHV31:AHV34&lt;AHV34))+AHW34</f>
        <v>2</v>
      </c>
      <c r="AHZ34" s="319" t="str">
        <f t="shared" ref="AHZ34" ca="1" si="11416">INDEX(AHN31:AHN35,MATCH(4,AHY31:AHY35,0),0)</f>
        <v>Romania</v>
      </c>
      <c r="AIA34" s="319">
        <f t="shared" ref="AIA34" ca="1" si="11417">INDEX(AHW31:AHW35,MATCH(AHZ34,AHN31:AHN35,0),0)</f>
        <v>3</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Romania</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19">
        <f t="shared" ca="1" si="10822"/>
        <v>1000</v>
      </c>
      <c r="AKB34" s="319">
        <f t="shared" ca="1" si="10823"/>
        <v>1</v>
      </c>
      <c r="AKC34" s="319">
        <f t="shared" ref="AKC34" ca="1" si="11453">IF(AJU34&lt;&gt;"",VLOOKUP(AJU34,AHN4:AHT40,7,FALSE),"")</f>
        <v>994</v>
      </c>
      <c r="AKD34" s="319">
        <f t="shared" ref="AKD34" ca="1" si="11454">IF(AJU34&lt;&gt;"",VLOOKUP(AJU34,AHN4:AHT40,5,FALSE),"")</f>
        <v>2</v>
      </c>
      <c r="AKE34" s="319">
        <f t="shared" ref="AKE34" ca="1" si="11455">IF(AJU34&lt;&gt;"",VLOOKUP(AJU34,AHN4:AHV40,9,FALSE),"")</f>
        <v>46</v>
      </c>
      <c r="AKF34" s="319">
        <f t="shared" ca="1" si="10827"/>
        <v>1</v>
      </c>
      <c r="AKG34" s="319">
        <f t="shared" ref="AKG34" ca="1" si="11456">IF(AJU34&lt;&gt;"",RANK(AKF34,AKF32:AKF35),"")</f>
        <v>1</v>
      </c>
      <c r="AKH34" s="319">
        <f t="shared" ref="AKH34" ca="1" si="11457">IF(AJU34&lt;&gt;"",SUMPRODUCT((AKF31:AKF35=AKF34)*(AKA31:AKA35&gt;AKA34)),"")</f>
        <v>0</v>
      </c>
      <c r="AKI34" s="319">
        <f t="shared" ref="AKI34" ca="1" si="11458">IF(AJU34&lt;&gt;"",SUMPRODUCT((AKF31:AKF35=AKF34)*(AKA31:AKA35=AKA34)*(AJY31:AJY35&gt;AJY34)),"")</f>
        <v>0</v>
      </c>
      <c r="AKJ34" s="319">
        <f t="shared" ref="AKJ34" ca="1" si="11459">IF(AJU34&lt;&gt;"",SUMPRODUCT((AKF31:AKF35=AKF34)*(AKA31:AKA35=AKA34)*(AJY31:AJY35=AJY34)*(AKC31:AKC35&gt;AKC34)),"")</f>
        <v>1</v>
      </c>
      <c r="AKK34" s="319">
        <f t="shared" ref="AKK34" ca="1" si="11460">IF(AJU34&lt;&gt;"",SUMPRODUCT((AKF31:AKF35=AKF34)*(AKA31:AKA35=AKA34)*(AJY31:AJY35=AJY34)*(AKC31:AKC35=AKC34)*(AKD31:AKD35&gt;AKD34)),"")</f>
        <v>0</v>
      </c>
      <c r="AKL34" s="319">
        <f t="shared" ref="AKL34" ca="1" si="11461">IF(AJU34&lt;&gt;"",SUMPRODUCT((AKF31:AKF35=AKF34)*(AKA31:AKA35=AKA34)*(AJY31:AJY35=AJY34)*(AKC31:AKC35=AKC34)*(AKD31:AKD35=AKD34)*(AKE31:AKE35&gt;AKE34)),"")</f>
        <v>0</v>
      </c>
      <c r="AKM34" s="319">
        <f t="shared" ca="1" si="10834"/>
        <v>4</v>
      </c>
      <c r="AKN34" s="319" t="str">
        <f t="shared" ref="AKN34" ca="1" si="11462">IF(AJU34&lt;&gt;"",INDEX(AJU33:AJU35,MATCH(4,AKM33:AKM35,0),0),"")</f>
        <v>Romania</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Romania</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1</v>
      </c>
      <c r="ALN35" s="322">
        <f ca="1">IF(OFFSET('Player Game Board'!Q42,0,ALM1)&lt;&gt;"",OFFSET('Player Game Board'!Q42,0,ALM1),0)</f>
        <v>1</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1</v>
      </c>
      <c r="ALN36" s="322">
        <f ca="1">IF(OFFSET('Player Game Board'!Q43,0,ALM1)&lt;&gt;"",OFFSET('Player Game Board'!Q43,0,ALM1),0)</f>
        <v>3</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2</v>
      </c>
      <c r="AHP37" s="319">
        <f t="shared" ref="AHP37" ca="1" si="11951">SUMPRODUCT((ALL3:ALL42=AHN37)*(ALP3:ALP42="D"))+SUMPRODUCT((ALO3:ALO42=AHN37)*(ALQ3:ALQ42="D"))</f>
        <v>1</v>
      </c>
      <c r="AHQ37" s="319">
        <f t="shared" ref="AHQ37" ca="1" si="11952">SUMPRODUCT((ALL3:ALL42=AHN37)*(ALP3:ALP42="L"))+SUMPRODUCT((ALO3:ALO42=AHN37)*(ALQ3:ALQ42="L"))</f>
        <v>0</v>
      </c>
      <c r="AHR37" s="319">
        <f t="shared" ref="AHR37" ca="1" si="11953">SUMIF(ALL3:ALL60,AHN37,ALM3:ALM60)+SUMIF(ALO3:ALO60,AHN37,ALN3:ALN60)</f>
        <v>7</v>
      </c>
      <c r="AHS37" s="319">
        <f t="shared" ref="AHS37" ca="1" si="11954">SUMIF(ALO3:ALO60,AHN37,ALM3:ALM60)+SUMIF(ALL3:ALL60,AHN37,ALN3:ALN60)</f>
        <v>3</v>
      </c>
      <c r="AHT37" s="319">
        <f t="shared" ref="AHT37:AHT40" ca="1" si="11955">AHR37-AHS37+1000</f>
        <v>1004</v>
      </c>
      <c r="AHU37" s="319">
        <f t="shared" ref="AHU37:AHU40" ca="1" si="11956">AHO37*3+AHP37*1</f>
        <v>7</v>
      </c>
      <c r="AHV37" s="319">
        <f t="shared" si="870"/>
        <v>53</v>
      </c>
      <c r="AHW37" s="319">
        <f t="shared" ref="AHW37" ca="1" si="11957">IF(COUNTIF(AHU37:AHU41,4)&lt;&gt;4,RANK(AHU37,AHU37:AHU41),AHU77)</f>
        <v>1</v>
      </c>
      <c r="AHX37" s="319"/>
      <c r="AHY37" s="319">
        <f t="shared" ref="AHY37" ca="1" si="11958">SUMPRODUCT((AHW37:AHW40=AHW37)*(AHV37:AHV40&lt;AHV37))+AHW37</f>
        <v>2</v>
      </c>
      <c r="AHZ37" s="319" t="str">
        <f t="shared" ref="AHZ37" ca="1" si="11959">INDEX(AHN37:AHN41,MATCH(1,AHY37:AHY41,0),0)</f>
        <v>Türkiye</v>
      </c>
      <c r="AIA37" s="319">
        <f t="shared" ref="AIA37" ca="1" si="11960">INDEX(AHW37:AHW41,MATCH(AHZ37,AHN37:AHN41,0),0)</f>
        <v>1</v>
      </c>
      <c r="AIB37" s="319" t="str">
        <f t="shared" ref="AIB37" ca="1" si="11961">IF(AIA38=1,AHZ37,"")</f>
        <v>Türkiye</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Türkiye</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19">
        <f t="shared" ref="AIM37:AIM40" ca="1" si="11971">AIK37-AIL37+1000</f>
        <v>1000</v>
      </c>
      <c r="AIN37" s="319">
        <f t="shared" ref="AIN37:AIN40" ca="1" si="11972">IF(AIG37&lt;&gt;"",AIH37*3+AII37*1,"")</f>
        <v>1</v>
      </c>
      <c r="AIO37" s="319">
        <f t="shared" ref="AIO37" ca="1" si="11973">IF(AIG37&lt;&gt;"",VLOOKUP(AIG37,AHN4:AHT40,7,FALSE),"")</f>
        <v>1004</v>
      </c>
      <c r="AIP37" s="319">
        <f t="shared" ref="AIP37" ca="1" si="11974">IF(AIG37&lt;&gt;"",VLOOKUP(AIG37,AHN4:AHT40,5,FALSE),"")</f>
        <v>7</v>
      </c>
      <c r="AIQ37" s="319">
        <f t="shared" ref="AIQ37" ca="1" si="11975">IF(AIG37&lt;&gt;"",VLOOKUP(AIG37,AHN4:AHV40,9,FALSE),"")</f>
        <v>47</v>
      </c>
      <c r="AIR37" s="319">
        <f t="shared" ref="AIR37:AIR40" ca="1" si="11976">AIN37</f>
        <v>1</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1</v>
      </c>
      <c r="AIY37" s="319">
        <f ca="1">IF(AIG37&lt;&gt;"",IF(AIY77&lt;&gt;"",IF(AIF76=3,AIY77,AIY77+AIF76),SUM(AIS37:AIX37)),"")</f>
        <v>2</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3</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1</v>
      </c>
      <c r="AHP38" s="319">
        <f t="shared" ref="AHP38" ca="1" si="12342">SUMPRODUCT((ALL3:ALL42=AHN38)*(ALP3:ALP42="D"))+SUMPRODUCT((ALO3:ALO42=AHN38)*(ALQ3:ALQ42="D"))</f>
        <v>0</v>
      </c>
      <c r="AHQ38" s="319">
        <f t="shared" ref="AHQ38" ca="1" si="12343">SUMPRODUCT((ALL3:ALL42=AHN38)*(ALP3:ALP42="L"))+SUMPRODUCT((ALO3:ALO42=AHN38)*(ALQ3:ALQ42="L"))</f>
        <v>2</v>
      </c>
      <c r="AHR38" s="319">
        <f t="shared" ref="AHR38" ca="1" si="12344">SUMIF(ALL3:ALL60,AHN38,ALM3:ALM60)+SUMIF(ALO3:ALO60,AHN38,ALN3:ALN60)</f>
        <v>4</v>
      </c>
      <c r="AHS38" s="319">
        <f t="shared" ref="AHS38" ca="1" si="12345">SUMIF(ALO3:ALO60,AHN38,ALM3:ALM60)+SUMIF(ALL3:ALL60,AHN38,ALN3:ALN60)</f>
        <v>4</v>
      </c>
      <c r="AHT38" s="319">
        <f t="shared" ca="1" si="11955"/>
        <v>1000</v>
      </c>
      <c r="AHU38" s="319">
        <f t="shared" ca="1" si="11956"/>
        <v>3</v>
      </c>
      <c r="AHV38" s="319">
        <f t="shared" si="870"/>
        <v>37</v>
      </c>
      <c r="AHW38" s="319">
        <f t="shared" ref="AHW38" ca="1" si="12346">IF(COUNTIF(AHU37:AHU41,4)&lt;&gt;4,RANK(AHU38,AHU37:AHU41),AHU78)</f>
        <v>3</v>
      </c>
      <c r="AHX38" s="319"/>
      <c r="AHY38" s="319">
        <f t="shared" ref="AHY38" ca="1" si="12347">SUMPRODUCT((AHW37:AHW40=AHW38)*(AHV37:AHV40&lt;AHV38))+AHW38</f>
        <v>3</v>
      </c>
      <c r="AHZ38" s="319" t="str">
        <f t="shared" ref="AHZ38" ca="1" si="12348">INDEX(AHN37:AHN41,MATCH(2,AHY37:AHY41,0),0)</f>
        <v>Portugal</v>
      </c>
      <c r="AIA38" s="319">
        <f t="shared" ref="AIA38" ca="1" si="12349">INDEX(AHW37:AHW41,MATCH(AHZ38,AHN37:AHN41,0),0)</f>
        <v>1</v>
      </c>
      <c r="AIB38" s="319" t="str">
        <f t="shared" ref="AIB38" ca="1" si="12350">IF(AIB37&lt;&gt;"",AHZ38,"")</f>
        <v>Portugal</v>
      </c>
      <c r="AIC38" s="319" t="str">
        <f t="shared" ref="AIC38" ca="1" si="12351">IF(AIC37&lt;&gt;"",AHZ39,"")</f>
        <v/>
      </c>
      <c r="AID38" s="319" t="str">
        <f t="shared" ref="AID38" ca="1" si="12352">IF(AID37&lt;&gt;"",AHZ40,"")</f>
        <v/>
      </c>
      <c r="AIE38" s="319" t="str">
        <f t="shared" ref="AIE38" si="12353">IF(AIE37&lt;&gt;"",AHZ41,"")</f>
        <v/>
      </c>
      <c r="AIF38" s="319"/>
      <c r="AIG38" s="319" t="str">
        <f t="shared" ca="1" si="11965"/>
        <v>Portugal</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19">
        <f t="shared" ca="1" si="11971"/>
        <v>1000</v>
      </c>
      <c r="AIN38" s="319">
        <f t="shared" ca="1" si="11972"/>
        <v>1</v>
      </c>
      <c r="AIO38" s="319">
        <f t="shared" ref="AIO38" ca="1" si="12359">IF(AIG38&lt;&gt;"",VLOOKUP(AIG38,AHN4:AHT40,7,FALSE),"")</f>
        <v>1004</v>
      </c>
      <c r="AIP38" s="319">
        <f t="shared" ref="AIP38" ca="1" si="12360">IF(AIG38&lt;&gt;"",VLOOKUP(AIG38,AHN4:AHT40,5,FALSE),"")</f>
        <v>7</v>
      </c>
      <c r="AIQ38" s="319">
        <f t="shared" ref="AIQ38" ca="1" si="12361">IF(AIG38&lt;&gt;"",VLOOKUP(AIG38,AHN4:AHV40,9,FALSE),"")</f>
        <v>53</v>
      </c>
      <c r="AIR38" s="319">
        <f t="shared" ca="1" si="11976"/>
        <v>1</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0</v>
      </c>
      <c r="AIY38" s="319">
        <f ca="1">IF(AIG38&lt;&gt;"",IF(AIY78&lt;&gt;"",IF(AIF76=3,AIY78,AIY78+AIF76),SUM(AIS38:AIX38)),"")</f>
        <v>1</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1</v>
      </c>
      <c r="ALN38" s="322">
        <f ca="1">IF(OFFSET('Player Game Board'!Q45,0,ALM1)&lt;&gt;"",OFFSET('Player Game Board'!Q45,0,ALM1),0)</f>
        <v>2</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1</v>
      </c>
      <c r="AHQ39" s="319">
        <f t="shared" ref="AHQ39" ca="1" si="12850">SUMPRODUCT((ALL3:ALL42=AHN39)*(ALP3:ALP42="L"))+SUMPRODUCT((ALO3:ALO42=AHN39)*(ALQ3:ALQ42="L"))</f>
        <v>0</v>
      </c>
      <c r="AHR39" s="319">
        <f t="shared" ref="AHR39" ca="1" si="12851">SUMIF(ALL3:ALL60,AHN39,ALM3:ALM60)+SUMIF(ALO3:ALO60,AHN39,ALN3:ALN60)</f>
        <v>7</v>
      </c>
      <c r="AHS39" s="319">
        <f t="shared" ref="AHS39" ca="1" si="12852">SUMIF(ALO3:ALO60,AHN39,ALM3:ALM60)+SUMIF(ALL3:ALL60,AHN39,ALN3:ALN60)</f>
        <v>3</v>
      </c>
      <c r="AHT39" s="319">
        <f t="shared" ca="1" si="11955"/>
        <v>1004</v>
      </c>
      <c r="AHU39" s="319">
        <f t="shared" ca="1" si="11956"/>
        <v>7</v>
      </c>
      <c r="AHV39" s="319">
        <f t="shared" si="870"/>
        <v>47</v>
      </c>
      <c r="AHW39" s="319">
        <f t="shared" ref="AHW39" ca="1" si="12853">IF(COUNTIF(AHU37:AHU41,4)&lt;&gt;4,RANK(AHU39,AHU37:AHU41),AHU79)</f>
        <v>1</v>
      </c>
      <c r="AHX39" s="319"/>
      <c r="AHY39" s="319">
        <f t="shared" ref="AHY39" ca="1" si="12854">SUMPRODUCT((AHW37:AHW40=AHW39)*(AHV37:AHV40&lt;AHV39))+AHW39</f>
        <v>1</v>
      </c>
      <c r="AHZ39" s="319" t="str">
        <f t="shared" ref="AHZ39" ca="1" si="12855">INDEX(AHN37:AHN41,MATCH(3,AHY37:AHY41,0),0)</f>
        <v>Czechia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3</v>
      </c>
      <c r="AHR40" s="319">
        <f t="shared" ref="AHR40" ca="1" si="13481">SUMIF(ALL3:ALL60,AHN40,ALM3:ALM60)+SUMIF(ALO3:ALO60,AHN40,ALN3:ALN60)</f>
        <v>0</v>
      </c>
      <c r="AHS40" s="319">
        <f t="shared" ref="AHS40" ca="1" si="13482">SUMIF(ALO3:ALO60,AHN40,ALM3:ALM60)+SUMIF(ALL3:ALL60,AHN40,ALN3:ALN60)</f>
        <v>8</v>
      </c>
      <c r="AHT40" s="319">
        <f t="shared" ca="1" si="11955"/>
        <v>992</v>
      </c>
      <c r="AHU40" s="319">
        <f t="shared" ca="1" si="11956"/>
        <v>0</v>
      </c>
      <c r="AHV40" s="319">
        <f t="shared" si="870"/>
        <v>0</v>
      </c>
      <c r="AHW40" s="319">
        <f t="shared" ref="AHW40" ca="1" si="13483">IF(COUNTIF(AHU37:AHU41,4)&lt;&gt;4,RANK(AHU40,AHU37:AHU41),AHU80)</f>
        <v>4</v>
      </c>
      <c r="AHX40" s="319"/>
      <c r="AHY40" s="319">
        <f t="shared" ref="AHY40" ca="1" si="13484">SUMPRODUCT((AHW37:AHW40=AHW40)*(AHV37:AHV40&lt;AHV40))+AHW40</f>
        <v>4</v>
      </c>
      <c r="AHZ40" s="319" t="str">
        <f t="shared" ref="AHZ40" ca="1" si="13485">INDEX(AHN37:AHN41,MATCH(4,AHY37:AHY41,0),0)</f>
        <v>Georgia</v>
      </c>
      <c r="AIA40" s="319">
        <f t="shared" ref="AIA40" ca="1" si="13486">INDEX(AHW37:AHW41,MATCH(AHZ40,AHN37:AHN41,0),0)</f>
        <v>4</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363</v>
      </c>
      <c r="I51" s="321">
        <f>SUMPRODUCT((I11:I14=I11)*(H11:H14=H11)*(F11:F14&gt;F11))+1</f>
        <v>1</v>
      </c>
      <c r="T51" s="321">
        <f>IF(U11&lt;&gt;"",SUMPRODUCT((AB11:AB14=AB11)*(AA11:AA14=AA11)*(Y11:Y14=Y11)*(Z11:Z14=Z11)),"")</f>
        <v>2</v>
      </c>
      <c r="U51" s="321" t="str">
        <f>IF(AND(T51&lt;&gt;"",T51&gt;1),U11,"")</f>
        <v>Italy</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f t="shared" ref="AB51:AB54" si="14959">IF(U51&lt;&gt;"",V51*3+W51*1,"")</f>
        <v>0</v>
      </c>
      <c r="AC51" s="321">
        <f>IF(U51&lt;&gt;"",VLOOKUP(U51,B4:H40,7,FALSE),"")</f>
        <v>1001</v>
      </c>
      <c r="AD51" s="321">
        <f>IF(U51&lt;&gt;"",VLOOKUP(U51,B4:H40,5,FALSE),"")</f>
        <v>2</v>
      </c>
      <c r="AE51" s="321">
        <f>IF(U51&lt;&gt;"",VLOOKUP(U51,B4:J40,9,FALSE),"")</f>
        <v>36</v>
      </c>
      <c r="AF51" s="321">
        <f>AB51</f>
        <v>0</v>
      </c>
      <c r="AG51" s="321">
        <f>IF(U51&lt;&gt;"",RANK(AF51,AF51:AF54),"")</f>
        <v>1</v>
      </c>
      <c r="AH51" s="321">
        <f>IF(U51&lt;&gt;"",SUMPRODUCT((AF51:AF54=AF51)*(AA51:AA54&gt;AA51)),"")</f>
        <v>0</v>
      </c>
      <c r="AI51" s="321">
        <f>IF(U51&lt;&gt;"",SUMPRODUCT((AF51:AF54=AF51)*(AA51:AA54=AA51)*(Y51:Y54&gt;Y51)),"")</f>
        <v>0</v>
      </c>
      <c r="AJ51" s="321">
        <f>IF(U51&lt;&gt;"",SUMPRODUCT((AF51:AF54=AF51)*(AA51:AA54=AA51)*(Y51:Y54=Y51)*(AC51:AC54&gt;AC51)),"")</f>
        <v>1</v>
      </c>
      <c r="AK51" s="321">
        <f>IF(U51&lt;&gt;"",SUMPRODUCT((AF51:AF54=AF51)*(AA51:AA54=AA51)*(Y51:Y54=Y51)*(AC51:AC54=AC51)*(AD51:AD54&gt;AD51)),"")</f>
        <v>0</v>
      </c>
      <c r="AL51" s="321">
        <f>IF(U51&lt;&gt;"",SUMPRODUCT((AF51:AF54=AF51)*(AA51:AA54=AA51)*(Y51:Y54=Y51)*(AC51:AC54=AC51)*(AD51:AD54=AD51)*(AE51:AE54&gt;AE51)),"")</f>
        <v>0</v>
      </c>
      <c r="AM51" s="321">
        <f>IF(U51&lt;&gt;"",SUM(AG51:AL51),"")</f>
        <v>2</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t="str">
        <f t="shared" ref="AIF51" ca="1" si="15042">IF(AIG11&lt;&gt;"",SUMPRODUCT((AIN11:AIN14=AIN11)*(AIM11:AIM14=AIM11)*(AIK11:AIK14=AIK11)*(AIL11:AIL14=AIL11)),"")</f>
        <v/>
      </c>
      <c r="AIG51" s="321" t="str">
        <f t="shared" ref="AIG51:AIG54" ca="1" si="15043">IF(AND(AIF51&lt;&gt;"",AIF51&gt;1),AIG11,"")</f>
        <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t="str">
        <f t="shared" ref="AIN51:AIN54" ca="1" si="15050">IF(AIG51&lt;&gt;"",AIH51*3+AII51*1,"")</f>
        <v/>
      </c>
      <c r="AIO51" s="321" t="str">
        <f t="shared" ref="AIO51" ca="1" si="15051">IF(AIG51&lt;&gt;"",VLOOKUP(AIG51,AHN4:AHT40,7,FALSE),"")</f>
        <v/>
      </c>
      <c r="AIP51" s="321" t="str">
        <f t="shared" ref="AIP51" ca="1" si="15052">IF(AIG51&lt;&gt;"",VLOOKUP(AIG51,AHN4:AHT40,5,FALSE),"")</f>
        <v/>
      </c>
      <c r="AIQ51" s="321" t="str">
        <f t="shared" ref="AIQ51" ca="1" si="15053">IF(AIG51&lt;&gt;"",VLOOKUP(AIG51,AHN4:AHV40,9,FALSE),"")</f>
        <v/>
      </c>
      <c r="AIR51" s="321" t="str">
        <f t="shared" ref="AIR51:AIR54" ca="1" si="15054">AIN51</f>
        <v/>
      </c>
      <c r="AIS51" s="321" t="str">
        <f t="shared" ref="AIS51" ca="1" si="15055">IF(AIG51&lt;&gt;"",RANK(AIR51,AIR51:AIR54),"")</f>
        <v/>
      </c>
      <c r="AIT51" s="321" t="str">
        <f t="shared" ref="AIT51" ca="1" si="15056">IF(AIG51&lt;&gt;"",SUMPRODUCT((AIR51:AIR54=AIR51)*(AIM51:AIM54&gt;AIM51)),"")</f>
        <v/>
      </c>
      <c r="AIU51" s="321" t="str">
        <f t="shared" ref="AIU51" ca="1" si="15057">IF(AIG51&lt;&gt;"",SUMPRODUCT((AIR51:AIR54=AIR51)*(AIM51:AIM54=AIM51)*(AIK51:AIK54&gt;AIK51)),"")</f>
        <v/>
      </c>
      <c r="AIV51" s="321" t="str">
        <f t="shared" ref="AIV51" ca="1" si="15058">IF(AIG51&lt;&gt;"",SUMPRODUCT((AIR51:AIR54=AIR51)*(AIM51:AIM54=AIM51)*(AIK51:AIK54=AIK51)*(AIO51:AIO54&gt;AIO51)),"")</f>
        <v/>
      </c>
      <c r="AIW51" s="321" t="str">
        <f t="shared" ref="AIW51" ca="1" si="15059">IF(AIG51&lt;&gt;"",SUMPRODUCT((AIR51:AIR54=AIR51)*(AIM51:AIM54=AIM51)*(AIK51:AIK54=AIK51)*(AIO51:AIO54=AIO51)*(AIP51:AIP54&gt;AIP51)),"")</f>
        <v/>
      </c>
      <c r="AIX51" s="321" t="str">
        <f t="shared" ref="AIX51" ca="1" si="15060">IF(AIG51&lt;&gt;"",SUMPRODUCT((AIR51:AIR54=AIR51)*(AIM51:AIM54=AIM51)*(AIK51:AIK54=AIK51)*(AIO51:AIO54=AIO51)*(AIP51:AIP54=AIP51)*(AIQ51:AIQ54&gt;AIQ51)),"")</f>
        <v/>
      </c>
      <c r="AIY51" s="321" t="str">
        <f t="shared" ref="AIY51" ca="1" si="15061">IF(AIG51&lt;&gt;"",SUM(AIS51:AIX51),"")</f>
        <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364</v>
      </c>
      <c r="I52" s="321">
        <f>SUMPRODUCT((I11:I14=I12)*(H11:H14=H12)*(F11:F14&gt;F12))+1</f>
        <v>1</v>
      </c>
      <c r="T52" s="321">
        <f>IF(U12&lt;&gt;"",SUMPRODUCT((AB11:AB14=AB12)*(AA11:AA14=AA12)*(Y11:Y14=Y12)*(Z11:Z14=Z12)),"")</f>
        <v>2</v>
      </c>
      <c r="U52" s="321" t="str">
        <f t="shared" ref="U52:U54" si="15142">IF(AND(T52&lt;&gt;"",T52&gt;1),U12,"")</f>
        <v>Spain</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f t="shared" si="14959"/>
        <v>0</v>
      </c>
      <c r="AC52" s="321">
        <f>IF(U52&lt;&gt;"",VLOOKUP(U52,B4:H40,7,FALSE),"")</f>
        <v>1003</v>
      </c>
      <c r="AD52" s="321">
        <f>IF(U52&lt;&gt;"",VLOOKUP(U52,B4:H40,5,FALSE),"")</f>
        <v>3</v>
      </c>
      <c r="AE52" s="321">
        <f>IF(U52&lt;&gt;"",VLOOKUP(U52,B4:J40,9,FALSE),"")</f>
        <v>51</v>
      </c>
      <c r="AF52" s="321">
        <f t="shared" ref="AF52:AF54" si="15143">AB52</f>
        <v>0</v>
      </c>
      <c r="AG52" s="321">
        <f>IF(U52&lt;&gt;"",RANK(AF52,AF51:AF54),"")</f>
        <v>1</v>
      </c>
      <c r="AH52" s="321">
        <f>IF(U52&lt;&gt;"",SUMPRODUCT((AF51:AF54=AF52)*(AA51:AA54&gt;AA52)),"")</f>
        <v>0</v>
      </c>
      <c r="AI52" s="321">
        <f>IF(U52&lt;&gt;"",SUMPRODUCT((AF51:AF54=AF52)*(AA51:AA54=AA52)*(Y51:Y54&gt;Y52)),"")</f>
        <v>0</v>
      </c>
      <c r="AJ52" s="321">
        <f>IF(U52&lt;&gt;"",SUMPRODUCT((AF51:AF54=AF52)*(AA51:AA54=AA52)*(Y51:Y54=Y52)*(AC51:AC54&gt;AC52)),"")</f>
        <v>0</v>
      </c>
      <c r="AK52" s="321">
        <f>IF(U52&lt;&gt;"",SUMPRODUCT((AF51:AF54=AF52)*(AA51:AA54=AA52)*(Y51:Y54=Y52)*(AC51:AC54=AC52)*(AD51:AD54&gt;AD52)),"")</f>
        <v>0</v>
      </c>
      <c r="AL52" s="321">
        <f>IF(U52&lt;&gt;"",SUMPRODUCT((AF51:AF54=AF52)*(AA51:AA54=AA52)*(Y51:Y54=Y52)*(AC51:AC54=AC52)*(AD51:AD54=AD52)*(AE51:AE54&gt;AE52)),"")</f>
        <v>0</v>
      </c>
      <c r="AM52" s="321">
        <f t="shared" ref="AM52:AM54" si="15144">IF(U52&lt;&gt;"",SUM(AG52:AL52),"")</f>
        <v>1</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t="str">
        <f t="shared" ref="AIF52" ca="1" si="15304">IF(AIG12&lt;&gt;"",SUMPRODUCT((AIN11:AIN14=AIN12)*(AIM11:AIM14=AIM12)*(AIK11:AIK14=AIK12)*(AIL11:AIL14=AIL12)),"")</f>
        <v/>
      </c>
      <c r="AIG52" s="321" t="str">
        <f t="shared" ca="1" si="15043"/>
        <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t="str">
        <f t="shared" ca="1" si="15050"/>
        <v/>
      </c>
      <c r="AIO52" s="321" t="str">
        <f t="shared" ref="AIO52" ca="1" si="15310">IF(AIG52&lt;&gt;"",VLOOKUP(AIG52,AHN4:AHT40,7,FALSE),"")</f>
        <v/>
      </c>
      <c r="AIP52" s="321" t="str">
        <f t="shared" ref="AIP52" ca="1" si="15311">IF(AIG52&lt;&gt;"",VLOOKUP(AIG52,AHN4:AHT40,5,FALSE),"")</f>
        <v/>
      </c>
      <c r="AIQ52" s="321" t="str">
        <f t="shared" ref="AIQ52" ca="1" si="15312">IF(AIG52&lt;&gt;"",VLOOKUP(AIG52,AHN4:AHV40,9,FALSE),"")</f>
        <v/>
      </c>
      <c r="AIR52" s="321" t="str">
        <f t="shared" ca="1" si="15054"/>
        <v/>
      </c>
      <c r="AIS52" s="321" t="str">
        <f t="shared" ref="AIS52" ca="1" si="15313">IF(AIG52&lt;&gt;"",RANK(AIR52,AIR51:AIR54),"")</f>
        <v/>
      </c>
      <c r="AIT52" s="321" t="str">
        <f t="shared" ref="AIT52" ca="1" si="15314">IF(AIG52&lt;&gt;"",SUMPRODUCT((AIR51:AIR54=AIR52)*(AIM51:AIM54&gt;AIM52)),"")</f>
        <v/>
      </c>
      <c r="AIU52" s="321" t="str">
        <f t="shared" ref="AIU52" ca="1" si="15315">IF(AIG52&lt;&gt;"",SUMPRODUCT((AIR51:AIR54=AIR52)*(AIM51:AIM54=AIM52)*(AIK51:AIK54&gt;AIK52)),"")</f>
        <v/>
      </c>
      <c r="AIV52" s="321" t="str">
        <f t="shared" ref="AIV52" ca="1" si="15316">IF(AIG52&lt;&gt;"",SUMPRODUCT((AIR51:AIR54=AIR52)*(AIM51:AIM54=AIM52)*(AIK51:AIK54=AIK52)*(AIO51:AIO54&gt;AIO52)),"")</f>
        <v/>
      </c>
      <c r="AIW52" s="321" t="str">
        <f t="shared" ref="AIW52" ca="1" si="15317">IF(AIG52&lt;&gt;"",SUMPRODUCT((AIR51:AIR54=AIR52)*(AIM51:AIM54=AIM52)*(AIK51:AIK54=AIK52)*(AIO51:AIO54=AIO52)*(AIP51:AIP54&gt;AIP52)),"")</f>
        <v/>
      </c>
      <c r="AIX52" s="321" t="str">
        <f t="shared" ref="AIX52" ca="1" si="15318">IF(AIG52&lt;&gt;"",SUMPRODUCT((AIR51:AIR54=AIR52)*(AIM51:AIM54=AIM52)*(AIK51:AIK54=AIK52)*(AIO51:AIO54=AIO52)*(AIP51:AIP54=AIP52)*(AIQ51:AIQ54&gt;AIQ52)),"")</f>
        <v/>
      </c>
      <c r="AIY52" s="321" t="str">
        <f t="shared" ref="AIY52:AIY54" ca="1" si="15319">IF(AIG52&lt;&gt;"",SUM(AIS52:AIX52),"")</f>
        <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367</v>
      </c>
    </row>
    <row r="56" spans="2:955 1033:1467" x14ac:dyDescent="0.2">
      <c r="C56" s="321" t="s">
        <v>368</v>
      </c>
    </row>
    <row r="57" spans="2:955 1033:1467" x14ac:dyDescent="0.2">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1</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f t="shared" ref="AIZ59" ca="1" si="16407">IF(AJA19&lt;&gt;"",SUMPRODUCT((AJH18:AJH21=AJH19)*(AJG18:AJG21=AJG19)*(AJE18:AJE21=AJE19)*(AJF18:AJF21=AJF19)),"")</f>
        <v>2</v>
      </c>
      <c r="AJA59" s="321" t="str">
        <f t="shared" ref="AJA59:AJA61" ca="1" si="16408">IF(AND(AIZ59&lt;&gt;"",AIZ59&gt;1),AJA19,"")</f>
        <v>Serbia</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1">
        <f t="shared" ref="AJG59:AJG61" ca="1" si="16414">AJE59-AJF59+1000</f>
        <v>1000</v>
      </c>
      <c r="AJH59" s="321">
        <f t="shared" ref="AJH59:AJH61" ca="1" si="16415">IF(AJA59&lt;&gt;"",AJB59*3+AJC59*1,"")</f>
        <v>1</v>
      </c>
      <c r="AJI59" s="321">
        <f t="shared" ref="AJI59" ca="1" si="16416">IF(AJA59&lt;&gt;"",VLOOKUP(AJA59,AHN4:AHT40,7,FALSE),"")</f>
        <v>1000</v>
      </c>
      <c r="AJJ59" s="321">
        <f t="shared" ref="AJJ59" ca="1" si="16417">IF(AJA59&lt;&gt;"",VLOOKUP(AJA59,AHN4:AHT40,5,FALSE),"")</f>
        <v>4</v>
      </c>
      <c r="AJK59" s="321">
        <f t="shared" ref="AJK59" ca="1" si="16418">IF(AJA59&lt;&gt;"",VLOOKUP(AJA59,AHN4:AHV40,9,FALSE),"")</f>
        <v>35</v>
      </c>
      <c r="AJL59" s="321">
        <f t="shared" ref="AJL59:AJL61" ca="1" si="16419">AJH59</f>
        <v>1</v>
      </c>
      <c r="AJM59" s="321">
        <f t="shared" ref="AJM59" ca="1" si="16420">IF(AJA59&lt;&gt;"",RANK(AJL59,AJL58:AJL61),"")</f>
        <v>1</v>
      </c>
      <c r="AJN59" s="321">
        <f t="shared" ref="AJN59" ca="1" si="16421">IF(AJA59&lt;&gt;"",SUMPRODUCT((AJL58:AJL61=AJL59)*(AJG58:AJG61&gt;AJG59)),"")</f>
        <v>0</v>
      </c>
      <c r="AJO59" s="321">
        <f t="shared" ref="AJO59" ca="1" si="16422">IF(AJA59&lt;&gt;"",SUMPRODUCT((AJL58:AJL61=AJL59)*(AJG58:AJG61=AJG59)*(AJE58:AJE61&gt;AJE59)),"")</f>
        <v>0</v>
      </c>
      <c r="AJP59" s="321">
        <f t="shared" ref="AJP59" ca="1" si="16423">IF(AJA59&lt;&gt;"",SUMPRODUCT((AJL58:AJL61=AJL59)*(AJG58:AJG61=AJG59)*(AJE58:AJE61=AJE59)*(AJI58:AJI61&gt;AJI59)),"")</f>
        <v>1</v>
      </c>
      <c r="AJQ59" s="321">
        <f t="shared" ref="AJQ59" ca="1" si="16424">IF(AJA59&lt;&gt;"",SUMPRODUCT((AJL58:AJL61=AJL59)*(AJG58:AJG61=AJG59)*(AJE58:AJE61=AJE59)*(AJI58:AJI61=AJI59)*(AJJ58:AJJ61&gt;AJJ59)),"")</f>
        <v>0</v>
      </c>
      <c r="AJR59" s="321">
        <f t="shared" ref="AJR59" ca="1" si="16425">IF(AJA59&lt;&gt;"",SUMPRODUCT((AJL58:AJL61=AJL59)*(AJG58:AJG61=AJG59)*(AJE58:AJE61=AJE59)*(AJI58:AJI61=AJI59)*(AJJ58:AJJ61=AJJ59)*(AJK58:AJK61&gt;AJK59)),"")</f>
        <v>0</v>
      </c>
      <c r="AJS59" s="321">
        <f t="shared" ref="AJS59" ca="1" si="16426">IF(AJA59&lt;&gt;"",SUM(AJM59:AJR59)+1,"")</f>
        <v>3</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1</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f t="shared" ref="AIZ60" ca="1" si="16709">IF(AJA20&lt;&gt;"",SUMPRODUCT((AJH18:AJH21=AJH20)*(AJG18:AJG21=AJG20)*(AJE18:AJE21=AJE20)*(AJF18:AJF21=AJF20)),"")</f>
        <v>2</v>
      </c>
      <c r="AJA60" s="321" t="str">
        <f t="shared" ca="1" si="16408"/>
        <v>Denmark</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1">
        <f t="shared" ca="1" si="16414"/>
        <v>1000</v>
      </c>
      <c r="AJH60" s="321">
        <f t="shared" ca="1" si="16415"/>
        <v>1</v>
      </c>
      <c r="AJI60" s="321">
        <f t="shared" ref="AJI60" ca="1" si="16715">IF(AJA60&lt;&gt;"",VLOOKUP(AJA60,AHN4:AHT40,7,FALSE),"")</f>
        <v>1001</v>
      </c>
      <c r="AJJ60" s="321">
        <f t="shared" ref="AJJ60" ca="1" si="16716">IF(AJA60&lt;&gt;"",VLOOKUP(AJA60,AHN4:AHT40,5,FALSE),"")</f>
        <v>6</v>
      </c>
      <c r="AJK60" s="321">
        <f t="shared" ref="AJK60" ca="1" si="16717">IF(AJA60&lt;&gt;"",VLOOKUP(AJA60,AHN4:AHV40,9,FALSE),"")</f>
        <v>45</v>
      </c>
      <c r="AJL60" s="321">
        <f t="shared" ca="1" si="16419"/>
        <v>1</v>
      </c>
      <c r="AJM60" s="321">
        <f t="shared" ref="AJM60" ca="1" si="16718">IF(AJA60&lt;&gt;"",RANK(AJL60,AJL58:AJL61),"")</f>
        <v>1</v>
      </c>
      <c r="AJN60" s="321">
        <f t="shared" ref="AJN60" ca="1" si="16719">IF(AJA60&lt;&gt;"",SUMPRODUCT((AJL58:AJL61=AJL60)*(AJG58:AJG61&gt;AJG60)),"")</f>
        <v>0</v>
      </c>
      <c r="AJO60" s="321">
        <f t="shared" ref="AJO60" ca="1" si="16720">IF(AJA60&lt;&gt;"",SUMPRODUCT((AJL58:AJL61=AJL60)*(AJG58:AJG61=AJG60)*(AJE58:AJE61&gt;AJE60)),"")</f>
        <v>0</v>
      </c>
      <c r="AJP60" s="321">
        <f t="shared" ref="AJP60" ca="1" si="16721">IF(AJA60&lt;&gt;"",SUMPRODUCT((AJL58:AJL61=AJL60)*(AJG58:AJG61=AJG60)*(AJE58:AJE61=AJE60)*(AJI58:AJI61&gt;AJI60)),"")</f>
        <v>0</v>
      </c>
      <c r="AJQ60" s="321">
        <f t="shared" ref="AJQ60" ca="1" si="16722">IF(AJA60&lt;&gt;"",SUMPRODUCT((AJL58:AJL61=AJL60)*(AJG58:AJG61=AJG60)*(AJE58:AJE61=AJE60)*(AJI58:AJI61=AJI60)*(AJJ58:AJJ61&gt;AJJ60)),"")</f>
        <v>0</v>
      </c>
      <c r="AJR60" s="321">
        <f t="shared" ref="AJR60" ca="1" si="16723">IF(AJA60&lt;&gt;"",SUMPRODUCT((AJL58:AJL61=AJL60)*(AJG58:AJG61=AJG60)*(AJE58:AJE61=AJE60)*(AJI58:AJI61=AJI60)*(AJJ58:AJJ61=AJJ60)*(AJK58:AJK61&gt;AJK60)),"")</f>
        <v>0</v>
      </c>
      <c r="AJS60" s="321">
        <f t="shared" ref="AJS60:AJS61" ca="1" si="16724">IF(AJA60&lt;&gt;"",SUM(AJM60:AJR60)+1,"")</f>
        <v>2</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0</v>
      </c>
      <c r="AC65" s="321">
        <f>IF(U65&lt;&gt;"",VLOOKUP(U65,B4:H40,7,FALSE),"")</f>
        <v>1001</v>
      </c>
      <c r="AD65" s="321">
        <f>IF(U65&lt;&gt;"",VLOOKUP(U65,B4:H40,5,FALSE),"")</f>
        <v>2</v>
      </c>
      <c r="AE65" s="321">
        <f>IF(U65&lt;&gt;"",VLOOKUP(U65,B4:J40,9,FALSE),"")</f>
        <v>42</v>
      </c>
      <c r="AF65" s="321">
        <f>AB65</f>
        <v>0</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1</v>
      </c>
      <c r="AIO65" s="321">
        <f t="shared" ref="AIO65" ca="1" si="17226">IF(AIG65&lt;&gt;"",VLOOKUP(AIG65,AHN4:AHT40,7,FALSE),"")</f>
        <v>1003</v>
      </c>
      <c r="AIP65" s="321">
        <f t="shared" ref="AIP65" ca="1" si="17227">IF(AIG65&lt;&gt;"",VLOOKUP(AIG65,AHN4:AHT40,5,FALSE),"")</f>
        <v>6</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0</v>
      </c>
      <c r="AC66" s="321">
        <f>IF(U66&lt;&gt;"",VLOOKUP(U66,B4:H40,7,FALSE),"")</f>
        <v>1001</v>
      </c>
      <c r="AD66" s="321">
        <f>IF(U66&lt;&gt;"",VLOOKUP(U66,B4:H40,5,FALSE),"")</f>
        <v>1</v>
      </c>
      <c r="AE66" s="321">
        <f>IF(U66&lt;&gt;"",VLOOKUP(U66,B4:J40,9,FALSE),"")</f>
        <v>52</v>
      </c>
      <c r="AF66" s="321">
        <f t="shared" ref="AF66:AF68" si="17319">AB66</f>
        <v>0</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1</v>
      </c>
      <c r="AIO66" s="321">
        <f t="shared" ref="AIO66" ca="1" si="17486">IF(AIG66&lt;&gt;"",VLOOKUP(AIG66,AHN4:AHT40,7,FALSE),"")</f>
        <v>1004</v>
      </c>
      <c r="AIP66" s="321">
        <f t="shared" ref="AIP66" ca="1" si="17487">IF(AIG66&lt;&gt;"",VLOOKUP(AIG66,AHN4:AHT40,5,FALSE),"")</f>
        <v>4</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2</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0</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2</v>
      </c>
      <c r="U71" s="321" t="str">
        <f>IF(AND(T71&lt;&gt;"",T71&gt;1),U31,"")</f>
        <v>Slovakia</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f>IF(U71&lt;&gt;"",V71*3+W71*1,"")</f>
        <v>0</v>
      </c>
      <c r="AC71" s="321">
        <f>IF(U71&lt;&gt;"",VLOOKUP(U71,B4:H40,7,FALSE),"")</f>
        <v>1001</v>
      </c>
      <c r="AD71" s="321">
        <f>IF(U71&lt;&gt;"",VLOOKUP(U71,B4:H40,5,FALSE),"")</f>
        <v>1</v>
      </c>
      <c r="AE71" s="321">
        <f>IF(U71&lt;&gt;"",VLOOKUP(U71,B4:J40,9,FALSE),"")</f>
        <v>38</v>
      </c>
      <c r="AF71" s="321">
        <f>AB71</f>
        <v>0</v>
      </c>
      <c r="AG71" s="321">
        <f>IF(U71&lt;&gt;"",RANK(AF71,AF71:AF74),"")</f>
        <v>1</v>
      </c>
      <c r="AH71" s="321">
        <f>IF(U71&lt;&gt;"",SUMPRODUCT((AF71:AF74=AF71)*(AA71:AA74&gt;AA71)),"")</f>
        <v>0</v>
      </c>
      <c r="AI71" s="321">
        <f>IF(U71&lt;&gt;"",SUMPRODUCT((AF71:AF74=AF71)*(AA71:AA74=AA71)*(Y71:Y74&gt;Y71)),"")</f>
        <v>0</v>
      </c>
      <c r="AJ71" s="321">
        <f>IF(U71&lt;&gt;"",SUMPRODUCT((AF71:AF74=AF71)*(AA71:AA74=AA71)*(Y71:Y74=Y71)*(AC71:AC74&gt;AC71)),"")</f>
        <v>1</v>
      </c>
      <c r="AK71" s="321">
        <f>IF(U71&lt;&gt;"",SUMPRODUCT((AF71:AF74=AF71)*(AA71:AA74=AA71)*(Y71:Y74=Y71)*(AC71:AC74=AC71)*(AD71:AD74&gt;AD71)),"")</f>
        <v>0</v>
      </c>
      <c r="AL71" s="321">
        <f>IF(U71&lt;&gt;"",SUMPRODUCT((AF71:AF74=AF71)*(AA71:AA74=AA71)*(Y71:Y74=Y71)*(AC71:AC74=AC71)*(AD71:AD74=AD71)*(AE71:AE74&gt;AE71)),"")</f>
        <v>0</v>
      </c>
      <c r="AM71" s="321">
        <f>IF(U71&lt;&gt;"",SUM(AG71:AL71),"")</f>
        <v>2</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2</v>
      </c>
      <c r="U72" s="321" t="str">
        <f t="shared" ref="U72:U74" si="18409">IF(AND(T72&lt;&gt;"",T72&gt;1),U32,"")</f>
        <v>Romania</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f t="shared" ref="AB72:AB74" si="18410">IF(U72&lt;&gt;"",V72*3+W72*1,"")</f>
        <v>0</v>
      </c>
      <c r="AC72" s="321">
        <f>IF(U72&lt;&gt;"",VLOOKUP(U72,B4:H40,7,FALSE),"")</f>
        <v>1003</v>
      </c>
      <c r="AD72" s="321">
        <f>IF(U72&lt;&gt;"",VLOOKUP(U72,B4:H40,5,FALSE),"")</f>
        <v>3</v>
      </c>
      <c r="AE72" s="321">
        <f>IF(U72&lt;&gt;"",VLOOKUP(U72,B4:J40,9,FALSE),"")</f>
        <v>46</v>
      </c>
      <c r="AF72" s="321">
        <f t="shared" ref="AF72:AF74" si="18411">AB72</f>
        <v>0</v>
      </c>
      <c r="AG72" s="321">
        <f>IF(U72&lt;&gt;"",RANK(AF72,AF71:AF74),"")</f>
        <v>1</v>
      </c>
      <c r="AH72" s="321">
        <f>IF(U72&lt;&gt;"",SUMPRODUCT((AF71:AF74=AF72)*(AA71:AA74&gt;AA72)),"")</f>
        <v>0</v>
      </c>
      <c r="AI72" s="321">
        <f>IF(U72&lt;&gt;"",SUMPRODUCT((AF71:AF74=AF72)*(AA71:AA74=AA72)*(Y71:Y74&gt;Y72)),"")</f>
        <v>0</v>
      </c>
      <c r="AJ72" s="321">
        <f>IF(U72&lt;&gt;"",SUMPRODUCT((AF71:AF74=AF72)*(AA71:AA74=AA72)*(Y71:Y74=Y72)*(AC71:AC74&gt;AC72)),"")</f>
        <v>0</v>
      </c>
      <c r="AK72" s="321">
        <f>IF(U72&lt;&gt;"",SUMPRODUCT((AF71:AF74=AF72)*(AA71:AA74=AA72)*(Y71:Y74=Y72)*(AC71:AC74=AC72)*(AD71:AD74&gt;AD72)),"")</f>
        <v>0</v>
      </c>
      <c r="AL72" s="321">
        <f>IF(U72&lt;&gt;"",SUMPRODUCT((AF71:AF74=AF72)*(AA71:AA74=AA72)*(Y71:Y74=Y72)*(AC71:AC74=AC72)*(AD71:AD74=AD72)*(AE71:AE74&gt;AE72)),"")</f>
        <v>0</v>
      </c>
      <c r="AM72" s="321">
        <f>IF(U72&lt;&gt;"",SUM(AG72:AL72),"")</f>
        <v>1</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t="str">
        <f>IF(U33&lt;&gt;"",SUMPRODUCT((AB31:AB34=AB33)*(AA31:AA34=AA33)*(Y31:Y34=Y33)*(Z31:Z34=Z33)),"")</f>
        <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2</v>
      </c>
      <c r="AIG77" s="321" t="str">
        <f t="shared" ref="AIG77:AIG80" ca="1" si="19393">IF(AND(AIF77&lt;&gt;"",AIF77&gt;1),AIG37,"")</f>
        <v>Türkiye</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1">
        <f t="shared" ref="AIM77:AIM80" ca="1" si="19399">AIK77-AIL77+1000</f>
        <v>1000</v>
      </c>
      <c r="AIN77" s="321">
        <f t="shared" ref="AIN77:AIN80" ca="1" si="19400">IF(AIG77&lt;&gt;"",AIH77*3+AII77*1,"")</f>
        <v>1</v>
      </c>
      <c r="AIO77" s="321">
        <f t="shared" ref="AIO77" ca="1" si="19401">IF(AIG77&lt;&gt;"",VLOOKUP(AIG77,AHN4:AHT40,7,FALSE),"")</f>
        <v>1004</v>
      </c>
      <c r="AIP77" s="321">
        <f t="shared" ref="AIP77" ca="1" si="19402">IF(AIG77&lt;&gt;"",VLOOKUP(AIG77,AHN4:AHT40,5,FALSE),"")</f>
        <v>7</v>
      </c>
      <c r="AIQ77" s="321">
        <f t="shared" ref="AIQ77" ca="1" si="19403">IF(AIG77&lt;&gt;"",VLOOKUP(AIG77,AHN4:AHV40,9,FALSE),"")</f>
        <v>47</v>
      </c>
      <c r="AIR77" s="321">
        <f t="shared" ref="AIR77:AIR80" ca="1" si="19404">AIN77</f>
        <v>1</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1</v>
      </c>
      <c r="AIY77" s="321">
        <f t="shared" ref="AIY77:AIY80" ca="1" si="19411">IF(AIG77&lt;&gt;"",SUM(AIS77:AIX77),"")</f>
        <v>2</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2</v>
      </c>
      <c r="AIG78" s="321" t="str">
        <f t="shared" ca="1" si="19393"/>
        <v>Portugal</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1">
        <f t="shared" ca="1" si="19399"/>
        <v>1000</v>
      </c>
      <c r="AIN78" s="321">
        <f t="shared" ca="1" si="19400"/>
        <v>1</v>
      </c>
      <c r="AIO78" s="321">
        <f t="shared" ref="AIO78" ca="1" si="19656">IF(AIG78&lt;&gt;"",VLOOKUP(AIG78,AHN4:AHT40,7,FALSE),"")</f>
        <v>1004</v>
      </c>
      <c r="AIP78" s="321">
        <f t="shared" ref="AIP78" ca="1" si="19657">IF(AIG78&lt;&gt;"",VLOOKUP(AIG78,AHN4:AHT40,5,FALSE),"")</f>
        <v>7</v>
      </c>
      <c r="AIQ78" s="321">
        <f t="shared" ref="AIQ78" ca="1" si="19658">IF(AIG78&lt;&gt;"",VLOOKUP(AIG78,AHN4:AHV40,9,FALSE),"")</f>
        <v>53</v>
      </c>
      <c r="AIR78" s="321">
        <f t="shared" ca="1" si="19404"/>
        <v>1</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0</v>
      </c>
      <c r="AIY78" s="321">
        <f t="shared" ca="1" si="19411"/>
        <v>1</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88671875" defaultRowHeight="14.4" x14ac:dyDescent="0.3"/>
  <cols>
    <col min="1" max="1" width="4.88671875" style="140" customWidth="1"/>
    <col min="2" max="5" width="10.88671875" style="140" customWidth="1"/>
    <col min="6" max="6" width="19.4414062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372</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373</v>
      </c>
      <c r="C6" s="143" t="s">
        <v>374</v>
      </c>
      <c r="D6" s="143" t="s">
        <v>375</v>
      </c>
      <c r="E6" s="143" t="s">
        <v>376</v>
      </c>
      <c r="F6" s="142" t="s">
        <v>270</v>
      </c>
      <c r="G6" s="142" t="s">
        <v>376</v>
      </c>
    </row>
    <row r="7" spans="1:7" x14ac:dyDescent="0.3">
      <c r="A7" s="144">
        <f>IF('Player Scoreboard'!C10&lt;&gt;"",'Player Scoreboard'!B10,"")</f>
        <v>1</v>
      </c>
      <c r="B7" s="144">
        <f ca="1">IF('Player Scoreboard'!C10&lt;&gt;"",RANK('Player Scoreboard'!D10,'Player Scoreboard'!D10:D19),"")</f>
        <v>2</v>
      </c>
      <c r="C7" s="144">
        <f ca="1">SUMPRODUCT((B7:B16=B7)*('Player Scoreboard'!H10:H19&gt;'Player Scoreboard'!H10))</f>
        <v>0</v>
      </c>
      <c r="D7" s="144">
        <f ca="1">SUMPRODUCT((B7:B16=B7)*(C7:C16=C7)*(A7:A16&lt;A7))</f>
        <v>0</v>
      </c>
      <c r="E7" s="144">
        <f ca="1">B7+C7+D7</f>
        <v>2</v>
      </c>
      <c r="F7" s="145" t="str">
        <f>'Player Scoreboard'!C10</f>
        <v>Magnus (TRAC)</v>
      </c>
      <c r="G7" s="146">
        <f ca="1">E7</f>
        <v>2</v>
      </c>
    </row>
    <row r="8" spans="1:7" x14ac:dyDescent="0.3">
      <c r="A8" s="144">
        <f>IF('Player Scoreboard'!C11&lt;&gt;"",'Player Scoreboard'!B11,"")</f>
        <v>2</v>
      </c>
      <c r="B8" s="144">
        <f ca="1">IF('Player Scoreboard'!C11&lt;&gt;"",RANK('Player Scoreboard'!D11,'Player Scoreboard'!D10:D19),"")</f>
        <v>5</v>
      </c>
      <c r="C8" s="144">
        <f ca="1">SUMPRODUCT((B7:B16=B8)*('Player Scoreboard'!H10:H19&gt;'Player Scoreboard'!H11))</f>
        <v>0</v>
      </c>
      <c r="D8" s="144">
        <f ca="1">SUMPRODUCT((B7:B16=B8)*(C7:C16=C8)*(A7:A16&lt;A8))</f>
        <v>0</v>
      </c>
      <c r="E8" s="144">
        <f t="shared" ref="E8:E16" ca="1" si="0">B8+C8+D8</f>
        <v>5</v>
      </c>
      <c r="F8" s="145" t="str">
        <f>'Player Scoreboard'!C11</f>
        <v>Steve (TRAC)</v>
      </c>
      <c r="G8" s="146">
        <f t="shared" ref="G8:G16" ca="1" si="1">E8</f>
        <v>5</v>
      </c>
    </row>
    <row r="9" spans="1:7" x14ac:dyDescent="0.3">
      <c r="A9" s="144">
        <f>IF('Player Scoreboard'!C12&lt;&gt;"",'Player Scoreboard'!B12,"")</f>
        <v>3</v>
      </c>
      <c r="B9" s="144">
        <f ca="1">IF('Player Scoreboard'!C12&lt;&gt;"",RANK('Player Scoreboard'!D12,'Player Scoreboard'!D10:D19),"")</f>
        <v>3</v>
      </c>
      <c r="C9" s="144">
        <f ca="1">SUMPRODUCT((B7:B16=B9)*('Player Scoreboard'!H10:H19&gt;'Player Scoreboard'!H12))</f>
        <v>1</v>
      </c>
      <c r="D9" s="144">
        <f ca="1">SUMPRODUCT((B7:B16=B9)*(C7:C16=C9)*(A7:A16&lt;A9))</f>
        <v>0</v>
      </c>
      <c r="E9" s="144">
        <f t="shared" ca="1" si="0"/>
        <v>4</v>
      </c>
      <c r="F9" s="145" t="str">
        <f>'Player Scoreboard'!C12</f>
        <v>Mateo (Virksomhet)</v>
      </c>
      <c r="G9" s="146">
        <f t="shared" ca="1" si="1"/>
        <v>4</v>
      </c>
    </row>
    <row r="10" spans="1:7" x14ac:dyDescent="0.3">
      <c r="A10" s="144">
        <f>IF('Player Scoreboard'!C13&lt;&gt;"",'Player Scoreboard'!B13,"")</f>
        <v>4</v>
      </c>
      <c r="B10" s="144">
        <f ca="1">IF('Player Scoreboard'!C13&lt;&gt;"",RANK('Player Scoreboard'!D13,'Player Scoreboard'!D10:D19),"")</f>
        <v>5</v>
      </c>
      <c r="C10" s="144">
        <f ca="1">SUMPRODUCT((B7:B16=B10)*('Player Scoreboard'!H10:H19&gt;'Player Scoreboard'!H13))</f>
        <v>1</v>
      </c>
      <c r="D10" s="144">
        <f ca="1">SUMPRODUCT((B7:B16=B10)*(C7:C16=C10)*(A7:A16&lt;A10))</f>
        <v>0</v>
      </c>
      <c r="E10" s="144">
        <f t="shared" ca="1" si="0"/>
        <v>6</v>
      </c>
      <c r="F10" s="145" t="str">
        <f>'Player Scoreboard'!C13</f>
        <v>Flemming (IFA)</v>
      </c>
      <c r="G10" s="146">
        <f t="shared" ca="1" si="1"/>
        <v>6</v>
      </c>
    </row>
    <row r="11" spans="1:7" x14ac:dyDescent="0.3">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3">
      <c r="A12" s="144">
        <f>IF('Player Scoreboard'!C15&lt;&gt;"",'Player Scoreboard'!B15,"")</f>
        <v>6</v>
      </c>
      <c r="B12" s="144">
        <f ca="1">IF('Player Scoreboard'!C15&lt;&gt;"",RANK('Player Scoreboard'!D15,'Player Scoreboard'!D10:D19),"")</f>
        <v>1</v>
      </c>
      <c r="C12" s="144">
        <f ca="1">SUMPRODUCT((B7:B16=B12)*('Player Scoreboard'!H10:H19&gt;'Player Scoreboard'!H15))</f>
        <v>0</v>
      </c>
      <c r="D12" s="144">
        <f ca="1">SUMPRODUCT((B7:B16=B12)*(C7:C16=C12)*(A7:A16&lt;A12))</f>
        <v>0</v>
      </c>
      <c r="E12" s="144">
        <f t="shared" ca="1" si="0"/>
        <v>1</v>
      </c>
      <c r="F12" s="145" t="str">
        <f>'Player Scoreboard'!C15</f>
        <v>Hanne Maren (TRAC)</v>
      </c>
      <c r="G12" s="146">
        <f t="shared" ca="1" si="1"/>
        <v>1</v>
      </c>
    </row>
    <row r="13" spans="1:7" x14ac:dyDescent="0.3">
      <c r="A13" s="144">
        <f>IF('Player Scoreboard'!C16&lt;&gt;"",'Player Scoreboard'!B16,"")</f>
        <v>7</v>
      </c>
      <c r="B13" s="144">
        <f ca="1">IF('Player Scoreboard'!C16&lt;&gt;"",RANK('Player Scoreboard'!D16,'Player Scoreboard'!D10:D19),"")</f>
        <v>3</v>
      </c>
      <c r="C13" s="144">
        <f ca="1">SUMPRODUCT((B7:B16=B13)*('Player Scoreboard'!H10:H19&gt;'Player Scoreboard'!H16))</f>
        <v>0</v>
      </c>
      <c r="D13" s="144">
        <f ca="1">SUMPRODUCT((B7:B16=B13)*(C7:C16=C13)*(A7:A16&lt;A13))</f>
        <v>0</v>
      </c>
      <c r="E13" s="144">
        <f t="shared" ca="1" si="0"/>
        <v>3</v>
      </c>
      <c r="F13" s="145" t="str">
        <f>'Player Scoreboard'!C16</f>
        <v>Kjell Tore (Too Little Too Late)</v>
      </c>
      <c r="G13" s="146">
        <f t="shared" ca="1" si="1"/>
        <v>3</v>
      </c>
    </row>
    <row r="14" spans="1:7" x14ac:dyDescent="0.3">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3">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3">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Props1.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42BE6F2-1C3D-4281-80DB-2658322ACB73}">
  <ds:schemaRefs>
    <ds:schemaRef ds:uri="http://schemas.microsoft.com/sharepoint/v3/contenttype/forms"/>
  </ds:schemaRefs>
</ds:datastoreItem>
</file>

<file path=customXml/itemProps3.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Lund, Joakim Hanssen</cp:lastModifiedBy>
  <cp:revision/>
  <dcterms:created xsi:type="dcterms:W3CDTF">2008-04-13T01:23:18Z</dcterms:created>
  <dcterms:modified xsi:type="dcterms:W3CDTF">2024-06-20T13:11:38Z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