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41" documentId="13_ncr:1_{06B0CC7C-481A-409E-83EA-FEAFE5A1C91F}" xr6:coauthVersionLast="47" xr6:coauthVersionMax="47" xr10:uidLastSave="{5141A3CA-AE73-472D-9F29-485AAEB6306E}"/>
  <workbookProtection workbookAlgorithmName="SHA-512" workbookHashValue="hCBMdfbWOkbA/VAq8+TdNnNn6yDZkrM9rj0MksObCHvCY7TT/LAWrr57exTZXhvv70BMSwUTbrrDEaKVnEviRw==" workbookSaltValue="959trsHucnJJG857LOUScQ==" workbookSpinCount="100000" lockStructure="1"/>
  <bookViews>
    <workbookView xWindow="1116" yWindow="1116" windowWidth="17280" windowHeight="8964"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4" i="2"/>
  <c r="ALP12" i="2"/>
  <c r="ALP8" i="2"/>
  <c r="ALP15"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4" i="2"/>
  <c r="AQL26" i="2"/>
  <c r="AQL14" i="2"/>
  <c r="AQL12" i="2"/>
  <c r="AQK4" i="2"/>
  <c r="AQL23" i="2"/>
  <c r="AQK26" i="2"/>
  <c r="AQK7" i="2"/>
  <c r="AQL36" i="2"/>
  <c r="AQK12" i="2"/>
  <c r="AQL5" i="2"/>
  <c r="AQL28" i="2"/>
  <c r="AQL4" i="2"/>
  <c r="AQK25" i="2"/>
  <c r="AQK37" i="2"/>
  <c r="AQK17" i="2"/>
  <c r="AQK27" i="2"/>
  <c r="AQK35" i="2"/>
  <c r="AQK3" i="2"/>
  <c r="AQK23" i="2"/>
  <c r="AQK19"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7" i="2" l="1"/>
  <c r="AQN12" i="2"/>
  <c r="AQN25" i="2"/>
  <c r="AQN8" i="2"/>
  <c r="AQN4" i="2"/>
  <c r="AQN28" i="2"/>
  <c r="AQN16" i="2"/>
  <c r="AQN33" i="2"/>
  <c r="AQN26" i="2"/>
  <c r="AQN29" i="2"/>
  <c r="AQN7" i="2"/>
  <c r="AQN15" i="2"/>
  <c r="AQN32" i="2"/>
  <c r="AQN18" i="2"/>
  <c r="AQN10" i="2"/>
  <c r="AQN24" i="2"/>
  <c r="AQN6" i="2"/>
  <c r="AQN14" i="2"/>
  <c r="AQN3"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30" i="2" l="1"/>
  <c r="AVL6" i="2"/>
  <c r="AVL17" i="2"/>
  <c r="AVL22" i="2"/>
  <c r="AVL10" i="2"/>
  <c r="AVL31" i="2"/>
  <c r="AVL26" i="2"/>
  <c r="AVL11" i="2"/>
  <c r="AVL20" i="2"/>
  <c r="AVL12" i="2"/>
  <c r="AVL29" i="2"/>
  <c r="AVL4" i="2"/>
  <c r="AVL32"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AE11" i="2" s="1"/>
  <c r="BS39" i="2"/>
  <c r="PS5" i="2"/>
  <c r="PQ5" i="2"/>
  <c r="OK5" i="2"/>
  <c r="OK6" i="2" s="1"/>
  <c r="OK7" i="2" s="1"/>
  <c r="AO32" i="2"/>
  <c r="AW32" i="2" s="1"/>
  <c r="BS33" i="2"/>
  <c r="Q33" i="2"/>
  <c r="AO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M33" i="2"/>
  <c r="BJ33" i="2"/>
  <c r="BK33" i="2"/>
  <c r="BL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D11" i="2"/>
  <c r="AC31" i="2"/>
  <c r="AE31" i="2"/>
  <c r="AD31" i="2"/>
  <c r="AY38" i="2"/>
  <c r="AX38" i="2"/>
  <c r="AW38" i="2"/>
  <c r="BL14" i="2"/>
  <c r="AY32" i="2"/>
  <c r="BS34" i="2"/>
  <c r="BR34" i="2"/>
  <c r="BL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C11" i="2" l="1"/>
  <c r="BQ34" i="2"/>
  <c r="BM34" i="2"/>
  <c r="BO34" i="2" s="1"/>
  <c r="P21" i="2"/>
  <c r="U21" i="2" s="1"/>
  <c r="AX32" i="2"/>
  <c r="AW34"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AU32" i="2" l="1"/>
  <c r="OK28" i="2"/>
  <c r="BO7" i="2"/>
  <c r="AU33" i="2"/>
  <c r="BO13" i="2"/>
  <c r="BO6" i="2"/>
  <c r="AU34"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ZE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AV28" i="2" s="1"/>
  <c r="AZ28" i="2" s="1"/>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B26" i="2" l="1"/>
  <c r="AF26" i="2" s="1"/>
  <c r="AA27" i="2"/>
  <c r="AAB20" i="2"/>
  <c r="ZZ21" i="2"/>
  <c r="AA28" i="2"/>
  <c r="YG7" i="2"/>
  <c r="AU28" i="2"/>
  <c r="AA26" i="2"/>
  <c r="AA25" i="2"/>
  <c r="JX25" i="2"/>
  <c r="KB25" i="2" s="1"/>
  <c r="AID18" i="2"/>
  <c r="AJU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Y78"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31" i="2"/>
  <c r="AB39" i="2"/>
  <c r="AF39" i="2" s="1"/>
  <c r="AB34" i="2"/>
  <c r="AF34" i="2" s="1"/>
  <c r="AB33" i="2"/>
  <c r="AF33" i="2" s="1"/>
  <c r="AV34" i="2"/>
  <c r="AB32" i="2"/>
  <c r="AF32" i="2" s="1"/>
  <c r="AB31" i="2"/>
  <c r="BP28" i="2"/>
  <c r="BT28" i="2" s="1"/>
  <c r="AU20" i="2"/>
  <c r="AU21" i="2"/>
  <c r="AU19" i="2"/>
  <c r="AA7" i="2"/>
  <c r="AA32" i="2"/>
  <c r="AB5" i="2"/>
  <c r="AF5" i="2" s="1"/>
  <c r="AB4" i="2"/>
  <c r="AA39" i="2"/>
  <c r="AA34" i="2"/>
  <c r="CU21" i="2"/>
  <c r="CV21" i="2"/>
  <c r="AB37" i="2" l="1"/>
  <c r="AIB32" i="2"/>
  <c r="AA38" i="2"/>
  <c r="ZJ12" i="2"/>
  <c r="PW47" i="2"/>
  <c r="ZJ13" i="2"/>
  <c r="ZI13" i="2"/>
  <c r="ZI14" i="2"/>
  <c r="ZJ14" i="2"/>
  <c r="ZO14" i="2"/>
  <c r="ZF13" i="2"/>
  <c r="ZH12" i="2"/>
  <c r="ZG12" i="2"/>
  <c r="ZH13" i="2"/>
  <c r="ZF12" i="2"/>
  <c r="ZI12" i="2"/>
  <c r="ZG13" i="2"/>
  <c r="ZM14" i="2"/>
  <c r="ZH14" i="2"/>
  <c r="ZG14" i="2"/>
  <c r="AB40" i="2"/>
  <c r="AF40" i="2" s="1"/>
  <c r="AS80" i="2"/>
  <c r="T65" i="2"/>
  <c r="U65" i="2" s="1"/>
  <c r="T66" i="2"/>
  <c r="U66" i="2" s="1"/>
  <c r="AA40" i="2"/>
  <c r="AN53" i="2"/>
  <c r="AO53" i="2" s="1"/>
  <c r="AW53" i="2" s="1"/>
  <c r="UN34" i="2"/>
  <c r="UR34" i="2" s="1"/>
  <c r="AAF7" i="2"/>
  <c r="AAJ7" i="2" s="1"/>
  <c r="AAE6"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N73" i="2"/>
  <c r="AO73" i="2" s="1"/>
  <c r="AW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BC40" i="2"/>
  <c r="AZ34" i="2"/>
  <c r="AN74" i="2"/>
  <c r="AO74" i="2" s="1"/>
  <c r="AX79" i="2"/>
  <c r="AY79" i="2"/>
  <c r="AW79" i="2"/>
  <c r="AP79" i="2"/>
  <c r="AQ79" i="2"/>
  <c r="AT79" i="2"/>
  <c r="AR79" i="2"/>
  <c r="AS79" i="2"/>
  <c r="AZ32" i="2"/>
  <c r="BD34" i="2" s="1"/>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C21" i="2"/>
  <c r="BE21" i="2"/>
  <c r="BF21" i="2"/>
  <c r="BB21" i="2"/>
  <c r="BB19" i="2"/>
  <c r="BF20" i="2"/>
  <c r="BC20" i="2"/>
  <c r="BE19" i="2"/>
  <c r="BB20" i="2"/>
  <c r="BE33" i="2"/>
  <c r="BD19" i="2"/>
  <c r="BE20" i="2"/>
  <c r="BC19" i="2"/>
  <c r="BD20"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AX53" i="2" l="1"/>
  <c r="ZK14" i="2"/>
  <c r="ZL13" i="2"/>
  <c r="AEY33" i="2"/>
  <c r="AKE7" i="2"/>
  <c r="AKC7" i="2"/>
  <c r="ZK12" i="2"/>
  <c r="ZL12" i="2"/>
  <c r="AFC27" i="2"/>
  <c r="ZK13" i="2"/>
  <c r="BE34" i="2"/>
  <c r="BB33" i="2"/>
  <c r="BF34" i="2"/>
  <c r="BC33" i="2"/>
  <c r="BB32" i="2"/>
  <c r="BD33" i="2"/>
  <c r="BC34" i="2"/>
  <c r="BA34" i="2"/>
  <c r="BB34" i="2"/>
  <c r="BC32" i="2"/>
  <c r="T57" i="2"/>
  <c r="T50" i="2"/>
  <c r="AY53" i="2"/>
  <c r="AN43" i="2"/>
  <c r="AX73" i="2"/>
  <c r="AY73"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P13"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D80" i="2"/>
  <c r="BF78" i="2"/>
  <c r="BC78" i="2"/>
  <c r="BA78" i="2"/>
  <c r="BA79" i="2"/>
  <c r="BC80" i="2"/>
  <c r="BA80"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ZD52" i="2" l="1"/>
  <c r="ZE52" i="2" s="1"/>
  <c r="ZD53" i="2"/>
  <c r="ZE53" i="2" s="1"/>
  <c r="T70" i="2"/>
  <c r="T76" i="2"/>
  <c r="FY45" i="2"/>
  <c r="BF79" i="2"/>
  <c r="BD79" i="2"/>
  <c r="BC79" i="2"/>
  <c r="BE78" i="2"/>
  <c r="BE79" i="2"/>
  <c r="FY46" i="2"/>
  <c r="T43" i="2"/>
  <c r="AV60" i="2"/>
  <c r="AZ60" i="2" s="1"/>
  <c r="UO79" i="2"/>
  <c r="UQ79" i="2"/>
  <c r="AN70" i="2"/>
  <c r="AKB7" i="2"/>
  <c r="AKF7" i="2" s="1"/>
  <c r="AJK14" i="2"/>
  <c r="AJC14"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F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BF74" i="2" s="1"/>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KJ76" i="2"/>
  <c r="KR73" i="2"/>
  <c r="KV73" i="2" s="1"/>
  <c r="KW74" i="2" s="1"/>
  <c r="KQ79" i="2"/>
  <c r="KR78" i="2"/>
  <c r="KV78" i="2" s="1"/>
  <c r="KR79" i="2"/>
  <c r="KV79" i="2" s="1"/>
  <c r="KW80" i="2" s="1"/>
  <c r="KQ73" i="2"/>
  <c r="KQ78" i="2"/>
  <c r="KQ80" i="2"/>
  <c r="GE74" i="2"/>
  <c r="GE34" i="2" s="1"/>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OZ20" i="2" l="1"/>
  <c r="APD20" i="2" s="1"/>
  <c r="BC73" i="2"/>
  <c r="BD74" i="2"/>
  <c r="BE74" i="2"/>
  <c r="BB74" i="2"/>
  <c r="BC74" i="2"/>
  <c r="AOZ21" i="2"/>
  <c r="APD21" i="2" s="1"/>
  <c r="AKH6" i="2"/>
  <c r="AKK6" i="2"/>
  <c r="AKL6" i="2"/>
  <c r="AKL7" i="2"/>
  <c r="AKI6" i="2"/>
  <c r="AKH7" i="2"/>
  <c r="AKG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F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G73" i="2" s="1"/>
  <c r="BG33" i="2" s="1"/>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AJ45" i="2"/>
  <c r="BG74" i="2"/>
  <c r="BG34" i="2" s="1"/>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52" i="2"/>
  <c r="FK12" i="2" s="1"/>
  <c r="FK61" i="2"/>
  <c r="FK21" i="2" s="1"/>
  <c r="FK67" i="2"/>
  <c r="FK27" i="2" s="1"/>
  <c r="FK46" i="2"/>
  <c r="FK6" i="2" s="1"/>
  <c r="APE20" i="2" l="1"/>
  <c r="APE21" i="2"/>
  <c r="APJ21" i="2"/>
  <c r="APF20" i="2"/>
  <c r="AKM39" i="2"/>
  <c r="AKN40" i="2" s="1"/>
  <c r="AKM6" i="2"/>
  <c r="AKN6" i="2" s="1"/>
  <c r="AKM40" i="2"/>
  <c r="API21" i="2"/>
  <c r="APH20" i="2"/>
  <c r="APH21" i="2"/>
  <c r="APG20" i="2"/>
  <c r="APJ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FL7" i="2"/>
  <c r="HU7" i="2" s="1"/>
  <c r="FL4" i="2"/>
  <c r="HU4" i="2" s="1"/>
  <c r="FL5" i="2"/>
  <c r="HU5" i="2" s="1"/>
  <c r="AKN7" i="2" l="1"/>
  <c r="HU6" i="2"/>
  <c r="CW26" i="2"/>
  <c r="APK21" i="2"/>
  <c r="AUE21" i="2"/>
  <c r="APK20" i="2"/>
  <c r="AJK52" i="2"/>
  <c r="AJB53" i="2"/>
  <c r="AJD53" i="2"/>
  <c r="AJF53" i="2"/>
  <c r="AJE53" i="2"/>
  <c r="AJK53" i="2"/>
  <c r="AJJ53" i="2"/>
  <c r="AJF54" i="2"/>
  <c r="AJC52" i="2"/>
  <c r="AJI53" i="2"/>
  <c r="AJF52" i="2"/>
  <c r="AJC53" i="2"/>
  <c r="AJD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ANQ27"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NQ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S25" i="2"/>
  <c r="ANQ25" i="2"/>
  <c r="ANQ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3" i="2" l="1"/>
  <c r="BH33" i="2"/>
  <c r="CW33" i="2" s="1"/>
  <c r="BH34" i="2"/>
  <c r="CW34" i="2" s="1"/>
  <c r="AJG52" i="2"/>
  <c r="AJG54"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Q55" i="28" s="1"/>
  <c r="R66" i="28" s="1"/>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A33"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D54" i="28" s="1"/>
  <c r="P23" i="1"/>
  <c r="G54" i="28" s="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P15" i="1" l="1"/>
  <c r="AOF52" i="2"/>
  <c r="AOJ52" i="2" s="1"/>
  <c r="AOF53" i="2"/>
  <c r="AOJ53" i="2" s="1"/>
  <c r="AUJ20" i="2"/>
  <c r="AJH74" i="2"/>
  <c r="AJL74" i="2" s="1"/>
  <c r="ANO68" i="2"/>
  <c r="WO39" i="2"/>
  <c r="ANM67" i="2"/>
  <c r="ANO67" i="2"/>
  <c r="WO38" i="2"/>
  <c r="SS38"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AB15" i="1" s="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2" i="1"/>
  <c r="T24" i="1"/>
  <c r="AB22" i="1"/>
  <c r="AB24" i="1"/>
  <c r="DO6" i="2" s="1"/>
  <c r="AA24" i="1"/>
  <c r="DN6" i="2" s="1"/>
  <c r="AA25" i="1" l="1"/>
  <c r="SS40" i="2"/>
  <c r="AA15" i="1"/>
  <c r="T25" i="1"/>
  <c r="DW30" i="2"/>
  <c r="AB25" i="1"/>
  <c r="T15" i="1"/>
  <c r="T23" i="1"/>
  <c r="AB23" i="1"/>
  <c r="AA22" i="1"/>
  <c r="X13" i="1"/>
  <c r="U13" i="1"/>
  <c r="W14" i="1"/>
  <c r="DK4" i="2" s="1"/>
  <c r="W13" i="1"/>
  <c r="V13" i="1"/>
  <c r="Z13" i="1"/>
  <c r="AON53" i="2"/>
  <c r="AOM52" i="2"/>
  <c r="AOL53" i="2"/>
  <c r="AON52" i="2"/>
  <c r="AOP53" i="2"/>
  <c r="AOO53" i="2"/>
  <c r="AOP52" i="2"/>
  <c r="AOK52" i="2"/>
  <c r="AOK53" i="2"/>
  <c r="AOL52" i="2"/>
  <c r="AOO52" i="2"/>
  <c r="AOQ34" i="2"/>
  <c r="AOM53" i="2"/>
  <c r="AJN74" i="2"/>
  <c r="AJQ74" i="2"/>
  <c r="AJP74" i="2"/>
  <c r="AJO74" i="2"/>
  <c r="AJR74" i="2"/>
  <c r="ANL65" i="2"/>
  <c r="ANP65" i="2" s="1"/>
  <c r="II7" i="2"/>
  <c r="IJ7" i="2"/>
  <c r="IK7" i="2"/>
  <c r="IH7" i="2"/>
  <c r="IM7" i="2" s="1"/>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AV69"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ZC4" i="2"/>
  <c r="ZD6" i="2" s="1"/>
  <c r="ABM6" i="2" s="1"/>
  <c r="Y72" i="28"/>
  <c r="Y56" i="28"/>
  <c r="Y65" i="28" s="1"/>
  <c r="AA56" i="28"/>
  <c r="AB68" i="28" s="1"/>
  <c r="AB71" i="28" s="1"/>
  <c r="AI54" i="28"/>
  <c r="AI68" i="28" s="1"/>
  <c r="AK54" i="28"/>
  <c r="AI66" i="28" s="1"/>
  <c r="AA52" i="28"/>
  <c r="AB62" i="28" s="1"/>
  <c r="Y52" i="28"/>
  <c r="Y63" i="28" s="1"/>
  <c r="O73" i="28"/>
  <c r="O74" i="28"/>
  <c r="AB70" i="28"/>
  <c r="R73" i="28"/>
  <c r="P80" i="28" s="1"/>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AEV5" i="2"/>
  <c r="W9" i="1"/>
  <c r="V9" i="1"/>
  <c r="DJ3" i="2" s="1"/>
  <c r="U9" i="1"/>
  <c r="X9" i="1"/>
  <c r="Z9" i="1"/>
  <c r="DM3" i="2" s="1"/>
  <c r="Z35" i="1"/>
  <c r="W35" i="1"/>
  <c r="X35" i="1"/>
  <c r="V35" i="1"/>
  <c r="U35" i="1"/>
  <c r="Z10" i="1"/>
  <c r="X10" i="1"/>
  <c r="U10" i="1"/>
  <c r="V10" i="1"/>
  <c r="W10" i="1"/>
  <c r="W34" i="1"/>
  <c r="V34" i="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K3" i="2"/>
  <c r="DH3" i="2"/>
  <c r="DP3" i="2" s="1"/>
  <c r="D56" i="28"/>
  <c r="IL3" i="2"/>
  <c r="IM3" i="2"/>
  <c r="IL6" i="2"/>
  <c r="IM6" i="2"/>
  <c r="AL72" i="28" l="1"/>
  <c r="V30" i="1"/>
  <c r="W29" i="1"/>
  <c r="DK7" i="2" s="1"/>
  <c r="U30" i="1"/>
  <c r="V27" i="1"/>
  <c r="T13" i="1"/>
  <c r="AB13" i="1"/>
  <c r="Z30" i="1"/>
  <c r="AA13" i="1"/>
  <c r="IL7" i="2"/>
  <c r="AOQ53" i="2"/>
  <c r="AOQ13" i="2" s="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AA27" i="1"/>
  <c r="AB28" i="1"/>
  <c r="AB27" i="1"/>
  <c r="T27" i="1"/>
  <c r="T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3" i="28"/>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Z80" i="28" l="1"/>
  <c r="DQ4" i="2"/>
  <c r="J49" i="1"/>
  <c r="BD8" i="26" s="1"/>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3" i="2" l="1"/>
  <c r="AV8" i="34"/>
  <c r="DR6" i="2"/>
  <c r="DR5" i="2"/>
  <c r="DS4" i="2"/>
  <c r="DT5" i="2"/>
  <c r="DT8" i="2"/>
  <c r="DT6" i="2"/>
  <c r="DT4" i="2"/>
  <c r="DR4" i="2"/>
  <c r="DT3" i="2"/>
  <c r="DS6" i="2"/>
  <c r="DS7" i="2"/>
  <c r="W61" i="28"/>
  <c r="AQ8" i="34"/>
  <c r="DR7" i="2"/>
  <c r="DS5" i="2"/>
  <c r="DR8" i="2"/>
  <c r="DR3" i="2"/>
  <c r="DT7" i="2"/>
  <c r="DS8"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C72" i="28"/>
  <c r="BW72"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4" i="2" l="1"/>
  <c r="DU6" i="2"/>
  <c r="DU5" i="2"/>
  <c r="DU7" i="2"/>
  <c r="DU8" i="2"/>
  <c r="DU3" i="2"/>
  <c r="DW16" i="2" s="1"/>
  <c r="BF69" i="28"/>
  <c r="CG52" i="28"/>
  <c r="CF59" i="28" s="1"/>
  <c r="CG54" i="28"/>
  <c r="CG68" i="28" s="1"/>
  <c r="CJ71" i="28" s="1"/>
  <c r="ARG28" i="2"/>
  <c r="CI54" i="28"/>
  <c r="CG66" i="28" s="1"/>
  <c r="CJ70"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AZ11" i="26"/>
  <c r="AE62" i="28"/>
  <c r="AZ16" i="26"/>
  <c r="CC62" i="28"/>
  <c r="AZ14" i="26"/>
  <c r="BI62" i="28"/>
  <c r="BW65" i="28"/>
  <c r="CI55" i="28"/>
  <c r="CJ66" i="28" s="1"/>
  <c r="CG55" i="28"/>
  <c r="BG10" i="26"/>
  <c r="U69" i="28"/>
  <c r="BZ70" i="28"/>
  <c r="AY62" i="28"/>
  <c r="AZ13" i="26"/>
  <c r="BW67" i="28"/>
  <c r="AS75" i="28"/>
  <c r="BF74" i="28"/>
  <c r="BD81" i="28" s="1"/>
  <c r="BCQ31" i="2"/>
  <c r="BCR33" i="2" s="1"/>
  <c r="BG11" i="26"/>
  <c r="AE69" i="28"/>
  <c r="BW68" i="28"/>
  <c r="AZ15" i="26"/>
  <c r="BS62" i="28"/>
  <c r="BZ69" i="28"/>
  <c r="CE61" i="28"/>
  <c r="CD61"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l="1"/>
  <c r="P42" i="1"/>
  <c r="T42" i="1" s="1"/>
  <c r="P39" i="1"/>
  <c r="T39" i="1" s="1"/>
  <c r="AC41" i="1"/>
  <c r="DS12" i="2" s="1"/>
  <c r="DS22" i="2" s="1"/>
  <c r="P41" i="1"/>
  <c r="X41" i="1" s="1"/>
  <c r="DW14" i="2"/>
  <c r="P43" i="1"/>
  <c r="X43" i="1" s="1"/>
  <c r="AC40" i="1"/>
  <c r="DR12" i="2" s="1"/>
  <c r="DR18" i="2" s="1"/>
  <c r="AC44" i="1"/>
  <c r="DW15" i="2"/>
  <c r="AC39" i="1"/>
  <c r="DQ12" i="2" s="1"/>
  <c r="DQ26" i="2" s="1"/>
  <c r="P44" i="1"/>
  <c r="X44" i="1" s="1"/>
  <c r="AC43" i="1"/>
  <c r="AC42" i="1"/>
  <c r="DT12" i="2" s="1"/>
  <c r="DT17" i="2" s="1"/>
  <c r="P40" i="1"/>
  <c r="T40" i="1" s="1"/>
  <c r="CG63" i="28"/>
  <c r="CG69" i="28" s="1"/>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BZ71" i="28"/>
  <c r="BH12" i="26"/>
  <c r="AO70" i="28"/>
  <c r="CT72"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Z39" i="1"/>
  <c r="U39" i="1"/>
  <c r="AB42" i="1"/>
  <c r="W42" i="1"/>
  <c r="AA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S16" i="2"/>
  <c r="DS14" i="2"/>
  <c r="DS27" i="2"/>
  <c r="DS19" i="2"/>
  <c r="DS15" i="2"/>
  <c r="W43" i="1" l="1"/>
  <c r="U43" i="1"/>
  <c r="V43" i="1"/>
  <c r="DS26" i="2"/>
  <c r="DS20" i="2"/>
  <c r="DR13" i="2"/>
  <c r="DS23" i="2"/>
  <c r="AB41" i="1"/>
  <c r="DR15" i="2"/>
  <c r="V39" i="1"/>
  <c r="Z42" i="1"/>
  <c r="V42" i="1"/>
  <c r="X42" i="1"/>
  <c r="AB44" i="1"/>
  <c r="U42" i="1"/>
  <c r="W41" i="1"/>
  <c r="T41" i="1"/>
  <c r="DR16" i="2"/>
  <c r="X39" i="1"/>
  <c r="DR21" i="2"/>
  <c r="Z43" i="1"/>
  <c r="U41" i="1"/>
  <c r="DT23" i="2"/>
  <c r="DR22" i="2"/>
  <c r="T43" i="1"/>
  <c r="DS17" i="2"/>
  <c r="V41" i="1"/>
  <c r="DQ27" i="2"/>
  <c r="DS25" i="2"/>
  <c r="AA41" i="1"/>
  <c r="DQ19" i="2"/>
  <c r="DQ21" i="2"/>
  <c r="DR17" i="2"/>
  <c r="DS18" i="2"/>
  <c r="DR25" i="2"/>
  <c r="W39" i="1"/>
  <c r="DS13" i="2"/>
  <c r="DR20" i="2"/>
  <c r="AB39" i="1"/>
  <c r="DQ18" i="2"/>
  <c r="DS24" i="2"/>
  <c r="DS21" i="2"/>
  <c r="DR14" i="2"/>
  <c r="DR24" i="2"/>
  <c r="AA43" i="1"/>
  <c r="DR26" i="2"/>
  <c r="Z41" i="1"/>
  <c r="DR19" i="2"/>
  <c r="AB43" i="1"/>
  <c r="DR23" i="2"/>
  <c r="DR27" i="2"/>
  <c r="DQ23" i="2"/>
  <c r="DQ15" i="2"/>
  <c r="DQ14" i="2"/>
  <c r="I55" i="28"/>
  <c r="W55" i="28" s="1"/>
  <c r="DT19" i="2"/>
  <c r="DQ20" i="2"/>
  <c r="I54" i="28"/>
  <c r="W54" i="28" s="1"/>
  <c r="DQ24" i="2"/>
  <c r="X40" i="1"/>
  <c r="Z44" i="1"/>
  <c r="W44" i="1"/>
  <c r="T44" i="1"/>
  <c r="DT16" i="2"/>
  <c r="DQ16" i="2"/>
  <c r="I56" i="28"/>
  <c r="W56" i="28" s="1"/>
  <c r="DT21" i="2"/>
  <c r="DQ13" i="2"/>
  <c r="DT25" i="2"/>
  <c r="DQ17" i="2"/>
  <c r="U44" i="1"/>
  <c r="V44" i="1"/>
  <c r="DT20" i="2"/>
  <c r="DQ25" i="2"/>
  <c r="DT26" i="2"/>
  <c r="DQ22" i="2"/>
  <c r="AA44" i="1"/>
  <c r="DT24" i="2"/>
  <c r="I53" i="28"/>
  <c r="W53" i="28" s="1"/>
  <c r="I52" i="28"/>
  <c r="W52" i="28" s="1"/>
  <c r="DT14" i="2"/>
  <c r="DT18" i="2"/>
  <c r="U40" i="1"/>
  <c r="DT22" i="2"/>
  <c r="Z40" i="1"/>
  <c r="DT15" i="2"/>
  <c r="DT27" i="2"/>
  <c r="DT13" i="2"/>
  <c r="V40" i="1"/>
  <c r="AA40" i="1"/>
  <c r="W40" i="1"/>
  <c r="AB40" i="1"/>
  <c r="I51" i="28"/>
  <c r="W51" i="28" s="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AG51" i="28"/>
  <c r="AG53" i="28"/>
  <c r="BK10" i="26"/>
  <c r="U73" i="28"/>
  <c r="DA64" i="28"/>
  <c r="CJ69" i="28"/>
  <c r="CO69" i="28" s="1"/>
  <c r="CO61" i="28"/>
  <c r="CN61" i="28"/>
  <c r="CQ65" i="28"/>
  <c r="AVT5" i="2"/>
  <c r="AVX5" i="2"/>
  <c r="AG52" i="28"/>
  <c r="AG54" i="28"/>
  <c r="CG72"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CG73" i="28" l="1"/>
  <c r="CG75" i="28" s="1"/>
  <c r="DU17" i="2"/>
  <c r="DU23" i="2"/>
  <c r="DU18" i="2"/>
  <c r="DU21" i="2"/>
  <c r="DU25" i="2"/>
  <c r="DU26" i="2"/>
  <c r="DU22" i="2"/>
  <c r="DU19" i="2"/>
  <c r="DU27" i="2"/>
  <c r="DU20" i="2"/>
  <c r="DU15" i="2"/>
  <c r="DU14" i="2"/>
  <c r="DU16" i="2"/>
  <c r="DU24"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AY17" i="26"/>
  <c r="CM61" i="28"/>
  <c r="DA72" i="28"/>
  <c r="CQ72" i="28"/>
  <c r="BAO8" i="2"/>
  <c r="BAV8" i="2"/>
  <c r="DI61" i="28"/>
  <c r="DD69" i="28"/>
  <c r="DI69" i="28" s="1"/>
  <c r="DH61" i="28"/>
  <c r="CQ71" i="28"/>
  <c r="DA68"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0" i="2" l="1"/>
  <c r="DW19" i="2"/>
  <c r="DW18" i="2"/>
  <c r="DW21"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AWF33" i="2"/>
  <c r="IV31" i="2" l="1"/>
  <c r="ARH33" i="2"/>
  <c r="SR31" i="2"/>
  <c r="AHL29" i="2"/>
  <c r="IV21" i="2"/>
  <c r="AMJ27" i="2"/>
  <c r="NT27" i="2"/>
  <c r="NT30" i="2"/>
  <c r="IV28" i="2"/>
  <c r="XP27" i="2"/>
  <c r="BGB30" i="2"/>
  <c r="ACN25" i="2"/>
  <c r="ACN22" i="2"/>
  <c r="SR26" i="2"/>
  <c r="ARH25" i="2"/>
  <c r="BGB32" i="2"/>
  <c r="AHL22" i="2"/>
  <c r="BBD28" i="2"/>
  <c r="ARH32" i="2"/>
  <c r="AHL24" i="2"/>
  <c r="AWF26" i="2"/>
  <c r="ACN32" i="2"/>
  <c r="ARH29" i="2"/>
  <c r="ARH24" i="2"/>
  <c r="IV23" i="2"/>
  <c r="XP23" i="2"/>
  <c r="AWF32" i="2"/>
  <c r="NT24" i="2"/>
  <c r="SR22" i="2"/>
  <c r="BGB26" i="2"/>
  <c r="IV30" i="2"/>
  <c r="IV24" i="2"/>
  <c r="ARH27" i="2"/>
  <c r="BGB31" i="2"/>
  <c r="BBD24" i="2"/>
  <c r="AMJ33" i="2"/>
  <c r="NT28" i="2"/>
  <c r="NT33" i="2"/>
  <c r="BBD29" i="2"/>
  <c r="BGB22" i="2"/>
  <c r="BBD26" i="2"/>
  <c r="AHL33" i="2"/>
  <c r="IV33" i="2"/>
  <c r="ARH26" i="2"/>
  <c r="NT32" i="2"/>
  <c r="IV26" i="2"/>
  <c r="ACN30" i="2"/>
  <c r="BGB29" i="2"/>
  <c r="ACN31" i="2"/>
  <c r="SR32" i="2"/>
  <c r="AWF30" i="2"/>
  <c r="AWF24" i="2"/>
  <c r="SR25" i="2"/>
  <c r="AMJ22" i="2"/>
  <c r="IV19" i="2"/>
  <c r="XP28" i="2"/>
  <c r="AMJ30" i="2"/>
  <c r="NT22" i="2"/>
  <c r="ACN24" i="2"/>
  <c r="ACN23" i="2"/>
  <c r="AHL25" i="2"/>
  <c r="ACN33" i="2"/>
  <c r="NT31" i="2"/>
  <c r="AHL32" i="2"/>
  <c r="AHL31" i="2"/>
  <c r="ARH28" i="2"/>
  <c r="AMJ26" i="2"/>
  <c r="AHL26" i="2"/>
  <c r="SR23" i="2"/>
  <c r="AWF22" i="2"/>
  <c r="ARH23" i="2"/>
  <c r="BGB23" i="2"/>
  <c r="AMJ31" i="2"/>
  <c r="XP33" i="2"/>
  <c r="NT26" i="2"/>
  <c r="ARH30" i="2"/>
  <c r="SR28" i="2"/>
  <c r="BGB25" i="2"/>
  <c r="XP31" i="2"/>
  <c r="XP29" i="2"/>
  <c r="IV22" i="2"/>
  <c r="BBD22" i="2"/>
  <c r="XP30" i="2"/>
  <c r="ACN29" i="2"/>
  <c r="XP26" i="2"/>
  <c r="IV25" i="2"/>
  <c r="AWF31" i="2"/>
  <c r="BBD31" i="2"/>
  <c r="ACN26" i="2"/>
  <c r="NT23" i="2"/>
  <c r="IV27" i="2"/>
  <c r="NT25" i="2"/>
  <c r="BGB27" i="2"/>
  <c r="ARH22" i="2"/>
  <c r="BBD27" i="2"/>
  <c r="BBD30" i="2"/>
  <c r="AHL28" i="2"/>
  <c r="SR33" i="2"/>
  <c r="AMJ23" i="2"/>
  <c r="XP32" i="2"/>
  <c r="XP24" i="2"/>
  <c r="BGB28" i="2"/>
  <c r="BBD33" i="2"/>
  <c r="IV18" i="2"/>
  <c r="NT29" i="2"/>
  <c r="SR24" i="2"/>
  <c r="ARH31" i="2"/>
  <c r="ACN28" i="2"/>
  <c r="AMJ29" i="2"/>
  <c r="AMJ25" i="2"/>
  <c r="BBD32" i="2"/>
  <c r="AWF28" i="2"/>
  <c r="BGB33" i="2"/>
  <c r="AMJ28" i="2"/>
  <c r="BBD25" i="2"/>
  <c r="BBD23" i="2"/>
  <c r="AHL30" i="2"/>
  <c r="SR30" i="2"/>
  <c r="AHL23" i="2"/>
  <c r="AWF29" i="2"/>
  <c r="AHL27" i="2"/>
  <c r="XP25" i="2"/>
  <c r="BGB24" i="2"/>
  <c r="IV32" i="2"/>
  <c r="AWF25" i="2"/>
  <c r="AWF23" i="2"/>
  <c r="IV20" i="2"/>
  <c r="SR29" i="2"/>
  <c r="IV29" i="2"/>
  <c r="XP22" i="2"/>
  <c r="AMJ24" i="2"/>
  <c r="AWF27" i="2"/>
  <c r="SR27" i="2"/>
  <c r="ACN27" i="2"/>
  <c r="AMJ32"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1" i="28"/>
  <c r="BK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71" i="28" s="1"/>
  <c r="AI71" i="28"/>
  <c r="AI74" i="28" s="1"/>
  <c r="AL75" i="28" s="1"/>
  <c r="AJ79" i="28" s="1"/>
  <c r="AT81" i="28"/>
  <c r="AV75" i="28"/>
  <c r="ACM20" i="2"/>
  <c r="BF67" i="28" s="1"/>
  <c r="BK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14" i="26" l="1"/>
  <c r="BD79" i="28"/>
  <c r="BD78" i="28"/>
  <c r="BJ70" i="28"/>
  <c r="BH14" i="26" s="1"/>
  <c r="BF73" i="28"/>
  <c r="BJ73" i="28" s="1"/>
  <c r="BI73" i="28" s="1"/>
  <c r="BJ69" i="28"/>
  <c r="BI69" i="28" s="1"/>
  <c r="AQ74" i="28"/>
  <c r="AP74" i="28"/>
  <c r="BL12" i="26" s="1"/>
  <c r="AP71" i="28"/>
  <c r="AO71" i="28" s="1"/>
  <c r="AQ71" i="28"/>
  <c r="AT79" i="28"/>
  <c r="AT78" i="28"/>
  <c r="BJ67" i="28"/>
  <c r="BE14" i="26" s="1"/>
  <c r="ACN20" i="2"/>
  <c r="BK70" i="28"/>
  <c r="Y74" i="28"/>
  <c r="AB75" i="28" s="1"/>
  <c r="Z79" i="28" s="1"/>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BN8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AG75" i="28" l="1"/>
  <c r="AF75" i="28"/>
  <c r="BM11" i="26" s="1"/>
  <c r="BG14" i="26"/>
  <c r="BI70" i="28"/>
  <c r="BK14" i="26"/>
  <c r="BK73" i="28"/>
  <c r="BD80" i="28"/>
  <c r="BW75" i="28"/>
  <c r="BX80" i="28"/>
  <c r="BZ75" i="28"/>
  <c r="BX81" i="28"/>
  <c r="CE73" i="28"/>
  <c r="CD73" i="28"/>
  <c r="BI12" i="26"/>
  <c r="AO74" i="28"/>
  <c r="BU74" i="28"/>
  <c r="BT74" i="28"/>
  <c r="BT69" i="28"/>
  <c r="BU69" i="28"/>
  <c r="BI67" i="28"/>
  <c r="BI11" i="26"/>
  <c r="AE71" i="28"/>
  <c r="Z81" i="28"/>
  <c r="AF74" i="28"/>
  <c r="AG74" i="28"/>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CE65" i="28"/>
  <c r="CD65" i="28"/>
  <c r="ARG21" i="2"/>
  <c r="CJ65" i="28" s="1"/>
  <c r="CG70" i="28" s="1"/>
  <c r="CJ73"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H80" i="28" l="1"/>
  <c r="CN73" i="28"/>
  <c r="CO73" i="28"/>
  <c r="AE75" i="28"/>
  <c r="AF7" i="28"/>
  <c r="X53" i="28"/>
  <c r="M11" i="26" s="1"/>
  <c r="F11" i="26" s="1"/>
  <c r="AG7" i="28"/>
  <c r="BX78" i="28"/>
  <c r="BX79" i="28"/>
  <c r="CD75" i="28"/>
  <c r="CC75" i="28" s="1"/>
  <c r="CE75" i="28"/>
  <c r="CC73" i="28"/>
  <c r="BK16" i="26"/>
  <c r="L12" i="26"/>
  <c r="E12" i="26" s="1"/>
  <c r="AH52" i="28"/>
  <c r="F12" i="34" s="1"/>
  <c r="D12" i="34" s="1"/>
  <c r="BL15" i="26"/>
  <c r="BS74" i="28"/>
  <c r="BS69" i="28"/>
  <c r="BG15" i="26"/>
  <c r="BL11" i="26"/>
  <c r="L11" i="26" s="1"/>
  <c r="E11" i="26" s="1"/>
  <c r="AE74" i="28"/>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CJ75" i="28" l="1"/>
  <c r="CO75" i="28" s="1"/>
  <c r="CH81" i="28"/>
  <c r="X52" i="28"/>
  <c r="F11" i="34" s="1"/>
  <c r="D11" i="34" s="1"/>
  <c r="BK17" i="26"/>
  <c r="CM73" i="28"/>
  <c r="AE7" i="28"/>
  <c r="BM16" i="26"/>
  <c r="N12" i="26"/>
  <c r="H12" i="26" s="1"/>
  <c r="BBC21" i="2"/>
  <c r="DD65" i="28" s="1"/>
  <c r="DA70" i="28" s="1"/>
  <c r="DH70" i="28" s="1"/>
  <c r="D11" i="26"/>
  <c r="N14" i="26"/>
  <c r="H14" i="26" s="1"/>
  <c r="CX75" i="28"/>
  <c r="CY75" i="28"/>
  <c r="CX73" i="28"/>
  <c r="CY73" i="28"/>
  <c r="CY70" i="28"/>
  <c r="CX70" i="28"/>
  <c r="CX69" i="28"/>
  <c r="CY69" i="28"/>
  <c r="CH79"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CN75" i="28" l="1"/>
  <c r="BM17" i="26" s="1"/>
  <c r="N11" i="26"/>
  <c r="H11" i="26" s="1"/>
  <c r="DI70" i="28"/>
  <c r="DI65" i="28"/>
  <c r="DH65" i="28"/>
  <c r="BC19" i="26" s="1"/>
  <c r="BBD21" i="2"/>
  <c r="DH64" i="28"/>
  <c r="BB19" i="26" s="1"/>
  <c r="BBD19" i="2"/>
  <c r="BBD18" i="2"/>
  <c r="DI63" i="28"/>
  <c r="BH19" i="26"/>
  <c r="DG70" i="28"/>
  <c r="CW75" i="28"/>
  <c r="BM18" i="26"/>
  <c r="BK18" i="26"/>
  <c r="CW73" i="28"/>
  <c r="BH18" i="26"/>
  <c r="CW70" i="28"/>
  <c r="BG18" i="26"/>
  <c r="CW69"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CM75" i="28" l="1"/>
  <c r="CF52" i="28" s="1"/>
  <c r="N17" i="26" s="1"/>
  <c r="DG65" i="28"/>
  <c r="BBD34" i="2"/>
  <c r="DG64" i="28"/>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<sst xmlns="http://schemas.openxmlformats.org/spreadsheetml/2006/main" count="4233" uniqueCount="381">
  <si>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</si>
  <si>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</si>
  <si>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</si>
  <si>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</si>
  <si>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</si>
  <si>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</si>
  <si>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</si>
  <si>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</si>
  <si>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</si>
  <si>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</si>
  <si>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</si>
  <si>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</si>
  <si>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</si>
  <si>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</si>
  <si>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</si>
  <si>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</si>
  <si>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</si>
  <si>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</si>
  <si>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</si>
  <si>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</si>
  <si>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</si>
  <si>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</si>
  <si>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</si>
  <si>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</si>
  <si>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</si>
  <si>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</si>
  <si>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</si>
  <si>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</si>
  <si>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</si>
  <si>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</si>
  <si>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</si>
  <si>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</si>
  <si>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</si>
  <si>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</si>
  <si>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</si>
  <si>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</si>
  <si>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</si>
  <si>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</si>
  <si>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</si>
  <si>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</si>
  <si>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</si>
  <si>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</si>
  <si>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</si>
  <si>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</si>
  <si>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</si>
  <si>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</si>
  <si>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</si>
  <si>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</si>
  <si>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</si>
  <si>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</si>
  <si>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</si>
  <si>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</si>
  <si>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</si>
  <si>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</si>
  <si>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</si>
  <si>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</si>
  <si>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</si>
  <si>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</si>
  <si>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</si>
  <si>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</si>
  <si>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</si>
  <si>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</si>
  <si>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</si>
  <si>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</si>
  <si>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</si>
  <si>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</si>
  <si>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</si>
  <si>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</si>
  <si>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</si>
  <si>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</si>
  <si>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</si>
  <si>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</si>
  <si>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</si>
  <si>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Håvard (ChatGPT)</t>
  </si>
  <si>
    <t xml:space="preserve">● </t>
  </si>
  <si>
    <t>Type participant name in Player Name column in column C. This name will be used as name references in all worksheets.</t>
  </si>
  <si>
    <t>Levi (happy go lucky)</t>
  </si>
  <si>
    <t>You DO NOT NEED TO TYPE PLAYER NAME IN OTHER WORKSHEET</t>
  </si>
  <si>
    <t>Iben</t>
  </si>
  <si>
    <t>No column in column B is used as THE FINAL TIE-BREAKER if respective players are tied and their ranks have to be decided by ENTRY ORDER. See TIE BREAKER regulation</t>
  </si>
  <si>
    <t>Joakim</t>
  </si>
  <si>
    <t>You may fill STARTING POINT with your own point. IT IS OPTIONAL</t>
  </si>
  <si>
    <t>Kristoffer (Fasiten)</t>
  </si>
  <si>
    <t>This point will be used as additional point and will be included in Player Score calculation</t>
  </si>
  <si>
    <t>George</t>
  </si>
  <si>
    <t>You can put DEDUCTION POINT by typing "-" (minus) sign in front of the point</t>
  </si>
  <si>
    <t>Sverre</t>
  </si>
  <si>
    <t>Starting Point can be filled because many reasons. Some of examples :</t>
  </si>
  <si>
    <t>Therese</t>
  </si>
  <si>
    <t>&gt;</t>
  </si>
  <si>
    <t>Amount of Entry Fee</t>
  </si>
  <si>
    <t>Wanja</t>
  </si>
  <si>
    <t>Late prediction submission</t>
  </si>
  <si>
    <t>Baptiste</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</si>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</sst>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6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xf numFmtId="0" fontId="2" fillId="0" borderId="0"/>
    <xf numFmtId="0" fontId="1" fillId="0" borderId="0"/>
  </cellStyleXfs>
  <cellXfs count="428">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59" fillId="0" borderId="59" xfId="3" applyFont="1" applyBorder="1" applyAlignment="1" applyProtection="1">
      <alignment horizontal="center" vertical="center"/>
      <protection locked="0"/>
    </xf>
    <xf numFmtId="0" fontId="10" fillId="0" borderId="9" xfId="7" applyFont="1" applyBorder="1" applyAlignment="1">
      <alignment horizontal="center" vertical="center"/>
    </xf>
    <xf numFmtId="0" fontId="10" fillId="0" borderId="59" xfId="7" applyFont="1" applyBorder="1" applyAlignment="1">
      <alignment horizontal="center" vertical="center"/>
    </xf>
    <xf numFmtId="0" fontId="10" fillId="0" borderId="12" xfId="7" applyFont="1" applyBorder="1" applyAlignment="1">
      <alignment horizontal="center" vertical="center"/>
    </xf>
    <xf numFmtId="0" fontId="2" fillId="0" borderId="9" xfId="7" applyBorder="1" applyAlignment="1">
      <alignment horizontal="center"/>
    </xf>
    <xf numFmtId="0" fontId="2" fillId="0" borderId="12" xfId="7" applyBorder="1" applyAlignment="1">
      <alignment horizontal="center"/>
    </xf>
    <xf numFmtId="0" fontId="2" fillId="0" borderId="59" xfId="7" applyBorder="1" applyAlignment="1">
      <alignment horizontal="center"/>
    </xf>
    <xf numFmtId="0" fontId="10" fillId="0" borderId="59" xfId="3" applyFont="1" applyBorder="1" applyAlignment="1" applyProtection="1">
      <alignment horizontal="center" vertical="center"/>
      <protection locked="0"/>
    </xf>
    <xf numFmtId="0" fontId="10" fillId="0" borderId="12" xfId="3" applyFont="1" applyBorder="1" applyAlignment="1" applyProtection="1">
      <alignment horizontal="center" vertical="center"/>
      <protection locked="0"/>
    </xf>
    <xf numFmtId="0" fontId="60" fillId="0" borderId="12" xfId="3" applyFont="1" applyBorder="1" applyAlignment="1" applyProtection="1">
      <alignment horizontal="center"/>
      <protection locked="0"/>
    </xf>
    <xf numFmtId="0" fontId="60" fillId="0" borderId="9" xfId="3" applyFont="1" applyBorder="1" applyAlignment="1" applyProtection="1">
      <alignment horizontal="center"/>
      <protection locked="0"/>
    </xf>
    <xf numFmtId="0" fontId="60" fillId="0" borderId="59" xfId="3" applyFont="1" applyBorder="1" applyAlignment="1" applyProtection="1">
      <alignment horizontal="center"/>
      <protection locked="0"/>
    </xf>
    <xf numFmtId="0" fontId="2" fillId="0" borderId="26" xfId="0" applyFont="1" applyBorder="1" applyProtection="1">
      <protection locked="0"/>
    </xf>
    <xf numFmtId="0" fontId="2" fillId="0" borderId="14" xfId="0" applyFont="1" applyBorder="1" applyProtection="1">
      <protection locked="0"/>
    </xf>
    <xf numFmtId="0" fontId="10" fillId="0" borderId="9" xfId="8" applyFont="1" applyBorder="1" applyAlignment="1">
      <alignment horizontal="center" vertical="center"/>
    </xf>
    <xf numFmtId="0" fontId="10" fillId="0" borderId="59" xfId="8" applyFont="1" applyBorder="1" applyAlignment="1">
      <alignment horizontal="center" vertical="center"/>
    </xf>
    <xf numFmtId="0" fontId="10" fillId="0" borderId="12" xfId="8" applyFont="1" applyBorder="1" applyAlignment="1">
      <alignment horizontal="center" vertical="center"/>
    </xf>
    <xf numFmtId="0" fontId="1" fillId="0" borderId="9" xfId="8" applyBorder="1" applyAlignment="1">
      <alignment horizontal="center"/>
    </xf>
    <xf numFmtId="0" fontId="1" fillId="0" borderId="12" xfId="8" applyBorder="1" applyAlignment="1">
      <alignment horizontal="center"/>
    </xf>
    <xf numFmtId="0" fontId="1" fillId="0" borderId="59" xfId="8" applyBorder="1" applyAlignment="1">
      <alignment horizontal="center"/>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15" fillId="8" borderId="0" xfId="3" applyFont="1" applyFill="1" applyAlignment="1" applyProtection="1">
      <alignment horizontal="center" vertical="center"/>
      <protection hidden="1"/>
    </xf>
    <xf numFmtId="0" fontId="13" fillId="9" borderId="19" xfId="3" applyFont="1" applyFill="1" applyBorder="1" applyAlignment="1" applyProtection="1">
      <alignment horizontal="center" vertical="center"/>
      <protection hidden="1"/>
    </xf>
    <xf numFmtId="0" fontId="13" fillId="9" borderId="20"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5" fillId="8" borderId="19"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1" fillId="4" borderId="13" xfId="3" applyFont="1" applyFill="1" applyBorder="1" applyAlignment="1" applyProtection="1">
      <alignment horizontal="center" vertical="center"/>
      <protection locked="0"/>
    </xf>
    <xf numFmtId="3" fontId="15" fillId="4" borderId="13" xfId="3" applyNumberFormat="1" applyFont="1" applyFill="1" applyBorder="1" applyAlignment="1" applyProtection="1">
      <alignment horizontal="center" vertical="center" wrapText="1"/>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9">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 name="Normal 6" xfId="7" xr:uid="{5DC18269-EACF-428D-A96D-1DA8E11844D2}"/>
    <cellStyle name="Normal 7" xfId="8" xr:uid="{8C11BA8F-FE3F-4177-87D4-F1E6CAB51441}"/>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F15" sqref="F15:I15"/>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69" t="s">
        <v>4</v>
      </c>
      <c r="L7" s="369"/>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59" t="s">
        <v>13</v>
      </c>
      <c r="G15" s="359"/>
      <c r="H15" s="359"/>
      <c r="I15" s="359"/>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60" t="s">
        <v>36</v>
      </c>
      <c r="H41" s="361"/>
      <c r="I41" s="362"/>
    </row>
    <row r="42" spans="2:9" ht="15" customHeight="1" x14ac:dyDescent="0.25">
      <c r="B42" s="284"/>
      <c r="C42" s="285" t="s">
        <v>31</v>
      </c>
      <c r="D42" s="286" t="s">
        <v>37</v>
      </c>
      <c r="E42" s="287"/>
      <c r="F42" s="297">
        <v>8</v>
      </c>
      <c r="G42" s="363"/>
      <c r="H42" s="364"/>
      <c r="I42" s="365"/>
    </row>
    <row r="43" spans="2:9" ht="15" customHeight="1" x14ac:dyDescent="0.25">
      <c r="B43" s="284"/>
      <c r="C43" s="285" t="s">
        <v>31</v>
      </c>
      <c r="D43" s="286" t="s">
        <v>38</v>
      </c>
      <c r="E43" s="287"/>
      <c r="F43" s="297">
        <v>4</v>
      </c>
      <c r="G43" s="363"/>
      <c r="H43" s="364"/>
      <c r="I43" s="365"/>
    </row>
    <row r="44" spans="2:9" ht="15" customHeight="1" x14ac:dyDescent="0.25">
      <c r="B44" s="284"/>
      <c r="C44" s="285" t="s">
        <v>31</v>
      </c>
      <c r="D44" s="286" t="s">
        <v>39</v>
      </c>
      <c r="E44" s="287"/>
      <c r="F44" s="297">
        <v>2</v>
      </c>
      <c r="G44" s="363"/>
      <c r="H44" s="364"/>
      <c r="I44" s="365"/>
    </row>
    <row r="45" spans="2:9" ht="15" customHeight="1" x14ac:dyDescent="0.25">
      <c r="B45" s="284">
        <v>6</v>
      </c>
      <c r="C45" s="286" t="s">
        <v>40</v>
      </c>
      <c r="D45" s="286"/>
      <c r="E45" s="287"/>
      <c r="F45" s="297"/>
      <c r="G45" s="363"/>
      <c r="H45" s="364"/>
      <c r="I45" s="365"/>
    </row>
    <row r="46" spans="2:9" ht="15" customHeight="1" x14ac:dyDescent="0.25">
      <c r="B46" s="284"/>
      <c r="C46" s="285" t="s">
        <v>31</v>
      </c>
      <c r="D46" s="286" t="s">
        <v>41</v>
      </c>
      <c r="E46" s="287"/>
      <c r="F46" s="297">
        <v>8</v>
      </c>
      <c r="G46" s="363"/>
      <c r="H46" s="364"/>
      <c r="I46" s="365"/>
    </row>
    <row r="47" spans="2:9" ht="15" customHeight="1" x14ac:dyDescent="0.25">
      <c r="B47" s="284"/>
      <c r="C47" s="285" t="s">
        <v>31</v>
      </c>
      <c r="D47" s="286" t="s">
        <v>42</v>
      </c>
      <c r="E47" s="287"/>
      <c r="F47" s="297">
        <v>4</v>
      </c>
      <c r="G47" s="363"/>
      <c r="H47" s="364"/>
      <c r="I47" s="365"/>
    </row>
    <row r="48" spans="2:9" ht="15" customHeight="1" x14ac:dyDescent="0.25">
      <c r="B48" s="284">
        <v>7</v>
      </c>
      <c r="C48" s="286" t="s">
        <v>43</v>
      </c>
      <c r="D48" s="286"/>
      <c r="E48" s="287"/>
      <c r="F48" s="297"/>
      <c r="G48" s="363"/>
      <c r="H48" s="364"/>
      <c r="I48" s="365"/>
    </row>
    <row r="49" spans="2:9" ht="15" customHeight="1" x14ac:dyDescent="0.25">
      <c r="B49" s="284"/>
      <c r="C49" s="285" t="s">
        <v>31</v>
      </c>
      <c r="D49" s="286" t="s">
        <v>44</v>
      </c>
      <c r="E49" s="287"/>
      <c r="F49" s="297">
        <v>8</v>
      </c>
      <c r="G49" s="363"/>
      <c r="H49" s="364"/>
      <c r="I49" s="365"/>
    </row>
    <row r="50" spans="2:9" ht="15" customHeight="1" thickBot="1" x14ac:dyDescent="0.3">
      <c r="B50" s="288"/>
      <c r="C50" s="289" t="s">
        <v>31</v>
      </c>
      <c r="D50" s="290" t="s">
        <v>45</v>
      </c>
      <c r="E50" s="291"/>
      <c r="F50" s="298">
        <v>4</v>
      </c>
      <c r="G50" s="366"/>
      <c r="H50" s="367"/>
      <c r="I50" s="368"/>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60" t="s">
        <v>36</v>
      </c>
      <c r="H52" s="361"/>
      <c r="I52" s="362"/>
    </row>
    <row r="53" spans="2:9" ht="15" customHeight="1" x14ac:dyDescent="0.25">
      <c r="B53" s="284">
        <v>10</v>
      </c>
      <c r="C53" s="286" t="s">
        <v>48</v>
      </c>
      <c r="D53" s="292"/>
      <c r="E53" s="287"/>
      <c r="F53" s="297">
        <v>24</v>
      </c>
      <c r="G53" s="363"/>
      <c r="H53" s="364"/>
      <c r="I53" s="365"/>
    </row>
    <row r="54" spans="2:9" ht="15" customHeight="1" x14ac:dyDescent="0.25">
      <c r="B54" s="284">
        <v>11</v>
      </c>
      <c r="C54" s="286" t="s">
        <v>49</v>
      </c>
      <c r="D54" s="292"/>
      <c r="E54" s="287"/>
      <c r="F54" s="299">
        <f>SUM(F55:F58)</f>
        <v>90</v>
      </c>
      <c r="G54" s="363"/>
      <c r="H54" s="364"/>
      <c r="I54" s="365"/>
    </row>
    <row r="55" spans="2:9" ht="15" customHeight="1" x14ac:dyDescent="0.25">
      <c r="B55" s="293"/>
      <c r="C55" s="285" t="s">
        <v>31</v>
      </c>
      <c r="D55" s="294" t="s">
        <v>50</v>
      </c>
      <c r="E55" s="287"/>
      <c r="F55" s="297">
        <v>6</v>
      </c>
      <c r="G55" s="363"/>
      <c r="H55" s="364"/>
      <c r="I55" s="365"/>
    </row>
    <row r="56" spans="2:9" ht="15" customHeight="1" x14ac:dyDescent="0.25">
      <c r="B56" s="293"/>
      <c r="C56" s="285" t="s">
        <v>31</v>
      </c>
      <c r="D56" s="294" t="s">
        <v>51</v>
      </c>
      <c r="E56" s="287"/>
      <c r="F56" s="297">
        <v>12</v>
      </c>
      <c r="G56" s="363"/>
      <c r="H56" s="364"/>
      <c r="I56" s="365"/>
    </row>
    <row r="57" spans="2:9" ht="15" customHeight="1" x14ac:dyDescent="0.25">
      <c r="B57" s="293"/>
      <c r="C57" s="285" t="s">
        <v>31</v>
      </c>
      <c r="D57" s="294" t="s">
        <v>52</v>
      </c>
      <c r="E57" s="287"/>
      <c r="F57" s="297">
        <v>24</v>
      </c>
      <c r="G57" s="363"/>
      <c r="H57" s="364"/>
      <c r="I57" s="365"/>
    </row>
    <row r="58" spans="2:9" ht="15" customHeight="1" x14ac:dyDescent="0.25">
      <c r="B58" s="293"/>
      <c r="C58" s="285" t="s">
        <v>31</v>
      </c>
      <c r="D58" s="294" t="s">
        <v>53</v>
      </c>
      <c r="E58" s="287"/>
      <c r="F58" s="297">
        <v>48</v>
      </c>
      <c r="G58" s="363"/>
      <c r="H58" s="364"/>
      <c r="I58" s="365"/>
    </row>
    <row r="59" spans="2:9" ht="15" customHeight="1" x14ac:dyDescent="0.25">
      <c r="B59" s="284">
        <v>12</v>
      </c>
      <c r="C59" s="292" t="s">
        <v>54</v>
      </c>
      <c r="D59" s="292"/>
      <c r="E59" s="287"/>
      <c r="F59" s="299">
        <f>SUM(F60:F62)</f>
        <v>42</v>
      </c>
      <c r="G59" s="363"/>
      <c r="H59" s="364"/>
      <c r="I59" s="365"/>
    </row>
    <row r="60" spans="2:9" ht="15" customHeight="1" x14ac:dyDescent="0.25">
      <c r="B60" s="293"/>
      <c r="C60" s="285" t="s">
        <v>31</v>
      </c>
      <c r="D60" s="294" t="s">
        <v>50</v>
      </c>
      <c r="E60" s="287"/>
      <c r="F60" s="297">
        <v>6</v>
      </c>
      <c r="G60" s="363"/>
      <c r="H60" s="364"/>
      <c r="I60" s="365"/>
    </row>
    <row r="61" spans="2:9" ht="15" customHeight="1" x14ac:dyDescent="0.25">
      <c r="B61" s="293"/>
      <c r="C61" s="285" t="s">
        <v>31</v>
      </c>
      <c r="D61" s="294" t="s">
        <v>55</v>
      </c>
      <c r="E61" s="287"/>
      <c r="F61" s="297">
        <v>12</v>
      </c>
      <c r="G61" s="363"/>
      <c r="H61" s="364"/>
      <c r="I61" s="365"/>
    </row>
    <row r="62" spans="2:9" ht="15" customHeight="1" x14ac:dyDescent="0.25">
      <c r="B62" s="293"/>
      <c r="C62" s="285" t="s">
        <v>31</v>
      </c>
      <c r="D62" s="294" t="s">
        <v>56</v>
      </c>
      <c r="E62" s="287"/>
      <c r="F62" s="297">
        <v>24</v>
      </c>
      <c r="G62" s="363"/>
      <c r="H62" s="364"/>
      <c r="I62" s="365"/>
    </row>
    <row r="63" spans="2:9" ht="15" customHeight="1" x14ac:dyDescent="0.25">
      <c r="B63" s="284">
        <v>13</v>
      </c>
      <c r="C63" s="292" t="s">
        <v>57</v>
      </c>
      <c r="D63" s="292"/>
      <c r="E63" s="287"/>
      <c r="F63" s="299">
        <f>SUM(F64:F65)</f>
        <v>18</v>
      </c>
      <c r="G63" s="363"/>
      <c r="H63" s="364"/>
      <c r="I63" s="365"/>
    </row>
    <row r="64" spans="2:9" ht="15" customHeight="1" x14ac:dyDescent="0.25">
      <c r="B64" s="293"/>
      <c r="C64" s="285" t="s">
        <v>31</v>
      </c>
      <c r="D64" s="294" t="s">
        <v>50</v>
      </c>
      <c r="E64" s="287"/>
      <c r="F64" s="297">
        <v>6</v>
      </c>
      <c r="G64" s="363"/>
      <c r="H64" s="364"/>
      <c r="I64" s="365"/>
    </row>
    <row r="65" spans="2:9" ht="15" customHeight="1" x14ac:dyDescent="0.25">
      <c r="B65" s="293"/>
      <c r="C65" s="285" t="s">
        <v>31</v>
      </c>
      <c r="D65" s="294" t="s">
        <v>55</v>
      </c>
      <c r="E65" s="287"/>
      <c r="F65" s="297">
        <v>12</v>
      </c>
      <c r="G65" s="363"/>
      <c r="H65" s="364"/>
      <c r="I65" s="365"/>
    </row>
    <row r="66" spans="2:9" ht="15" customHeight="1" thickBot="1" x14ac:dyDescent="0.3">
      <c r="B66" s="288">
        <v>14</v>
      </c>
      <c r="C66" s="290" t="s">
        <v>58</v>
      </c>
      <c r="D66" s="295"/>
      <c r="E66" s="291"/>
      <c r="F66" s="298">
        <v>0</v>
      </c>
      <c r="G66" s="366"/>
      <c r="H66" s="367"/>
      <c r="I66" s="368"/>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285</v>
      </c>
      <c r="C3" s="33"/>
      <c r="D3" s="33"/>
      <c r="E3" s="33"/>
      <c r="F3" s="33"/>
      <c r="G3" s="33"/>
      <c r="H3" s="33"/>
      <c r="I3" s="33"/>
      <c r="J3" s="33"/>
      <c r="K3" s="33"/>
      <c r="L3" s="33"/>
      <c r="M3" s="33"/>
    </row>
    <row r="4" spans="2:13" s="7" customFormat="1" ht="5.0999999999999996" customHeight="1" x14ac:dyDescent="0.2">
      <c r="I4" s="34"/>
      <c r="J4" s="11"/>
    </row>
    <row r="14" spans="2:13" x14ac:dyDescent="0.25">
      <c r="G14" s="274" t="s">
        <v>286</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287</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288</v>
      </c>
      <c r="I7" s="19"/>
      <c r="J7" s="37"/>
      <c r="K7" s="37"/>
      <c r="L7" s="37"/>
      <c r="M7" s="37"/>
      <c r="N7" s="37"/>
      <c r="O7" s="37"/>
    </row>
    <row r="8" spans="2:15" x14ac:dyDescent="0.3">
      <c r="B8" s="194"/>
      <c r="C8" s="194" t="s">
        <v>289</v>
      </c>
      <c r="D8" s="194" t="s">
        <v>290</v>
      </c>
      <c r="E8" s="194" t="s">
        <v>291</v>
      </c>
      <c r="F8" s="194"/>
      <c r="G8" s="194"/>
      <c r="H8" s="238" t="s">
        <v>292</v>
      </c>
      <c r="I8" s="239"/>
      <c r="J8" s="238"/>
      <c r="K8" s="238"/>
      <c r="L8" s="238"/>
      <c r="M8" s="238"/>
      <c r="N8" s="238"/>
      <c r="O8" s="37"/>
    </row>
    <row r="9" spans="2:15" x14ac:dyDescent="0.3">
      <c r="B9" s="194"/>
      <c r="C9" s="194" t="s">
        <v>293</v>
      </c>
      <c r="D9" s="194" t="s">
        <v>290</v>
      </c>
      <c r="E9" s="195" t="s">
        <v>294</v>
      </c>
      <c r="F9" s="194"/>
      <c r="G9" s="194"/>
      <c r="H9" s="218"/>
      <c r="I9" s="19"/>
      <c r="J9" s="37"/>
      <c r="K9" s="37"/>
      <c r="L9" s="37"/>
      <c r="M9" s="37"/>
      <c r="N9" s="37"/>
      <c r="O9" s="37"/>
    </row>
    <row r="10" spans="2:15" x14ac:dyDescent="0.3">
      <c r="B10" s="194"/>
      <c r="C10" s="194" t="s">
        <v>295</v>
      </c>
      <c r="D10" s="194" t="s">
        <v>290</v>
      </c>
      <c r="E10" s="194" t="s">
        <v>296</v>
      </c>
      <c r="F10" s="194"/>
      <c r="G10" s="194"/>
      <c r="H10" s="218"/>
      <c r="I10" s="19"/>
      <c r="J10" s="37"/>
      <c r="K10" s="37"/>
      <c r="L10" s="37"/>
      <c r="M10" s="37"/>
      <c r="N10" s="37"/>
      <c r="O10" s="37"/>
    </row>
    <row r="11" spans="2:15" x14ac:dyDescent="0.3">
      <c r="B11" s="194"/>
      <c r="C11" s="194" t="s">
        <v>297</v>
      </c>
      <c r="D11" s="194" t="s">
        <v>290</v>
      </c>
      <c r="E11" s="221" t="s">
        <v>298</v>
      </c>
      <c r="F11" s="196"/>
      <c r="G11" s="194"/>
      <c r="H11" s="218"/>
      <c r="I11" s="19"/>
      <c r="J11" s="37"/>
      <c r="K11" s="37"/>
      <c r="L11" s="37"/>
      <c r="M11" s="37"/>
      <c r="N11" s="37"/>
      <c r="O11" s="37"/>
    </row>
    <row r="12" spans="2:15" x14ac:dyDescent="0.3">
      <c r="B12" s="194"/>
      <c r="C12" s="194" t="s">
        <v>299</v>
      </c>
      <c r="D12" s="194" t="s">
        <v>290</v>
      </c>
      <c r="E12" s="218" t="s">
        <v>300</v>
      </c>
      <c r="F12" s="218"/>
      <c r="G12" s="194"/>
      <c r="H12" s="218"/>
      <c r="I12" s="19"/>
      <c r="J12" s="37"/>
      <c r="K12" s="37"/>
      <c r="L12" s="37"/>
      <c r="M12" s="37"/>
      <c r="N12" s="37"/>
      <c r="O12" s="37"/>
    </row>
    <row r="13" spans="2:15" x14ac:dyDescent="0.3">
      <c r="B13" s="194"/>
      <c r="C13" s="194" t="s">
        <v>301</v>
      </c>
      <c r="D13" s="194" t="s">
        <v>290</v>
      </c>
      <c r="E13" s="222" t="s">
        <v>302</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303</v>
      </c>
      <c r="G16" s="206" t="s">
        <v>304</v>
      </c>
      <c r="H16" s="233" t="s">
        <v>305</v>
      </c>
    </row>
    <row r="17" spans="2:8" ht="15" customHeight="1" x14ac:dyDescent="0.3">
      <c r="B17" s="214" t="s">
        <v>306</v>
      </c>
      <c r="C17" s="214"/>
      <c r="D17" s="214"/>
      <c r="E17" s="214"/>
      <c r="F17" s="228">
        <v>10</v>
      </c>
      <c r="G17" s="215">
        <v>100</v>
      </c>
      <c r="H17" s="225">
        <v>100</v>
      </c>
    </row>
    <row r="18" spans="2:8" ht="15" customHeight="1" x14ac:dyDescent="0.3">
      <c r="B18" s="214" t="s">
        <v>307</v>
      </c>
      <c r="C18" s="214"/>
      <c r="D18" s="214"/>
      <c r="E18" s="219"/>
      <c r="F18" s="229"/>
      <c r="G18" s="219"/>
      <c r="H18" s="226"/>
    </row>
    <row r="19" spans="2:8" ht="15" customHeight="1" x14ac:dyDescent="0.3">
      <c r="B19" s="220" t="s">
        <v>131</v>
      </c>
      <c r="C19" s="214" t="s">
        <v>308</v>
      </c>
      <c r="D19" s="214"/>
      <c r="E19" s="219"/>
      <c r="F19" s="228" t="s">
        <v>17</v>
      </c>
      <c r="G19" s="215" t="s">
        <v>17</v>
      </c>
      <c r="H19" s="225" t="s">
        <v>17</v>
      </c>
    </row>
    <row r="20" spans="2:8" ht="15" customHeight="1" x14ac:dyDescent="0.3">
      <c r="B20" s="220" t="s">
        <v>131</v>
      </c>
      <c r="C20" s="214" t="s">
        <v>309</v>
      </c>
      <c r="D20" s="214"/>
      <c r="E20" s="219"/>
      <c r="F20" s="228" t="s">
        <v>17</v>
      </c>
      <c r="G20" s="215" t="s">
        <v>17</v>
      </c>
      <c r="H20" s="225" t="s">
        <v>17</v>
      </c>
    </row>
    <row r="21" spans="2:8" ht="15" customHeight="1" x14ac:dyDescent="0.3">
      <c r="B21" s="220" t="s">
        <v>131</v>
      </c>
      <c r="C21" s="214" t="s">
        <v>310</v>
      </c>
      <c r="D21" s="214"/>
      <c r="E21" s="219"/>
      <c r="F21" s="228" t="s">
        <v>17</v>
      </c>
      <c r="G21" s="215" t="s">
        <v>17</v>
      </c>
      <c r="H21" s="225" t="s">
        <v>17</v>
      </c>
    </row>
    <row r="22" spans="2:8" ht="15" customHeight="1" x14ac:dyDescent="0.3">
      <c r="B22" s="220" t="s">
        <v>131</v>
      </c>
      <c r="C22" s="214" t="s">
        <v>311</v>
      </c>
      <c r="D22" s="214"/>
      <c r="E22" s="219"/>
      <c r="F22" s="228" t="s">
        <v>17</v>
      </c>
      <c r="G22" s="215" t="s">
        <v>17</v>
      </c>
      <c r="H22" s="225" t="s">
        <v>17</v>
      </c>
    </row>
    <row r="23" spans="2:8" ht="15" customHeight="1" x14ac:dyDescent="0.3">
      <c r="B23" s="220" t="s">
        <v>131</v>
      </c>
      <c r="C23" s="214" t="s">
        <v>312</v>
      </c>
      <c r="D23" s="214"/>
      <c r="E23" s="219"/>
      <c r="F23" s="228" t="s">
        <v>17</v>
      </c>
      <c r="G23" s="215" t="s">
        <v>17</v>
      </c>
      <c r="H23" s="225" t="s">
        <v>17</v>
      </c>
    </row>
    <row r="24" spans="2:8" ht="15" customHeight="1" x14ac:dyDescent="0.3">
      <c r="B24" s="220" t="s">
        <v>131</v>
      </c>
      <c r="C24" s="214" t="s">
        <v>313</v>
      </c>
      <c r="D24" s="214"/>
      <c r="E24" s="214"/>
      <c r="F24" s="230" t="s">
        <v>314</v>
      </c>
      <c r="G24" s="216" t="s">
        <v>315</v>
      </c>
      <c r="H24" s="227" t="s">
        <v>315</v>
      </c>
    </row>
    <row r="25" spans="2:8" ht="15" customHeight="1" x14ac:dyDescent="0.3">
      <c r="B25" s="214" t="s">
        <v>316</v>
      </c>
      <c r="C25" s="214"/>
      <c r="D25" s="214"/>
      <c r="E25" s="214"/>
      <c r="F25" s="228" t="s">
        <v>317</v>
      </c>
      <c r="G25" s="215" t="s">
        <v>317</v>
      </c>
      <c r="H25" s="225" t="s">
        <v>318</v>
      </c>
    </row>
    <row r="26" spans="2:8" ht="15" customHeight="1" x14ac:dyDescent="0.3">
      <c r="B26" s="214" t="s">
        <v>319</v>
      </c>
      <c r="C26" s="214"/>
      <c r="D26" s="214"/>
      <c r="E26" s="214"/>
      <c r="F26" s="228" t="s">
        <v>67</v>
      </c>
      <c r="G26" s="215" t="s">
        <v>320</v>
      </c>
      <c r="H26" s="225" t="s">
        <v>321</v>
      </c>
    </row>
    <row r="27" spans="2:8" ht="15" customHeight="1" x14ac:dyDescent="0.3">
      <c r="B27" s="214" t="s">
        <v>322</v>
      </c>
      <c r="C27" s="214"/>
      <c r="D27" s="214"/>
      <c r="E27" s="214"/>
      <c r="F27" s="228" t="s">
        <v>67</v>
      </c>
      <c r="G27" s="215" t="s">
        <v>67</v>
      </c>
      <c r="H27" s="225" t="s">
        <v>17</v>
      </c>
    </row>
    <row r="28" spans="2:8" ht="15" customHeight="1" x14ac:dyDescent="0.3">
      <c r="B28" s="214" t="s">
        <v>323</v>
      </c>
      <c r="C28" s="214"/>
      <c r="D28" s="214"/>
      <c r="E28" s="214"/>
      <c r="F28" s="228" t="s">
        <v>317</v>
      </c>
      <c r="G28" s="215" t="s">
        <v>324</v>
      </c>
      <c r="H28" s="225" t="s">
        <v>324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325</v>
      </c>
      <c r="H33" s="217" t="s">
        <v>326</v>
      </c>
    </row>
    <row r="35" spans="2:8" ht="15.6" x14ac:dyDescent="0.3">
      <c r="B35" s="427" t="s">
        <v>327</v>
      </c>
      <c r="C35" s="427"/>
      <c r="D35" s="427"/>
      <c r="E35" s="427"/>
      <c r="F35" s="427"/>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328</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329</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328</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329</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328</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329</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328</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329</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328</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329</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328</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329</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328</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329</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328</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329</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328</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329</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328</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329</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328</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329</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328</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330</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331</v>
      </c>
      <c r="AP2" s="319"/>
      <c r="AQ2" s="319"/>
      <c r="AR2" s="319"/>
      <c r="AS2" s="319"/>
      <c r="AT2" s="319"/>
      <c r="AU2" s="319"/>
      <c r="AV2" s="319"/>
      <c r="AW2" s="319"/>
      <c r="AX2" s="319"/>
      <c r="AY2" s="319"/>
      <c r="AZ2" s="319"/>
      <c r="BA2" s="319"/>
      <c r="BB2" s="319"/>
      <c r="BC2" s="319"/>
      <c r="BD2" s="319"/>
      <c r="BE2" s="319"/>
      <c r="BF2" s="319"/>
      <c r="BG2" s="319"/>
      <c r="BH2" s="319"/>
      <c r="BI2" s="319" t="s">
        <v>332</v>
      </c>
      <c r="BJ2" s="319"/>
      <c r="BK2" s="319"/>
      <c r="BL2" s="319"/>
      <c r="BM2" s="319"/>
      <c r="BN2" s="319"/>
      <c r="BO2" s="319"/>
      <c r="BP2" s="319"/>
      <c r="BQ2" s="319"/>
      <c r="BR2" s="319"/>
      <c r="BS2" s="319"/>
      <c r="BT2" s="319"/>
      <c r="BU2" s="319"/>
      <c r="BV2" s="319"/>
      <c r="BW2" s="319"/>
      <c r="BX2" s="319"/>
      <c r="BY2" s="319"/>
      <c r="BZ2" s="319"/>
      <c r="CA2" s="319"/>
      <c r="CB2" s="319"/>
      <c r="CC2" s="319" t="s">
        <v>333</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334</v>
      </c>
      <c r="DB2" s="319" t="s">
        <v>335</v>
      </c>
      <c r="DC2" s="319"/>
      <c r="DD2" s="319"/>
      <c r="DE2" s="319"/>
      <c r="DF2" s="319"/>
      <c r="DG2" s="319"/>
      <c r="DH2" s="319"/>
      <c r="DI2" s="320" t="s">
        <v>156</v>
      </c>
      <c r="DJ2" s="320" t="s">
        <v>108</v>
      </c>
      <c r="DK2" s="320" t="s">
        <v>157</v>
      </c>
      <c r="DL2" s="320" t="s">
        <v>334</v>
      </c>
      <c r="DM2" s="320" t="s">
        <v>335</v>
      </c>
      <c r="DN2" s="320" t="s">
        <v>336</v>
      </c>
      <c r="DO2" s="320" t="s">
        <v>159</v>
      </c>
      <c r="DP2" s="319" t="s">
        <v>337</v>
      </c>
      <c r="DQ2" s="319" t="s">
        <v>338</v>
      </c>
      <c r="DR2" s="319" t="s">
        <v>339</v>
      </c>
      <c r="DS2" s="319" t="s">
        <v>340</v>
      </c>
      <c r="DT2" s="319" t="s">
        <v>341</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330</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331</v>
      </c>
      <c r="FN2" s="319"/>
      <c r="FO2" s="319"/>
      <c r="FP2" s="319"/>
      <c r="FQ2" s="319"/>
      <c r="FR2" s="319"/>
      <c r="FS2" s="319"/>
      <c r="FT2" s="319"/>
      <c r="FU2" s="319"/>
      <c r="FV2" s="319"/>
      <c r="FW2" s="319"/>
      <c r="FX2" s="319"/>
      <c r="FY2" s="319"/>
      <c r="FZ2" s="319"/>
      <c r="GA2" s="319"/>
      <c r="GB2" s="319"/>
      <c r="GC2" s="319"/>
      <c r="GD2" s="319"/>
      <c r="GE2" s="319"/>
      <c r="GF2" s="319"/>
      <c r="GG2" s="319" t="s">
        <v>332</v>
      </c>
      <c r="GH2" s="319"/>
      <c r="GI2" s="319"/>
      <c r="GJ2" s="319"/>
      <c r="GK2" s="319"/>
      <c r="GL2" s="319"/>
      <c r="GM2" s="319"/>
      <c r="GN2" s="319"/>
      <c r="GO2" s="319"/>
      <c r="GP2" s="319"/>
      <c r="GQ2" s="319"/>
      <c r="GR2" s="319"/>
      <c r="GS2" s="319"/>
      <c r="GT2" s="319"/>
      <c r="GU2" s="319"/>
      <c r="GV2" s="319"/>
      <c r="GW2" s="319"/>
      <c r="GX2" s="319"/>
      <c r="GY2" s="319"/>
      <c r="GZ2" s="319"/>
      <c r="HA2" s="319" t="s">
        <v>333</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334</v>
      </c>
      <c r="HZ2" s="319" t="s">
        <v>335</v>
      </c>
      <c r="IA2" s="319"/>
      <c r="IB2" s="319"/>
      <c r="IC2" s="319"/>
      <c r="ID2" s="319"/>
      <c r="IE2" s="319"/>
      <c r="IF2" s="319"/>
      <c r="IG2" s="320" t="s">
        <v>156</v>
      </c>
      <c r="IH2" s="320" t="s">
        <v>108</v>
      </c>
      <c r="II2" s="320" t="s">
        <v>157</v>
      </c>
      <c r="IJ2" s="320" t="s">
        <v>334</v>
      </c>
      <c r="IK2" s="320" t="s">
        <v>335</v>
      </c>
      <c r="IL2" s="320" t="s">
        <v>336</v>
      </c>
      <c r="IM2" s="320" t="s">
        <v>159</v>
      </c>
      <c r="IN2" s="319" t="s">
        <v>337</v>
      </c>
      <c r="IO2" s="319" t="s">
        <v>338</v>
      </c>
      <c r="IP2" s="319" t="s">
        <v>339</v>
      </c>
      <c r="IQ2" s="319" t="s">
        <v>340</v>
      </c>
      <c r="IR2" s="319" t="s">
        <v>341</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330</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331</v>
      </c>
      <c r="KL2" s="319"/>
      <c r="KM2" s="319"/>
      <c r="KN2" s="319"/>
      <c r="KO2" s="319"/>
      <c r="KP2" s="319"/>
      <c r="KQ2" s="319"/>
      <c r="KR2" s="319"/>
      <c r="KS2" s="319"/>
      <c r="KT2" s="319"/>
      <c r="KU2" s="319"/>
      <c r="KV2" s="319"/>
      <c r="KW2" s="319"/>
      <c r="KX2" s="319"/>
      <c r="KY2" s="319"/>
      <c r="KZ2" s="319"/>
      <c r="LA2" s="319"/>
      <c r="LB2" s="319"/>
      <c r="LC2" s="319"/>
      <c r="LD2" s="319"/>
      <c r="LE2" s="319" t="s">
        <v>332</v>
      </c>
      <c r="LF2" s="319"/>
      <c r="LG2" s="319"/>
      <c r="LH2" s="319"/>
      <c r="LI2" s="319"/>
      <c r="LJ2" s="319"/>
      <c r="LK2" s="319"/>
      <c r="LL2" s="319"/>
      <c r="LM2" s="319"/>
      <c r="LN2" s="319"/>
      <c r="LO2" s="319"/>
      <c r="LP2" s="319"/>
      <c r="LQ2" s="319"/>
      <c r="LR2" s="319"/>
      <c r="LS2" s="319"/>
      <c r="LT2" s="319"/>
      <c r="LU2" s="319"/>
      <c r="LV2" s="319"/>
      <c r="LW2" s="319"/>
      <c r="LX2" s="319"/>
      <c r="LY2" s="319" t="s">
        <v>333</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334</v>
      </c>
      <c r="MX2" s="319" t="s">
        <v>335</v>
      </c>
      <c r="MY2" s="319"/>
      <c r="MZ2" s="319"/>
      <c r="NA2" s="319"/>
      <c r="NB2" s="319"/>
      <c r="NC2" s="319"/>
      <c r="ND2" s="319"/>
      <c r="NE2" s="320" t="s">
        <v>156</v>
      </c>
      <c r="NF2" s="320" t="s">
        <v>108</v>
      </c>
      <c r="NG2" s="320" t="s">
        <v>157</v>
      </c>
      <c r="NH2" s="320" t="s">
        <v>334</v>
      </c>
      <c r="NI2" s="320" t="s">
        <v>335</v>
      </c>
      <c r="NJ2" s="320" t="s">
        <v>336</v>
      </c>
      <c r="NK2" s="320" t="s">
        <v>159</v>
      </c>
      <c r="NL2" s="319" t="s">
        <v>337</v>
      </c>
      <c r="NM2" s="319" t="s">
        <v>338</v>
      </c>
      <c r="NN2" s="319" t="s">
        <v>339</v>
      </c>
      <c r="NO2" s="319" t="s">
        <v>340</v>
      </c>
      <c r="NP2" s="319" t="s">
        <v>341</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330</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331</v>
      </c>
      <c r="PJ2" s="319"/>
      <c r="PK2" s="319"/>
      <c r="PL2" s="319"/>
      <c r="PM2" s="319"/>
      <c r="PN2" s="319"/>
      <c r="PO2" s="319"/>
      <c r="PP2" s="319"/>
      <c r="PQ2" s="319"/>
      <c r="PR2" s="319"/>
      <c r="PS2" s="319"/>
      <c r="PT2" s="319"/>
      <c r="PU2" s="319"/>
      <c r="PV2" s="319"/>
      <c r="PW2" s="319"/>
      <c r="PX2" s="319"/>
      <c r="PY2" s="319"/>
      <c r="PZ2" s="319"/>
      <c r="QA2" s="319"/>
      <c r="QB2" s="319"/>
      <c r="QC2" s="319" t="s">
        <v>332</v>
      </c>
      <c r="QD2" s="319"/>
      <c r="QE2" s="319"/>
      <c r="QF2" s="319"/>
      <c r="QG2" s="319"/>
      <c r="QH2" s="319"/>
      <c r="QI2" s="319"/>
      <c r="QJ2" s="319"/>
      <c r="QK2" s="319"/>
      <c r="QL2" s="319"/>
      <c r="QM2" s="319"/>
      <c r="QN2" s="319"/>
      <c r="QO2" s="319"/>
      <c r="QP2" s="319"/>
      <c r="QQ2" s="319"/>
      <c r="QR2" s="319"/>
      <c r="QS2" s="319"/>
      <c r="QT2" s="319"/>
      <c r="QU2" s="319"/>
      <c r="QV2" s="319"/>
      <c r="QW2" s="319" t="s">
        <v>333</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334</v>
      </c>
      <c r="RV2" s="319" t="s">
        <v>335</v>
      </c>
      <c r="RW2" s="319"/>
      <c r="RX2" s="319"/>
      <c r="RY2" s="319"/>
      <c r="RZ2" s="319"/>
      <c r="SA2" s="319"/>
      <c r="SB2" s="319"/>
      <c r="SC2" s="320" t="s">
        <v>156</v>
      </c>
      <c r="SD2" s="320" t="s">
        <v>108</v>
      </c>
      <c r="SE2" s="320" t="s">
        <v>157</v>
      </c>
      <c r="SF2" s="320" t="s">
        <v>334</v>
      </c>
      <c r="SG2" s="320" t="s">
        <v>335</v>
      </c>
      <c r="SH2" s="320" t="s">
        <v>336</v>
      </c>
      <c r="SI2" s="320" t="s">
        <v>159</v>
      </c>
      <c r="SJ2" s="319" t="s">
        <v>337</v>
      </c>
      <c r="SK2" s="319" t="s">
        <v>338</v>
      </c>
      <c r="SL2" s="319" t="s">
        <v>339</v>
      </c>
      <c r="SM2" s="319" t="s">
        <v>340</v>
      </c>
      <c r="SN2" s="319" t="s">
        <v>341</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330</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331</v>
      </c>
      <c r="UH2" s="319"/>
      <c r="UI2" s="319"/>
      <c r="UJ2" s="319"/>
      <c r="UK2" s="319"/>
      <c r="UL2" s="319"/>
      <c r="UM2" s="319"/>
      <c r="UN2" s="319"/>
      <c r="UO2" s="319"/>
      <c r="UP2" s="319"/>
      <c r="UQ2" s="319"/>
      <c r="UR2" s="319"/>
      <c r="US2" s="319"/>
      <c r="UT2" s="319"/>
      <c r="UU2" s="319"/>
      <c r="UV2" s="319"/>
      <c r="UW2" s="319"/>
      <c r="UX2" s="319"/>
      <c r="UY2" s="319"/>
      <c r="UZ2" s="319"/>
      <c r="VA2" s="319" t="s">
        <v>332</v>
      </c>
      <c r="VB2" s="319"/>
      <c r="VC2" s="319"/>
      <c r="VD2" s="319"/>
      <c r="VE2" s="319"/>
      <c r="VF2" s="319"/>
      <c r="VG2" s="319"/>
      <c r="VH2" s="319"/>
      <c r="VI2" s="319"/>
      <c r="VJ2" s="319"/>
      <c r="VK2" s="319"/>
      <c r="VL2" s="319"/>
      <c r="VM2" s="319"/>
      <c r="VN2" s="319"/>
      <c r="VO2" s="319"/>
      <c r="VP2" s="319"/>
      <c r="VQ2" s="319"/>
      <c r="VR2" s="319"/>
      <c r="VS2" s="319"/>
      <c r="VT2" s="319"/>
      <c r="VU2" s="319" t="s">
        <v>333</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334</v>
      </c>
      <c r="WT2" s="319" t="s">
        <v>335</v>
      </c>
      <c r="WU2" s="319"/>
      <c r="WV2" s="319"/>
      <c r="WW2" s="319"/>
      <c r="WX2" s="319"/>
      <c r="WY2" s="319"/>
      <c r="WZ2" s="319"/>
      <c r="XA2" s="320" t="s">
        <v>156</v>
      </c>
      <c r="XB2" s="320" t="s">
        <v>108</v>
      </c>
      <c r="XC2" s="320" t="s">
        <v>157</v>
      </c>
      <c r="XD2" s="320" t="s">
        <v>334</v>
      </c>
      <c r="XE2" s="320" t="s">
        <v>335</v>
      </c>
      <c r="XF2" s="320" t="s">
        <v>336</v>
      </c>
      <c r="XG2" s="320" t="s">
        <v>159</v>
      </c>
      <c r="XH2" s="319" t="s">
        <v>337</v>
      </c>
      <c r="XI2" s="319" t="s">
        <v>338</v>
      </c>
      <c r="XJ2" s="319" t="s">
        <v>339</v>
      </c>
      <c r="XK2" s="319" t="s">
        <v>340</v>
      </c>
      <c r="XL2" s="319" t="s">
        <v>341</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330</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331</v>
      </c>
      <c r="ZF2" s="319"/>
      <c r="ZG2" s="319"/>
      <c r="ZH2" s="319"/>
      <c r="ZI2" s="319"/>
      <c r="ZJ2" s="319"/>
      <c r="ZK2" s="319"/>
      <c r="ZL2" s="319"/>
      <c r="ZM2" s="319"/>
      <c r="ZN2" s="319"/>
      <c r="ZO2" s="319"/>
      <c r="ZP2" s="319"/>
      <c r="ZQ2" s="319"/>
      <c r="ZR2" s="319"/>
      <c r="ZS2" s="319"/>
      <c r="ZT2" s="319"/>
      <c r="ZU2" s="319"/>
      <c r="ZV2" s="319"/>
      <c r="ZW2" s="319"/>
      <c r="ZX2" s="319"/>
      <c r="ZY2" s="319" t="s">
        <v>332</v>
      </c>
      <c r="ZZ2" s="319"/>
      <c r="AAA2" s="319"/>
      <c r="AAB2" s="319"/>
      <c r="AAC2" s="319"/>
      <c r="AAD2" s="319"/>
      <c r="AAE2" s="319"/>
      <c r="AAF2" s="319"/>
      <c r="AAG2" s="319"/>
      <c r="AAH2" s="319"/>
      <c r="AAI2" s="319"/>
      <c r="AAJ2" s="319"/>
      <c r="AAK2" s="319"/>
      <c r="AAL2" s="319"/>
      <c r="AAM2" s="319"/>
      <c r="AAN2" s="319"/>
      <c r="AAO2" s="319"/>
      <c r="AAP2" s="319"/>
      <c r="AAQ2" s="319"/>
      <c r="AAR2" s="319"/>
      <c r="AAS2" s="319" t="s">
        <v>333</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334</v>
      </c>
      <c r="ABR2" s="319" t="s">
        <v>335</v>
      </c>
      <c r="ABS2" s="319"/>
      <c r="ABT2" s="319"/>
      <c r="ABU2" s="319"/>
      <c r="ABV2" s="319"/>
      <c r="ABW2" s="319"/>
      <c r="ABX2" s="319"/>
      <c r="ABY2" s="320" t="s">
        <v>156</v>
      </c>
      <c r="ABZ2" s="320" t="s">
        <v>108</v>
      </c>
      <c r="ACA2" s="320" t="s">
        <v>157</v>
      </c>
      <c r="ACB2" s="320" t="s">
        <v>334</v>
      </c>
      <c r="ACC2" s="320" t="s">
        <v>335</v>
      </c>
      <c r="ACD2" s="320" t="s">
        <v>336</v>
      </c>
      <c r="ACE2" s="320" t="s">
        <v>159</v>
      </c>
      <c r="ACF2" s="319" t="s">
        <v>337</v>
      </c>
      <c r="ACG2" s="319" t="s">
        <v>338</v>
      </c>
      <c r="ACH2" s="319" t="s">
        <v>339</v>
      </c>
      <c r="ACI2" s="319" t="s">
        <v>340</v>
      </c>
      <c r="ACJ2" s="319" t="s">
        <v>341</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330</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331</v>
      </c>
      <c r="AED2" s="319"/>
      <c r="AEE2" s="319"/>
      <c r="AEF2" s="319"/>
      <c r="AEG2" s="319"/>
      <c r="AEH2" s="319"/>
      <c r="AEI2" s="319"/>
      <c r="AEJ2" s="319"/>
      <c r="AEK2" s="319"/>
      <c r="AEL2" s="319"/>
      <c r="AEM2" s="319"/>
      <c r="AEN2" s="319"/>
      <c r="AEO2" s="319"/>
      <c r="AEP2" s="319"/>
      <c r="AEQ2" s="319"/>
      <c r="AER2" s="319"/>
      <c r="AES2" s="319"/>
      <c r="AET2" s="319"/>
      <c r="AEU2" s="319"/>
      <c r="AEV2" s="319"/>
      <c r="AEW2" s="319" t="s">
        <v>332</v>
      </c>
      <c r="AEX2" s="319"/>
      <c r="AEY2" s="319"/>
      <c r="AEZ2" s="319"/>
      <c r="AFA2" s="319"/>
      <c r="AFB2" s="319"/>
      <c r="AFC2" s="319"/>
      <c r="AFD2" s="319"/>
      <c r="AFE2" s="319"/>
      <c r="AFF2" s="319"/>
      <c r="AFG2" s="319"/>
      <c r="AFH2" s="319"/>
      <c r="AFI2" s="319"/>
      <c r="AFJ2" s="319"/>
      <c r="AFK2" s="319"/>
      <c r="AFL2" s="319"/>
      <c r="AFM2" s="319"/>
      <c r="AFN2" s="319"/>
      <c r="AFO2" s="319"/>
      <c r="AFP2" s="319"/>
      <c r="AFQ2" s="319" t="s">
        <v>333</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334</v>
      </c>
      <c r="AGP2" s="319" t="s">
        <v>335</v>
      </c>
      <c r="AGQ2" s="319"/>
      <c r="AGR2" s="319"/>
      <c r="AGS2" s="319"/>
      <c r="AGT2" s="319"/>
      <c r="AGU2" s="319"/>
      <c r="AGV2" s="319"/>
      <c r="AGW2" s="320" t="s">
        <v>156</v>
      </c>
      <c r="AGX2" s="320" t="s">
        <v>108</v>
      </c>
      <c r="AGY2" s="320" t="s">
        <v>157</v>
      </c>
      <c r="AGZ2" s="320" t="s">
        <v>334</v>
      </c>
      <c r="AHA2" s="320" t="s">
        <v>335</v>
      </c>
      <c r="AHB2" s="320" t="s">
        <v>336</v>
      </c>
      <c r="AHC2" s="320" t="s">
        <v>159</v>
      </c>
      <c r="AHD2" s="319" t="s">
        <v>337</v>
      </c>
      <c r="AHE2" s="319" t="s">
        <v>338</v>
      </c>
      <c r="AHF2" s="319" t="s">
        <v>339</v>
      </c>
      <c r="AHG2" s="319" t="s">
        <v>340</v>
      </c>
      <c r="AHH2" s="319" t="s">
        <v>341</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330</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331</v>
      </c>
      <c r="AJB2" s="319"/>
      <c r="AJC2" s="319"/>
      <c r="AJD2" s="319"/>
      <c r="AJE2" s="319"/>
      <c r="AJF2" s="319"/>
      <c r="AJG2" s="319"/>
      <c r="AJH2" s="319"/>
      <c r="AJI2" s="319"/>
      <c r="AJJ2" s="319"/>
      <c r="AJK2" s="319"/>
      <c r="AJL2" s="319"/>
      <c r="AJM2" s="319"/>
      <c r="AJN2" s="319"/>
      <c r="AJO2" s="319"/>
      <c r="AJP2" s="319"/>
      <c r="AJQ2" s="319"/>
      <c r="AJR2" s="319"/>
      <c r="AJS2" s="319"/>
      <c r="AJT2" s="319"/>
      <c r="AJU2" s="319" t="s">
        <v>332</v>
      </c>
      <c r="AJV2" s="319"/>
      <c r="AJW2" s="319"/>
      <c r="AJX2" s="319"/>
      <c r="AJY2" s="319"/>
      <c r="AJZ2" s="319"/>
      <c r="AKA2" s="319"/>
      <c r="AKB2" s="319"/>
      <c r="AKC2" s="319"/>
      <c r="AKD2" s="319"/>
      <c r="AKE2" s="319"/>
      <c r="AKF2" s="319"/>
      <c r="AKG2" s="319"/>
      <c r="AKH2" s="319"/>
      <c r="AKI2" s="319"/>
      <c r="AKJ2" s="319"/>
      <c r="AKK2" s="319"/>
      <c r="AKL2" s="319"/>
      <c r="AKM2" s="319"/>
      <c r="AKN2" s="319"/>
      <c r="AKO2" s="319" t="s">
        <v>333</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334</v>
      </c>
      <c r="ALN2" s="319" t="s">
        <v>335</v>
      </c>
      <c r="ALO2" s="319"/>
      <c r="ALP2" s="319"/>
      <c r="ALQ2" s="319"/>
      <c r="ALR2" s="319"/>
      <c r="ALS2" s="319"/>
      <c r="ALT2" s="319"/>
      <c r="ALU2" s="320" t="s">
        <v>156</v>
      </c>
      <c r="ALV2" s="320" t="s">
        <v>108</v>
      </c>
      <c r="ALW2" s="320" t="s">
        <v>157</v>
      </c>
      <c r="ALX2" s="320" t="s">
        <v>334</v>
      </c>
      <c r="ALY2" s="320" t="s">
        <v>335</v>
      </c>
      <c r="ALZ2" s="320" t="s">
        <v>336</v>
      </c>
      <c r="AMA2" s="320" t="s">
        <v>159</v>
      </c>
      <c r="AMB2" s="319" t="s">
        <v>337</v>
      </c>
      <c r="AMC2" s="319" t="s">
        <v>338</v>
      </c>
      <c r="AMD2" s="319" t="s">
        <v>339</v>
      </c>
      <c r="AME2" s="319" t="s">
        <v>340</v>
      </c>
      <c r="AMF2" s="319" t="s">
        <v>341</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330</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331</v>
      </c>
      <c r="ANZ2" s="319"/>
      <c r="AOA2" s="319"/>
      <c r="AOB2" s="319"/>
      <c r="AOC2" s="319"/>
      <c r="AOD2" s="319"/>
      <c r="AOE2" s="319"/>
      <c r="AOF2" s="319"/>
      <c r="AOG2" s="319"/>
      <c r="AOH2" s="319"/>
      <c r="AOI2" s="319"/>
      <c r="AOJ2" s="319"/>
      <c r="AOK2" s="319"/>
      <c r="AOL2" s="319"/>
      <c r="AOM2" s="319"/>
      <c r="AON2" s="319"/>
      <c r="AOO2" s="319"/>
      <c r="AOP2" s="319"/>
      <c r="AOQ2" s="319"/>
      <c r="AOR2" s="319"/>
      <c r="AOS2" s="319" t="s">
        <v>332</v>
      </c>
      <c r="AOT2" s="319"/>
      <c r="AOU2" s="319"/>
      <c r="AOV2" s="319"/>
      <c r="AOW2" s="319"/>
      <c r="AOX2" s="319"/>
      <c r="AOY2" s="319"/>
      <c r="AOZ2" s="319"/>
      <c r="APA2" s="319"/>
      <c r="APB2" s="319"/>
      <c r="APC2" s="319"/>
      <c r="APD2" s="319"/>
      <c r="APE2" s="319"/>
      <c r="APF2" s="319"/>
      <c r="APG2" s="319"/>
      <c r="APH2" s="319"/>
      <c r="API2" s="319"/>
      <c r="APJ2" s="319"/>
      <c r="APK2" s="319"/>
      <c r="APL2" s="319"/>
      <c r="APM2" s="319" t="s">
        <v>333</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334</v>
      </c>
      <c r="AQL2" s="319" t="s">
        <v>335</v>
      </c>
      <c r="AQM2" s="319"/>
      <c r="AQN2" s="319"/>
      <c r="AQO2" s="319"/>
      <c r="AQP2" s="319"/>
      <c r="AQQ2" s="319"/>
      <c r="AQR2" s="319"/>
      <c r="AQS2" s="320" t="s">
        <v>156</v>
      </c>
      <c r="AQT2" s="320" t="s">
        <v>108</v>
      </c>
      <c r="AQU2" s="320" t="s">
        <v>157</v>
      </c>
      <c r="AQV2" s="320" t="s">
        <v>334</v>
      </c>
      <c r="AQW2" s="320" t="s">
        <v>335</v>
      </c>
      <c r="AQX2" s="320" t="s">
        <v>336</v>
      </c>
      <c r="AQY2" s="320" t="s">
        <v>159</v>
      </c>
      <c r="AQZ2" s="319" t="s">
        <v>337</v>
      </c>
      <c r="ARA2" s="319" t="s">
        <v>338</v>
      </c>
      <c r="ARB2" s="319" t="s">
        <v>339</v>
      </c>
      <c r="ARC2" s="319" t="s">
        <v>340</v>
      </c>
      <c r="ARD2" s="319" t="s">
        <v>341</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330</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331</v>
      </c>
      <c r="ASX2" s="319"/>
      <c r="ASY2" s="319"/>
      <c r="ASZ2" s="319"/>
      <c r="ATA2" s="319"/>
      <c r="ATB2" s="319"/>
      <c r="ATC2" s="319"/>
      <c r="ATD2" s="319"/>
      <c r="ATE2" s="319"/>
      <c r="ATF2" s="319"/>
      <c r="ATG2" s="319"/>
      <c r="ATH2" s="319"/>
      <c r="ATI2" s="319"/>
      <c r="ATJ2" s="319"/>
      <c r="ATK2" s="319"/>
      <c r="ATL2" s="319"/>
      <c r="ATM2" s="319"/>
      <c r="ATN2" s="319"/>
      <c r="ATO2" s="319"/>
      <c r="ATP2" s="319"/>
      <c r="ATQ2" s="319" t="s">
        <v>332</v>
      </c>
      <c r="ATR2" s="319"/>
      <c r="ATS2" s="319"/>
      <c r="ATT2" s="319"/>
      <c r="ATU2" s="319"/>
      <c r="ATV2" s="319"/>
      <c r="ATW2" s="319"/>
      <c r="ATX2" s="319"/>
      <c r="ATY2" s="319"/>
      <c r="ATZ2" s="319"/>
      <c r="AUA2" s="319"/>
      <c r="AUB2" s="319"/>
      <c r="AUC2" s="319"/>
      <c r="AUD2" s="319"/>
      <c r="AUE2" s="319"/>
      <c r="AUF2" s="319"/>
      <c r="AUG2" s="319"/>
      <c r="AUH2" s="319"/>
      <c r="AUI2" s="319"/>
      <c r="AUJ2" s="319"/>
      <c r="AUK2" s="319" t="s">
        <v>333</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334</v>
      </c>
      <c r="AVJ2" s="319" t="s">
        <v>335</v>
      </c>
      <c r="AVK2" s="319"/>
      <c r="AVL2" s="319"/>
      <c r="AVM2" s="319"/>
      <c r="AVN2" s="319"/>
      <c r="AVO2" s="319"/>
      <c r="AVP2" s="319"/>
      <c r="AVQ2" s="320" t="s">
        <v>156</v>
      </c>
      <c r="AVR2" s="320" t="s">
        <v>108</v>
      </c>
      <c r="AVS2" s="320" t="s">
        <v>157</v>
      </c>
      <c r="AVT2" s="320" t="s">
        <v>334</v>
      </c>
      <c r="AVU2" s="320" t="s">
        <v>335</v>
      </c>
      <c r="AVV2" s="320" t="s">
        <v>336</v>
      </c>
      <c r="AVW2" s="320" t="s">
        <v>159</v>
      </c>
      <c r="AVX2" s="319" t="s">
        <v>337</v>
      </c>
      <c r="AVY2" s="319" t="s">
        <v>338</v>
      </c>
      <c r="AVZ2" s="319" t="s">
        <v>339</v>
      </c>
      <c r="AWA2" s="319" t="s">
        <v>340</v>
      </c>
      <c r="AWB2" s="319" t="s">
        <v>341</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330</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331</v>
      </c>
      <c r="AXV2" s="319"/>
      <c r="AXW2" s="319"/>
      <c r="AXX2" s="319"/>
      <c r="AXY2" s="319"/>
      <c r="AXZ2" s="319"/>
      <c r="AYA2" s="319"/>
      <c r="AYB2" s="319"/>
      <c r="AYC2" s="319"/>
      <c r="AYD2" s="319"/>
      <c r="AYE2" s="319"/>
      <c r="AYF2" s="319"/>
      <c r="AYG2" s="319"/>
      <c r="AYH2" s="319"/>
      <c r="AYI2" s="319"/>
      <c r="AYJ2" s="319"/>
      <c r="AYK2" s="319"/>
      <c r="AYL2" s="319"/>
      <c r="AYM2" s="319"/>
      <c r="AYN2" s="319"/>
      <c r="AYO2" s="319" t="s">
        <v>332</v>
      </c>
      <c r="AYP2" s="319"/>
      <c r="AYQ2" s="319"/>
      <c r="AYR2" s="319"/>
      <c r="AYS2" s="319"/>
      <c r="AYT2" s="319"/>
      <c r="AYU2" s="319"/>
      <c r="AYV2" s="319"/>
      <c r="AYW2" s="319"/>
      <c r="AYX2" s="319"/>
      <c r="AYY2" s="319"/>
      <c r="AYZ2" s="319"/>
      <c r="AZA2" s="319"/>
      <c r="AZB2" s="319"/>
      <c r="AZC2" s="319"/>
      <c r="AZD2" s="319"/>
      <c r="AZE2" s="319"/>
      <c r="AZF2" s="319"/>
      <c r="AZG2" s="319"/>
      <c r="AZH2" s="319"/>
      <c r="AZI2" s="319" t="s">
        <v>333</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334</v>
      </c>
      <c r="BAH2" s="319" t="s">
        <v>335</v>
      </c>
      <c r="BAI2" s="319"/>
      <c r="BAJ2" s="319"/>
      <c r="BAK2" s="319"/>
      <c r="BAL2" s="319"/>
      <c r="BAM2" s="319"/>
      <c r="BAN2" s="319"/>
      <c r="BAO2" s="320" t="s">
        <v>156</v>
      </c>
      <c r="BAP2" s="320" t="s">
        <v>108</v>
      </c>
      <c r="BAQ2" s="320" t="s">
        <v>157</v>
      </c>
      <c r="BAR2" s="320" t="s">
        <v>334</v>
      </c>
      <c r="BAS2" s="320" t="s">
        <v>335</v>
      </c>
      <c r="BAT2" s="320" t="s">
        <v>336</v>
      </c>
      <c r="BAU2" s="320" t="s">
        <v>159</v>
      </c>
      <c r="BAV2" s="319" t="s">
        <v>337</v>
      </c>
      <c r="BAW2" s="319" t="s">
        <v>338</v>
      </c>
      <c r="BAX2" s="319" t="s">
        <v>339</v>
      </c>
      <c r="BAY2" s="319" t="s">
        <v>340</v>
      </c>
      <c r="BAZ2" s="319" t="s">
        <v>341</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330</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331</v>
      </c>
      <c r="BCT2" s="319"/>
      <c r="BCU2" s="319"/>
      <c r="BCV2" s="319"/>
      <c r="BCW2" s="319"/>
      <c r="BCX2" s="319"/>
      <c r="BCY2" s="319"/>
      <c r="BCZ2" s="319"/>
      <c r="BDA2" s="319"/>
      <c r="BDB2" s="319"/>
      <c r="BDC2" s="319"/>
      <c r="BDD2" s="319"/>
      <c r="BDE2" s="319"/>
      <c r="BDF2" s="319"/>
      <c r="BDG2" s="319"/>
      <c r="BDH2" s="319"/>
      <c r="BDI2" s="319"/>
      <c r="BDJ2" s="319"/>
      <c r="BDK2" s="319"/>
      <c r="BDL2" s="319"/>
      <c r="BDM2" s="319" t="s">
        <v>332</v>
      </c>
      <c r="BDN2" s="319"/>
      <c r="BDO2" s="319"/>
      <c r="BDP2" s="319"/>
      <c r="BDQ2" s="319"/>
      <c r="BDR2" s="319"/>
      <c r="BDS2" s="319"/>
      <c r="BDT2" s="319"/>
      <c r="BDU2" s="319"/>
      <c r="BDV2" s="319"/>
      <c r="BDW2" s="319"/>
      <c r="BDX2" s="319"/>
      <c r="BDY2" s="319"/>
      <c r="BDZ2" s="319"/>
      <c r="BEA2" s="319"/>
      <c r="BEB2" s="319"/>
      <c r="BEC2" s="319"/>
      <c r="BED2" s="319"/>
      <c r="BEE2" s="319"/>
      <c r="BEF2" s="319"/>
      <c r="BEG2" s="319" t="s">
        <v>333</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334</v>
      </c>
      <c r="BFF2" s="319" t="s">
        <v>335</v>
      </c>
      <c r="BFG2" s="319"/>
      <c r="BFH2" s="319"/>
      <c r="BFI2" s="319"/>
      <c r="BFJ2" s="319"/>
      <c r="BFK2" s="319"/>
      <c r="BFL2" s="319"/>
      <c r="BFM2" s="320" t="s">
        <v>156</v>
      </c>
      <c r="BFN2" s="320" t="s">
        <v>108</v>
      </c>
      <c r="BFO2" s="320" t="s">
        <v>157</v>
      </c>
      <c r="BFP2" s="320" t="s">
        <v>334</v>
      </c>
      <c r="BFQ2" s="320" t="s">
        <v>335</v>
      </c>
      <c r="BFR2" s="320" t="s">
        <v>336</v>
      </c>
      <c r="BFS2" s="320" t="s">
        <v>159</v>
      </c>
      <c r="BFT2" s="319" t="s">
        <v>337</v>
      </c>
      <c r="BFU2" s="319" t="s">
        <v>338</v>
      </c>
      <c r="BFV2" s="319" t="s">
        <v>339</v>
      </c>
      <c r="BFW2" s="319" t="s">
        <v>340</v>
      </c>
      <c r="BFX2" s="319" t="s">
        <v>341</v>
      </c>
      <c r="BFY2" s="319"/>
      <c r="BFZ2" s="319"/>
      <c r="BGA2" s="319"/>
      <c r="BGB2" s="319"/>
    </row>
    <row r="3" spans="1:1536" ht="13.8" x14ac:dyDescent="0.3">
      <c r="A3" s="319"/>
      <c r="B3" s="319"/>
      <c r="C3" s="319" t="s">
        <v>156</v>
      </c>
      <c r="D3" s="319" t="s">
        <v>108</v>
      </c>
      <c r="E3" s="319" t="s">
        <v>157</v>
      </c>
      <c r="F3" s="319" t="s">
        <v>334</v>
      </c>
      <c r="G3" s="319" t="s">
        <v>335</v>
      </c>
      <c r="H3" s="319" t="s">
        <v>342</v>
      </c>
      <c r="I3" s="319" t="s">
        <v>264</v>
      </c>
      <c r="J3" s="319" t="s">
        <v>343</v>
      </c>
      <c r="K3" s="319" t="s">
        <v>344</v>
      </c>
      <c r="L3" s="319"/>
      <c r="M3" s="319" t="s">
        <v>345</v>
      </c>
      <c r="N3" s="319"/>
      <c r="O3" s="319"/>
      <c r="P3" s="319" t="s">
        <v>346</v>
      </c>
      <c r="Q3" s="319" t="s">
        <v>347</v>
      </c>
      <c r="R3" s="319" t="s">
        <v>348</v>
      </c>
      <c r="S3" s="319" t="s">
        <v>349</v>
      </c>
      <c r="T3" s="319"/>
      <c r="U3" s="319" t="s">
        <v>350</v>
      </c>
      <c r="V3" s="319" t="s">
        <v>156</v>
      </c>
      <c r="W3" s="319" t="s">
        <v>108</v>
      </c>
      <c r="X3" s="319" t="s">
        <v>157</v>
      </c>
      <c r="Y3" s="319" t="s">
        <v>334</v>
      </c>
      <c r="Z3" s="319" t="s">
        <v>335</v>
      </c>
      <c r="AA3" s="319" t="s">
        <v>342</v>
      </c>
      <c r="AB3" s="319" t="s">
        <v>155</v>
      </c>
      <c r="AC3" s="319" t="s">
        <v>351</v>
      </c>
      <c r="AD3" s="319" t="s">
        <v>352</v>
      </c>
      <c r="AE3" s="319" t="s">
        <v>337</v>
      </c>
      <c r="AF3" s="319" t="s">
        <v>159</v>
      </c>
      <c r="AG3" s="319" t="s">
        <v>353</v>
      </c>
      <c r="AH3" s="319" t="s">
        <v>336</v>
      </c>
      <c r="AI3" s="319" t="s">
        <v>334</v>
      </c>
      <c r="AJ3" s="319" t="s">
        <v>354</v>
      </c>
      <c r="AK3" s="319" t="s">
        <v>352</v>
      </c>
      <c r="AL3" s="319" t="s">
        <v>337</v>
      </c>
      <c r="AM3" s="319" t="s">
        <v>355</v>
      </c>
      <c r="AN3" s="319"/>
      <c r="AO3" s="319" t="s">
        <v>350</v>
      </c>
      <c r="AP3" s="319" t="s">
        <v>156</v>
      </c>
      <c r="AQ3" s="319" t="s">
        <v>108</v>
      </c>
      <c r="AR3" s="319" t="s">
        <v>157</v>
      </c>
      <c r="AS3" s="319" t="s">
        <v>334</v>
      </c>
      <c r="AT3" s="319" t="s">
        <v>335</v>
      </c>
      <c r="AU3" s="319" t="s">
        <v>342</v>
      </c>
      <c r="AV3" s="319" t="s">
        <v>155</v>
      </c>
      <c r="AW3" s="319" t="s">
        <v>351</v>
      </c>
      <c r="AX3" s="319" t="s">
        <v>352</v>
      </c>
      <c r="AY3" s="319" t="s">
        <v>337</v>
      </c>
      <c r="AZ3" s="319" t="s">
        <v>159</v>
      </c>
      <c r="BA3" s="319" t="s">
        <v>353</v>
      </c>
      <c r="BB3" s="319" t="s">
        <v>336</v>
      </c>
      <c r="BC3" s="319" t="s">
        <v>334</v>
      </c>
      <c r="BD3" s="319" t="s">
        <v>354</v>
      </c>
      <c r="BE3" s="319" t="s">
        <v>352</v>
      </c>
      <c r="BF3" s="319" t="s">
        <v>337</v>
      </c>
      <c r="BG3" s="319" t="s">
        <v>355</v>
      </c>
      <c r="BH3" s="319"/>
      <c r="BI3" s="319" t="s">
        <v>350</v>
      </c>
      <c r="BJ3" s="319" t="s">
        <v>156</v>
      </c>
      <c r="BK3" s="319" t="s">
        <v>108</v>
      </c>
      <c r="BL3" s="319" t="s">
        <v>157</v>
      </c>
      <c r="BM3" s="319" t="s">
        <v>334</v>
      </c>
      <c r="BN3" s="319" t="s">
        <v>335</v>
      </c>
      <c r="BO3" s="319" t="s">
        <v>342</v>
      </c>
      <c r="BP3" s="319" t="s">
        <v>155</v>
      </c>
      <c r="BQ3" s="319" t="s">
        <v>351</v>
      </c>
      <c r="BR3" s="319" t="s">
        <v>352</v>
      </c>
      <c r="BS3" s="319" t="s">
        <v>337</v>
      </c>
      <c r="BT3" s="319" t="s">
        <v>159</v>
      </c>
      <c r="BU3" s="319" t="s">
        <v>353</v>
      </c>
      <c r="BV3" s="319" t="s">
        <v>336</v>
      </c>
      <c r="BW3" s="319" t="s">
        <v>334</v>
      </c>
      <c r="BX3" s="319" t="s">
        <v>351</v>
      </c>
      <c r="BY3" s="319" t="s">
        <v>352</v>
      </c>
      <c r="BZ3" s="319" t="s">
        <v>337</v>
      </c>
      <c r="CA3" s="319" t="s">
        <v>355</v>
      </c>
      <c r="CB3" s="319"/>
      <c r="CC3" s="319" t="s">
        <v>350</v>
      </c>
      <c r="CD3" s="319" t="s">
        <v>156</v>
      </c>
      <c r="CE3" s="319" t="s">
        <v>108</v>
      </c>
      <c r="CF3" s="319" t="s">
        <v>157</v>
      </c>
      <c r="CG3" s="319" t="s">
        <v>334</v>
      </c>
      <c r="CH3" s="319" t="s">
        <v>335</v>
      </c>
      <c r="CI3" s="319" t="s">
        <v>342</v>
      </c>
      <c r="CJ3" s="319" t="s">
        <v>155</v>
      </c>
      <c r="CK3" s="319" t="s">
        <v>351</v>
      </c>
      <c r="CL3" s="319" t="s">
        <v>352</v>
      </c>
      <c r="CM3" s="319" t="s">
        <v>337</v>
      </c>
      <c r="CN3" s="319" t="s">
        <v>159</v>
      </c>
      <c r="CO3" s="319" t="s">
        <v>353</v>
      </c>
      <c r="CP3" s="319" t="s">
        <v>336</v>
      </c>
      <c r="CQ3" s="319" t="s">
        <v>334</v>
      </c>
      <c r="CR3" s="319" t="s">
        <v>351</v>
      </c>
      <c r="CS3" s="319" t="s">
        <v>352</v>
      </c>
      <c r="CT3" s="319" t="s">
        <v>337</v>
      </c>
      <c r="CU3" s="319" t="s">
        <v>355</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2</v>
      </c>
      <c r="DR3" s="319">
        <f>SUMPRODUCT((DQ3:DQ8=DQ3)*(DN3:DN8&gt;DN3))</f>
        <v>1</v>
      </c>
      <c r="DS3" s="319">
        <f>SUMPRODUCT((DQ3:DQ8=DQ3)*(DN3:DN8=DN3)*(DL3:DL8&gt;DL3))</f>
        <v>0</v>
      </c>
      <c r="DT3" s="319">
        <f>SUMPRODUCT((DQ3:DQ8=DQ3)*(DN3:DN8=DN3)*(DL3:DL8=DL3)*(DP3:DP8&gt;DP3))</f>
        <v>0</v>
      </c>
      <c r="DU3" s="319">
        <f>IF('Player Scoreboard'!B20="© 2024 | journalSHEET.com",SUM(DQ3:DT3),1)</f>
        <v>3</v>
      </c>
      <c r="DV3" s="319" t="s">
        <v>105</v>
      </c>
      <c r="DW3" s="319">
        <v>1</v>
      </c>
      <c r="DX3" s="319"/>
      <c r="DY3" s="319"/>
      <c r="DZ3" s="319"/>
      <c r="EA3" s="319" t="s">
        <v>156</v>
      </c>
      <c r="EB3" s="319" t="s">
        <v>108</v>
      </c>
      <c r="EC3" s="319" t="s">
        <v>157</v>
      </c>
      <c r="ED3" s="319" t="s">
        <v>334</v>
      </c>
      <c r="EE3" s="319" t="s">
        <v>335</v>
      </c>
      <c r="EF3" s="319" t="s">
        <v>342</v>
      </c>
      <c r="EG3" s="319" t="s">
        <v>264</v>
      </c>
      <c r="EH3" s="319" t="s">
        <v>343</v>
      </c>
      <c r="EI3" s="319" t="s">
        <v>344</v>
      </c>
      <c r="EJ3" s="319"/>
      <c r="EK3" s="319" t="s">
        <v>345</v>
      </c>
      <c r="EL3" s="319"/>
      <c r="EM3" s="319"/>
      <c r="EN3" s="319" t="s">
        <v>346</v>
      </c>
      <c r="EO3" s="319" t="s">
        <v>347</v>
      </c>
      <c r="EP3" s="319" t="s">
        <v>348</v>
      </c>
      <c r="EQ3" s="319" t="s">
        <v>349</v>
      </c>
      <c r="ER3" s="319"/>
      <c r="ES3" s="319" t="s">
        <v>350</v>
      </c>
      <c r="ET3" s="319" t="s">
        <v>156</v>
      </c>
      <c r="EU3" s="319" t="s">
        <v>108</v>
      </c>
      <c r="EV3" s="319" t="s">
        <v>157</v>
      </c>
      <c r="EW3" s="319" t="s">
        <v>334</v>
      </c>
      <c r="EX3" s="319" t="s">
        <v>335</v>
      </c>
      <c r="EY3" s="319" t="s">
        <v>342</v>
      </c>
      <c r="EZ3" s="319" t="s">
        <v>155</v>
      </c>
      <c r="FA3" s="319" t="s">
        <v>351</v>
      </c>
      <c r="FB3" s="319" t="s">
        <v>352</v>
      </c>
      <c r="FC3" s="319" t="s">
        <v>337</v>
      </c>
      <c r="FD3" s="319" t="s">
        <v>159</v>
      </c>
      <c r="FE3" s="319" t="s">
        <v>353</v>
      </c>
      <c r="FF3" s="319" t="s">
        <v>336</v>
      </c>
      <c r="FG3" s="319" t="s">
        <v>334</v>
      </c>
      <c r="FH3" s="319" t="s">
        <v>354</v>
      </c>
      <c r="FI3" s="319" t="s">
        <v>352</v>
      </c>
      <c r="FJ3" s="319" t="s">
        <v>337</v>
      </c>
      <c r="FK3" s="319" t="s">
        <v>355</v>
      </c>
      <c r="FL3" s="319"/>
      <c r="FM3" s="319" t="s">
        <v>350</v>
      </c>
      <c r="FN3" s="319" t="s">
        <v>156</v>
      </c>
      <c r="FO3" s="319" t="s">
        <v>108</v>
      </c>
      <c r="FP3" s="319" t="s">
        <v>157</v>
      </c>
      <c r="FQ3" s="319" t="s">
        <v>334</v>
      </c>
      <c r="FR3" s="319" t="s">
        <v>335</v>
      </c>
      <c r="FS3" s="319" t="s">
        <v>342</v>
      </c>
      <c r="FT3" s="319" t="s">
        <v>155</v>
      </c>
      <c r="FU3" s="319" t="s">
        <v>351</v>
      </c>
      <c r="FV3" s="319" t="s">
        <v>352</v>
      </c>
      <c r="FW3" s="319" t="s">
        <v>337</v>
      </c>
      <c r="FX3" s="319" t="s">
        <v>159</v>
      </c>
      <c r="FY3" s="319" t="s">
        <v>353</v>
      </c>
      <c r="FZ3" s="319" t="s">
        <v>336</v>
      </c>
      <c r="GA3" s="319" t="s">
        <v>334</v>
      </c>
      <c r="GB3" s="319" t="s">
        <v>354</v>
      </c>
      <c r="GC3" s="319" t="s">
        <v>352</v>
      </c>
      <c r="GD3" s="319" t="s">
        <v>337</v>
      </c>
      <c r="GE3" s="319" t="s">
        <v>355</v>
      </c>
      <c r="GF3" s="319"/>
      <c r="GG3" s="319" t="s">
        <v>350</v>
      </c>
      <c r="GH3" s="319" t="s">
        <v>156</v>
      </c>
      <c r="GI3" s="319" t="s">
        <v>108</v>
      </c>
      <c r="GJ3" s="319" t="s">
        <v>157</v>
      </c>
      <c r="GK3" s="319" t="s">
        <v>334</v>
      </c>
      <c r="GL3" s="319" t="s">
        <v>335</v>
      </c>
      <c r="GM3" s="319" t="s">
        <v>342</v>
      </c>
      <c r="GN3" s="319" t="s">
        <v>155</v>
      </c>
      <c r="GO3" s="319" t="s">
        <v>351</v>
      </c>
      <c r="GP3" s="319" t="s">
        <v>352</v>
      </c>
      <c r="GQ3" s="319" t="s">
        <v>337</v>
      </c>
      <c r="GR3" s="319" t="s">
        <v>159</v>
      </c>
      <c r="GS3" s="319" t="s">
        <v>353</v>
      </c>
      <c r="GT3" s="319" t="s">
        <v>336</v>
      </c>
      <c r="GU3" s="319" t="s">
        <v>334</v>
      </c>
      <c r="GV3" s="319" t="s">
        <v>351</v>
      </c>
      <c r="GW3" s="319" t="s">
        <v>352</v>
      </c>
      <c r="GX3" s="319" t="s">
        <v>337</v>
      </c>
      <c r="GY3" s="319" t="s">
        <v>355</v>
      </c>
      <c r="GZ3" s="319"/>
      <c r="HA3" s="319" t="s">
        <v>350</v>
      </c>
      <c r="HB3" s="319" t="s">
        <v>156</v>
      </c>
      <c r="HC3" s="319" t="s">
        <v>108</v>
      </c>
      <c r="HD3" s="319" t="s">
        <v>157</v>
      </c>
      <c r="HE3" s="319" t="s">
        <v>334</v>
      </c>
      <c r="HF3" s="319" t="s">
        <v>335</v>
      </c>
      <c r="HG3" s="319" t="s">
        <v>342</v>
      </c>
      <c r="HH3" s="319" t="s">
        <v>155</v>
      </c>
      <c r="HI3" s="319" t="s">
        <v>351</v>
      </c>
      <c r="HJ3" s="319" t="s">
        <v>352</v>
      </c>
      <c r="HK3" s="319" t="s">
        <v>337</v>
      </c>
      <c r="HL3" s="319" t="s">
        <v>159</v>
      </c>
      <c r="HM3" s="319" t="s">
        <v>353</v>
      </c>
      <c r="HN3" s="319" t="s">
        <v>336</v>
      </c>
      <c r="HO3" s="319" t="s">
        <v>334</v>
      </c>
      <c r="HP3" s="319" t="s">
        <v>351</v>
      </c>
      <c r="HQ3" s="319" t="s">
        <v>352</v>
      </c>
      <c r="HR3" s="319" t="s">
        <v>337</v>
      </c>
      <c r="HS3" s="319" t="s">
        <v>355</v>
      </c>
      <c r="HT3" s="319"/>
      <c r="HU3" s="319"/>
      <c r="HV3" s="319"/>
      <c r="HW3" s="319">
        <v>1</v>
      </c>
      <c r="HX3" s="319" t="str">
        <f>CZ3</f>
        <v>Germany</v>
      </c>
      <c r="HY3" s="322">
        <f ca="1">IF(OFFSET('Player Game Board'!P10,0,HY1)&lt;&gt;"",OFFSET('Player Game Board'!P10,0,HY1),0)</f>
        <v>2</v>
      </c>
      <c r="HZ3" s="322">
        <f ca="1">IF(OFFSET('Player Game Board'!Q10,0,HY1)&lt;&gt;"",OFFSET('Player Game Board'!Q10,0,HY1),0)</f>
        <v>0</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3</v>
      </c>
      <c r="IK3" s="320">
        <f ca="1">VLOOKUP(IF3,DZ4:EE40,6,FALSE)</f>
        <v>4</v>
      </c>
      <c r="IL3" s="320">
        <f ca="1">IJ3-IK3+1000</f>
        <v>999</v>
      </c>
      <c r="IM3" s="320">
        <f ca="1">IG3*3+IH3*1</f>
        <v>4</v>
      </c>
      <c r="IN3" s="319">
        <f ca="1">VLOOKUP(IF3,B4:J40,9,FALSE)</f>
        <v>43</v>
      </c>
      <c r="IO3" s="319">
        <f ca="1">RANK(IM3,IM3:IM8)</f>
        <v>1</v>
      </c>
      <c r="IP3" s="319">
        <f ca="1">SUMPRODUCT((IO3:IO8=IO3)*(IL3:IL8&gt;IL3))</f>
        <v>2</v>
      </c>
      <c r="IQ3" s="319">
        <f ca="1">SUMPRODUCT((IO3:IO8=IO3)*(IL3:IL8=IL3)*(IJ3:IJ8&gt;IJ3))</f>
        <v>0</v>
      </c>
      <c r="IR3" s="319">
        <f ca="1">SUMPRODUCT((IO3:IO8=IO3)*(IL3:IL8=IL3)*(IJ3:IJ8=IJ3)*(IN3:IN8&gt;IN3))</f>
        <v>0</v>
      </c>
      <c r="IS3" s="319">
        <f ca="1">SUM(IO3:IR3)</f>
        <v>3</v>
      </c>
      <c r="IT3" s="319" t="s">
        <v>105</v>
      </c>
      <c r="IU3" s="319">
        <v>1</v>
      </c>
      <c r="IV3" s="319"/>
      <c r="IW3" s="319"/>
      <c r="IX3" s="319"/>
      <c r="IY3" s="319" t="s">
        <v>156</v>
      </c>
      <c r="IZ3" s="319" t="s">
        <v>108</v>
      </c>
      <c r="JA3" s="319" t="s">
        <v>157</v>
      </c>
      <c r="JB3" s="319" t="s">
        <v>334</v>
      </c>
      <c r="JC3" s="319" t="s">
        <v>335</v>
      </c>
      <c r="JD3" s="319" t="s">
        <v>342</v>
      </c>
      <c r="JE3" s="319" t="s">
        <v>264</v>
      </c>
      <c r="JF3" s="319" t="s">
        <v>343</v>
      </c>
      <c r="JG3" s="319" t="s">
        <v>344</v>
      </c>
      <c r="JH3" s="319"/>
      <c r="JI3" s="319" t="s">
        <v>345</v>
      </c>
      <c r="JJ3" s="319"/>
      <c r="JK3" s="319"/>
      <c r="JL3" s="319" t="s">
        <v>346</v>
      </c>
      <c r="JM3" s="319" t="s">
        <v>347</v>
      </c>
      <c r="JN3" s="319" t="s">
        <v>348</v>
      </c>
      <c r="JO3" s="319" t="s">
        <v>349</v>
      </c>
      <c r="JP3" s="319"/>
      <c r="JQ3" s="319" t="s">
        <v>350</v>
      </c>
      <c r="JR3" s="319" t="s">
        <v>156</v>
      </c>
      <c r="JS3" s="319" t="s">
        <v>108</v>
      </c>
      <c r="JT3" s="319" t="s">
        <v>157</v>
      </c>
      <c r="JU3" s="319" t="s">
        <v>334</v>
      </c>
      <c r="JV3" s="319" t="s">
        <v>335</v>
      </c>
      <c r="JW3" s="319" t="s">
        <v>342</v>
      </c>
      <c r="JX3" s="319" t="s">
        <v>155</v>
      </c>
      <c r="JY3" s="319" t="s">
        <v>351</v>
      </c>
      <c r="JZ3" s="319" t="s">
        <v>352</v>
      </c>
      <c r="KA3" s="319" t="s">
        <v>337</v>
      </c>
      <c r="KB3" s="319" t="s">
        <v>159</v>
      </c>
      <c r="KC3" s="319" t="s">
        <v>353</v>
      </c>
      <c r="KD3" s="319" t="s">
        <v>336</v>
      </c>
      <c r="KE3" s="319" t="s">
        <v>334</v>
      </c>
      <c r="KF3" s="319" t="s">
        <v>354</v>
      </c>
      <c r="KG3" s="319" t="s">
        <v>352</v>
      </c>
      <c r="KH3" s="319" t="s">
        <v>337</v>
      </c>
      <c r="KI3" s="319" t="s">
        <v>355</v>
      </c>
      <c r="KJ3" s="319"/>
      <c r="KK3" s="319" t="s">
        <v>350</v>
      </c>
      <c r="KL3" s="319" t="s">
        <v>156</v>
      </c>
      <c r="KM3" s="319" t="s">
        <v>108</v>
      </c>
      <c r="KN3" s="319" t="s">
        <v>157</v>
      </c>
      <c r="KO3" s="319" t="s">
        <v>334</v>
      </c>
      <c r="KP3" s="319" t="s">
        <v>335</v>
      </c>
      <c r="KQ3" s="319" t="s">
        <v>342</v>
      </c>
      <c r="KR3" s="319" t="s">
        <v>155</v>
      </c>
      <c r="KS3" s="319" t="s">
        <v>351</v>
      </c>
      <c r="KT3" s="319" t="s">
        <v>352</v>
      </c>
      <c r="KU3" s="319" t="s">
        <v>337</v>
      </c>
      <c r="KV3" s="319" t="s">
        <v>159</v>
      </c>
      <c r="KW3" s="319" t="s">
        <v>353</v>
      </c>
      <c r="KX3" s="319" t="s">
        <v>336</v>
      </c>
      <c r="KY3" s="319" t="s">
        <v>334</v>
      </c>
      <c r="KZ3" s="319" t="s">
        <v>354</v>
      </c>
      <c r="LA3" s="319" t="s">
        <v>352</v>
      </c>
      <c r="LB3" s="319" t="s">
        <v>337</v>
      </c>
      <c r="LC3" s="319" t="s">
        <v>355</v>
      </c>
      <c r="LD3" s="319"/>
      <c r="LE3" s="319" t="s">
        <v>350</v>
      </c>
      <c r="LF3" s="319" t="s">
        <v>156</v>
      </c>
      <c r="LG3" s="319" t="s">
        <v>108</v>
      </c>
      <c r="LH3" s="319" t="s">
        <v>157</v>
      </c>
      <c r="LI3" s="319" t="s">
        <v>334</v>
      </c>
      <c r="LJ3" s="319" t="s">
        <v>335</v>
      </c>
      <c r="LK3" s="319" t="s">
        <v>342</v>
      </c>
      <c r="LL3" s="319" t="s">
        <v>155</v>
      </c>
      <c r="LM3" s="319" t="s">
        <v>351</v>
      </c>
      <c r="LN3" s="319" t="s">
        <v>352</v>
      </c>
      <c r="LO3" s="319" t="s">
        <v>337</v>
      </c>
      <c r="LP3" s="319" t="s">
        <v>159</v>
      </c>
      <c r="LQ3" s="319" t="s">
        <v>353</v>
      </c>
      <c r="LR3" s="319" t="s">
        <v>336</v>
      </c>
      <c r="LS3" s="319" t="s">
        <v>334</v>
      </c>
      <c r="LT3" s="319" t="s">
        <v>351</v>
      </c>
      <c r="LU3" s="319" t="s">
        <v>352</v>
      </c>
      <c r="LV3" s="319" t="s">
        <v>337</v>
      </c>
      <c r="LW3" s="319" t="s">
        <v>355</v>
      </c>
      <c r="LX3" s="319"/>
      <c r="LY3" s="319" t="s">
        <v>350</v>
      </c>
      <c r="LZ3" s="319" t="s">
        <v>156</v>
      </c>
      <c r="MA3" s="319" t="s">
        <v>108</v>
      </c>
      <c r="MB3" s="319" t="s">
        <v>157</v>
      </c>
      <c r="MC3" s="319" t="s">
        <v>334</v>
      </c>
      <c r="MD3" s="319" t="s">
        <v>335</v>
      </c>
      <c r="ME3" s="319" t="s">
        <v>342</v>
      </c>
      <c r="MF3" s="319" t="s">
        <v>155</v>
      </c>
      <c r="MG3" s="319" t="s">
        <v>351</v>
      </c>
      <c r="MH3" s="319" t="s">
        <v>352</v>
      </c>
      <c r="MI3" s="319" t="s">
        <v>337</v>
      </c>
      <c r="MJ3" s="319" t="s">
        <v>159</v>
      </c>
      <c r="MK3" s="319" t="s">
        <v>353</v>
      </c>
      <c r="ML3" s="319" t="s">
        <v>336</v>
      </c>
      <c r="MM3" s="319" t="s">
        <v>334</v>
      </c>
      <c r="MN3" s="319" t="s">
        <v>351</v>
      </c>
      <c r="MO3" s="319" t="s">
        <v>352</v>
      </c>
      <c r="MP3" s="319" t="s">
        <v>337</v>
      </c>
      <c r="MQ3" s="319" t="s">
        <v>355</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0</v>
      </c>
      <c r="NG3" s="320">
        <f ca="1">VLOOKUP(ND3,IX4:JC40,4,FALSE)</f>
        <v>2</v>
      </c>
      <c r="NH3" s="320">
        <f ca="1">VLOOKUP(ND3,IX4:JC40,5,FALSE)</f>
        <v>4</v>
      </c>
      <c r="NI3" s="320">
        <f ca="1">VLOOKUP(ND3,IX4:JC40,6,FALSE)</f>
        <v>5</v>
      </c>
      <c r="NJ3" s="320">
        <f ca="1">NH3-NI3+1000</f>
        <v>999</v>
      </c>
      <c r="NK3" s="320">
        <f ca="1">NE3*3+NF3*1</f>
        <v>3</v>
      </c>
      <c r="NL3" s="319">
        <f ca="1">VLOOKUP(ND3,B4:J40,9,FALSE)</f>
        <v>48</v>
      </c>
      <c r="NM3" s="319">
        <f ca="1">RANK(NK3,NK3:NK8)</f>
        <v>3</v>
      </c>
      <c r="NN3" s="319">
        <f ca="1">SUMPRODUCT((NM3:NM8=NM3)*(NJ3:NJ8&gt;NJ3))</f>
        <v>0</v>
      </c>
      <c r="NO3" s="319">
        <f ca="1">SUMPRODUCT((NM3:NM8=NM3)*(NJ3:NJ8=NJ3)*(NH3:NH8&gt;NH3))</f>
        <v>0</v>
      </c>
      <c r="NP3" s="319">
        <f ca="1">SUMPRODUCT((NM3:NM8=NM3)*(NJ3:NJ8=NJ3)*(NH3:NH8=NH3)*(NL3:NL8&gt;NL3))</f>
        <v>0</v>
      </c>
      <c r="NQ3" s="319">
        <f ca="1">SUM(NM3:NP3)</f>
        <v>3</v>
      </c>
      <c r="NR3" s="319" t="s">
        <v>105</v>
      </c>
      <c r="NS3" s="319">
        <v>1</v>
      </c>
      <c r="NT3" s="319"/>
      <c r="NU3" s="319"/>
      <c r="NV3" s="319"/>
      <c r="NW3" s="319" t="s">
        <v>156</v>
      </c>
      <c r="NX3" s="319" t="s">
        <v>108</v>
      </c>
      <c r="NY3" s="319" t="s">
        <v>157</v>
      </c>
      <c r="NZ3" s="319" t="s">
        <v>334</v>
      </c>
      <c r="OA3" s="319" t="s">
        <v>335</v>
      </c>
      <c r="OB3" s="319" t="s">
        <v>342</v>
      </c>
      <c r="OC3" s="319" t="s">
        <v>264</v>
      </c>
      <c r="OD3" s="319" t="s">
        <v>343</v>
      </c>
      <c r="OE3" s="319" t="s">
        <v>344</v>
      </c>
      <c r="OF3" s="319"/>
      <c r="OG3" s="319" t="s">
        <v>345</v>
      </c>
      <c r="OH3" s="319"/>
      <c r="OI3" s="319"/>
      <c r="OJ3" s="319" t="s">
        <v>346</v>
      </c>
      <c r="OK3" s="319" t="s">
        <v>347</v>
      </c>
      <c r="OL3" s="319" t="s">
        <v>348</v>
      </c>
      <c r="OM3" s="319" t="s">
        <v>349</v>
      </c>
      <c r="ON3" s="319"/>
      <c r="OO3" s="319" t="s">
        <v>350</v>
      </c>
      <c r="OP3" s="319" t="s">
        <v>156</v>
      </c>
      <c r="OQ3" s="319" t="s">
        <v>108</v>
      </c>
      <c r="OR3" s="319" t="s">
        <v>157</v>
      </c>
      <c r="OS3" s="319" t="s">
        <v>334</v>
      </c>
      <c r="OT3" s="319" t="s">
        <v>335</v>
      </c>
      <c r="OU3" s="319" t="s">
        <v>342</v>
      </c>
      <c r="OV3" s="319" t="s">
        <v>155</v>
      </c>
      <c r="OW3" s="319" t="s">
        <v>351</v>
      </c>
      <c r="OX3" s="319" t="s">
        <v>352</v>
      </c>
      <c r="OY3" s="319" t="s">
        <v>337</v>
      </c>
      <c r="OZ3" s="319" t="s">
        <v>159</v>
      </c>
      <c r="PA3" s="319" t="s">
        <v>353</v>
      </c>
      <c r="PB3" s="319" t="s">
        <v>336</v>
      </c>
      <c r="PC3" s="319" t="s">
        <v>334</v>
      </c>
      <c r="PD3" s="319" t="s">
        <v>354</v>
      </c>
      <c r="PE3" s="319" t="s">
        <v>352</v>
      </c>
      <c r="PF3" s="319" t="s">
        <v>337</v>
      </c>
      <c r="PG3" s="319" t="s">
        <v>355</v>
      </c>
      <c r="PH3" s="319"/>
      <c r="PI3" s="319" t="s">
        <v>350</v>
      </c>
      <c r="PJ3" s="319" t="s">
        <v>156</v>
      </c>
      <c r="PK3" s="319" t="s">
        <v>108</v>
      </c>
      <c r="PL3" s="319" t="s">
        <v>157</v>
      </c>
      <c r="PM3" s="319" t="s">
        <v>334</v>
      </c>
      <c r="PN3" s="319" t="s">
        <v>335</v>
      </c>
      <c r="PO3" s="319" t="s">
        <v>342</v>
      </c>
      <c r="PP3" s="319" t="s">
        <v>155</v>
      </c>
      <c r="PQ3" s="319" t="s">
        <v>351</v>
      </c>
      <c r="PR3" s="319" t="s">
        <v>352</v>
      </c>
      <c r="PS3" s="319" t="s">
        <v>337</v>
      </c>
      <c r="PT3" s="319" t="s">
        <v>159</v>
      </c>
      <c r="PU3" s="319" t="s">
        <v>353</v>
      </c>
      <c r="PV3" s="319" t="s">
        <v>336</v>
      </c>
      <c r="PW3" s="319" t="s">
        <v>334</v>
      </c>
      <c r="PX3" s="319" t="s">
        <v>354</v>
      </c>
      <c r="PY3" s="319" t="s">
        <v>352</v>
      </c>
      <c r="PZ3" s="319" t="s">
        <v>337</v>
      </c>
      <c r="QA3" s="319" t="s">
        <v>355</v>
      </c>
      <c r="QB3" s="319"/>
      <c r="QC3" s="319" t="s">
        <v>350</v>
      </c>
      <c r="QD3" s="319" t="s">
        <v>156</v>
      </c>
      <c r="QE3" s="319" t="s">
        <v>108</v>
      </c>
      <c r="QF3" s="319" t="s">
        <v>157</v>
      </c>
      <c r="QG3" s="319" t="s">
        <v>334</v>
      </c>
      <c r="QH3" s="319" t="s">
        <v>335</v>
      </c>
      <c r="QI3" s="319" t="s">
        <v>342</v>
      </c>
      <c r="QJ3" s="319" t="s">
        <v>155</v>
      </c>
      <c r="QK3" s="319" t="s">
        <v>351</v>
      </c>
      <c r="QL3" s="319" t="s">
        <v>352</v>
      </c>
      <c r="QM3" s="319" t="s">
        <v>337</v>
      </c>
      <c r="QN3" s="319" t="s">
        <v>159</v>
      </c>
      <c r="QO3" s="319" t="s">
        <v>353</v>
      </c>
      <c r="QP3" s="319" t="s">
        <v>336</v>
      </c>
      <c r="QQ3" s="319" t="s">
        <v>334</v>
      </c>
      <c r="QR3" s="319" t="s">
        <v>351</v>
      </c>
      <c r="QS3" s="319" t="s">
        <v>352</v>
      </c>
      <c r="QT3" s="319" t="s">
        <v>337</v>
      </c>
      <c r="QU3" s="319" t="s">
        <v>355</v>
      </c>
      <c r="QV3" s="319"/>
      <c r="QW3" s="319" t="s">
        <v>350</v>
      </c>
      <c r="QX3" s="319" t="s">
        <v>156</v>
      </c>
      <c r="QY3" s="319" t="s">
        <v>108</v>
      </c>
      <c r="QZ3" s="319" t="s">
        <v>157</v>
      </c>
      <c r="RA3" s="319" t="s">
        <v>334</v>
      </c>
      <c r="RB3" s="319" t="s">
        <v>335</v>
      </c>
      <c r="RC3" s="319" t="s">
        <v>342</v>
      </c>
      <c r="RD3" s="319" t="s">
        <v>155</v>
      </c>
      <c r="RE3" s="319" t="s">
        <v>351</v>
      </c>
      <c r="RF3" s="319" t="s">
        <v>352</v>
      </c>
      <c r="RG3" s="319" t="s">
        <v>337</v>
      </c>
      <c r="RH3" s="319" t="s">
        <v>159</v>
      </c>
      <c r="RI3" s="319" t="s">
        <v>353</v>
      </c>
      <c r="RJ3" s="319" t="s">
        <v>336</v>
      </c>
      <c r="RK3" s="319" t="s">
        <v>334</v>
      </c>
      <c r="RL3" s="319" t="s">
        <v>351</v>
      </c>
      <c r="RM3" s="319" t="s">
        <v>352</v>
      </c>
      <c r="RN3" s="319" t="s">
        <v>337</v>
      </c>
      <c r="RO3" s="319" t="s">
        <v>355</v>
      </c>
      <c r="RP3" s="319"/>
      <c r="RQ3" s="319"/>
      <c r="RR3" s="319"/>
      <c r="RS3" s="319">
        <v>1</v>
      </c>
      <c r="RT3" s="319" t="str">
        <f t="shared" ref="RT3:RT38" si="18">MV3</f>
        <v>Germany</v>
      </c>
      <c r="RU3" s="322">
        <f ca="1">IF(OFFSET('Player Game Board'!P10,0,RU1)&lt;&gt;"",OFFSET('Player Game Board'!P10,0,RU1),0)</f>
        <v>2</v>
      </c>
      <c r="RV3" s="322">
        <f ca="1">IF(OFFSET('Player Game Board'!Q10,0,RU1)&lt;&gt;"",OFFSET('Player Game Board'!Q10,0,RU1),0)</f>
        <v>1</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Switzerland</v>
      </c>
      <c r="SC3" s="320">
        <f t="shared" ref="SC3" ca="1" si="22">VLOOKUP(SB3,NV4:OA40,2,FALSE)</f>
        <v>0</v>
      </c>
      <c r="SD3" s="320">
        <f t="shared" ref="SD3" ca="1" si="23">VLOOKUP(SB3,NV4:OA40,3,FALSE)</f>
        <v>1</v>
      </c>
      <c r="SE3" s="320">
        <f t="shared" ref="SE3" ca="1" si="24">VLOOKUP(SB3,NV4:OA40,4,FALSE)</f>
        <v>2</v>
      </c>
      <c r="SF3" s="320">
        <f t="shared" ref="SF3" ca="1" si="25">VLOOKUP(SB3,NV4:OA40,5,FALSE)</f>
        <v>2</v>
      </c>
      <c r="SG3" s="320">
        <f t="shared" ref="SG3" ca="1" si="26">VLOOKUP(SB3,NV4:OA40,6,FALSE)</f>
        <v>4</v>
      </c>
      <c r="SH3" s="320">
        <f t="shared" ref="SH3:SH8" ca="1" si="27">SF3-SG3+1000</f>
        <v>998</v>
      </c>
      <c r="SI3" s="320">
        <f t="shared" ref="SI3:SI8" ca="1" si="28">SC3*3+SD3*1</f>
        <v>1</v>
      </c>
      <c r="SJ3" s="319">
        <f ca="1">VLOOKUP(SB3,B4:J40,9,FALSE)</f>
        <v>34</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105</v>
      </c>
      <c r="SQ3" s="319">
        <v>1</v>
      </c>
      <c r="SR3" s="319"/>
      <c r="SS3" s="319"/>
      <c r="ST3" s="319"/>
      <c r="SU3" s="319" t="s">
        <v>156</v>
      </c>
      <c r="SV3" s="319" t="s">
        <v>108</v>
      </c>
      <c r="SW3" s="319" t="s">
        <v>157</v>
      </c>
      <c r="SX3" s="319" t="s">
        <v>334</v>
      </c>
      <c r="SY3" s="319" t="s">
        <v>335</v>
      </c>
      <c r="SZ3" s="319" t="s">
        <v>342</v>
      </c>
      <c r="TA3" s="319" t="s">
        <v>264</v>
      </c>
      <c r="TB3" s="319" t="s">
        <v>343</v>
      </c>
      <c r="TC3" s="319" t="s">
        <v>344</v>
      </c>
      <c r="TD3" s="319"/>
      <c r="TE3" s="319" t="s">
        <v>345</v>
      </c>
      <c r="TF3" s="319"/>
      <c r="TG3" s="319"/>
      <c r="TH3" s="319" t="s">
        <v>346</v>
      </c>
      <c r="TI3" s="319" t="s">
        <v>347</v>
      </c>
      <c r="TJ3" s="319" t="s">
        <v>348</v>
      </c>
      <c r="TK3" s="319" t="s">
        <v>349</v>
      </c>
      <c r="TL3" s="319"/>
      <c r="TM3" s="319" t="s">
        <v>350</v>
      </c>
      <c r="TN3" s="319" t="s">
        <v>156</v>
      </c>
      <c r="TO3" s="319" t="s">
        <v>108</v>
      </c>
      <c r="TP3" s="319" t="s">
        <v>157</v>
      </c>
      <c r="TQ3" s="319" t="s">
        <v>334</v>
      </c>
      <c r="TR3" s="319" t="s">
        <v>335</v>
      </c>
      <c r="TS3" s="319" t="s">
        <v>342</v>
      </c>
      <c r="TT3" s="319" t="s">
        <v>155</v>
      </c>
      <c r="TU3" s="319" t="s">
        <v>351</v>
      </c>
      <c r="TV3" s="319" t="s">
        <v>352</v>
      </c>
      <c r="TW3" s="319" t="s">
        <v>337</v>
      </c>
      <c r="TX3" s="319" t="s">
        <v>159</v>
      </c>
      <c r="TY3" s="319" t="s">
        <v>353</v>
      </c>
      <c r="TZ3" s="319" t="s">
        <v>336</v>
      </c>
      <c r="UA3" s="319" t="s">
        <v>334</v>
      </c>
      <c r="UB3" s="319" t="s">
        <v>354</v>
      </c>
      <c r="UC3" s="319" t="s">
        <v>352</v>
      </c>
      <c r="UD3" s="319" t="s">
        <v>337</v>
      </c>
      <c r="UE3" s="319" t="s">
        <v>355</v>
      </c>
      <c r="UF3" s="319"/>
      <c r="UG3" s="319" t="s">
        <v>350</v>
      </c>
      <c r="UH3" s="319" t="s">
        <v>156</v>
      </c>
      <c r="UI3" s="319" t="s">
        <v>108</v>
      </c>
      <c r="UJ3" s="319" t="s">
        <v>157</v>
      </c>
      <c r="UK3" s="319" t="s">
        <v>334</v>
      </c>
      <c r="UL3" s="319" t="s">
        <v>335</v>
      </c>
      <c r="UM3" s="319" t="s">
        <v>342</v>
      </c>
      <c r="UN3" s="319" t="s">
        <v>155</v>
      </c>
      <c r="UO3" s="319" t="s">
        <v>351</v>
      </c>
      <c r="UP3" s="319" t="s">
        <v>352</v>
      </c>
      <c r="UQ3" s="319" t="s">
        <v>337</v>
      </c>
      <c r="UR3" s="319" t="s">
        <v>159</v>
      </c>
      <c r="US3" s="319" t="s">
        <v>353</v>
      </c>
      <c r="UT3" s="319" t="s">
        <v>336</v>
      </c>
      <c r="UU3" s="319" t="s">
        <v>334</v>
      </c>
      <c r="UV3" s="319" t="s">
        <v>354</v>
      </c>
      <c r="UW3" s="319" t="s">
        <v>352</v>
      </c>
      <c r="UX3" s="319" t="s">
        <v>337</v>
      </c>
      <c r="UY3" s="319" t="s">
        <v>355</v>
      </c>
      <c r="UZ3" s="319"/>
      <c r="VA3" s="319" t="s">
        <v>350</v>
      </c>
      <c r="VB3" s="319" t="s">
        <v>156</v>
      </c>
      <c r="VC3" s="319" t="s">
        <v>108</v>
      </c>
      <c r="VD3" s="319" t="s">
        <v>157</v>
      </c>
      <c r="VE3" s="319" t="s">
        <v>334</v>
      </c>
      <c r="VF3" s="319" t="s">
        <v>335</v>
      </c>
      <c r="VG3" s="319" t="s">
        <v>342</v>
      </c>
      <c r="VH3" s="319" t="s">
        <v>155</v>
      </c>
      <c r="VI3" s="319" t="s">
        <v>351</v>
      </c>
      <c r="VJ3" s="319" t="s">
        <v>352</v>
      </c>
      <c r="VK3" s="319" t="s">
        <v>337</v>
      </c>
      <c r="VL3" s="319" t="s">
        <v>159</v>
      </c>
      <c r="VM3" s="319" t="s">
        <v>353</v>
      </c>
      <c r="VN3" s="319" t="s">
        <v>336</v>
      </c>
      <c r="VO3" s="319" t="s">
        <v>334</v>
      </c>
      <c r="VP3" s="319" t="s">
        <v>351</v>
      </c>
      <c r="VQ3" s="319" t="s">
        <v>352</v>
      </c>
      <c r="VR3" s="319" t="s">
        <v>337</v>
      </c>
      <c r="VS3" s="319" t="s">
        <v>355</v>
      </c>
      <c r="VT3" s="319"/>
      <c r="VU3" s="319" t="s">
        <v>350</v>
      </c>
      <c r="VV3" s="319" t="s">
        <v>156</v>
      </c>
      <c r="VW3" s="319" t="s">
        <v>108</v>
      </c>
      <c r="VX3" s="319" t="s">
        <v>157</v>
      </c>
      <c r="VY3" s="319" t="s">
        <v>334</v>
      </c>
      <c r="VZ3" s="319" t="s">
        <v>335</v>
      </c>
      <c r="WA3" s="319" t="s">
        <v>342</v>
      </c>
      <c r="WB3" s="319" t="s">
        <v>155</v>
      </c>
      <c r="WC3" s="319" t="s">
        <v>351</v>
      </c>
      <c r="WD3" s="319" t="s">
        <v>352</v>
      </c>
      <c r="WE3" s="319" t="s">
        <v>337</v>
      </c>
      <c r="WF3" s="319" t="s">
        <v>159</v>
      </c>
      <c r="WG3" s="319" t="s">
        <v>353</v>
      </c>
      <c r="WH3" s="319" t="s">
        <v>336</v>
      </c>
      <c r="WI3" s="319" t="s">
        <v>334</v>
      </c>
      <c r="WJ3" s="319" t="s">
        <v>351</v>
      </c>
      <c r="WK3" s="319" t="s">
        <v>352</v>
      </c>
      <c r="WL3" s="319" t="s">
        <v>337</v>
      </c>
      <c r="WM3" s="319" t="s">
        <v>355</v>
      </c>
      <c r="WN3" s="319"/>
      <c r="WO3" s="319"/>
      <c r="WP3" s="319"/>
      <c r="WQ3" s="319">
        <v>1</v>
      </c>
      <c r="WR3" s="319" t="str">
        <f t="shared" ref="WR3:WR38" si="34">RT3</f>
        <v>Germany</v>
      </c>
      <c r="WS3" s="322">
        <f ca="1">IF(OFFSET('Player Game Board'!P10,0,WS1)&lt;&gt;"",OFFSET('Player Game Board'!P10,0,WS1),0)</f>
        <v>3</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0</v>
      </c>
      <c r="XB3" s="320">
        <f t="shared" ref="XB3" ca="1" si="39">VLOOKUP(WZ3,ST4:SY40,3,FALSE)</f>
        <v>2</v>
      </c>
      <c r="XC3" s="320">
        <f t="shared" ref="XC3" ca="1" si="40">VLOOKUP(WZ3,ST4:SY40,4,FALSE)</f>
        <v>1</v>
      </c>
      <c r="XD3" s="320">
        <f t="shared" ref="XD3" ca="1" si="41">VLOOKUP(WZ3,ST4:SY40,5,FALSE)</f>
        <v>5</v>
      </c>
      <c r="XE3" s="320">
        <f t="shared" ref="XE3" ca="1" si="42">VLOOKUP(WZ3,ST4:SY40,6,FALSE)</f>
        <v>7</v>
      </c>
      <c r="XF3" s="320">
        <f t="shared" ref="XF3:XF8" ca="1" si="43">XD3-XE3+1000</f>
        <v>998</v>
      </c>
      <c r="XG3" s="320">
        <f t="shared" ref="XG3:XG8" ca="1" si="44">XA3*3+XB3*1</f>
        <v>2</v>
      </c>
      <c r="XH3" s="319">
        <f ca="1">VLOOKUP(WZ3,B4:J40,9,FALSE)</f>
        <v>43</v>
      </c>
      <c r="XI3" s="319">
        <f t="shared" ref="XI3" ca="1" si="45">RANK(XG3,XG3:XG8)</f>
        <v>5</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5</v>
      </c>
      <c r="XN3" s="319" t="s">
        <v>105</v>
      </c>
      <c r="XO3" s="319">
        <v>1</v>
      </c>
      <c r="XP3" s="319"/>
      <c r="XQ3" s="319"/>
      <c r="XR3" s="319"/>
      <c r="XS3" s="319" t="s">
        <v>156</v>
      </c>
      <c r="XT3" s="319" t="s">
        <v>108</v>
      </c>
      <c r="XU3" s="319" t="s">
        <v>157</v>
      </c>
      <c r="XV3" s="319" t="s">
        <v>334</v>
      </c>
      <c r="XW3" s="319" t="s">
        <v>335</v>
      </c>
      <c r="XX3" s="319" t="s">
        <v>342</v>
      </c>
      <c r="XY3" s="319" t="s">
        <v>264</v>
      </c>
      <c r="XZ3" s="319" t="s">
        <v>343</v>
      </c>
      <c r="YA3" s="319" t="s">
        <v>344</v>
      </c>
      <c r="YB3" s="319"/>
      <c r="YC3" s="319" t="s">
        <v>345</v>
      </c>
      <c r="YD3" s="319"/>
      <c r="YE3" s="319"/>
      <c r="YF3" s="319" t="s">
        <v>346</v>
      </c>
      <c r="YG3" s="319" t="s">
        <v>347</v>
      </c>
      <c r="YH3" s="319" t="s">
        <v>348</v>
      </c>
      <c r="YI3" s="319" t="s">
        <v>349</v>
      </c>
      <c r="YJ3" s="319"/>
      <c r="YK3" s="319" t="s">
        <v>350</v>
      </c>
      <c r="YL3" s="319" t="s">
        <v>156</v>
      </c>
      <c r="YM3" s="319" t="s">
        <v>108</v>
      </c>
      <c r="YN3" s="319" t="s">
        <v>157</v>
      </c>
      <c r="YO3" s="319" t="s">
        <v>334</v>
      </c>
      <c r="YP3" s="319" t="s">
        <v>335</v>
      </c>
      <c r="YQ3" s="319" t="s">
        <v>342</v>
      </c>
      <c r="YR3" s="319" t="s">
        <v>155</v>
      </c>
      <c r="YS3" s="319" t="s">
        <v>351</v>
      </c>
      <c r="YT3" s="319" t="s">
        <v>352</v>
      </c>
      <c r="YU3" s="319" t="s">
        <v>337</v>
      </c>
      <c r="YV3" s="319" t="s">
        <v>159</v>
      </c>
      <c r="YW3" s="319" t="s">
        <v>353</v>
      </c>
      <c r="YX3" s="319" t="s">
        <v>336</v>
      </c>
      <c r="YY3" s="319" t="s">
        <v>334</v>
      </c>
      <c r="YZ3" s="319" t="s">
        <v>354</v>
      </c>
      <c r="ZA3" s="319" t="s">
        <v>352</v>
      </c>
      <c r="ZB3" s="319" t="s">
        <v>337</v>
      </c>
      <c r="ZC3" s="319" t="s">
        <v>355</v>
      </c>
      <c r="ZD3" s="319"/>
      <c r="ZE3" s="319" t="s">
        <v>350</v>
      </c>
      <c r="ZF3" s="319" t="s">
        <v>156</v>
      </c>
      <c r="ZG3" s="319" t="s">
        <v>108</v>
      </c>
      <c r="ZH3" s="319" t="s">
        <v>157</v>
      </c>
      <c r="ZI3" s="319" t="s">
        <v>334</v>
      </c>
      <c r="ZJ3" s="319" t="s">
        <v>335</v>
      </c>
      <c r="ZK3" s="319" t="s">
        <v>342</v>
      </c>
      <c r="ZL3" s="319" t="s">
        <v>155</v>
      </c>
      <c r="ZM3" s="319" t="s">
        <v>351</v>
      </c>
      <c r="ZN3" s="319" t="s">
        <v>352</v>
      </c>
      <c r="ZO3" s="319" t="s">
        <v>337</v>
      </c>
      <c r="ZP3" s="319" t="s">
        <v>159</v>
      </c>
      <c r="ZQ3" s="319" t="s">
        <v>353</v>
      </c>
      <c r="ZR3" s="319" t="s">
        <v>336</v>
      </c>
      <c r="ZS3" s="319" t="s">
        <v>334</v>
      </c>
      <c r="ZT3" s="319" t="s">
        <v>354</v>
      </c>
      <c r="ZU3" s="319" t="s">
        <v>352</v>
      </c>
      <c r="ZV3" s="319" t="s">
        <v>337</v>
      </c>
      <c r="ZW3" s="319" t="s">
        <v>355</v>
      </c>
      <c r="ZX3" s="319"/>
      <c r="ZY3" s="319" t="s">
        <v>350</v>
      </c>
      <c r="ZZ3" s="319" t="s">
        <v>156</v>
      </c>
      <c r="AAA3" s="319" t="s">
        <v>108</v>
      </c>
      <c r="AAB3" s="319" t="s">
        <v>157</v>
      </c>
      <c r="AAC3" s="319" t="s">
        <v>334</v>
      </c>
      <c r="AAD3" s="319" t="s">
        <v>335</v>
      </c>
      <c r="AAE3" s="319" t="s">
        <v>342</v>
      </c>
      <c r="AAF3" s="319" t="s">
        <v>155</v>
      </c>
      <c r="AAG3" s="319" t="s">
        <v>351</v>
      </c>
      <c r="AAH3" s="319" t="s">
        <v>352</v>
      </c>
      <c r="AAI3" s="319" t="s">
        <v>337</v>
      </c>
      <c r="AAJ3" s="319" t="s">
        <v>159</v>
      </c>
      <c r="AAK3" s="319" t="s">
        <v>353</v>
      </c>
      <c r="AAL3" s="319" t="s">
        <v>336</v>
      </c>
      <c r="AAM3" s="319" t="s">
        <v>334</v>
      </c>
      <c r="AAN3" s="319" t="s">
        <v>351</v>
      </c>
      <c r="AAO3" s="319" t="s">
        <v>352</v>
      </c>
      <c r="AAP3" s="319" t="s">
        <v>337</v>
      </c>
      <c r="AAQ3" s="319" t="s">
        <v>355</v>
      </c>
      <c r="AAR3" s="319"/>
      <c r="AAS3" s="319" t="s">
        <v>350</v>
      </c>
      <c r="AAT3" s="319" t="s">
        <v>156</v>
      </c>
      <c r="AAU3" s="319" t="s">
        <v>108</v>
      </c>
      <c r="AAV3" s="319" t="s">
        <v>157</v>
      </c>
      <c r="AAW3" s="319" t="s">
        <v>334</v>
      </c>
      <c r="AAX3" s="319" t="s">
        <v>335</v>
      </c>
      <c r="AAY3" s="319" t="s">
        <v>342</v>
      </c>
      <c r="AAZ3" s="319" t="s">
        <v>155</v>
      </c>
      <c r="ABA3" s="319" t="s">
        <v>351</v>
      </c>
      <c r="ABB3" s="319" t="s">
        <v>352</v>
      </c>
      <c r="ABC3" s="319" t="s">
        <v>337</v>
      </c>
      <c r="ABD3" s="319" t="s">
        <v>159</v>
      </c>
      <c r="ABE3" s="319" t="s">
        <v>353</v>
      </c>
      <c r="ABF3" s="319" t="s">
        <v>336</v>
      </c>
      <c r="ABG3" s="319" t="s">
        <v>334</v>
      </c>
      <c r="ABH3" s="319" t="s">
        <v>351</v>
      </c>
      <c r="ABI3" s="319" t="s">
        <v>352</v>
      </c>
      <c r="ABJ3" s="319" t="s">
        <v>337</v>
      </c>
      <c r="ABK3" s="319" t="s">
        <v>355</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105</v>
      </c>
      <c r="ACM3" s="319">
        <v>1</v>
      </c>
      <c r="ACN3" s="319"/>
      <c r="ACO3" s="319"/>
      <c r="ACP3" s="319"/>
      <c r="ACQ3" s="319" t="s">
        <v>156</v>
      </c>
      <c r="ACR3" s="319" t="s">
        <v>108</v>
      </c>
      <c r="ACS3" s="319" t="s">
        <v>157</v>
      </c>
      <c r="ACT3" s="319" t="s">
        <v>334</v>
      </c>
      <c r="ACU3" s="319" t="s">
        <v>335</v>
      </c>
      <c r="ACV3" s="319" t="s">
        <v>342</v>
      </c>
      <c r="ACW3" s="319" t="s">
        <v>264</v>
      </c>
      <c r="ACX3" s="319" t="s">
        <v>343</v>
      </c>
      <c r="ACY3" s="319" t="s">
        <v>344</v>
      </c>
      <c r="ACZ3" s="319"/>
      <c r="ADA3" s="319" t="s">
        <v>345</v>
      </c>
      <c r="ADB3" s="319"/>
      <c r="ADC3" s="319"/>
      <c r="ADD3" s="319" t="s">
        <v>346</v>
      </c>
      <c r="ADE3" s="319" t="s">
        <v>347</v>
      </c>
      <c r="ADF3" s="319" t="s">
        <v>348</v>
      </c>
      <c r="ADG3" s="319" t="s">
        <v>349</v>
      </c>
      <c r="ADH3" s="319"/>
      <c r="ADI3" s="319" t="s">
        <v>350</v>
      </c>
      <c r="ADJ3" s="319" t="s">
        <v>156</v>
      </c>
      <c r="ADK3" s="319" t="s">
        <v>108</v>
      </c>
      <c r="ADL3" s="319" t="s">
        <v>157</v>
      </c>
      <c r="ADM3" s="319" t="s">
        <v>334</v>
      </c>
      <c r="ADN3" s="319" t="s">
        <v>335</v>
      </c>
      <c r="ADO3" s="319" t="s">
        <v>342</v>
      </c>
      <c r="ADP3" s="319" t="s">
        <v>155</v>
      </c>
      <c r="ADQ3" s="319" t="s">
        <v>351</v>
      </c>
      <c r="ADR3" s="319" t="s">
        <v>352</v>
      </c>
      <c r="ADS3" s="319" t="s">
        <v>337</v>
      </c>
      <c r="ADT3" s="319" t="s">
        <v>159</v>
      </c>
      <c r="ADU3" s="319" t="s">
        <v>353</v>
      </c>
      <c r="ADV3" s="319" t="s">
        <v>336</v>
      </c>
      <c r="ADW3" s="319" t="s">
        <v>334</v>
      </c>
      <c r="ADX3" s="319" t="s">
        <v>354</v>
      </c>
      <c r="ADY3" s="319" t="s">
        <v>352</v>
      </c>
      <c r="ADZ3" s="319" t="s">
        <v>337</v>
      </c>
      <c r="AEA3" s="319" t="s">
        <v>355</v>
      </c>
      <c r="AEB3" s="319"/>
      <c r="AEC3" s="319" t="s">
        <v>350</v>
      </c>
      <c r="AED3" s="319" t="s">
        <v>156</v>
      </c>
      <c r="AEE3" s="319" t="s">
        <v>108</v>
      </c>
      <c r="AEF3" s="319" t="s">
        <v>157</v>
      </c>
      <c r="AEG3" s="319" t="s">
        <v>334</v>
      </c>
      <c r="AEH3" s="319" t="s">
        <v>335</v>
      </c>
      <c r="AEI3" s="319" t="s">
        <v>342</v>
      </c>
      <c r="AEJ3" s="319" t="s">
        <v>155</v>
      </c>
      <c r="AEK3" s="319" t="s">
        <v>351</v>
      </c>
      <c r="AEL3" s="319" t="s">
        <v>352</v>
      </c>
      <c r="AEM3" s="319" t="s">
        <v>337</v>
      </c>
      <c r="AEN3" s="319" t="s">
        <v>159</v>
      </c>
      <c r="AEO3" s="319" t="s">
        <v>353</v>
      </c>
      <c r="AEP3" s="319" t="s">
        <v>336</v>
      </c>
      <c r="AEQ3" s="319" t="s">
        <v>334</v>
      </c>
      <c r="AER3" s="319" t="s">
        <v>354</v>
      </c>
      <c r="AES3" s="319" t="s">
        <v>352</v>
      </c>
      <c r="AET3" s="319" t="s">
        <v>337</v>
      </c>
      <c r="AEU3" s="319" t="s">
        <v>355</v>
      </c>
      <c r="AEV3" s="319"/>
      <c r="AEW3" s="319" t="s">
        <v>350</v>
      </c>
      <c r="AEX3" s="319" t="s">
        <v>156</v>
      </c>
      <c r="AEY3" s="319" t="s">
        <v>108</v>
      </c>
      <c r="AEZ3" s="319" t="s">
        <v>157</v>
      </c>
      <c r="AFA3" s="319" t="s">
        <v>334</v>
      </c>
      <c r="AFB3" s="319" t="s">
        <v>335</v>
      </c>
      <c r="AFC3" s="319" t="s">
        <v>342</v>
      </c>
      <c r="AFD3" s="319" t="s">
        <v>155</v>
      </c>
      <c r="AFE3" s="319" t="s">
        <v>351</v>
      </c>
      <c r="AFF3" s="319" t="s">
        <v>352</v>
      </c>
      <c r="AFG3" s="319" t="s">
        <v>337</v>
      </c>
      <c r="AFH3" s="319" t="s">
        <v>159</v>
      </c>
      <c r="AFI3" s="319" t="s">
        <v>353</v>
      </c>
      <c r="AFJ3" s="319" t="s">
        <v>336</v>
      </c>
      <c r="AFK3" s="319" t="s">
        <v>334</v>
      </c>
      <c r="AFL3" s="319" t="s">
        <v>351</v>
      </c>
      <c r="AFM3" s="319" t="s">
        <v>352</v>
      </c>
      <c r="AFN3" s="319" t="s">
        <v>337</v>
      </c>
      <c r="AFO3" s="319" t="s">
        <v>355</v>
      </c>
      <c r="AFP3" s="319"/>
      <c r="AFQ3" s="319" t="s">
        <v>350</v>
      </c>
      <c r="AFR3" s="319" t="s">
        <v>156</v>
      </c>
      <c r="AFS3" s="319" t="s">
        <v>108</v>
      </c>
      <c r="AFT3" s="319" t="s">
        <v>157</v>
      </c>
      <c r="AFU3" s="319" t="s">
        <v>334</v>
      </c>
      <c r="AFV3" s="319" t="s">
        <v>335</v>
      </c>
      <c r="AFW3" s="319" t="s">
        <v>342</v>
      </c>
      <c r="AFX3" s="319" t="s">
        <v>155</v>
      </c>
      <c r="AFY3" s="319" t="s">
        <v>351</v>
      </c>
      <c r="AFZ3" s="319" t="s">
        <v>352</v>
      </c>
      <c r="AGA3" s="319" t="s">
        <v>337</v>
      </c>
      <c r="AGB3" s="319" t="s">
        <v>159</v>
      </c>
      <c r="AGC3" s="319" t="s">
        <v>353</v>
      </c>
      <c r="AGD3" s="319" t="s">
        <v>336</v>
      </c>
      <c r="AGE3" s="319" t="s">
        <v>334</v>
      </c>
      <c r="AGF3" s="319" t="s">
        <v>351</v>
      </c>
      <c r="AGG3" s="319" t="s">
        <v>352</v>
      </c>
      <c r="AGH3" s="319" t="s">
        <v>337</v>
      </c>
      <c r="AGI3" s="319" t="s">
        <v>355</v>
      </c>
      <c r="AGJ3" s="319"/>
      <c r="AGK3" s="319"/>
      <c r="AGL3" s="319"/>
      <c r="AGM3" s="319">
        <v>1</v>
      </c>
      <c r="AGN3" s="319" t="str">
        <f t="shared" ref="AGN3:AGN38" si="66">ABP3</f>
        <v>Germany</v>
      </c>
      <c r="AGO3" s="322">
        <f ca="1">IF(OFFSET('Player Game Board'!P10,0,AGO1)&lt;&gt;"",OFFSET('Player Game Board'!P10,0,AGO1),0)</f>
        <v>2</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Hungary</v>
      </c>
      <c r="AGW3" s="320">
        <f t="shared" ref="AGW3" ca="1" si="70">VLOOKUP(AGV3,ACP4:ACU40,2,FALSE)</f>
        <v>0</v>
      </c>
      <c r="AGX3" s="320">
        <f t="shared" ref="AGX3" ca="1" si="71">VLOOKUP(AGV3,ACP4:ACU40,3,FALSE)</f>
        <v>2</v>
      </c>
      <c r="AGY3" s="320">
        <f t="shared" ref="AGY3" ca="1" si="72">VLOOKUP(AGV3,ACP4:ACU40,4,FALSE)</f>
        <v>1</v>
      </c>
      <c r="AGZ3" s="320">
        <f t="shared" ref="AGZ3" ca="1" si="73">VLOOKUP(AGV3,ACP4:ACU40,5,FALSE)</f>
        <v>2</v>
      </c>
      <c r="AHA3" s="320">
        <f t="shared" ref="AHA3" ca="1" si="74">VLOOKUP(AGV3,ACP4:ACU40,6,FALSE)</f>
        <v>3</v>
      </c>
      <c r="AHB3" s="320">
        <f t="shared" ref="AHB3:AHB8" ca="1" si="75">AGZ3-AHA3+1000</f>
        <v>999</v>
      </c>
      <c r="AHC3" s="320">
        <f t="shared" ref="AHC3:AHC8" ca="1" si="76">AGW3*3+AGX3*1</f>
        <v>2</v>
      </c>
      <c r="AHD3" s="319">
        <f ca="1">VLOOKUP(AGV3,B4:J40,9,FALSE)</f>
        <v>48</v>
      </c>
      <c r="AHE3" s="319">
        <f t="shared" ref="AHE3" ca="1" si="77">RANK(AHC3,AHC3:AHC8)</f>
        <v>6</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6</v>
      </c>
      <c r="AHJ3" s="319" t="s">
        <v>105</v>
      </c>
      <c r="AHK3" s="319">
        <v>1</v>
      </c>
      <c r="AHL3" s="319"/>
      <c r="AHM3" s="319"/>
      <c r="AHN3" s="319"/>
      <c r="AHO3" s="319" t="s">
        <v>156</v>
      </c>
      <c r="AHP3" s="319" t="s">
        <v>108</v>
      </c>
      <c r="AHQ3" s="319" t="s">
        <v>157</v>
      </c>
      <c r="AHR3" s="319" t="s">
        <v>334</v>
      </c>
      <c r="AHS3" s="319" t="s">
        <v>335</v>
      </c>
      <c r="AHT3" s="319" t="s">
        <v>342</v>
      </c>
      <c r="AHU3" s="319" t="s">
        <v>264</v>
      </c>
      <c r="AHV3" s="319" t="s">
        <v>343</v>
      </c>
      <c r="AHW3" s="319" t="s">
        <v>344</v>
      </c>
      <c r="AHX3" s="319"/>
      <c r="AHY3" s="319" t="s">
        <v>345</v>
      </c>
      <c r="AHZ3" s="319"/>
      <c r="AIA3" s="319"/>
      <c r="AIB3" s="319" t="s">
        <v>346</v>
      </c>
      <c r="AIC3" s="319" t="s">
        <v>347</v>
      </c>
      <c r="AID3" s="319" t="s">
        <v>348</v>
      </c>
      <c r="AIE3" s="319" t="s">
        <v>349</v>
      </c>
      <c r="AIF3" s="319"/>
      <c r="AIG3" s="319" t="s">
        <v>350</v>
      </c>
      <c r="AIH3" s="319" t="s">
        <v>156</v>
      </c>
      <c r="AII3" s="319" t="s">
        <v>108</v>
      </c>
      <c r="AIJ3" s="319" t="s">
        <v>157</v>
      </c>
      <c r="AIK3" s="319" t="s">
        <v>334</v>
      </c>
      <c r="AIL3" s="319" t="s">
        <v>335</v>
      </c>
      <c r="AIM3" s="319" t="s">
        <v>342</v>
      </c>
      <c r="AIN3" s="319" t="s">
        <v>155</v>
      </c>
      <c r="AIO3" s="319" t="s">
        <v>351</v>
      </c>
      <c r="AIP3" s="319" t="s">
        <v>352</v>
      </c>
      <c r="AIQ3" s="319" t="s">
        <v>337</v>
      </c>
      <c r="AIR3" s="319" t="s">
        <v>159</v>
      </c>
      <c r="AIS3" s="319" t="s">
        <v>353</v>
      </c>
      <c r="AIT3" s="319" t="s">
        <v>336</v>
      </c>
      <c r="AIU3" s="319" t="s">
        <v>334</v>
      </c>
      <c r="AIV3" s="319" t="s">
        <v>354</v>
      </c>
      <c r="AIW3" s="319" t="s">
        <v>352</v>
      </c>
      <c r="AIX3" s="319" t="s">
        <v>337</v>
      </c>
      <c r="AIY3" s="319" t="s">
        <v>355</v>
      </c>
      <c r="AIZ3" s="319"/>
      <c r="AJA3" s="319" t="s">
        <v>350</v>
      </c>
      <c r="AJB3" s="319" t="s">
        <v>156</v>
      </c>
      <c r="AJC3" s="319" t="s">
        <v>108</v>
      </c>
      <c r="AJD3" s="319" t="s">
        <v>157</v>
      </c>
      <c r="AJE3" s="319" t="s">
        <v>334</v>
      </c>
      <c r="AJF3" s="319" t="s">
        <v>335</v>
      </c>
      <c r="AJG3" s="319" t="s">
        <v>342</v>
      </c>
      <c r="AJH3" s="319" t="s">
        <v>155</v>
      </c>
      <c r="AJI3" s="319" t="s">
        <v>351</v>
      </c>
      <c r="AJJ3" s="319" t="s">
        <v>352</v>
      </c>
      <c r="AJK3" s="319" t="s">
        <v>337</v>
      </c>
      <c r="AJL3" s="319" t="s">
        <v>159</v>
      </c>
      <c r="AJM3" s="319" t="s">
        <v>353</v>
      </c>
      <c r="AJN3" s="319" t="s">
        <v>336</v>
      </c>
      <c r="AJO3" s="319" t="s">
        <v>334</v>
      </c>
      <c r="AJP3" s="319" t="s">
        <v>354</v>
      </c>
      <c r="AJQ3" s="319" t="s">
        <v>352</v>
      </c>
      <c r="AJR3" s="319" t="s">
        <v>337</v>
      </c>
      <c r="AJS3" s="319" t="s">
        <v>355</v>
      </c>
      <c r="AJT3" s="319"/>
      <c r="AJU3" s="319" t="s">
        <v>350</v>
      </c>
      <c r="AJV3" s="319" t="s">
        <v>156</v>
      </c>
      <c r="AJW3" s="319" t="s">
        <v>108</v>
      </c>
      <c r="AJX3" s="319" t="s">
        <v>157</v>
      </c>
      <c r="AJY3" s="319" t="s">
        <v>334</v>
      </c>
      <c r="AJZ3" s="319" t="s">
        <v>335</v>
      </c>
      <c r="AKA3" s="319" t="s">
        <v>342</v>
      </c>
      <c r="AKB3" s="319" t="s">
        <v>155</v>
      </c>
      <c r="AKC3" s="319" t="s">
        <v>351</v>
      </c>
      <c r="AKD3" s="319" t="s">
        <v>352</v>
      </c>
      <c r="AKE3" s="319" t="s">
        <v>337</v>
      </c>
      <c r="AKF3" s="319" t="s">
        <v>159</v>
      </c>
      <c r="AKG3" s="319" t="s">
        <v>353</v>
      </c>
      <c r="AKH3" s="319" t="s">
        <v>336</v>
      </c>
      <c r="AKI3" s="319" t="s">
        <v>334</v>
      </c>
      <c r="AKJ3" s="319" t="s">
        <v>351</v>
      </c>
      <c r="AKK3" s="319" t="s">
        <v>352</v>
      </c>
      <c r="AKL3" s="319" t="s">
        <v>337</v>
      </c>
      <c r="AKM3" s="319" t="s">
        <v>355</v>
      </c>
      <c r="AKN3" s="319"/>
      <c r="AKO3" s="319" t="s">
        <v>350</v>
      </c>
      <c r="AKP3" s="319" t="s">
        <v>156</v>
      </c>
      <c r="AKQ3" s="319" t="s">
        <v>108</v>
      </c>
      <c r="AKR3" s="319" t="s">
        <v>157</v>
      </c>
      <c r="AKS3" s="319" t="s">
        <v>334</v>
      </c>
      <c r="AKT3" s="319" t="s">
        <v>335</v>
      </c>
      <c r="AKU3" s="319" t="s">
        <v>342</v>
      </c>
      <c r="AKV3" s="319" t="s">
        <v>155</v>
      </c>
      <c r="AKW3" s="319" t="s">
        <v>351</v>
      </c>
      <c r="AKX3" s="319" t="s">
        <v>352</v>
      </c>
      <c r="AKY3" s="319" t="s">
        <v>337</v>
      </c>
      <c r="AKZ3" s="319" t="s">
        <v>159</v>
      </c>
      <c r="ALA3" s="319" t="s">
        <v>353</v>
      </c>
      <c r="ALB3" s="319" t="s">
        <v>336</v>
      </c>
      <c r="ALC3" s="319" t="s">
        <v>334</v>
      </c>
      <c r="ALD3" s="319" t="s">
        <v>351</v>
      </c>
      <c r="ALE3" s="319" t="s">
        <v>352</v>
      </c>
      <c r="ALF3" s="319" t="s">
        <v>337</v>
      </c>
      <c r="ALG3" s="319" t="s">
        <v>355</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1</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Switzerland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3</v>
      </c>
      <c r="ALZ3" s="320">
        <f t="shared" ref="ALZ3:ALZ8" ca="1" si="91">ALX3-ALY3+1000</f>
        <v>998</v>
      </c>
      <c r="AMA3" s="320">
        <f t="shared" ref="AMA3:AMA8" ca="1" si="92">ALU3*3+ALV3*1</f>
        <v>1</v>
      </c>
      <c r="AMB3" s="319">
        <f ca="1">VLOOKUP(ALT3,B4:J40,9,FALSE)</f>
        <v>34</v>
      </c>
      <c r="AMC3" s="319">
        <f t="shared" ref="AMC3" ca="1" si="93">RANK(AMA3,AMA3:AMA8)</f>
        <v>5</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5</v>
      </c>
      <c r="AMH3" s="319" t="s">
        <v>105</v>
      </c>
      <c r="AMI3" s="319">
        <v>1</v>
      </c>
      <c r="AMJ3" s="319"/>
      <c r="AMK3" s="319"/>
      <c r="AML3" s="319"/>
      <c r="AMM3" s="319" t="s">
        <v>156</v>
      </c>
      <c r="AMN3" s="319" t="s">
        <v>108</v>
      </c>
      <c r="AMO3" s="319" t="s">
        <v>157</v>
      </c>
      <c r="AMP3" s="319" t="s">
        <v>334</v>
      </c>
      <c r="AMQ3" s="319" t="s">
        <v>335</v>
      </c>
      <c r="AMR3" s="319" t="s">
        <v>342</v>
      </c>
      <c r="AMS3" s="319" t="s">
        <v>264</v>
      </c>
      <c r="AMT3" s="319" t="s">
        <v>343</v>
      </c>
      <c r="AMU3" s="319" t="s">
        <v>344</v>
      </c>
      <c r="AMV3" s="319"/>
      <c r="AMW3" s="319" t="s">
        <v>345</v>
      </c>
      <c r="AMX3" s="319"/>
      <c r="AMY3" s="319"/>
      <c r="AMZ3" s="319" t="s">
        <v>346</v>
      </c>
      <c r="ANA3" s="319" t="s">
        <v>347</v>
      </c>
      <c r="ANB3" s="319" t="s">
        <v>348</v>
      </c>
      <c r="ANC3" s="319" t="s">
        <v>349</v>
      </c>
      <c r="AND3" s="319"/>
      <c r="ANE3" s="319" t="s">
        <v>350</v>
      </c>
      <c r="ANF3" s="319" t="s">
        <v>156</v>
      </c>
      <c r="ANG3" s="319" t="s">
        <v>108</v>
      </c>
      <c r="ANH3" s="319" t="s">
        <v>157</v>
      </c>
      <c r="ANI3" s="319" t="s">
        <v>334</v>
      </c>
      <c r="ANJ3" s="319" t="s">
        <v>335</v>
      </c>
      <c r="ANK3" s="319" t="s">
        <v>342</v>
      </c>
      <c r="ANL3" s="319" t="s">
        <v>155</v>
      </c>
      <c r="ANM3" s="319" t="s">
        <v>351</v>
      </c>
      <c r="ANN3" s="319" t="s">
        <v>352</v>
      </c>
      <c r="ANO3" s="319" t="s">
        <v>337</v>
      </c>
      <c r="ANP3" s="319" t="s">
        <v>159</v>
      </c>
      <c r="ANQ3" s="319" t="s">
        <v>353</v>
      </c>
      <c r="ANR3" s="319" t="s">
        <v>336</v>
      </c>
      <c r="ANS3" s="319" t="s">
        <v>334</v>
      </c>
      <c r="ANT3" s="319" t="s">
        <v>354</v>
      </c>
      <c r="ANU3" s="319" t="s">
        <v>352</v>
      </c>
      <c r="ANV3" s="319" t="s">
        <v>337</v>
      </c>
      <c r="ANW3" s="319" t="s">
        <v>355</v>
      </c>
      <c r="ANX3" s="319"/>
      <c r="ANY3" s="319" t="s">
        <v>350</v>
      </c>
      <c r="ANZ3" s="319" t="s">
        <v>156</v>
      </c>
      <c r="AOA3" s="319" t="s">
        <v>108</v>
      </c>
      <c r="AOB3" s="319" t="s">
        <v>157</v>
      </c>
      <c r="AOC3" s="319" t="s">
        <v>334</v>
      </c>
      <c r="AOD3" s="319" t="s">
        <v>335</v>
      </c>
      <c r="AOE3" s="319" t="s">
        <v>342</v>
      </c>
      <c r="AOF3" s="319" t="s">
        <v>155</v>
      </c>
      <c r="AOG3" s="319" t="s">
        <v>351</v>
      </c>
      <c r="AOH3" s="319" t="s">
        <v>352</v>
      </c>
      <c r="AOI3" s="319" t="s">
        <v>337</v>
      </c>
      <c r="AOJ3" s="319" t="s">
        <v>159</v>
      </c>
      <c r="AOK3" s="319" t="s">
        <v>353</v>
      </c>
      <c r="AOL3" s="319" t="s">
        <v>336</v>
      </c>
      <c r="AOM3" s="319" t="s">
        <v>334</v>
      </c>
      <c r="AON3" s="319" t="s">
        <v>354</v>
      </c>
      <c r="AOO3" s="319" t="s">
        <v>352</v>
      </c>
      <c r="AOP3" s="319" t="s">
        <v>337</v>
      </c>
      <c r="AOQ3" s="319" t="s">
        <v>355</v>
      </c>
      <c r="AOR3" s="319"/>
      <c r="AOS3" s="319" t="s">
        <v>350</v>
      </c>
      <c r="AOT3" s="319" t="s">
        <v>156</v>
      </c>
      <c r="AOU3" s="319" t="s">
        <v>108</v>
      </c>
      <c r="AOV3" s="319" t="s">
        <v>157</v>
      </c>
      <c r="AOW3" s="319" t="s">
        <v>334</v>
      </c>
      <c r="AOX3" s="319" t="s">
        <v>335</v>
      </c>
      <c r="AOY3" s="319" t="s">
        <v>342</v>
      </c>
      <c r="AOZ3" s="319" t="s">
        <v>155</v>
      </c>
      <c r="APA3" s="319" t="s">
        <v>351</v>
      </c>
      <c r="APB3" s="319" t="s">
        <v>352</v>
      </c>
      <c r="APC3" s="319" t="s">
        <v>337</v>
      </c>
      <c r="APD3" s="319" t="s">
        <v>159</v>
      </c>
      <c r="APE3" s="319" t="s">
        <v>353</v>
      </c>
      <c r="APF3" s="319" t="s">
        <v>336</v>
      </c>
      <c r="APG3" s="319" t="s">
        <v>334</v>
      </c>
      <c r="APH3" s="319" t="s">
        <v>351</v>
      </c>
      <c r="API3" s="319" t="s">
        <v>352</v>
      </c>
      <c r="APJ3" s="319" t="s">
        <v>337</v>
      </c>
      <c r="APK3" s="319" t="s">
        <v>355</v>
      </c>
      <c r="APL3" s="319"/>
      <c r="APM3" s="319" t="s">
        <v>350</v>
      </c>
      <c r="APN3" s="319" t="s">
        <v>156</v>
      </c>
      <c r="APO3" s="319" t="s">
        <v>108</v>
      </c>
      <c r="APP3" s="319" t="s">
        <v>157</v>
      </c>
      <c r="APQ3" s="319" t="s">
        <v>334</v>
      </c>
      <c r="APR3" s="319" t="s">
        <v>335</v>
      </c>
      <c r="APS3" s="319" t="s">
        <v>342</v>
      </c>
      <c r="APT3" s="319" t="s">
        <v>155</v>
      </c>
      <c r="APU3" s="319" t="s">
        <v>351</v>
      </c>
      <c r="APV3" s="319" t="s">
        <v>352</v>
      </c>
      <c r="APW3" s="319" t="s">
        <v>337</v>
      </c>
      <c r="APX3" s="319" t="s">
        <v>159</v>
      </c>
      <c r="APY3" s="319" t="s">
        <v>353</v>
      </c>
      <c r="APZ3" s="319" t="s">
        <v>336</v>
      </c>
      <c r="AQA3" s="319" t="s">
        <v>334</v>
      </c>
      <c r="AQB3" s="319" t="s">
        <v>351</v>
      </c>
      <c r="AQC3" s="319" t="s">
        <v>352</v>
      </c>
      <c r="AQD3" s="319" t="s">
        <v>337</v>
      </c>
      <c r="AQE3" s="319" t="s">
        <v>355</v>
      </c>
      <c r="AQF3" s="319"/>
      <c r="AQG3" s="319"/>
      <c r="AQH3" s="319"/>
      <c r="AQI3" s="319">
        <v>1</v>
      </c>
      <c r="AQJ3" s="319" t="str">
        <f t="shared" ref="AQJ3:AQJ38" si="98">ALL3</f>
        <v>Germany</v>
      </c>
      <c r="AQK3" s="322">
        <f ca="1">IF(OFFSET('Player Game Board'!P10,0,AQK1)&lt;&gt;"",OFFSET('Player Game Board'!P10,0,AQK1),0)</f>
        <v>2</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W</v>
      </c>
      <c r="AQO3" s="319" t="str">
        <f t="shared" ref="AQO3:AQO18" ca="1" si="100">IF(AQN3&lt;&gt;"",IF(AQN3="W","L",IF(AQN3="L","W","D")),"")</f>
        <v>L</v>
      </c>
      <c r="AQP3" s="319"/>
      <c r="AQQ3" s="319"/>
      <c r="AQR3" s="319" t="str">
        <f t="shared" ref="AQR3" ca="1" si="101">VLOOKUP(3,AMK4:AML7,2,FALSE)</f>
        <v>Switzerland</v>
      </c>
      <c r="AQS3" s="320">
        <f t="shared" ref="AQS3" ca="1" si="102">VLOOKUP(AQR3,AML4:AMQ40,2,FALSE)</f>
        <v>0</v>
      </c>
      <c r="AQT3" s="320">
        <f t="shared" ref="AQT3" ca="1" si="103">VLOOKUP(AQR3,AML4:AMQ40,3,FALSE)</f>
        <v>3</v>
      </c>
      <c r="AQU3" s="320">
        <f t="shared" ref="AQU3" ca="1" si="104">VLOOKUP(AQR3,AML4:AMQ40,4,FALSE)</f>
        <v>0</v>
      </c>
      <c r="AQV3" s="320">
        <f t="shared" ref="AQV3" ca="1" si="105">VLOOKUP(AQR3,AML4:AMQ40,5,FALSE)</f>
        <v>3</v>
      </c>
      <c r="AQW3" s="320">
        <f t="shared" ref="AQW3" ca="1" si="106">VLOOKUP(AQR3,AML4:AMQ40,6,FALSE)</f>
        <v>3</v>
      </c>
      <c r="AQX3" s="320">
        <f t="shared" ref="AQX3:AQX8" ca="1" si="107">AQV3-AQW3+1000</f>
        <v>1000</v>
      </c>
      <c r="AQY3" s="320">
        <f t="shared" ref="AQY3:AQY8" ca="1" si="108">AQS3*3+AQT3*1</f>
        <v>3</v>
      </c>
      <c r="AQZ3" s="319">
        <f ca="1">VLOOKUP(AQR3,B4:J40,9,FALSE)</f>
        <v>34</v>
      </c>
      <c r="ARA3" s="319">
        <f t="shared" ref="ARA3" ca="1" si="109">RANK(AQY3,AQY3:AQY8)</f>
        <v>2</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2</v>
      </c>
      <c r="ARF3" s="319" t="s">
        <v>105</v>
      </c>
      <c r="ARG3" s="319">
        <v>1</v>
      </c>
      <c r="ARH3" s="319"/>
      <c r="ARI3" s="319"/>
      <c r="ARJ3" s="319"/>
      <c r="ARK3" s="319" t="s">
        <v>156</v>
      </c>
      <c r="ARL3" s="319" t="s">
        <v>108</v>
      </c>
      <c r="ARM3" s="319" t="s">
        <v>157</v>
      </c>
      <c r="ARN3" s="319" t="s">
        <v>334</v>
      </c>
      <c r="ARO3" s="319" t="s">
        <v>335</v>
      </c>
      <c r="ARP3" s="319" t="s">
        <v>342</v>
      </c>
      <c r="ARQ3" s="319" t="s">
        <v>264</v>
      </c>
      <c r="ARR3" s="319" t="s">
        <v>343</v>
      </c>
      <c r="ARS3" s="319" t="s">
        <v>344</v>
      </c>
      <c r="ART3" s="319"/>
      <c r="ARU3" s="319" t="s">
        <v>345</v>
      </c>
      <c r="ARV3" s="319"/>
      <c r="ARW3" s="319"/>
      <c r="ARX3" s="319" t="s">
        <v>346</v>
      </c>
      <c r="ARY3" s="319" t="s">
        <v>347</v>
      </c>
      <c r="ARZ3" s="319" t="s">
        <v>348</v>
      </c>
      <c r="ASA3" s="319" t="s">
        <v>349</v>
      </c>
      <c r="ASB3" s="319"/>
      <c r="ASC3" s="319" t="s">
        <v>350</v>
      </c>
      <c r="ASD3" s="319" t="s">
        <v>156</v>
      </c>
      <c r="ASE3" s="319" t="s">
        <v>108</v>
      </c>
      <c r="ASF3" s="319" t="s">
        <v>157</v>
      </c>
      <c r="ASG3" s="319" t="s">
        <v>334</v>
      </c>
      <c r="ASH3" s="319" t="s">
        <v>335</v>
      </c>
      <c r="ASI3" s="319" t="s">
        <v>342</v>
      </c>
      <c r="ASJ3" s="319" t="s">
        <v>155</v>
      </c>
      <c r="ASK3" s="319" t="s">
        <v>351</v>
      </c>
      <c r="ASL3" s="319" t="s">
        <v>352</v>
      </c>
      <c r="ASM3" s="319" t="s">
        <v>337</v>
      </c>
      <c r="ASN3" s="319" t="s">
        <v>159</v>
      </c>
      <c r="ASO3" s="319" t="s">
        <v>353</v>
      </c>
      <c r="ASP3" s="319" t="s">
        <v>336</v>
      </c>
      <c r="ASQ3" s="319" t="s">
        <v>334</v>
      </c>
      <c r="ASR3" s="319" t="s">
        <v>354</v>
      </c>
      <c r="ASS3" s="319" t="s">
        <v>352</v>
      </c>
      <c r="AST3" s="319" t="s">
        <v>337</v>
      </c>
      <c r="ASU3" s="319" t="s">
        <v>355</v>
      </c>
      <c r="ASV3" s="319"/>
      <c r="ASW3" s="319" t="s">
        <v>350</v>
      </c>
      <c r="ASX3" s="319" t="s">
        <v>156</v>
      </c>
      <c r="ASY3" s="319" t="s">
        <v>108</v>
      </c>
      <c r="ASZ3" s="319" t="s">
        <v>157</v>
      </c>
      <c r="ATA3" s="319" t="s">
        <v>334</v>
      </c>
      <c r="ATB3" s="319" t="s">
        <v>335</v>
      </c>
      <c r="ATC3" s="319" t="s">
        <v>342</v>
      </c>
      <c r="ATD3" s="319" t="s">
        <v>155</v>
      </c>
      <c r="ATE3" s="319" t="s">
        <v>351</v>
      </c>
      <c r="ATF3" s="319" t="s">
        <v>352</v>
      </c>
      <c r="ATG3" s="319" t="s">
        <v>337</v>
      </c>
      <c r="ATH3" s="319" t="s">
        <v>159</v>
      </c>
      <c r="ATI3" s="319" t="s">
        <v>353</v>
      </c>
      <c r="ATJ3" s="319" t="s">
        <v>336</v>
      </c>
      <c r="ATK3" s="319" t="s">
        <v>334</v>
      </c>
      <c r="ATL3" s="319" t="s">
        <v>354</v>
      </c>
      <c r="ATM3" s="319" t="s">
        <v>352</v>
      </c>
      <c r="ATN3" s="319" t="s">
        <v>337</v>
      </c>
      <c r="ATO3" s="319" t="s">
        <v>355</v>
      </c>
      <c r="ATP3" s="319"/>
      <c r="ATQ3" s="319" t="s">
        <v>350</v>
      </c>
      <c r="ATR3" s="319" t="s">
        <v>156</v>
      </c>
      <c r="ATS3" s="319" t="s">
        <v>108</v>
      </c>
      <c r="ATT3" s="319" t="s">
        <v>157</v>
      </c>
      <c r="ATU3" s="319" t="s">
        <v>334</v>
      </c>
      <c r="ATV3" s="319" t="s">
        <v>335</v>
      </c>
      <c r="ATW3" s="319" t="s">
        <v>342</v>
      </c>
      <c r="ATX3" s="319" t="s">
        <v>155</v>
      </c>
      <c r="ATY3" s="319" t="s">
        <v>351</v>
      </c>
      <c r="ATZ3" s="319" t="s">
        <v>352</v>
      </c>
      <c r="AUA3" s="319" t="s">
        <v>337</v>
      </c>
      <c r="AUB3" s="319" t="s">
        <v>159</v>
      </c>
      <c r="AUC3" s="319" t="s">
        <v>353</v>
      </c>
      <c r="AUD3" s="319" t="s">
        <v>336</v>
      </c>
      <c r="AUE3" s="319" t="s">
        <v>334</v>
      </c>
      <c r="AUF3" s="319" t="s">
        <v>351</v>
      </c>
      <c r="AUG3" s="319" t="s">
        <v>352</v>
      </c>
      <c r="AUH3" s="319" t="s">
        <v>337</v>
      </c>
      <c r="AUI3" s="319" t="s">
        <v>355</v>
      </c>
      <c r="AUJ3" s="319"/>
      <c r="AUK3" s="319" t="s">
        <v>350</v>
      </c>
      <c r="AUL3" s="319" t="s">
        <v>156</v>
      </c>
      <c r="AUM3" s="319" t="s">
        <v>108</v>
      </c>
      <c r="AUN3" s="319" t="s">
        <v>157</v>
      </c>
      <c r="AUO3" s="319" t="s">
        <v>334</v>
      </c>
      <c r="AUP3" s="319" t="s">
        <v>335</v>
      </c>
      <c r="AUQ3" s="319" t="s">
        <v>342</v>
      </c>
      <c r="AUR3" s="319" t="s">
        <v>155</v>
      </c>
      <c r="AUS3" s="319" t="s">
        <v>351</v>
      </c>
      <c r="AUT3" s="319" t="s">
        <v>352</v>
      </c>
      <c r="AUU3" s="319" t="s">
        <v>337</v>
      </c>
      <c r="AUV3" s="319" t="s">
        <v>159</v>
      </c>
      <c r="AUW3" s="319" t="s">
        <v>353</v>
      </c>
      <c r="AUX3" s="319" t="s">
        <v>336</v>
      </c>
      <c r="AUY3" s="319" t="s">
        <v>334</v>
      </c>
      <c r="AUZ3" s="319" t="s">
        <v>351</v>
      </c>
      <c r="AVA3" s="319" t="s">
        <v>352</v>
      </c>
      <c r="AVB3" s="319" t="s">
        <v>337</v>
      </c>
      <c r="AVC3" s="319" t="s">
        <v>355</v>
      </c>
      <c r="AVD3" s="319"/>
      <c r="AVE3" s="319"/>
      <c r="AVF3" s="319"/>
      <c r="AVG3" s="319">
        <v>1</v>
      </c>
      <c r="AVH3" s="319" t="str">
        <f t="shared" ref="AVH3:AVH38" si="114">AQJ3</f>
        <v>Germany</v>
      </c>
      <c r="AVI3" s="322">
        <f ca="1">IF(OFFSET('Player Game Board'!P10,0,AVI1)&lt;&gt;"",OFFSET('Player Game Board'!P10,0,AVI1),0)</f>
        <v>2</v>
      </c>
      <c r="AVJ3" s="322">
        <f ca="1">IF(OFFSET('Player Game Board'!Q10,0,AVI1)&lt;&gt;"",OFFSET('Player Game Board'!Q10,0,AVI1),0)</f>
        <v>1</v>
      </c>
      <c r="AVK3" s="319" t="str">
        <f t="shared" ref="AVK3:AVK38" si="115">AQM3</f>
        <v>Scotland</v>
      </c>
      <c r="AVL3" s="319" t="str">
        <f ca="1">IF(AND(OFFSET('Player Game Board'!P10,0,AVI1)&lt;&gt;"",OFFSET('Player Game Board'!Q10,0,AVI1)&lt;&gt;""),IF(AVI3&gt;AVJ3,"W",IF(AVI3=AVJ3,"D","L")),"")</f>
        <v>W</v>
      </c>
      <c r="AVM3" s="319" t="str">
        <f t="shared" ref="AVM3:AVM18" ca="1" si="116">IF(AVL3&lt;&gt;"",IF(AVL3="W","L",IF(AVL3="L","W","D")),"")</f>
        <v>L</v>
      </c>
      <c r="AVN3" s="319"/>
      <c r="AVO3" s="319"/>
      <c r="AVP3" s="319" t="str">
        <f t="shared" ref="AVP3" ca="1" si="117">VLOOKUP(3,ARI4:ARJ7,2,FALSE)</f>
        <v>Scotland</v>
      </c>
      <c r="AVQ3" s="320">
        <f t="shared" ref="AVQ3" ca="1" si="118">VLOOKUP(AVP3,ARJ4:ARO40,2,FALSE)</f>
        <v>1</v>
      </c>
      <c r="AVR3" s="320">
        <f t="shared" ref="AVR3" ca="1" si="119">VLOOKUP(AVP3,ARJ4:ARO40,3,FALSE)</f>
        <v>0</v>
      </c>
      <c r="AVS3" s="320">
        <f t="shared" ref="AVS3" ca="1" si="120">VLOOKUP(AVP3,ARJ4:ARO40,4,FALSE)</f>
        <v>2</v>
      </c>
      <c r="AVT3" s="320">
        <f t="shared" ref="AVT3" ca="1" si="121">VLOOKUP(AVP3,ARJ4:ARO40,5,FALSE)</f>
        <v>5</v>
      </c>
      <c r="AVU3" s="320">
        <f t="shared" ref="AVU3" ca="1" si="122">VLOOKUP(AVP3,ARJ4:ARO40,6,FALSE)</f>
        <v>6</v>
      </c>
      <c r="AVV3" s="320">
        <f t="shared" ref="AVV3:AVV8" ca="1" si="123">AVT3-AVU3+1000</f>
        <v>999</v>
      </c>
      <c r="AVW3" s="320">
        <f t="shared" ref="AVW3:AVW8" ca="1" si="124">AVQ3*3+AVR3*1</f>
        <v>3</v>
      </c>
      <c r="AVX3" s="319">
        <f ca="1">VLOOKUP(AVP3,B4:J40,9,FALSE)</f>
        <v>43</v>
      </c>
      <c r="AVY3" s="319">
        <f t="shared" ref="AVY3" ca="1" si="125">RANK(AVW3,AVW3:AVW8)</f>
        <v>3</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3</v>
      </c>
      <c r="AWD3" s="319" t="s">
        <v>105</v>
      </c>
      <c r="AWE3" s="319">
        <v>1</v>
      </c>
      <c r="AWF3" s="319"/>
      <c r="AWG3" s="319"/>
      <c r="AWH3" s="319"/>
      <c r="AWI3" s="319" t="s">
        <v>156</v>
      </c>
      <c r="AWJ3" s="319" t="s">
        <v>108</v>
      </c>
      <c r="AWK3" s="319" t="s">
        <v>157</v>
      </c>
      <c r="AWL3" s="319" t="s">
        <v>334</v>
      </c>
      <c r="AWM3" s="319" t="s">
        <v>335</v>
      </c>
      <c r="AWN3" s="319" t="s">
        <v>342</v>
      </c>
      <c r="AWO3" s="319" t="s">
        <v>264</v>
      </c>
      <c r="AWP3" s="319" t="s">
        <v>343</v>
      </c>
      <c r="AWQ3" s="319" t="s">
        <v>344</v>
      </c>
      <c r="AWR3" s="319"/>
      <c r="AWS3" s="319" t="s">
        <v>345</v>
      </c>
      <c r="AWT3" s="319"/>
      <c r="AWU3" s="319"/>
      <c r="AWV3" s="319" t="s">
        <v>346</v>
      </c>
      <c r="AWW3" s="319" t="s">
        <v>347</v>
      </c>
      <c r="AWX3" s="319" t="s">
        <v>348</v>
      </c>
      <c r="AWY3" s="319" t="s">
        <v>349</v>
      </c>
      <c r="AWZ3" s="319"/>
      <c r="AXA3" s="319" t="s">
        <v>350</v>
      </c>
      <c r="AXB3" s="319" t="s">
        <v>156</v>
      </c>
      <c r="AXC3" s="319" t="s">
        <v>108</v>
      </c>
      <c r="AXD3" s="319" t="s">
        <v>157</v>
      </c>
      <c r="AXE3" s="319" t="s">
        <v>334</v>
      </c>
      <c r="AXF3" s="319" t="s">
        <v>335</v>
      </c>
      <c r="AXG3" s="319" t="s">
        <v>342</v>
      </c>
      <c r="AXH3" s="319" t="s">
        <v>155</v>
      </c>
      <c r="AXI3" s="319" t="s">
        <v>351</v>
      </c>
      <c r="AXJ3" s="319" t="s">
        <v>352</v>
      </c>
      <c r="AXK3" s="319" t="s">
        <v>337</v>
      </c>
      <c r="AXL3" s="319" t="s">
        <v>159</v>
      </c>
      <c r="AXM3" s="319" t="s">
        <v>353</v>
      </c>
      <c r="AXN3" s="319" t="s">
        <v>336</v>
      </c>
      <c r="AXO3" s="319" t="s">
        <v>334</v>
      </c>
      <c r="AXP3" s="319" t="s">
        <v>354</v>
      </c>
      <c r="AXQ3" s="319" t="s">
        <v>352</v>
      </c>
      <c r="AXR3" s="319" t="s">
        <v>337</v>
      </c>
      <c r="AXS3" s="319" t="s">
        <v>355</v>
      </c>
      <c r="AXT3" s="319"/>
      <c r="AXU3" s="319" t="s">
        <v>350</v>
      </c>
      <c r="AXV3" s="319" t="s">
        <v>156</v>
      </c>
      <c r="AXW3" s="319" t="s">
        <v>108</v>
      </c>
      <c r="AXX3" s="319" t="s">
        <v>157</v>
      </c>
      <c r="AXY3" s="319" t="s">
        <v>334</v>
      </c>
      <c r="AXZ3" s="319" t="s">
        <v>335</v>
      </c>
      <c r="AYA3" s="319" t="s">
        <v>342</v>
      </c>
      <c r="AYB3" s="319" t="s">
        <v>155</v>
      </c>
      <c r="AYC3" s="319" t="s">
        <v>351</v>
      </c>
      <c r="AYD3" s="319" t="s">
        <v>352</v>
      </c>
      <c r="AYE3" s="319" t="s">
        <v>337</v>
      </c>
      <c r="AYF3" s="319" t="s">
        <v>159</v>
      </c>
      <c r="AYG3" s="319" t="s">
        <v>353</v>
      </c>
      <c r="AYH3" s="319" t="s">
        <v>336</v>
      </c>
      <c r="AYI3" s="319" t="s">
        <v>334</v>
      </c>
      <c r="AYJ3" s="319" t="s">
        <v>354</v>
      </c>
      <c r="AYK3" s="319" t="s">
        <v>352</v>
      </c>
      <c r="AYL3" s="319" t="s">
        <v>337</v>
      </c>
      <c r="AYM3" s="319" t="s">
        <v>355</v>
      </c>
      <c r="AYN3" s="319"/>
      <c r="AYO3" s="319" t="s">
        <v>350</v>
      </c>
      <c r="AYP3" s="319" t="s">
        <v>156</v>
      </c>
      <c r="AYQ3" s="319" t="s">
        <v>108</v>
      </c>
      <c r="AYR3" s="319" t="s">
        <v>157</v>
      </c>
      <c r="AYS3" s="319" t="s">
        <v>334</v>
      </c>
      <c r="AYT3" s="319" t="s">
        <v>335</v>
      </c>
      <c r="AYU3" s="319" t="s">
        <v>342</v>
      </c>
      <c r="AYV3" s="319" t="s">
        <v>155</v>
      </c>
      <c r="AYW3" s="319" t="s">
        <v>351</v>
      </c>
      <c r="AYX3" s="319" t="s">
        <v>352</v>
      </c>
      <c r="AYY3" s="319" t="s">
        <v>337</v>
      </c>
      <c r="AYZ3" s="319" t="s">
        <v>159</v>
      </c>
      <c r="AZA3" s="319" t="s">
        <v>353</v>
      </c>
      <c r="AZB3" s="319" t="s">
        <v>336</v>
      </c>
      <c r="AZC3" s="319" t="s">
        <v>334</v>
      </c>
      <c r="AZD3" s="319" t="s">
        <v>351</v>
      </c>
      <c r="AZE3" s="319" t="s">
        <v>352</v>
      </c>
      <c r="AZF3" s="319" t="s">
        <v>337</v>
      </c>
      <c r="AZG3" s="319" t="s">
        <v>355</v>
      </c>
      <c r="AZH3" s="319"/>
      <c r="AZI3" s="319" t="s">
        <v>350</v>
      </c>
      <c r="AZJ3" s="319" t="s">
        <v>156</v>
      </c>
      <c r="AZK3" s="319" t="s">
        <v>108</v>
      </c>
      <c r="AZL3" s="319" t="s">
        <v>157</v>
      </c>
      <c r="AZM3" s="319" t="s">
        <v>334</v>
      </c>
      <c r="AZN3" s="319" t="s">
        <v>335</v>
      </c>
      <c r="AZO3" s="319" t="s">
        <v>342</v>
      </c>
      <c r="AZP3" s="319" t="s">
        <v>155</v>
      </c>
      <c r="AZQ3" s="319" t="s">
        <v>351</v>
      </c>
      <c r="AZR3" s="319" t="s">
        <v>352</v>
      </c>
      <c r="AZS3" s="319" t="s">
        <v>337</v>
      </c>
      <c r="AZT3" s="319" t="s">
        <v>159</v>
      </c>
      <c r="AZU3" s="319" t="s">
        <v>353</v>
      </c>
      <c r="AZV3" s="319" t="s">
        <v>336</v>
      </c>
      <c r="AZW3" s="319" t="s">
        <v>334</v>
      </c>
      <c r="AZX3" s="319" t="s">
        <v>351</v>
      </c>
      <c r="AZY3" s="319" t="s">
        <v>352</v>
      </c>
      <c r="AZZ3" s="319" t="s">
        <v>337</v>
      </c>
      <c r="BAA3" s="319" t="s">
        <v>355</v>
      </c>
      <c r="BAB3" s="319"/>
      <c r="BAC3" s="319"/>
      <c r="BAD3" s="319"/>
      <c r="BAE3" s="319">
        <v>1</v>
      </c>
      <c r="BAF3" s="319" t="str">
        <f t="shared" ref="BAF3:BAF38" si="130">AVH3</f>
        <v>Germany</v>
      </c>
      <c r="BAG3" s="322">
        <f ca="1">IF(OFFSET('Player Game Board'!P10,0,BAG1)&lt;&gt;"",OFFSET('Player Game Board'!P10,0,BAG1),0)</f>
        <v>3</v>
      </c>
      <c r="BAH3" s="322">
        <f ca="1">IF(OFFSET('Player Game Board'!Q10,0,BAG1)&lt;&gt;"",OFFSET('Player Game Board'!Q10,0,BAG1),0)</f>
        <v>1</v>
      </c>
      <c r="BAI3" s="319" t="str">
        <f t="shared" ref="BAI3:BAI38" si="131">AVK3</f>
        <v>Scotland</v>
      </c>
      <c r="BAJ3" s="319" t="str">
        <f ca="1">IF(AND(OFFSET('Player Game Board'!P10,0,BAG1)&lt;&gt;"",OFFSET('Player Game Board'!Q10,0,BAG1)&lt;&gt;""),IF(BAG3&gt;BAH3,"W",IF(BAG3=BAH3,"D","L")),"")</f>
        <v>W</v>
      </c>
      <c r="BAK3" s="319" t="str">
        <f t="shared" ref="BAK3:BAK18" ca="1" si="132">IF(BAJ3&lt;&gt;"",IF(BAJ3="W","L",IF(BAJ3="L","W","D")),"")</f>
        <v>L</v>
      </c>
      <c r="BAL3" s="319"/>
      <c r="BAM3" s="319"/>
      <c r="BAN3" s="319" t="str">
        <f t="shared" ref="BAN3" ca="1" si="133">VLOOKUP(3,AWG4:AWH7,2,FALSE)</f>
        <v>Hungary</v>
      </c>
      <c r="BAO3" s="320">
        <f t="shared" ref="BAO3" ca="1" si="134">VLOOKUP(BAN3,AWH4:AWM40,2,FALSE)</f>
        <v>1</v>
      </c>
      <c r="BAP3" s="320">
        <f t="shared" ref="BAP3" ca="1" si="135">VLOOKUP(BAN3,AWH4:AWM40,3,FALSE)</f>
        <v>0</v>
      </c>
      <c r="BAQ3" s="320">
        <f t="shared" ref="BAQ3" ca="1" si="136">VLOOKUP(BAN3,AWH4:AWM40,4,FALSE)</f>
        <v>2</v>
      </c>
      <c r="BAR3" s="320">
        <f t="shared" ref="BAR3" ca="1" si="137">VLOOKUP(BAN3,AWH4:AWM40,5,FALSE)</f>
        <v>6</v>
      </c>
      <c r="BAS3" s="320">
        <f t="shared" ref="BAS3" ca="1" si="138">VLOOKUP(BAN3,AWH4:AWM40,6,FALSE)</f>
        <v>7</v>
      </c>
      <c r="BAT3" s="320">
        <f t="shared" ref="BAT3:BAT8" ca="1" si="139">BAR3-BAS3+1000</f>
        <v>999</v>
      </c>
      <c r="BAU3" s="320">
        <f t="shared" ref="BAU3:BAU8" ca="1" si="140">BAO3*3+BAP3*1</f>
        <v>3</v>
      </c>
      <c r="BAV3" s="319">
        <f ca="1">VLOOKUP(BAN3,B4:J40,9,FALSE)</f>
        <v>48</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105</v>
      </c>
      <c r="BBC3" s="319">
        <v>1</v>
      </c>
      <c r="BBD3" s="319"/>
      <c r="BBE3" s="319"/>
      <c r="BBF3" s="319"/>
      <c r="BBG3" s="319" t="s">
        <v>156</v>
      </c>
      <c r="BBH3" s="319" t="s">
        <v>108</v>
      </c>
      <c r="BBI3" s="319" t="s">
        <v>157</v>
      </c>
      <c r="BBJ3" s="319" t="s">
        <v>334</v>
      </c>
      <c r="BBK3" s="319" t="s">
        <v>335</v>
      </c>
      <c r="BBL3" s="319" t="s">
        <v>342</v>
      </c>
      <c r="BBM3" s="319" t="s">
        <v>264</v>
      </c>
      <c r="BBN3" s="319" t="s">
        <v>343</v>
      </c>
      <c r="BBO3" s="319" t="s">
        <v>344</v>
      </c>
      <c r="BBP3" s="319"/>
      <c r="BBQ3" s="319" t="s">
        <v>345</v>
      </c>
      <c r="BBR3" s="319"/>
      <c r="BBS3" s="319"/>
      <c r="BBT3" s="319" t="s">
        <v>346</v>
      </c>
      <c r="BBU3" s="319" t="s">
        <v>347</v>
      </c>
      <c r="BBV3" s="319" t="s">
        <v>348</v>
      </c>
      <c r="BBW3" s="319" t="s">
        <v>349</v>
      </c>
      <c r="BBX3" s="319"/>
      <c r="BBY3" s="319" t="s">
        <v>350</v>
      </c>
      <c r="BBZ3" s="319" t="s">
        <v>156</v>
      </c>
      <c r="BCA3" s="319" t="s">
        <v>108</v>
      </c>
      <c r="BCB3" s="319" t="s">
        <v>157</v>
      </c>
      <c r="BCC3" s="319" t="s">
        <v>334</v>
      </c>
      <c r="BCD3" s="319" t="s">
        <v>335</v>
      </c>
      <c r="BCE3" s="319" t="s">
        <v>342</v>
      </c>
      <c r="BCF3" s="319" t="s">
        <v>155</v>
      </c>
      <c r="BCG3" s="319" t="s">
        <v>351</v>
      </c>
      <c r="BCH3" s="319" t="s">
        <v>352</v>
      </c>
      <c r="BCI3" s="319" t="s">
        <v>337</v>
      </c>
      <c r="BCJ3" s="319" t="s">
        <v>159</v>
      </c>
      <c r="BCK3" s="319" t="s">
        <v>353</v>
      </c>
      <c r="BCL3" s="319" t="s">
        <v>336</v>
      </c>
      <c r="BCM3" s="319" t="s">
        <v>334</v>
      </c>
      <c r="BCN3" s="319" t="s">
        <v>354</v>
      </c>
      <c r="BCO3" s="319" t="s">
        <v>352</v>
      </c>
      <c r="BCP3" s="319" t="s">
        <v>337</v>
      </c>
      <c r="BCQ3" s="319" t="s">
        <v>355</v>
      </c>
      <c r="BCR3" s="319"/>
      <c r="BCS3" s="319" t="s">
        <v>350</v>
      </c>
      <c r="BCT3" s="319" t="s">
        <v>156</v>
      </c>
      <c r="BCU3" s="319" t="s">
        <v>108</v>
      </c>
      <c r="BCV3" s="319" t="s">
        <v>157</v>
      </c>
      <c r="BCW3" s="319" t="s">
        <v>334</v>
      </c>
      <c r="BCX3" s="319" t="s">
        <v>335</v>
      </c>
      <c r="BCY3" s="319" t="s">
        <v>342</v>
      </c>
      <c r="BCZ3" s="319" t="s">
        <v>155</v>
      </c>
      <c r="BDA3" s="319" t="s">
        <v>351</v>
      </c>
      <c r="BDB3" s="319" t="s">
        <v>352</v>
      </c>
      <c r="BDC3" s="319" t="s">
        <v>337</v>
      </c>
      <c r="BDD3" s="319" t="s">
        <v>159</v>
      </c>
      <c r="BDE3" s="319" t="s">
        <v>353</v>
      </c>
      <c r="BDF3" s="319" t="s">
        <v>336</v>
      </c>
      <c r="BDG3" s="319" t="s">
        <v>334</v>
      </c>
      <c r="BDH3" s="319" t="s">
        <v>354</v>
      </c>
      <c r="BDI3" s="319" t="s">
        <v>352</v>
      </c>
      <c r="BDJ3" s="319" t="s">
        <v>337</v>
      </c>
      <c r="BDK3" s="319" t="s">
        <v>355</v>
      </c>
      <c r="BDL3" s="319"/>
      <c r="BDM3" s="319" t="s">
        <v>350</v>
      </c>
      <c r="BDN3" s="319" t="s">
        <v>156</v>
      </c>
      <c r="BDO3" s="319" t="s">
        <v>108</v>
      </c>
      <c r="BDP3" s="319" t="s">
        <v>157</v>
      </c>
      <c r="BDQ3" s="319" t="s">
        <v>334</v>
      </c>
      <c r="BDR3" s="319" t="s">
        <v>335</v>
      </c>
      <c r="BDS3" s="319" t="s">
        <v>342</v>
      </c>
      <c r="BDT3" s="319" t="s">
        <v>155</v>
      </c>
      <c r="BDU3" s="319" t="s">
        <v>351</v>
      </c>
      <c r="BDV3" s="319" t="s">
        <v>352</v>
      </c>
      <c r="BDW3" s="319" t="s">
        <v>337</v>
      </c>
      <c r="BDX3" s="319" t="s">
        <v>159</v>
      </c>
      <c r="BDY3" s="319" t="s">
        <v>353</v>
      </c>
      <c r="BDZ3" s="319" t="s">
        <v>336</v>
      </c>
      <c r="BEA3" s="319" t="s">
        <v>334</v>
      </c>
      <c r="BEB3" s="319" t="s">
        <v>351</v>
      </c>
      <c r="BEC3" s="319" t="s">
        <v>352</v>
      </c>
      <c r="BED3" s="319" t="s">
        <v>337</v>
      </c>
      <c r="BEE3" s="319" t="s">
        <v>355</v>
      </c>
      <c r="BEF3" s="319"/>
      <c r="BEG3" s="319" t="s">
        <v>350</v>
      </c>
      <c r="BEH3" s="319" t="s">
        <v>156</v>
      </c>
      <c r="BEI3" s="319" t="s">
        <v>108</v>
      </c>
      <c r="BEJ3" s="319" t="s">
        <v>157</v>
      </c>
      <c r="BEK3" s="319" t="s">
        <v>334</v>
      </c>
      <c r="BEL3" s="319" t="s">
        <v>335</v>
      </c>
      <c r="BEM3" s="319" t="s">
        <v>342</v>
      </c>
      <c r="BEN3" s="319" t="s">
        <v>155</v>
      </c>
      <c r="BEO3" s="319" t="s">
        <v>351</v>
      </c>
      <c r="BEP3" s="319" t="s">
        <v>352</v>
      </c>
      <c r="BEQ3" s="319" t="s">
        <v>337</v>
      </c>
      <c r="BER3" s="319" t="s">
        <v>159</v>
      </c>
      <c r="BES3" s="319" t="s">
        <v>353</v>
      </c>
      <c r="BET3" s="319" t="s">
        <v>336</v>
      </c>
      <c r="BEU3" s="319" t="s">
        <v>334</v>
      </c>
      <c r="BEV3" s="319" t="s">
        <v>351</v>
      </c>
      <c r="BEW3" s="319" t="s">
        <v>352</v>
      </c>
      <c r="BEX3" s="319" t="s">
        <v>337</v>
      </c>
      <c r="BEY3" s="319" t="s">
        <v>355</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105</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2</v>
      </c>
      <c r="DR4" s="319">
        <f>SUMPRODUCT((DQ3:DQ8=DQ4)*(DN3:DN8&gt;DN4))</f>
        <v>0</v>
      </c>
      <c r="DS4" s="319">
        <f>SUMPRODUCT((DQ3:DQ8=DQ4)*(DN3:DN8=DN4)*(DL3:DL8&gt;DL4))</f>
        <v>0</v>
      </c>
      <c r="DT4" s="319">
        <f>SUMPRODUCT((DQ3:DQ8=DQ4)*(DN3:DN8=DN4)*(DL3:DL8=DL4)*(DP3:DP8&gt;DP4))</f>
        <v>0</v>
      </c>
      <c r="DU4" s="319">
        <f t="shared" ref="DU4:DU8" si="163">SUM(DQ4:DT4)</f>
        <v>2</v>
      </c>
      <c r="DV4" s="319" t="s">
        <v>106</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8</v>
      </c>
      <c r="EE4" s="319">
        <f ca="1">SUMIF(IA3:IA60,DZ4,HY3:HY60)+SUMIF(HX3:HX60,DZ4,HZ3:HZ60)</f>
        <v>2</v>
      </c>
      <c r="EF4" s="319">
        <f ca="1">ED4-EE4+1000</f>
        <v>1006</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Switzerland</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1</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1</v>
      </c>
      <c r="II4" s="320">
        <f ca="1">VLOOKUP(IF4,DZ4:EE40,4,FALSE)</f>
        <v>1</v>
      </c>
      <c r="IJ4" s="320">
        <f ca="1">VLOOKUP(IF4,DZ4:EE40,5,FALSE)</f>
        <v>4</v>
      </c>
      <c r="IK4" s="320">
        <f ca="1">VLOOKUP(IF4,DZ4:EE40,6,FALSE)</f>
        <v>3</v>
      </c>
      <c r="IL4" s="320">
        <f t="shared" ref="IL4:IL8" ca="1" si="167">IJ4-IK4+1000</f>
        <v>1001</v>
      </c>
      <c r="IM4" s="320">
        <f t="shared" ref="IM4:IM8" ca="1" si="168">IG4*3+IH4*1</f>
        <v>4</v>
      </c>
      <c r="IN4" s="319">
        <f ca="1">VLOOKUP(IF4,B4:J40,9,FALSE)</f>
        <v>40</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106</v>
      </c>
      <c r="IU4" s="319">
        <v>2</v>
      </c>
      <c r="IV4" s="319"/>
      <c r="IW4" s="319">
        <f ca="1">VLOOKUP(IX4,MS4:MT8,2,FALSE)</f>
        <v>1</v>
      </c>
      <c r="IX4" s="319" t="str">
        <f>DZ4</f>
        <v>Germany</v>
      </c>
      <c r="IY4" s="319">
        <f ca="1">SUMPRODUCT((MV3:MV42=IX4)*(MZ3:MZ42="W"))+SUMPRODUCT((MY3:MY42=IX4)*(NA3:NA42="W"))</f>
        <v>3</v>
      </c>
      <c r="IZ4" s="319">
        <f ca="1">SUMPRODUCT((MV3:MV42=IX4)*(MZ3:MZ42="D"))+SUMPRODUCT((MY3:MY42=IX4)*(NA3:NA42="D"))</f>
        <v>0</v>
      </c>
      <c r="JA4" s="319">
        <f ca="1">SUMPRODUCT((MV3:MV42=IX4)*(MZ3:MZ42="L"))+SUMPRODUCT((MY3:MY42=IX4)*(NA3:NA42="L"))</f>
        <v>0</v>
      </c>
      <c r="JB4" s="319">
        <f ca="1">SUMIF(MV3:MV60,IX4,MW3:MW60)+SUMIF(MY3:MY60,IX4,MX3:MX60)</f>
        <v>8</v>
      </c>
      <c r="JC4" s="319">
        <f ca="1">SUMIF(MY3:MY60,IX4,MW3:MW60)+SUMIF(MV3:MV60,IX4,MX3:MX60)</f>
        <v>3</v>
      </c>
      <c r="JD4" s="319">
        <f ca="1">JB4-JC4+1000</f>
        <v>1005</v>
      </c>
      <c r="JE4" s="319">
        <f ca="1">IY4*3+IZ4*1</f>
        <v>9</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2</v>
      </c>
      <c r="MX4" s="322">
        <f ca="1">IF(OFFSET('Player Game Board'!Q11,0,MW1)&lt;&gt;"",OFFSET('Player Game Board'!Q11,0,MW1),0)</f>
        <v>0</v>
      </c>
      <c r="MY4" s="319" t="str">
        <f t="shared" ref="MY4:MY38" si="171">IA4</f>
        <v>Switzerland</v>
      </c>
      <c r="MZ4" s="319" t="str">
        <f ca="1">IF(AND(OFFSET('Player Game Board'!P11,0,MW1)&lt;&gt;"",OFFSET('Player Game Board'!Q11,0,MW1)&lt;&gt;""),IF(MW4&gt;MX4,"W",IF(MW4=MX4,"D","L")),"")</f>
        <v>W</v>
      </c>
      <c r="NA4" s="319" t="str">
        <f t="shared" ref="NA4:NA38" ca="1" si="172">IF(MZ4&lt;&gt;"",IF(MZ4="W","L",IF(MZ4="L","W","D")),"")</f>
        <v>L</v>
      </c>
      <c r="NB4" s="319"/>
      <c r="NC4" s="319"/>
      <c r="ND4" s="319" t="str">
        <f ca="1">VLOOKUP(3,IW11:IX14,2,FALSE)</f>
        <v>Italy</v>
      </c>
      <c r="NE4" s="320">
        <f ca="1">VLOOKUP(ND4,IX4:JC40,2,FALSE)</f>
        <v>1</v>
      </c>
      <c r="NF4" s="320">
        <f ca="1">VLOOKUP(ND4,IX4:JC40,3,FALSE)</f>
        <v>2</v>
      </c>
      <c r="NG4" s="320">
        <f ca="1">VLOOKUP(ND4,IX4:JC40,4,FALSE)</f>
        <v>0</v>
      </c>
      <c r="NH4" s="320">
        <f ca="1">VLOOKUP(ND4,IX4:JC40,5,FALSE)</f>
        <v>7</v>
      </c>
      <c r="NI4" s="320">
        <f ca="1">VLOOKUP(ND4,IX4:JC40,6,FALSE)</f>
        <v>5</v>
      </c>
      <c r="NJ4" s="320">
        <f t="shared" ref="NJ4:NJ8" ca="1" si="173">NH4-NI4+1000</f>
        <v>1002</v>
      </c>
      <c r="NK4" s="320">
        <f t="shared" ref="NK4:NK8" ca="1" si="174">NE4*3+NF4*1</f>
        <v>5</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106</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6</v>
      </c>
      <c r="OA4" s="319">
        <f t="shared" ref="OA4" ca="1" si="182">SUMIF(RW3:RW60,NV4,RU3:RU60)+SUMIF(RT3:RT60,NV4,RV3:RV60)</f>
        <v>3</v>
      </c>
      <c r="OB4" s="319">
        <f t="shared" ref="OB4:OB7" ca="1" si="183">NZ4-OA4+1000</f>
        <v>1003</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D</v>
      </c>
      <c r="RY4" s="319" t="str">
        <f t="shared" ca="1" si="20"/>
        <v>D</v>
      </c>
      <c r="RZ4" s="319"/>
      <c r="SA4" s="319"/>
      <c r="SB4" s="319" t="str">
        <f t="shared" ref="SB4" ca="1" si="213">VLOOKUP(3,NU11:NV14,2,FALSE)</f>
        <v>Croatia</v>
      </c>
      <c r="SC4" s="320">
        <f t="shared" ref="SC4" ca="1" si="214">VLOOKUP(SB4,NV4:OA40,2,FALSE)</f>
        <v>1</v>
      </c>
      <c r="SD4" s="320">
        <f t="shared" ref="SD4" ca="1" si="215">VLOOKUP(SB4,NV4:OA40,3,FALSE)</f>
        <v>1</v>
      </c>
      <c r="SE4" s="320">
        <f t="shared" ref="SE4" ca="1" si="216">VLOOKUP(SB4,NV4:OA40,4,FALSE)</f>
        <v>1</v>
      </c>
      <c r="SF4" s="320">
        <f t="shared" ref="SF4" ca="1" si="217">VLOOKUP(SB4,NV4:OA40,5,FALSE)</f>
        <v>6</v>
      </c>
      <c r="SG4" s="320">
        <f t="shared" ref="SG4" ca="1" si="218">VLOOKUP(SB4,NV4:OA40,6,FALSE)</f>
        <v>5</v>
      </c>
      <c r="SH4" s="320">
        <f t="shared" ca="1" si="27"/>
        <v>1001</v>
      </c>
      <c r="SI4" s="320">
        <f t="shared" ca="1" si="28"/>
        <v>4</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1</v>
      </c>
      <c r="SP4" s="319" t="s">
        <v>106</v>
      </c>
      <c r="SQ4" s="319">
        <v>2</v>
      </c>
      <c r="SR4" s="319"/>
      <c r="SS4" s="319">
        <f t="shared" ref="SS4" ca="1" si="223">VLOOKUP(ST4,WO4:WP8,2,FALSE)</f>
        <v>1</v>
      </c>
      <c r="ST4" s="319" t="str">
        <f t="shared" ref="ST4:ST7" si="224">NV4</f>
        <v>Germany</v>
      </c>
      <c r="SU4" s="319">
        <f t="shared" ref="SU4" ca="1" si="225">SUMPRODUCT((WR3:WR42=ST4)*(WV3:WV42="W"))+SUMPRODUCT((WU3:WU42=ST4)*(WW3:WW42="W"))</f>
        <v>3</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2</v>
      </c>
      <c r="SZ4" s="319">
        <f t="shared" ref="SZ4:SZ7" ca="1" si="230">SX4-SY4+1000</f>
        <v>1005</v>
      </c>
      <c r="TA4" s="319">
        <f t="shared" ref="TA4:TA7" ca="1" si="231">SU4*3+SV4*1</f>
        <v>9</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2</v>
      </c>
      <c r="WU4" s="319" t="str">
        <f t="shared" si="35"/>
        <v>Switzerland</v>
      </c>
      <c r="WV4" s="319" t="str">
        <f ca="1">IF(AND(OFFSET('Player Game Board'!P11,0,WS1)&lt;&gt;"",OFFSET('Player Game Board'!Q11,0,WS1)&lt;&gt;""),IF(WS4&gt;WT4,"W",IF(WS4=WT4,"D","L")),"")</f>
        <v>L</v>
      </c>
      <c r="WW4" s="319" t="str">
        <f t="shared" ca="1" si="36"/>
        <v>W</v>
      </c>
      <c r="WX4" s="319"/>
      <c r="WY4" s="319"/>
      <c r="WZ4" s="319" t="str">
        <f t="shared" ref="WZ4" ca="1" si="260">VLOOKUP(3,SS11:ST14,2,FALSE)</f>
        <v>Italy</v>
      </c>
      <c r="XA4" s="320">
        <f t="shared" ref="XA4" ca="1" si="261">VLOOKUP(WZ4,ST4:SY40,2,FALSE)</f>
        <v>1</v>
      </c>
      <c r="XB4" s="320">
        <f t="shared" ref="XB4" ca="1" si="262">VLOOKUP(WZ4,ST4:SY40,3,FALSE)</f>
        <v>1</v>
      </c>
      <c r="XC4" s="320">
        <f t="shared" ref="XC4" ca="1" si="263">VLOOKUP(WZ4,ST4:SY40,4,FALSE)</f>
        <v>1</v>
      </c>
      <c r="XD4" s="320">
        <f t="shared" ref="XD4" ca="1" si="264">VLOOKUP(WZ4,ST4:SY40,5,FALSE)</f>
        <v>4</v>
      </c>
      <c r="XE4" s="320">
        <f t="shared" ref="XE4" ca="1" si="265">VLOOKUP(WZ4,ST4:SY40,6,FALSE)</f>
        <v>3</v>
      </c>
      <c r="XF4" s="320">
        <f t="shared" ca="1" si="43"/>
        <v>1001</v>
      </c>
      <c r="XG4" s="320">
        <f t="shared" ca="1" si="44"/>
        <v>4</v>
      </c>
      <c r="XH4" s="319">
        <f ca="1">VLOOKUP(WZ4,B4:J40,9,FALSE)</f>
        <v>36</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1</v>
      </c>
      <c r="XN4" s="319" t="s">
        <v>106</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106</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5</v>
      </c>
      <c r="ACU4" s="319">
        <f t="shared" ref="ACU4" ca="1" si="323">SUMIF(AGQ3:AGQ60,ACP4,AGO3:AGO60)+SUMIF(AGN3:AGN60,ACP4,AGP3:AGP60)</f>
        <v>1</v>
      </c>
      <c r="ACV4" s="319">
        <f t="shared" ref="ACV4:ACV7" ca="1" si="324">ACT4-ACU4+1000</f>
        <v>1004</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1</v>
      </c>
      <c r="AGQ4" s="319" t="str">
        <f t="shared" si="67"/>
        <v>Switzerland</v>
      </c>
      <c r="AGR4" s="319" t="str">
        <f ca="1">IF(AND(OFFSET('Player Game Board'!P11,0,AGO1)&lt;&gt;"",OFFSET('Player Game Board'!Q11,0,AGO1)&lt;&gt;""),IF(AGO4&gt;AGP4,"W",IF(AGO4=AGP4,"D","L")),"")</f>
        <v>D</v>
      </c>
      <c r="AGS4" s="319" t="str">
        <f t="shared" ca="1" si="68"/>
        <v>D</v>
      </c>
      <c r="AGT4" s="319"/>
      <c r="AGU4" s="319"/>
      <c r="AGV4" s="319" t="str">
        <f t="shared" ref="AGV4" ca="1" si="354">VLOOKUP(3,ACO11:ACP14,2,FALSE)</f>
        <v>Italy</v>
      </c>
      <c r="AGW4" s="320">
        <f t="shared" ref="AGW4" ca="1" si="355">VLOOKUP(AGV4,ACP4:ACU40,2,FALSE)</f>
        <v>1</v>
      </c>
      <c r="AGX4" s="320">
        <f t="shared" ref="AGX4" ca="1" si="356">VLOOKUP(AGV4,ACP4:ACU40,3,FALSE)</f>
        <v>1</v>
      </c>
      <c r="AGY4" s="320">
        <f t="shared" ref="AGY4" ca="1" si="357">VLOOKUP(AGV4,ACP4:ACU40,4,FALSE)</f>
        <v>1</v>
      </c>
      <c r="AGZ4" s="320">
        <f t="shared" ref="AGZ4" ca="1" si="358">VLOOKUP(AGV4,ACP4:ACU40,5,FALSE)</f>
        <v>2</v>
      </c>
      <c r="AHA4" s="320">
        <f t="shared" ref="AHA4" ca="1" si="359">VLOOKUP(AGV4,ACP4:ACU40,6,FALSE)</f>
        <v>2</v>
      </c>
      <c r="AHB4" s="320">
        <f t="shared" ca="1" si="75"/>
        <v>1000</v>
      </c>
      <c r="AHC4" s="320">
        <f t="shared" ca="1" si="76"/>
        <v>4</v>
      </c>
      <c r="AHD4" s="319">
        <f ca="1">VLOOKUP(AGV4,B4:J40,9,FALSE)</f>
        <v>36</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1</v>
      </c>
      <c r="AHJ4" s="319" t="s">
        <v>106</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6</v>
      </c>
      <c r="AHS4" s="319">
        <f t="shared" ref="AHS4" ca="1" si="370">SUMIF(ALO3:ALO60,AHN4,ALM3:ALM60)+SUMIF(ALL3:ALL60,AHN4,ALN3:ALN60)</f>
        <v>2</v>
      </c>
      <c r="AHT4" s="319">
        <f t="shared" ref="AHT4:AHT7" ca="1" si="371">AHR4-AHS4+1000</f>
        <v>1004</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Switzerland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D</v>
      </c>
      <c r="ALQ4" s="319" t="str">
        <f t="shared" ca="1" si="84"/>
        <v>D</v>
      </c>
      <c r="ALR4" s="319"/>
      <c r="ALS4" s="319"/>
      <c r="ALT4" s="319" t="str">
        <f t="shared" ref="ALT4" ca="1" si="401">VLOOKUP(3,AHM11:AHN14,2,FALSE)</f>
        <v>Croatia</v>
      </c>
      <c r="ALU4" s="320">
        <f t="shared" ref="ALU4" ca="1" si="402">VLOOKUP(ALT4,AHN4:AHS40,2,FALSE)</f>
        <v>1</v>
      </c>
      <c r="ALV4" s="320">
        <f t="shared" ref="ALV4" ca="1" si="403">VLOOKUP(ALT4,AHN4:AHS40,3,FALSE)</f>
        <v>0</v>
      </c>
      <c r="ALW4" s="320">
        <f t="shared" ref="ALW4" ca="1" si="404">VLOOKUP(ALT4,AHN4:AHS40,4,FALSE)</f>
        <v>2</v>
      </c>
      <c r="ALX4" s="320">
        <f t="shared" ref="ALX4" ca="1" si="405">VLOOKUP(ALT4,AHN4:AHS40,5,FALSE)</f>
        <v>4</v>
      </c>
      <c r="ALY4" s="320">
        <f t="shared" ref="ALY4" ca="1" si="406">VLOOKUP(ALT4,AHN4:AHS40,6,FALSE)</f>
        <v>5</v>
      </c>
      <c r="ALZ4" s="320">
        <f t="shared" ca="1" si="91"/>
        <v>999</v>
      </c>
      <c r="AMA4" s="320">
        <f t="shared" ca="1" si="92"/>
        <v>3</v>
      </c>
      <c r="AMB4" s="319">
        <f ca="1">VLOOKUP(ALT4,B4:J40,9,FALSE)</f>
        <v>40</v>
      </c>
      <c r="AMC4" s="319">
        <f t="shared" ref="AMC4" ca="1" si="407">RANK(AMA4,AMA3:AMA8)</f>
        <v>1</v>
      </c>
      <c r="AMD4" s="319">
        <f t="shared" ref="AMD4" ca="1" si="408">SUMPRODUCT((AMC3:AMC8=AMC4)*(ALZ3:ALZ8&gt;ALZ4))</f>
        <v>1</v>
      </c>
      <c r="AME4" s="319">
        <f t="shared" ref="AME4" ca="1" si="409">SUMPRODUCT((AMC3:AMC8=AMC4)*(ALZ3:ALZ8=ALZ4)*(ALX3:ALX8&gt;ALX4))</f>
        <v>0</v>
      </c>
      <c r="AMF4" s="319">
        <f t="shared" ref="AMF4" ca="1" si="410">SUMPRODUCT((AMC3:AMC8=AMC4)*(ALZ3:ALZ8=ALZ4)*(ALX3:ALX8=ALX4)*(AMB3:AMB8&gt;AMB4))</f>
        <v>0</v>
      </c>
      <c r="AMG4" s="319">
        <f t="shared" ca="1" si="97"/>
        <v>2</v>
      </c>
      <c r="AMH4" s="319" t="s">
        <v>106</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2</v>
      </c>
      <c r="AMN4" s="319">
        <f t="shared" ref="AMN4" ca="1" si="414">SUMPRODUCT((AQJ3:AQJ42=AML4)*(AQN3:AQN42="D"))+SUMPRODUCT((AQM3:AQM42=AML4)*(AQO3:AQO42="D"))</f>
        <v>1</v>
      </c>
      <c r="AMO4" s="319">
        <f t="shared" ref="AMO4" ca="1" si="415">SUMPRODUCT((AQJ3:AQJ42=AML4)*(AQN3:AQN42="L"))+SUMPRODUCT((AQM3:AQM42=AML4)*(AQO3:AQO42="L"))</f>
        <v>0</v>
      </c>
      <c r="AMP4" s="319">
        <f t="shared" ref="AMP4" ca="1" si="416">SUMIF(AQJ3:AQJ60,AML4,AQK3:AQK60)+SUMIF(AQM3:AQM60,AML4,AQL3:AQL60)</f>
        <v>4</v>
      </c>
      <c r="AMQ4" s="319">
        <f t="shared" ref="AMQ4" ca="1" si="417">SUMIF(AQM3:AQM60,AML4,AQK3:AQK60)+SUMIF(AQJ3:AQJ60,AML4,AQL3:AQL60)</f>
        <v>1</v>
      </c>
      <c r="AMR4" s="319">
        <f t="shared" ref="AMR4:AMR7" ca="1" si="418">AMP4-AMQ4+1000</f>
        <v>1003</v>
      </c>
      <c r="AMS4" s="319">
        <f t="shared" ref="AMS4:AMS7" ca="1" si="419">AMM4*3+AMN4*1</f>
        <v>7</v>
      </c>
      <c r="AMT4" s="319">
        <f>AHV4</f>
        <v>54</v>
      </c>
      <c r="AMU4" s="319">
        <f t="shared" ref="AMU4" ca="1" si="420">IF(COUNTIF(AMS4:AMS8,4)&lt;&gt;4,RANK(AMS4,AMS4:AMS8),AMS44)</f>
        <v>1</v>
      </c>
      <c r="AMV4" s="319"/>
      <c r="AMW4" s="319">
        <f t="shared" ref="AMW4" ca="1" si="421">SUMPRODUCT((AMU4:AMU7=AMU4)*(AMT4:AMT7&lt;AMT4))+AMU4</f>
        <v>1</v>
      </c>
      <c r="AMX4" s="319" t="str">
        <f t="shared" ref="AMX4" ca="1" si="422">INDEX(AML4:AML8,MATCH(1,AMW4:AMW8,0),0)</f>
        <v>Germany</v>
      </c>
      <c r="AMY4" s="319">
        <f t="shared" ref="AMY4" ca="1" si="423">INDEX(AMU4:AMU8,MATCH(AMX4,AML4:AML8,0),0)</f>
        <v>1</v>
      </c>
      <c r="AMZ4" s="319" t="str">
        <f t="shared" ref="AMZ4" ca="1" si="424">IF(AMY5=1,AMX4,"")</f>
        <v/>
      </c>
      <c r="ANA4" s="319" t="str">
        <f t="shared" ref="ANA4" ca="1" si="425">IF(AMY6=2,AMX5,"")</f>
        <v/>
      </c>
      <c r="ANB4" s="319" t="str">
        <f t="shared" ref="ANB4" ca="1" si="426">IF(AMY7=3,AMX6,"")</f>
        <v/>
      </c>
      <c r="ANC4" s="319" t="str">
        <f t="shared" ref="ANC4" si="427">IF(AMY8=4,AMX7,"")</f>
        <v/>
      </c>
      <c r="AND4" s="319"/>
      <c r="ANE4" s="319" t="str">
        <f t="shared" ref="ANE4:ANE7" ca="1" si="428">IF(AMZ4&lt;&gt;"",AMZ4,"")</f>
        <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t="str">
        <f t="shared" ref="ANL4:ANL7" ca="1" si="435">IF(ANE4&lt;&gt;"",ANF4*3+ANG4*1,"")</f>
        <v/>
      </c>
      <c r="ANM4" s="319" t="str">
        <f t="shared" ref="ANM4" ca="1" si="436">IF(ANE4&lt;&gt;"",VLOOKUP(ANE4,AML4:AMR40,7,FALSE),"")</f>
        <v/>
      </c>
      <c r="ANN4" s="319" t="str">
        <f t="shared" ref="ANN4" ca="1" si="437">IF(ANE4&lt;&gt;"",VLOOKUP(ANE4,AML4:AMR40,5,FALSE),"")</f>
        <v/>
      </c>
      <c r="ANO4" s="319" t="str">
        <f t="shared" ref="ANO4" ca="1" si="438">IF(ANE4&lt;&gt;"",VLOOKUP(ANE4,AML4:AMT40,9,FALSE),"")</f>
        <v/>
      </c>
      <c r="ANP4" s="319" t="str">
        <f t="shared" ref="ANP4:ANP7" ca="1" si="439">ANL4</f>
        <v/>
      </c>
      <c r="ANQ4" s="319" t="str">
        <f t="shared" ref="ANQ4" ca="1" si="440">IF(ANE4&lt;&gt;"",RANK(ANP4,ANP4:ANP8),"")</f>
        <v/>
      </c>
      <c r="ANR4" s="319" t="str">
        <f t="shared" ref="ANR4" ca="1" si="441">IF(ANE4&lt;&gt;"",SUMPRODUCT((ANP4:ANP8=ANP4)*(ANK4:ANK8&gt;ANK4)),"")</f>
        <v/>
      </c>
      <c r="ANS4" s="319" t="str">
        <f t="shared" ref="ANS4" ca="1" si="442">IF(ANE4&lt;&gt;"",SUMPRODUCT((ANP4:ANP8=ANP4)*(ANK4:ANK8=ANK4)*(ANI4:ANI8&gt;ANI4)),"")</f>
        <v/>
      </c>
      <c r="ANT4" s="319" t="str">
        <f t="shared" ref="ANT4" ca="1" si="443">IF(ANE4&lt;&gt;"",SUMPRODUCT((ANP4:ANP8=ANP4)*(ANK4:ANK8=ANK4)*(ANI4:ANI8=ANI4)*(ANM4:ANM8&gt;ANM4)),"")</f>
        <v/>
      </c>
      <c r="ANU4" s="319" t="str">
        <f t="shared" ref="ANU4" ca="1" si="444">IF(ANE4&lt;&gt;"",SUMPRODUCT((ANP4:ANP8=ANP4)*(ANK4:ANK8=ANK4)*(ANI4:ANI8=ANI4)*(ANM4:ANM8=ANM4)*(ANN4:ANN8&gt;ANN4)),"")</f>
        <v/>
      </c>
      <c r="ANV4" s="319" t="str">
        <f t="shared" ref="ANV4" ca="1" si="445">IF(ANE4&lt;&gt;"",SUMPRODUCT((ANP4:ANP8=ANP4)*(ANK4:ANK8=ANK4)*(ANI4:ANI8=ANI4)*(ANM4:ANM8=ANM4)*(ANN4:ANN8=ANN4)*(ANO4:ANO8&gt;ANO4)),"")</f>
        <v/>
      </c>
      <c r="ANW4" s="319" t="str">
        <f ca="1">IF(ANE4&lt;&gt;"",IF(ANW44&lt;&gt;"",IF(AND43=3,ANW44,ANW44+AND43),SUM(ANQ4:ANV4)),"")</f>
        <v/>
      </c>
      <c r="ANX4" s="319" t="str">
        <f t="shared" ref="ANX4" ca="1" si="446">IF(ANE4&lt;&gt;"",INDEX(ANE4:ANE8,MATCH(1,ANW4:ANW8,0),0),"")</f>
        <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1</v>
      </c>
      <c r="AQL4" s="322">
        <f ca="1">IF(OFFSET('Player Game Board'!Q11,0,AQK1)&lt;&gt;"",OFFSET('Player Game Board'!Q11,0,AQK1),0)</f>
        <v>1</v>
      </c>
      <c r="AQM4" s="319" t="str">
        <f t="shared" si="99"/>
        <v>Switzerland</v>
      </c>
      <c r="AQN4" s="319" t="str">
        <f ca="1">IF(AND(OFFSET('Player Game Board'!P11,0,AQK1)&lt;&gt;"",OFFSET('Player Game Board'!Q11,0,AQK1)&lt;&gt;""),IF(AQK4&gt;AQL4,"W",IF(AQK4=AQL4,"D","L")),"")</f>
        <v>D</v>
      </c>
      <c r="AQO4" s="319" t="str">
        <f t="shared" ca="1" si="100"/>
        <v>D</v>
      </c>
      <c r="AQP4" s="319"/>
      <c r="AQQ4" s="319"/>
      <c r="AQR4" s="319" t="str">
        <f t="shared" ref="AQR4" ca="1" si="448">VLOOKUP(3,AMK11:AML14,2,FALSE)</f>
        <v>Croatia</v>
      </c>
      <c r="AQS4" s="320">
        <f t="shared" ref="AQS4" ca="1" si="449">VLOOKUP(AQR4,AML4:AMQ40,2,FALSE)</f>
        <v>1</v>
      </c>
      <c r="AQT4" s="320">
        <f t="shared" ref="AQT4" ca="1" si="450">VLOOKUP(AQR4,AML4:AMQ40,3,FALSE)</f>
        <v>1</v>
      </c>
      <c r="AQU4" s="320">
        <f t="shared" ref="AQU4" ca="1" si="451">VLOOKUP(AQR4,AML4:AMQ40,4,FALSE)</f>
        <v>1</v>
      </c>
      <c r="AQV4" s="320">
        <f t="shared" ref="AQV4" ca="1" si="452">VLOOKUP(AQR4,AML4:AMQ40,5,FALSE)</f>
        <v>3</v>
      </c>
      <c r="AQW4" s="320">
        <f t="shared" ref="AQW4" ca="1" si="453">VLOOKUP(AQR4,AML4:AMQ40,6,FALSE)</f>
        <v>3</v>
      </c>
      <c r="AQX4" s="320">
        <f t="shared" ca="1" si="107"/>
        <v>1000</v>
      </c>
      <c r="AQY4" s="320">
        <f t="shared" ca="1" si="108"/>
        <v>4</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0</v>
      </c>
      <c r="ARE4" s="319">
        <f t="shared" ca="1" si="113"/>
        <v>1</v>
      </c>
      <c r="ARF4" s="319" t="s">
        <v>106</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2</v>
      </c>
      <c r="ARL4" s="319">
        <f t="shared" ref="ARL4" ca="1" si="461">SUMPRODUCT((AVH3:AVH42=ARJ4)*(AVL3:AVL42="D"))+SUMPRODUCT((AVK3:AVK42=ARJ4)*(AVM3:AVM42="D"))</f>
        <v>1</v>
      </c>
      <c r="ARM4" s="319">
        <f t="shared" ref="ARM4" ca="1" si="462">SUMPRODUCT((AVH3:AVH42=ARJ4)*(AVL3:AVL42="L"))+SUMPRODUCT((AVK3:AVK42=ARJ4)*(AVM3:AVM42="L"))</f>
        <v>0</v>
      </c>
      <c r="ARN4" s="319">
        <f t="shared" ref="ARN4" ca="1" si="463">SUMIF(AVH3:AVH60,ARJ4,AVI3:AVI60)+SUMIF(AVK3:AVK60,ARJ4,AVJ3:AVJ60)</f>
        <v>5</v>
      </c>
      <c r="ARO4" s="319">
        <f t="shared" ref="ARO4" ca="1" si="464">SUMIF(AVK3:AVK60,ARJ4,AVI3:AVI60)+SUMIF(AVH3:AVH60,ARJ4,AVJ3:AVJ60)</f>
        <v>3</v>
      </c>
      <c r="ARP4" s="319">
        <f t="shared" ref="ARP4:ARP7" ca="1" si="465">ARN4-ARO4+1000</f>
        <v>1002</v>
      </c>
      <c r="ARQ4" s="319">
        <f t="shared" ref="ARQ4:ARQ7" ca="1" si="466">ARK4*3+ARL4*1</f>
        <v>7</v>
      </c>
      <c r="ARR4" s="319">
        <f>AMT4</f>
        <v>54</v>
      </c>
      <c r="ARS4" s="319">
        <f t="shared" ref="ARS4" ca="1" si="467">IF(COUNTIF(ARQ4:ARQ8,4)&lt;&gt;4,RANK(ARQ4,ARQ4:ARQ8),ARQ44)</f>
        <v>1</v>
      </c>
      <c r="ART4" s="319"/>
      <c r="ARU4" s="319">
        <f t="shared" ref="ARU4" ca="1" si="468">SUMPRODUCT((ARS4:ARS7=ARS4)*(ARR4:ARR7&lt;ARR4))+ARS4</f>
        <v>1</v>
      </c>
      <c r="ARV4" s="319" t="str">
        <f t="shared" ref="ARV4" ca="1" si="469">INDEX(ARJ4:ARJ8,MATCH(1,ARU4:ARU8,0),0)</f>
        <v>Germany</v>
      </c>
      <c r="ARW4" s="319">
        <f t="shared" ref="ARW4" ca="1" si="470">INDEX(ARS4:ARS8,MATCH(ARV4,ARJ4:ARJ8,0),0)</f>
        <v>1</v>
      </c>
      <c r="ARX4" s="319" t="str">
        <f t="shared" ref="ARX4" ca="1" si="471">IF(ARW5=1,ARV4,"")</f>
        <v/>
      </c>
      <c r="ARY4" s="319" t="str">
        <f t="shared" ref="ARY4" ca="1" si="472">IF(ARW6=2,ARV5,"")</f>
        <v/>
      </c>
      <c r="ARZ4" s="319" t="str">
        <f t="shared" ref="ARZ4" ca="1" si="473">IF(ARW7=3,ARV6,"")</f>
        <v/>
      </c>
      <c r="ASA4" s="319" t="str">
        <f t="shared" ref="ASA4" si="474">IF(ARW8=4,ARV7,"")</f>
        <v/>
      </c>
      <c r="ASB4" s="319"/>
      <c r="ASC4" s="319" t="str">
        <f t="shared" ref="ASC4:ASC7" ca="1" si="475">IF(ARX4&lt;&gt;"",ARX4,"")</f>
        <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t="str">
        <f t="shared" ref="ASJ4:ASJ7" ca="1" si="482">IF(ASC4&lt;&gt;"",ASD4*3+ASE4*1,"")</f>
        <v/>
      </c>
      <c r="ASK4" s="319" t="str">
        <f t="shared" ref="ASK4" ca="1" si="483">IF(ASC4&lt;&gt;"",VLOOKUP(ASC4,ARJ4:ARP40,7,FALSE),"")</f>
        <v/>
      </c>
      <c r="ASL4" s="319" t="str">
        <f t="shared" ref="ASL4" ca="1" si="484">IF(ASC4&lt;&gt;"",VLOOKUP(ASC4,ARJ4:ARP40,5,FALSE),"")</f>
        <v/>
      </c>
      <c r="ASM4" s="319" t="str">
        <f t="shared" ref="ASM4" ca="1" si="485">IF(ASC4&lt;&gt;"",VLOOKUP(ASC4,ARJ4:ARR40,9,FALSE),"")</f>
        <v/>
      </c>
      <c r="ASN4" s="319" t="str">
        <f t="shared" ref="ASN4:ASN7" ca="1" si="486">ASJ4</f>
        <v/>
      </c>
      <c r="ASO4" s="319" t="str">
        <f t="shared" ref="ASO4" ca="1" si="487">IF(ASC4&lt;&gt;"",RANK(ASN4,ASN4:ASN8),"")</f>
        <v/>
      </c>
      <c r="ASP4" s="319" t="str">
        <f t="shared" ref="ASP4" ca="1" si="488">IF(ASC4&lt;&gt;"",SUMPRODUCT((ASN4:ASN8=ASN4)*(ASI4:ASI8&gt;ASI4)),"")</f>
        <v/>
      </c>
      <c r="ASQ4" s="319" t="str">
        <f t="shared" ref="ASQ4" ca="1" si="489">IF(ASC4&lt;&gt;"",SUMPRODUCT((ASN4:ASN8=ASN4)*(ASI4:ASI8=ASI4)*(ASG4:ASG8&gt;ASG4)),"")</f>
        <v/>
      </c>
      <c r="ASR4" s="319" t="str">
        <f t="shared" ref="ASR4" ca="1" si="490">IF(ASC4&lt;&gt;"",SUMPRODUCT((ASN4:ASN8=ASN4)*(ASI4:ASI8=ASI4)*(ASG4:ASG8=ASG4)*(ASK4:ASK8&gt;ASK4)),"")</f>
        <v/>
      </c>
      <c r="ASS4" s="319" t="str">
        <f t="shared" ref="ASS4" ca="1" si="491">IF(ASC4&lt;&gt;"",SUMPRODUCT((ASN4:ASN8=ASN4)*(ASI4:ASI8=ASI4)*(ASG4:ASG8=ASG4)*(ASK4:ASK8=ASK4)*(ASL4:ASL8&gt;ASL4)),"")</f>
        <v/>
      </c>
      <c r="AST4" s="319" t="str">
        <f t="shared" ref="AST4" ca="1" si="492">IF(ASC4&lt;&gt;"",SUMPRODUCT((ASN4:ASN8=ASN4)*(ASI4:ASI8=ASI4)*(ASG4:ASG8=ASG4)*(ASK4:ASK8=ASK4)*(ASL4:ASL8=ASL4)*(ASM4:ASM8&gt;ASM4)),"")</f>
        <v/>
      </c>
      <c r="ASU4" s="319" t="str">
        <f ca="1">IF(ASC4&lt;&gt;"",IF(ASU44&lt;&gt;"",IF(ASB43=3,ASU44,ASU44+ASB43),SUM(ASO4:AST4)),"")</f>
        <v/>
      </c>
      <c r="ASV4" s="319" t="str">
        <f t="shared" ref="ASV4" ca="1" si="493">IF(ASC4&lt;&gt;"",INDEX(ASC4:ASC8,MATCH(1,ASU4:ASU8,0),0),"")</f>
        <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2</v>
      </c>
      <c r="AVK4" s="319" t="str">
        <f t="shared" si="115"/>
        <v>Switzerland</v>
      </c>
      <c r="AVL4" s="319" t="str">
        <f ca="1">IF(AND(OFFSET('Player Game Board'!P11,0,AVI1)&lt;&gt;"",OFFSET('Player Game Board'!Q11,0,AVI1)&lt;&gt;""),IF(AVI4&gt;AVJ4,"W",IF(AVI4=AVJ4,"D","L")),"")</f>
        <v>L</v>
      </c>
      <c r="AVM4" s="319" t="str">
        <f t="shared" ca="1" si="116"/>
        <v>W</v>
      </c>
      <c r="AVN4" s="319"/>
      <c r="AVO4" s="319"/>
      <c r="AVP4" s="319" t="str">
        <f t="shared" ref="AVP4" ca="1" si="495">VLOOKUP(3,ARI11:ARJ14,2,FALSE)</f>
        <v>Croatia</v>
      </c>
      <c r="AVQ4" s="320">
        <f t="shared" ref="AVQ4" ca="1" si="496">VLOOKUP(AVP4,ARJ4:ARO40,2,FALSE)</f>
        <v>1</v>
      </c>
      <c r="AVR4" s="320">
        <f t="shared" ref="AVR4" ca="1" si="497">VLOOKUP(AVP4,ARJ4:ARO40,3,FALSE)</f>
        <v>1</v>
      </c>
      <c r="AVS4" s="320">
        <f t="shared" ref="AVS4" ca="1" si="498">VLOOKUP(AVP4,ARJ4:ARO40,4,FALSE)</f>
        <v>1</v>
      </c>
      <c r="AVT4" s="320">
        <f t="shared" ref="AVT4" ca="1" si="499">VLOOKUP(AVP4,ARJ4:ARO40,5,FALSE)</f>
        <v>7</v>
      </c>
      <c r="AVU4" s="320">
        <f t="shared" ref="AVU4" ca="1" si="500">VLOOKUP(AVP4,ARJ4:ARO40,6,FALSE)</f>
        <v>4</v>
      </c>
      <c r="AVV4" s="320">
        <f t="shared" ca="1" si="123"/>
        <v>1003</v>
      </c>
      <c r="AVW4" s="320">
        <f t="shared" ca="1" si="124"/>
        <v>4</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0</v>
      </c>
      <c r="AWC4" s="319">
        <f t="shared" ca="1" si="129"/>
        <v>1</v>
      </c>
      <c r="AWD4" s="319" t="s">
        <v>106</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3</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10</v>
      </c>
      <c r="AWM4" s="319">
        <f t="shared" ref="AWM4" ca="1" si="511">SUMIF(BAI3:BAI60,AWH4,BAG3:BAG60)+SUMIF(BAF3:BAF60,AWH4,BAH3:BAH60)</f>
        <v>4</v>
      </c>
      <c r="AWN4" s="319">
        <f t="shared" ref="AWN4:AWN7" ca="1" si="512">AWL4-AWM4+1000</f>
        <v>1006</v>
      </c>
      <c r="AWO4" s="319">
        <f t="shared" ref="AWO4:AWO7" ca="1" si="513">AWI4*3+AWJ4*1</f>
        <v>9</v>
      </c>
      <c r="AWP4" s="319">
        <f>ARR4</f>
        <v>54</v>
      </c>
      <c r="AWQ4" s="319">
        <f t="shared" ref="AWQ4" ca="1" si="514">IF(COUNTIF(AWO4:AWO8,4)&lt;&gt;4,RANK(AWO4,AWO4:AWO8),AWO44)</f>
        <v>1</v>
      </c>
      <c r="AWR4" s="319"/>
      <c r="AWS4" s="319">
        <f t="shared" ref="AWS4" ca="1" si="515">SUMPRODUCT((AWQ4:AWQ7=AWQ4)*(AWP4:AWP7&lt;AWP4))+AWQ4</f>
        <v>1</v>
      </c>
      <c r="AWT4" s="319" t="str">
        <f t="shared" ref="AWT4" ca="1" si="516">INDEX(AWH4:AWH8,MATCH(1,AWS4:AWS8,0),0)</f>
        <v>Germany</v>
      </c>
      <c r="AWU4" s="319">
        <f t="shared" ref="AWU4" ca="1" si="517">INDEX(AWQ4:AWQ8,MATCH(AWT4,AWH4:AWH8,0),0)</f>
        <v>1</v>
      </c>
      <c r="AWV4" s="319" t="str">
        <f t="shared" ref="AWV4" ca="1" si="518">IF(AWU5=1,AWT4,"")</f>
        <v/>
      </c>
      <c r="AWW4" s="319" t="str">
        <f t="shared" ref="AWW4" ca="1" si="519">IF(AWU6=2,AWT5,"")</f>
        <v/>
      </c>
      <c r="AWX4" s="319" t="str">
        <f t="shared" ref="AWX4" ca="1" si="520">IF(AWU7=3,AWT6,"")</f>
        <v/>
      </c>
      <c r="AWY4" s="319" t="str">
        <f t="shared" ref="AWY4" si="521">IF(AWU8=4,AWT7,"")</f>
        <v/>
      </c>
      <c r="AWZ4" s="319"/>
      <c r="AXA4" s="319" t="str">
        <f t="shared" ref="AXA4:AXA7" ca="1" si="522">IF(AWV4&lt;&gt;"",AWV4,"")</f>
        <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t="str">
        <f t="shared" ref="AXH4:AXH7" ca="1" si="529">IF(AXA4&lt;&gt;"",AXB4*3+AXC4*1,"")</f>
        <v/>
      </c>
      <c r="AXI4" s="319" t="str">
        <f t="shared" ref="AXI4" ca="1" si="530">IF(AXA4&lt;&gt;"",VLOOKUP(AXA4,AWH4:AWN40,7,FALSE),"")</f>
        <v/>
      </c>
      <c r="AXJ4" s="319" t="str">
        <f t="shared" ref="AXJ4" ca="1" si="531">IF(AXA4&lt;&gt;"",VLOOKUP(AXA4,AWH4:AWN40,5,FALSE),"")</f>
        <v/>
      </c>
      <c r="AXK4" s="319" t="str">
        <f t="shared" ref="AXK4" ca="1" si="532">IF(AXA4&lt;&gt;"",VLOOKUP(AXA4,AWH4:AWP40,9,FALSE),"")</f>
        <v/>
      </c>
      <c r="AXL4" s="319" t="str">
        <f t="shared" ref="AXL4:AXL7" ca="1" si="533">AXH4</f>
        <v/>
      </c>
      <c r="AXM4" s="319" t="str">
        <f t="shared" ref="AXM4" ca="1" si="534">IF(AXA4&lt;&gt;"",RANK(AXL4,AXL4:AXL8),"")</f>
        <v/>
      </c>
      <c r="AXN4" s="319" t="str">
        <f t="shared" ref="AXN4" ca="1" si="535">IF(AXA4&lt;&gt;"",SUMPRODUCT((AXL4:AXL8=AXL4)*(AXG4:AXG8&gt;AXG4)),"")</f>
        <v/>
      </c>
      <c r="AXO4" s="319" t="str">
        <f t="shared" ref="AXO4" ca="1" si="536">IF(AXA4&lt;&gt;"",SUMPRODUCT((AXL4:AXL8=AXL4)*(AXG4:AXG8=AXG4)*(AXE4:AXE8&gt;AXE4)),"")</f>
        <v/>
      </c>
      <c r="AXP4" s="319" t="str">
        <f t="shared" ref="AXP4" ca="1" si="537">IF(AXA4&lt;&gt;"",SUMPRODUCT((AXL4:AXL8=AXL4)*(AXG4:AXG8=AXG4)*(AXE4:AXE8=AXE4)*(AXI4:AXI8&gt;AXI4)),"")</f>
        <v/>
      </c>
      <c r="AXQ4" s="319" t="str">
        <f t="shared" ref="AXQ4" ca="1" si="538">IF(AXA4&lt;&gt;"",SUMPRODUCT((AXL4:AXL8=AXL4)*(AXG4:AXG8=AXG4)*(AXE4:AXE8=AXE4)*(AXI4:AXI8=AXI4)*(AXJ4:AXJ8&gt;AXJ4)),"")</f>
        <v/>
      </c>
      <c r="AXR4" s="319" t="str">
        <f t="shared" ref="AXR4" ca="1" si="539">IF(AXA4&lt;&gt;"",SUMPRODUCT((AXL4:AXL8=AXL4)*(AXG4:AXG8=AXG4)*(AXE4:AXE8=AXE4)*(AXI4:AXI8=AXI4)*(AXJ4:AXJ8=AXJ4)*(AXK4:AXK8&gt;AXK4)),"")</f>
        <v/>
      </c>
      <c r="AXS4" s="319" t="str">
        <f ca="1">IF(AXA4&lt;&gt;"",IF(AXS44&lt;&gt;"",IF(AWZ43=3,AXS44,AXS44+AWZ43),SUM(AXM4:AXR4)),"")</f>
        <v/>
      </c>
      <c r="AXT4" s="319" t="str">
        <f t="shared" ref="AXT4" ca="1" si="540">IF(AXA4&lt;&gt;"",INDEX(AXA4:AXA8,MATCH(1,AXS4:AXS8,0),0),"")</f>
        <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2</v>
      </c>
      <c r="BAH4" s="322">
        <f ca="1">IF(OFFSET('Player Game Board'!Q11,0,BAG1)&lt;&gt;"",OFFSET('Player Game Board'!Q11,0,BAG1),0)</f>
        <v>1</v>
      </c>
      <c r="BAI4" s="319" t="str">
        <f t="shared" si="131"/>
        <v>Switzerland</v>
      </c>
      <c r="BAJ4" s="319" t="str">
        <f ca="1">IF(AND(OFFSET('Player Game Board'!P11,0,BAG1)&lt;&gt;"",OFFSET('Player Game Board'!Q11,0,BAG1)&lt;&gt;""),IF(BAG4&gt;BAH4,"W",IF(BAG4=BAH4,"D","L")),"")</f>
        <v>W</v>
      </c>
      <c r="BAK4" s="319" t="str">
        <f t="shared" ca="1" si="132"/>
        <v>L</v>
      </c>
      <c r="BAL4" s="319"/>
      <c r="BAM4" s="319"/>
      <c r="BAN4" s="319" t="str">
        <f t="shared" ref="BAN4" ca="1" si="542">VLOOKUP(3,AWG11:AWH14,2,FALSE)</f>
        <v>Croatia</v>
      </c>
      <c r="BAO4" s="320">
        <f t="shared" ref="BAO4" ca="1" si="543">VLOOKUP(BAN4,AWH4:AWM40,2,FALSE)</f>
        <v>1</v>
      </c>
      <c r="BAP4" s="320">
        <f t="shared" ref="BAP4" ca="1" si="544">VLOOKUP(BAN4,AWH4:AWM40,3,FALSE)</f>
        <v>0</v>
      </c>
      <c r="BAQ4" s="320">
        <f t="shared" ref="BAQ4" ca="1" si="545">VLOOKUP(BAN4,AWH4:AWM40,4,FALSE)</f>
        <v>2</v>
      </c>
      <c r="BAR4" s="320">
        <f t="shared" ref="BAR4" ca="1" si="546">VLOOKUP(BAN4,AWH4:AWM40,5,FALSE)</f>
        <v>6</v>
      </c>
      <c r="BAS4" s="320">
        <f t="shared" ref="BAS4" ca="1" si="547">VLOOKUP(BAN4,AWH4:AWM40,6,FALSE)</f>
        <v>7</v>
      </c>
      <c r="BAT4" s="320">
        <f t="shared" ca="1" si="139"/>
        <v>999</v>
      </c>
      <c r="BAU4" s="320">
        <f t="shared" ca="1" si="140"/>
        <v>3</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1</v>
      </c>
      <c r="BBA4" s="319">
        <f t="shared" ca="1" si="145"/>
        <v>2</v>
      </c>
      <c r="BBB4" s="319" t="s">
        <v>106</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106</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1</v>
      </c>
      <c r="DR5" s="319">
        <f>SUMPRODUCT((DQ3:DQ8=DQ5)*(DN3:DN8&gt;DN5))</f>
        <v>0</v>
      </c>
      <c r="DS5" s="319">
        <f>SUMPRODUCT((DQ3:DQ8=DQ5)*(DN3:DN8=DN5)*(DL3:DL8&gt;DL5))</f>
        <v>0</v>
      </c>
      <c r="DT5" s="319">
        <f>SUMPRODUCT((DQ3:DQ8=DQ5)*(DN3:DN8=DN5)*(DL3:DL8=DL5)*(DP3:DP8&gt;DP5))</f>
        <v>0</v>
      </c>
      <c r="DU5" s="319">
        <f t="shared" si="163"/>
        <v>1</v>
      </c>
      <c r="DV5" s="319" t="s">
        <v>107</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3</v>
      </c>
      <c r="EE5" s="319">
        <f ca="1">SUMIF(IA3:IA60,DZ5,HY3:HY60)+SUMIF(HX3:HX60,DZ5,HZ3:HZ60)</f>
        <v>4</v>
      </c>
      <c r="EF5" s="319">
        <f t="shared" ref="EF5:EF7" ca="1" si="607">ED5-EE5+1000</f>
        <v>999</v>
      </c>
      <c r="EG5" s="319">
        <f t="shared" ref="EG5:EG7" ca="1" si="608">EA5*3+EB5*1</f>
        <v>4</v>
      </c>
      <c r="EH5" s="319">
        <f t="shared" ref="EH5:EH40" si="609">J5</f>
        <v>43</v>
      </c>
      <c r="EI5" s="319">
        <f ca="1">IF(COUNTIF(EG4:EG8,4)&lt;&gt;4,RANK(EG5,EG4:EG8),EG45)</f>
        <v>2</v>
      </c>
      <c r="EJ5" s="319"/>
      <c r="EK5" s="319">
        <f ca="1">SUMPRODUCT((EI4:EI7=EI5)*(EH4:EH7&lt;EH5))+EI5</f>
        <v>3</v>
      </c>
      <c r="EL5" s="319" t="str">
        <f ca="1">INDEX(DZ4:DZ8,MATCH(2,EK4:EK8,0),0)</f>
        <v>Switzerland</v>
      </c>
      <c r="EM5" s="319">
        <f ca="1">INDEX(EI4:EI8,MATCH(EL5,DZ4:DZ8,0),0)</f>
        <v>2</v>
      </c>
      <c r="EN5" s="319" t="str">
        <f ca="1">IF(EN4&lt;&gt;"",EL5,"")</f>
        <v/>
      </c>
      <c r="EO5" s="319" t="str">
        <f ca="1">IF(EO4&lt;&gt;"",EL6,"")</f>
        <v>Scotland</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Switzerland</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1</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19">
        <f ca="1">FQ5-FR5+1000</f>
        <v>1000</v>
      </c>
      <c r="FT5" s="319">
        <f t="shared" ref="FT5:FT7" ca="1" si="613">IF(FM5&lt;&gt;"",FN5*3+FO5*1,"")</f>
        <v>1</v>
      </c>
      <c r="FU5" s="319">
        <f ca="1">IF(FM5&lt;&gt;"",VLOOKUP(FM5,DZ4:EF40,7,FALSE),"")</f>
        <v>999</v>
      </c>
      <c r="FV5" s="319">
        <f ca="1">IF(FM5&lt;&gt;"",VLOOKUP(FM5,DZ4:EF40,5,FALSE),"")</f>
        <v>4</v>
      </c>
      <c r="FW5" s="319">
        <f ca="1">IF(FM5&lt;&gt;"",VLOOKUP(FM5,DZ4:EH40,9,FALSE),"")</f>
        <v>34</v>
      </c>
      <c r="FX5" s="319">
        <f t="shared" ref="FX5:FX7" ca="1" si="614">FT5</f>
        <v>1</v>
      </c>
      <c r="FY5" s="319">
        <f ca="1">IF(FM5&lt;&gt;"",RANK(FX5,FX4:FX8),"")</f>
        <v>1</v>
      </c>
      <c r="FZ5" s="319">
        <f ca="1">IF(FM5&lt;&gt;"",SUMPRODUCT((FX4:FX8=FX5)*(FS4:FS8&gt;FS5)),"")</f>
        <v>0</v>
      </c>
      <c r="GA5" s="319">
        <f ca="1">IF(FM5&lt;&gt;"",SUMPRODUCT((FX4:FX8=FX5)*(FS4:FS8=FS5)*(FQ4:FQ8&gt;FQ5)),"")</f>
        <v>0</v>
      </c>
      <c r="GB5" s="319">
        <f ca="1">IF(FM5&lt;&gt;"",SUMPRODUCT((FX4:FX8=FX5)*(FS4:FS8=FS5)*(FQ4:FQ8=FQ5)*(FU4:FU8&gt;FU5)),"")</f>
        <v>0</v>
      </c>
      <c r="GC5" s="319">
        <f ca="1">IF(FM5&lt;&gt;"",SUMPRODUCT((FX4:FX8=FX5)*(FS4:FS8=FS5)*(FQ4:FQ8=FQ5)*(FU4:FU8=FU5)*(FV4:FV8&gt;FV5)),"")</f>
        <v>0</v>
      </c>
      <c r="GD5" s="319">
        <f ca="1">IF(FM5&lt;&gt;"",SUMPRODUCT((FX4:FX8=FX5)*(FS4:FS8=FS5)*(FQ4:FQ8=FQ5)*(FU4:FU8=FU5)*(FV4:FV8=FV5)*(FW4:FW8&gt;FW5)),"")</f>
        <v>0</v>
      </c>
      <c r="GE5" s="319">
        <f ca="1">IF(FM5&lt;&gt;"",IF(GE45&lt;&gt;"",IF(FL43=3,GE45,GE45+FL43),SUM(FY5:GD5)+1),"")</f>
        <v>2</v>
      </c>
      <c r="GF5" s="319" t="str">
        <f ca="1">IF(FM5&lt;&gt;"",INDEX(FM5:FM8,MATCH(2,GE5:GE8,0),0),"")</f>
        <v>Switzerland</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2</v>
      </c>
      <c r="HZ5" s="322">
        <f ca="1">IF(OFFSET('Player Game Board'!Q12,0,HY1)&lt;&gt;"",OFFSET('Player Game Board'!Q12,0,HY1),0)</f>
        <v>1</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Serbia</v>
      </c>
      <c r="IG5" s="320">
        <f ca="1">VLOOKUP(IF5,DZ4:EE40,2,FALSE)</f>
        <v>1</v>
      </c>
      <c r="IH5" s="320">
        <f ca="1">VLOOKUP(IF5,DZ4:EE40,3,FALSE)</f>
        <v>0</v>
      </c>
      <c r="II5" s="320">
        <f ca="1">VLOOKUP(IF5,DZ4:EE40,4,FALSE)</f>
        <v>2</v>
      </c>
      <c r="IJ5" s="320">
        <f ca="1">VLOOKUP(IF5,DZ4:EE40,5,FALSE)</f>
        <v>3</v>
      </c>
      <c r="IK5" s="320">
        <f ca="1">VLOOKUP(IF5,DZ4:EE40,6,FALSE)</f>
        <v>4</v>
      </c>
      <c r="IL5" s="320">
        <f t="shared" ca="1" si="167"/>
        <v>999</v>
      </c>
      <c r="IM5" s="320">
        <f t="shared" ca="1" si="168"/>
        <v>3</v>
      </c>
      <c r="IN5" s="319">
        <f ca="1">VLOOKUP(IF5,B4:J40,9,FALSE)</f>
        <v>35</v>
      </c>
      <c r="IO5" s="319">
        <f ca="1">RANK(IM5,IM3:IM8)</f>
        <v>4</v>
      </c>
      <c r="IP5" s="319">
        <f ca="1">SUMPRODUCT((IO3:IO8=IO5)*(IL3:IL8&gt;IL5))</f>
        <v>0</v>
      </c>
      <c r="IQ5" s="319">
        <f ca="1">SUMPRODUCT((IO3:IO8=IO5)*(IL3:IL8=IL5)*(IJ3:IJ8&gt;IJ5))</f>
        <v>0</v>
      </c>
      <c r="IR5" s="319">
        <f ca="1">SUMPRODUCT((IO3:IO8=IO5)*(IL3:IL8=IL5)*(IJ3:IJ8=IJ5)*(IN3:IN8&gt;IN5))</f>
        <v>0</v>
      </c>
      <c r="IS5" s="319">
        <f t="shared" ca="1" si="169"/>
        <v>4</v>
      </c>
      <c r="IT5" s="319" t="s">
        <v>107</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4</v>
      </c>
      <c r="JC5" s="319">
        <f ca="1">SUMIF(MY3:MY60,IX5,MW3:MW60)+SUMIF(MV3:MV60,IX5,MX3:MX60)</f>
        <v>4</v>
      </c>
      <c r="JD5" s="319">
        <f t="shared" ref="JD5:JD7" ca="1" si="616">JB5-JC5+1000</f>
        <v>1000</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2</v>
      </c>
      <c r="NG5" s="320">
        <f ca="1">VLOOKUP(ND5,IX4:JC40,4,FALSE)</f>
        <v>1</v>
      </c>
      <c r="NH5" s="320">
        <f ca="1">VLOOKUP(ND5,IX4:JC40,5,FALSE)</f>
        <v>3</v>
      </c>
      <c r="NI5" s="320">
        <f ca="1">VLOOKUP(ND5,IX4:JC40,6,FALSE)</f>
        <v>5</v>
      </c>
      <c r="NJ5" s="320">
        <f t="shared" ca="1" si="173"/>
        <v>998</v>
      </c>
      <c r="NK5" s="320">
        <f t="shared" ca="1" si="174"/>
        <v>2</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107</v>
      </c>
      <c r="NS5" s="319">
        <v>3</v>
      </c>
      <c r="NT5" s="319"/>
      <c r="NU5" s="319">
        <f t="shared" ref="NU5" ca="1" si="624">VLOOKUP(NV5,RQ4:RR8,2,FALSE)</f>
        <v>2</v>
      </c>
      <c r="NV5" s="319" t="str">
        <f t="shared" si="177"/>
        <v>Scotland</v>
      </c>
      <c r="NW5" s="319">
        <f t="shared" ref="NW5" ca="1" si="625">SUMPRODUCT((RT3:RT42=NV5)*(RX3:RX42="W"))+SUMPRODUCT((RW3:RW42=NV5)*(RY3:RY42="W"))</f>
        <v>2</v>
      </c>
      <c r="NX5" s="319">
        <f t="shared" ref="NX5" ca="1" si="626">SUMPRODUCT((RT3:RT42=NV5)*(RX3:RX42="D"))+SUMPRODUCT((RW3:RW42=NV5)*(RY3:RY42="D"))</f>
        <v>0</v>
      </c>
      <c r="NY5" s="319">
        <f t="shared" ref="NY5" ca="1" si="627">SUMPRODUCT((RT3:RT42=NV5)*(RX3:RX42="L"))+SUMPRODUCT((RW3:RW42=NV5)*(RY3:RY42="L"))</f>
        <v>1</v>
      </c>
      <c r="NZ5" s="319">
        <f t="shared" ref="NZ5" ca="1" si="628">SUMIF(RT3:RT60,NV5,RU3:RU60)+SUMIF(RW3:RW60,NV5,RV3:RV60)</f>
        <v>4</v>
      </c>
      <c r="OA5" s="319">
        <f t="shared" ref="OA5" ca="1" si="629">SUMIF(RW3:RW60,NV5,RU3:RU60)+SUMIF(RT3:RT60,NV5,RV3:RV60)</f>
        <v>3</v>
      </c>
      <c r="OB5" s="319">
        <f t="shared" ca="1" si="183"/>
        <v>1001</v>
      </c>
      <c r="OC5" s="319">
        <f t="shared" ca="1" si="184"/>
        <v>6</v>
      </c>
      <c r="OD5" s="319">
        <f t="shared" ref="OD5:OD40" si="630">JF5</f>
        <v>43</v>
      </c>
      <c r="OE5" s="319">
        <f t="shared" ref="OE5" ca="1" si="631">IF(COUNTIF(OC4:OC8,4)&lt;&gt;4,RANK(OC5,OC4:OC8),OC45)</f>
        <v>2</v>
      </c>
      <c r="OF5" s="319"/>
      <c r="OG5" s="319">
        <f t="shared" ref="OG5" ca="1" si="632">SUMPRODUCT((OE4:OE7=OE5)*(OD4:OD7&lt;OD5))+OE5</f>
        <v>2</v>
      </c>
      <c r="OH5" s="319" t="str">
        <f t="shared" ref="OH5" ca="1" si="633">INDEX(NV4:NV8,MATCH(2,OG4:OG8,0),0)</f>
        <v>Scotland</v>
      </c>
      <c r="OI5" s="319">
        <f t="shared" ref="OI5" ca="1" si="634">INDEX(OE4:OE8,MATCH(OH5,NV4:NV8,0),0)</f>
        <v>2</v>
      </c>
      <c r="OJ5" s="319" t="str">
        <f t="shared" ref="OJ5" ca="1" si="635">IF(OJ4&lt;&gt;"",OH5,"")</f>
        <v/>
      </c>
      <c r="OK5" s="319" t="str">
        <f t="shared" ref="OK5" ca="1" si="636">IF(OK4&lt;&gt;"",OH6,"")</f>
        <v/>
      </c>
      <c r="OL5" s="319" t="str">
        <f t="shared" ref="OL5" ca="1" si="637">IF(OL4&lt;&gt;"",OH7,"")</f>
        <v>Hungary</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Scotland</v>
      </c>
      <c r="RR5" s="319">
        <v>2</v>
      </c>
      <c r="RS5" s="319">
        <v>3</v>
      </c>
      <c r="RT5" s="319" t="str">
        <f t="shared" si="18"/>
        <v>Spain</v>
      </c>
      <c r="RU5" s="322">
        <f ca="1">IF(OFFSET('Player Game Board'!P12,0,RU1)&lt;&gt;"",OFFSET('Player Game Board'!P12,0,RU1),0)</f>
        <v>3</v>
      </c>
      <c r="RV5" s="322">
        <f ca="1">IF(OFFSET('Player Game Board'!Q12,0,RU1)&lt;&gt;"",OFFSET('Player Game Board'!Q12,0,RU1),0)</f>
        <v>2</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Slovenia</v>
      </c>
      <c r="SC5" s="320">
        <f t="shared" ref="SC5" ca="1" si="675">VLOOKUP(SB5,NV4:OA40,2,FALSE)</f>
        <v>1</v>
      </c>
      <c r="SD5" s="320">
        <f t="shared" ref="SD5" ca="1" si="676">VLOOKUP(SB5,NV4:OA40,3,FALSE)</f>
        <v>0</v>
      </c>
      <c r="SE5" s="320">
        <f t="shared" ref="SE5" ca="1" si="677">VLOOKUP(SB5,NV4:OA40,4,FALSE)</f>
        <v>2</v>
      </c>
      <c r="SF5" s="320">
        <f t="shared" ref="SF5" ca="1" si="678">VLOOKUP(SB5,NV4:OA40,5,FALSE)</f>
        <v>3</v>
      </c>
      <c r="SG5" s="320">
        <f t="shared" ref="SG5" ca="1" si="679">VLOOKUP(SB5,NV4:OA40,6,FALSE)</f>
        <v>4</v>
      </c>
      <c r="SH5" s="320">
        <f t="shared" ca="1" si="27"/>
        <v>999</v>
      </c>
      <c r="SI5" s="320">
        <f t="shared" ca="1" si="28"/>
        <v>3</v>
      </c>
      <c r="SJ5" s="319">
        <f ca="1">VLOOKUP(SB5,B4:J40,9,FALSE)</f>
        <v>39</v>
      </c>
      <c r="SK5" s="319">
        <f t="shared" ref="SK5" ca="1" si="680">RANK(SI5,SI3:SI8)</f>
        <v>2</v>
      </c>
      <c r="SL5" s="319">
        <f t="shared" ref="SL5" ca="1" si="681">SUMPRODUCT((SK3:SK8=SK5)*(SH3:SH8&gt;SH5))</f>
        <v>0</v>
      </c>
      <c r="SM5" s="319">
        <f t="shared" ref="SM5" ca="1" si="682">SUMPRODUCT((SK3:SK8=SK5)*(SH3:SH8=SH5)*(SF3:SF8&gt;SF5))</f>
        <v>0</v>
      </c>
      <c r="SN5" s="319">
        <f t="shared" ref="SN5" ca="1" si="683">SUMPRODUCT((SK3:SK8=SK5)*(SH3:SH8=SH5)*(SF3:SF8=SF5)*(SJ3:SJ8&gt;SJ5))</f>
        <v>1</v>
      </c>
      <c r="SO5" s="319">
        <f t="shared" ca="1" si="33"/>
        <v>3</v>
      </c>
      <c r="SP5" s="319" t="s">
        <v>107</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2</v>
      </c>
      <c r="SW5" s="319">
        <f t="shared" ref="SW5" ca="1" si="687">SUMPRODUCT((WR3:WR42=ST5)*(WV3:WV42="L"))+SUMPRODUCT((WU3:WU42=ST5)*(WW3:WW42="L"))</f>
        <v>1</v>
      </c>
      <c r="SX5" s="319">
        <f t="shared" ref="SX5" ca="1" si="688">SUMIF(WR3:WR60,ST5,WS3:WS60)+SUMIF(WU3:WU60,ST5,WT3:WT60)</f>
        <v>5</v>
      </c>
      <c r="SY5" s="319">
        <f t="shared" ref="SY5" ca="1" si="689">SUMIF(WU3:WU60,ST5,WS3:WS60)+SUMIF(WR3:WR60,ST5,WT3:WT60)</f>
        <v>7</v>
      </c>
      <c r="SZ5" s="319">
        <f t="shared" ca="1" si="230"/>
        <v>998</v>
      </c>
      <c r="TA5" s="319">
        <f t="shared" ca="1" si="231"/>
        <v>2</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1</v>
      </c>
      <c r="WT5" s="322">
        <f ca="1">IF(OFFSET('Player Game Board'!Q12,0,WS1)&lt;&gt;"",OFFSET('Player Game Board'!Q12,0,WS1),0)</f>
        <v>1</v>
      </c>
      <c r="WU5" s="319" t="str">
        <f t="shared" si="35"/>
        <v>Croatia</v>
      </c>
      <c r="WV5" s="319" t="str">
        <f ca="1">IF(AND(OFFSET('Player Game Board'!P12,0,WS1)&lt;&gt;"",OFFSET('Player Game Board'!Q12,0,WS1)&lt;&gt;""),IF(WS5&gt;WT5,"W",IF(WS5=WT5,"D","L")),"")</f>
        <v>D</v>
      </c>
      <c r="WW5" s="319" t="str">
        <f t="shared" ca="1" si="36"/>
        <v>D</v>
      </c>
      <c r="WX5" s="319"/>
      <c r="WY5" s="319"/>
      <c r="WZ5" s="319" t="str">
        <f t="shared" ref="WZ5" ca="1" si="734">VLOOKUP(3,SS18:ST21,2,FALSE)</f>
        <v>Serbia</v>
      </c>
      <c r="XA5" s="320">
        <f t="shared" ref="XA5" ca="1" si="735">VLOOKUP(WZ5,ST4:SY40,2,FALSE)</f>
        <v>1</v>
      </c>
      <c r="XB5" s="320">
        <f t="shared" ref="XB5" ca="1" si="736">VLOOKUP(WZ5,ST4:SY40,3,FALSE)</f>
        <v>0</v>
      </c>
      <c r="XC5" s="320">
        <f t="shared" ref="XC5" ca="1" si="737">VLOOKUP(WZ5,ST4:SY40,4,FALSE)</f>
        <v>2</v>
      </c>
      <c r="XD5" s="320">
        <f t="shared" ref="XD5" ca="1" si="738">VLOOKUP(WZ5,ST4:SY40,5,FALSE)</f>
        <v>3</v>
      </c>
      <c r="XE5" s="320">
        <f t="shared" ref="XE5" ca="1" si="739">VLOOKUP(WZ5,ST4:SY40,6,FALSE)</f>
        <v>5</v>
      </c>
      <c r="XF5" s="320">
        <f t="shared" ca="1" si="43"/>
        <v>998</v>
      </c>
      <c r="XG5" s="320">
        <f t="shared" ca="1" si="44"/>
        <v>3</v>
      </c>
      <c r="XH5" s="319">
        <f ca="1">VLOOKUP(WZ5,B4:J40,9,FALSE)</f>
        <v>35</v>
      </c>
      <c r="XI5" s="319">
        <f t="shared" ref="XI5" ca="1" si="740">RANK(XG5,XG3:XG8)</f>
        <v>3</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3</v>
      </c>
      <c r="XN5" s="319" t="s">
        <v>107</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107</v>
      </c>
      <c r="ACM5" s="319">
        <v>3</v>
      </c>
      <c r="ACN5" s="319"/>
      <c r="ACO5" s="319">
        <f t="shared" ref="ACO5" ca="1" si="804">VLOOKUP(ACP5,AGK4:AGL8,2,FALSE)</f>
        <v>4</v>
      </c>
      <c r="ACP5" s="319" t="str">
        <f t="shared" si="318"/>
        <v>Scotland</v>
      </c>
      <c r="ACQ5" s="319">
        <f t="shared" ref="ACQ5" ca="1" si="805">SUMPRODUCT((AGN3:AGN42=ACP5)*(AGR3:AGR42="W"))+SUMPRODUCT((AGQ3:AGQ42=ACP5)*(AGS3:AGS42="W"))</f>
        <v>0</v>
      </c>
      <c r="ACR5" s="319">
        <f t="shared" ref="ACR5" ca="1" si="806">SUMPRODUCT((AGN3:AGN42=ACP5)*(AGR3:AGR42="D"))+SUMPRODUCT((AGQ3:AGQ42=ACP5)*(AGS3:AGS42="D"))</f>
        <v>1</v>
      </c>
      <c r="ACS5" s="319">
        <f t="shared" ref="ACS5" ca="1" si="807">SUMPRODUCT((AGN3:AGN42=ACP5)*(AGR3:AGR42="L"))+SUMPRODUCT((AGQ3:AGQ42=ACP5)*(AGS3:AGS42="L"))</f>
        <v>2</v>
      </c>
      <c r="ACT5" s="319">
        <f t="shared" ref="ACT5" ca="1" si="808">SUMIF(AGN3:AGN60,ACP5,AGO3:AGO60)+SUMIF(AGQ3:AGQ60,ACP5,AGP3:AGP60)</f>
        <v>2</v>
      </c>
      <c r="ACU5" s="319">
        <f t="shared" ref="ACU5" ca="1" si="809">SUMIF(AGQ3:AGQ60,ACP5,AGO3:AGO60)+SUMIF(AGN3:AGN60,ACP5,AGP3:AGP60)</f>
        <v>5</v>
      </c>
      <c r="ACV5" s="319">
        <f t="shared" ca="1" si="324"/>
        <v>997</v>
      </c>
      <c r="ACW5" s="319">
        <f t="shared" ca="1" si="325"/>
        <v>1</v>
      </c>
      <c r="ACX5" s="319">
        <f t="shared" ref="ACX5:ACX40" si="810">XZ5</f>
        <v>43</v>
      </c>
      <c r="ACY5" s="319">
        <f t="shared" ref="ACY5" ca="1" si="811">IF(COUNTIF(ACW4:ACW8,4)&lt;&gt;4,RANK(ACW5,ACW4:ACW8),ACW45)</f>
        <v>4</v>
      </c>
      <c r="ACZ5" s="319"/>
      <c r="ADA5" s="319">
        <f t="shared" ref="ADA5" ca="1" si="812">SUMPRODUCT((ACY4:ACY7=ACY5)*(ACX4:ACX7&lt;ACX5))+ACY5</f>
        <v>4</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1</v>
      </c>
      <c r="AGP5" s="322">
        <f ca="1">IF(OFFSET('Player Game Board'!Q12,0,AGO1)&lt;&gt;"",OFFSET('Player Game Board'!Q12,0,AGO1),0)</f>
        <v>2</v>
      </c>
      <c r="AGQ5" s="319" t="str">
        <f t="shared" si="67"/>
        <v>Croatia</v>
      </c>
      <c r="AGR5" s="319" t="str">
        <f ca="1">IF(AND(OFFSET('Player Game Board'!P12,0,AGO1)&lt;&gt;"",OFFSET('Player Game Board'!Q12,0,AGO1)&lt;&gt;""),IF(AGO5&gt;AGP5,"W",IF(AGO5=AGP5,"D","L")),"")</f>
        <v>L</v>
      </c>
      <c r="AGS5" s="319" t="str">
        <f t="shared" ca="1" si="68"/>
        <v>W</v>
      </c>
      <c r="AGT5" s="319"/>
      <c r="AGU5" s="319"/>
      <c r="AGV5" s="319" t="str">
        <f t="shared" ref="AGV5" ca="1" si="854">VLOOKUP(3,ACO18:ACP21,2,FALSE)</f>
        <v>Slovenia</v>
      </c>
      <c r="AGW5" s="320">
        <f t="shared" ref="AGW5" ca="1" si="855">VLOOKUP(AGV5,ACP4:ACU40,2,FALSE)</f>
        <v>0</v>
      </c>
      <c r="AGX5" s="320">
        <f t="shared" ref="AGX5" ca="1" si="856">VLOOKUP(AGV5,ACP4:ACU40,3,FALSE)</f>
        <v>3</v>
      </c>
      <c r="AGY5" s="320">
        <f t="shared" ref="AGY5" ca="1" si="857">VLOOKUP(AGV5,ACP4:ACU40,4,FALSE)</f>
        <v>0</v>
      </c>
      <c r="AGZ5" s="320">
        <f t="shared" ref="AGZ5" ca="1" si="858">VLOOKUP(AGV5,ACP4:ACU40,5,FALSE)</f>
        <v>3</v>
      </c>
      <c r="AHA5" s="320">
        <f t="shared" ref="AHA5" ca="1" si="859">VLOOKUP(AGV5,ACP4:ACU40,6,FALSE)</f>
        <v>3</v>
      </c>
      <c r="AHB5" s="320">
        <f t="shared" ca="1" si="75"/>
        <v>1000</v>
      </c>
      <c r="AHC5" s="320">
        <f t="shared" ca="1" si="76"/>
        <v>3</v>
      </c>
      <c r="AHD5" s="319">
        <f ca="1">VLOOKUP(AGV5,B4:J40,9,FALSE)</f>
        <v>39</v>
      </c>
      <c r="AHE5" s="319">
        <f t="shared" ref="AHE5" ca="1" si="860">RANK(AHC5,AHC3:AHC8)</f>
        <v>2</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0</v>
      </c>
      <c r="AHI5" s="319">
        <f t="shared" ca="1" si="81"/>
        <v>2</v>
      </c>
      <c r="AHJ5" s="319" t="s">
        <v>107</v>
      </c>
      <c r="AHK5" s="319">
        <v>3</v>
      </c>
      <c r="AHL5" s="319"/>
      <c r="AHM5" s="319">
        <f t="shared" ref="AHM5" ca="1" si="864">VLOOKUP(AHN5,ALI4:ALJ8,2,FALSE)</f>
        <v>2</v>
      </c>
      <c r="AHN5" s="319" t="str">
        <f t="shared" si="365"/>
        <v>Scotland</v>
      </c>
      <c r="AHO5" s="319">
        <f t="shared" ref="AHO5" ca="1" si="865">SUMPRODUCT((ALL3:ALL42=AHN5)*(ALP3:ALP42="W"))+SUMPRODUCT((ALO3:ALO42=AHN5)*(ALQ3:ALQ42="W"))</f>
        <v>2</v>
      </c>
      <c r="AHP5" s="319">
        <f t="shared" ref="AHP5" ca="1" si="866">SUMPRODUCT((ALL3:ALL42=AHN5)*(ALP3:ALP42="D"))+SUMPRODUCT((ALO3:ALO42=AHN5)*(ALQ3:ALQ42="D"))</f>
        <v>0</v>
      </c>
      <c r="AHQ5" s="319">
        <f t="shared" ref="AHQ5" ca="1" si="867">SUMPRODUCT((ALL3:ALL42=AHN5)*(ALP3:ALP42="L"))+SUMPRODUCT((ALO3:ALO42=AHN5)*(ALQ3:ALQ42="L"))</f>
        <v>1</v>
      </c>
      <c r="AHR5" s="319">
        <f t="shared" ref="AHR5" ca="1" si="868">SUMIF(ALL3:ALL60,AHN5,ALM3:ALM60)+SUMIF(ALO3:ALO60,AHN5,ALN3:ALN60)</f>
        <v>4</v>
      </c>
      <c r="AHS5" s="319">
        <f t="shared" ref="AHS5" ca="1" si="869">SUMIF(ALO3:ALO60,AHN5,ALM3:ALM60)+SUMIF(ALL3:ALL60,AHN5,ALN3:ALN60)</f>
        <v>3</v>
      </c>
      <c r="AHT5" s="319">
        <f t="shared" ca="1" si="371"/>
        <v>1001</v>
      </c>
      <c r="AHU5" s="319">
        <f t="shared" ca="1" si="372"/>
        <v>6</v>
      </c>
      <c r="AHV5" s="319">
        <f t="shared" ref="AHV5:AHV40" si="870">ACX5</f>
        <v>43</v>
      </c>
      <c r="AHW5" s="319">
        <f t="shared" ref="AHW5" ca="1" si="871">IF(COUNTIF(AHU4:AHU8,4)&lt;&gt;4,RANK(AHU5,AHU4:AHU8),AHU45)</f>
        <v>2</v>
      </c>
      <c r="AHX5" s="319"/>
      <c r="AHY5" s="319">
        <f t="shared" ref="AHY5" ca="1" si="872">SUMPRODUCT((AHW4:AHW7=AHW5)*(AHV4:AHV7&lt;AHV5))+AHW5</f>
        <v>2</v>
      </c>
      <c r="AHZ5" s="319" t="str">
        <f t="shared" ref="AHZ5" ca="1" si="873">INDEX(AHN4:AHN8,MATCH(2,AHY4:AHY8,0),0)</f>
        <v>Scotland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Scotland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Slovenia</v>
      </c>
      <c r="ALU5" s="320">
        <f t="shared" ref="ALU5" ca="1" si="915">VLOOKUP(ALT5,AHN4:AHS40,2,FALSE)</f>
        <v>0</v>
      </c>
      <c r="ALV5" s="320">
        <f t="shared" ref="ALV5" ca="1" si="916">VLOOKUP(ALT5,AHN4:AHS40,3,FALSE)</f>
        <v>2</v>
      </c>
      <c r="ALW5" s="320">
        <f t="shared" ref="ALW5" ca="1" si="917">VLOOKUP(ALT5,AHN4:AHS40,4,FALSE)</f>
        <v>1</v>
      </c>
      <c r="ALX5" s="320">
        <f t="shared" ref="ALX5" ca="1" si="918">VLOOKUP(ALT5,AHN4:AHS40,5,FALSE)</f>
        <v>1</v>
      </c>
      <c r="ALY5" s="320">
        <f t="shared" ref="ALY5" ca="1" si="919">VLOOKUP(ALT5,AHN4:AHS40,6,FALSE)</f>
        <v>2</v>
      </c>
      <c r="ALZ5" s="320">
        <f t="shared" ca="1" si="91"/>
        <v>999</v>
      </c>
      <c r="AMA5" s="320">
        <f t="shared" ca="1" si="92"/>
        <v>2</v>
      </c>
      <c r="AMB5" s="319">
        <f ca="1">VLOOKUP(ALT5,B4:J40,9,FALSE)</f>
        <v>39</v>
      </c>
      <c r="AMC5" s="319">
        <f t="shared" ref="AMC5" ca="1" si="920">RANK(AMA5,AMA3:AMA8)</f>
        <v>4</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0</v>
      </c>
      <c r="AMG5" s="319">
        <f t="shared" ca="1" si="97"/>
        <v>4</v>
      </c>
      <c r="AMH5" s="319" t="s">
        <v>107</v>
      </c>
      <c r="AMI5" s="319">
        <v>3</v>
      </c>
      <c r="AMJ5" s="319"/>
      <c r="AMK5" s="319">
        <f t="shared" ref="AMK5" ca="1" si="924">VLOOKUP(AML5,AQG4:AQH8,2,FALSE)</f>
        <v>2</v>
      </c>
      <c r="AML5" s="319" t="str">
        <f t="shared" si="412"/>
        <v>Scotland</v>
      </c>
      <c r="AMM5" s="319">
        <f t="shared" ref="AMM5" ca="1" si="925">SUMPRODUCT((AQJ3:AQJ42=AML5)*(AQN3:AQN42="W"))+SUMPRODUCT((AQM3:AQM42=AML5)*(AQO3:AQO42="W"))</f>
        <v>1</v>
      </c>
      <c r="AMN5" s="319">
        <f t="shared" ref="AMN5" ca="1" si="926">SUMPRODUCT((AQJ3:AQJ42=AML5)*(AQN3:AQN42="D"))+SUMPRODUCT((AQM3:AQM42=AML5)*(AQO3:AQO42="D"))</f>
        <v>1</v>
      </c>
      <c r="AMO5" s="319">
        <f t="shared" ref="AMO5" ca="1" si="927">SUMPRODUCT((AQJ3:AQJ42=AML5)*(AQN3:AQN42="L"))+SUMPRODUCT((AQM3:AQM42=AML5)*(AQO3:AQO42="L"))</f>
        <v>1</v>
      </c>
      <c r="AMP5" s="319">
        <f t="shared" ref="AMP5" ca="1" si="928">SUMIF(AQJ3:AQJ60,AML5,AQK3:AQK60)+SUMIF(AQM3:AQM60,AML5,AQL3:AQL60)</f>
        <v>2</v>
      </c>
      <c r="AMQ5" s="319">
        <f t="shared" ref="AMQ5" ca="1" si="929">SUMIF(AQM3:AQM60,AML5,AQK3:AQK60)+SUMIF(AQJ3:AQJ60,AML5,AQL3:AQL60)</f>
        <v>3</v>
      </c>
      <c r="AMR5" s="319">
        <f t="shared" ca="1" si="418"/>
        <v>999</v>
      </c>
      <c r="AMS5" s="319">
        <f t="shared" ca="1" si="419"/>
        <v>4</v>
      </c>
      <c r="AMT5" s="319">
        <f t="shared" ref="AMT5:AMT40" si="930">AHV5</f>
        <v>43</v>
      </c>
      <c r="AMU5" s="319">
        <f t="shared" ref="AMU5" ca="1" si="931">IF(COUNTIF(AMS4:AMS8,4)&lt;&gt;4,RANK(AMS5,AMS4:AMS8),AMS45)</f>
        <v>2</v>
      </c>
      <c r="AMV5" s="319"/>
      <c r="AMW5" s="319">
        <f t="shared" ref="AMW5" ca="1" si="932">SUMPRODUCT((AMU4:AMU7=AMU5)*(AMT4:AMT7&lt;AMT5))+AMU5</f>
        <v>2</v>
      </c>
      <c r="AMX5" s="319" t="str">
        <f t="shared" ref="AMX5" ca="1" si="933">INDEX(AML4:AML8,MATCH(2,AMW4:AMW8,0),0)</f>
        <v>Scotland</v>
      </c>
      <c r="AMY5" s="319">
        <f t="shared" ref="AMY5" ca="1" si="934">INDEX(AMU4:AMU8,MATCH(AMX5,AML4:AML8,0),0)</f>
        <v>2</v>
      </c>
      <c r="AMZ5" s="319" t="str">
        <f t="shared" ref="AMZ5" ca="1" si="935">IF(AMZ4&lt;&gt;"",AMX5,"")</f>
        <v/>
      </c>
      <c r="ANA5" s="319" t="str">
        <f t="shared" ref="ANA5" ca="1" si="936">IF(ANA4&lt;&gt;"",AMX6,"")</f>
        <v/>
      </c>
      <c r="ANB5" s="319" t="str">
        <f t="shared" ref="ANB5" ca="1" si="937">IF(ANB4&lt;&gt;"",AMX7,"")</f>
        <v/>
      </c>
      <c r="ANC5" s="319" t="str">
        <f t="shared" ref="ANC5" si="938">IF(ANC4&lt;&gt;"",AMX8,"")</f>
        <v/>
      </c>
      <c r="AND5" s="319"/>
      <c r="ANE5" s="319" t="str">
        <f t="shared" ca="1" si="428"/>
        <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t="str">
        <f t="shared" ca="1" si="435"/>
        <v/>
      </c>
      <c r="ANM5" s="319" t="str">
        <f t="shared" ref="ANM5" ca="1" si="944">IF(ANE5&lt;&gt;"",VLOOKUP(ANE5,AML4:AMR40,7,FALSE),"")</f>
        <v/>
      </c>
      <c r="ANN5" s="319" t="str">
        <f t="shared" ref="ANN5" ca="1" si="945">IF(ANE5&lt;&gt;"",VLOOKUP(ANE5,AML4:AMR40,5,FALSE),"")</f>
        <v/>
      </c>
      <c r="ANO5" s="319" t="str">
        <f t="shared" ref="ANO5" ca="1" si="946">IF(ANE5&lt;&gt;"",VLOOKUP(ANE5,AML4:AMT40,9,FALSE),"")</f>
        <v/>
      </c>
      <c r="ANP5" s="319" t="str">
        <f t="shared" ca="1" si="439"/>
        <v/>
      </c>
      <c r="ANQ5" s="319" t="str">
        <f t="shared" ref="ANQ5" ca="1" si="947">IF(ANE5&lt;&gt;"",RANK(ANP5,ANP4:ANP8),"")</f>
        <v/>
      </c>
      <c r="ANR5" s="319" t="str">
        <f t="shared" ref="ANR5" ca="1" si="948">IF(ANE5&lt;&gt;"",SUMPRODUCT((ANP4:ANP8=ANP5)*(ANK4:ANK8&gt;ANK5)),"")</f>
        <v/>
      </c>
      <c r="ANS5" s="319" t="str">
        <f t="shared" ref="ANS5" ca="1" si="949">IF(ANE5&lt;&gt;"",SUMPRODUCT((ANP4:ANP8=ANP5)*(ANK4:ANK8=ANK5)*(ANI4:ANI8&gt;ANI5)),"")</f>
        <v/>
      </c>
      <c r="ANT5" s="319" t="str">
        <f t="shared" ref="ANT5" ca="1" si="950">IF(ANE5&lt;&gt;"",SUMPRODUCT((ANP4:ANP8=ANP5)*(ANK4:ANK8=ANK5)*(ANI4:ANI8=ANI5)*(ANM4:ANM8&gt;ANM5)),"")</f>
        <v/>
      </c>
      <c r="ANU5" s="319" t="str">
        <f t="shared" ref="ANU5" ca="1" si="951">IF(ANE5&lt;&gt;"",SUMPRODUCT((ANP4:ANP8=ANP5)*(ANK4:ANK8=ANK5)*(ANI4:ANI8=ANI5)*(ANM4:ANM8=ANM5)*(ANN4:ANN8&gt;ANN5)),"")</f>
        <v/>
      </c>
      <c r="ANV5" s="319" t="str">
        <f t="shared" ref="ANV5" ca="1" si="952">IF(ANE5&lt;&gt;"",SUMPRODUCT((ANP4:ANP8=ANP5)*(ANK4:ANK8=ANK5)*(ANI4:ANI8=ANI5)*(ANM4:ANM8=ANM5)*(ANN4:ANN8=ANN5)*(ANO4:ANO8&gt;ANO5)),"")</f>
        <v/>
      </c>
      <c r="ANW5" s="319" t="str">
        <f ca="1">IF(ANE5&lt;&gt;"",IF(ANW45&lt;&gt;"",IF(AND43=3,ANW45,ANW45+AND43),SUM(ANQ5:ANV5)),"")</f>
        <v/>
      </c>
      <c r="ANX5" s="319" t="str">
        <f t="shared" ref="ANX5" ca="1" si="953">IF(ANE5&lt;&gt;"",INDEX(ANE4:ANE8,MATCH(2,ANW4:ANW8,0),0),"")</f>
        <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Scotland</v>
      </c>
      <c r="AQH5" s="319">
        <v>2</v>
      </c>
      <c r="AQI5" s="319">
        <v>3</v>
      </c>
      <c r="AQJ5" s="319" t="str">
        <f t="shared" si="98"/>
        <v>Spain</v>
      </c>
      <c r="AQK5" s="322">
        <f ca="1">IF(OFFSET('Player Game Board'!P12,0,AQK1)&lt;&gt;"",OFFSET('Player Game Board'!P12,0,AQK1),0)</f>
        <v>1</v>
      </c>
      <c r="AQL5" s="322">
        <f ca="1">IF(OFFSET('Player Game Board'!Q12,0,AQK1)&lt;&gt;"",OFFSET('Player Game Board'!Q12,0,AQK1),0)</f>
        <v>0</v>
      </c>
      <c r="AQM5" s="319" t="str">
        <f t="shared" si="99"/>
        <v>Croatia</v>
      </c>
      <c r="AQN5" s="319" t="str">
        <f ca="1">IF(AND(OFFSET('Player Game Board'!P12,0,AQK1)&lt;&gt;"",OFFSET('Player Game Board'!Q12,0,AQK1)&lt;&gt;""),IF(AQK5&gt;AQL5,"W",IF(AQK5=AQL5,"D","L")),"")</f>
        <v>W</v>
      </c>
      <c r="AQO5" s="319" t="str">
        <f t="shared" ca="1" si="100"/>
        <v>L</v>
      </c>
      <c r="AQP5" s="319"/>
      <c r="AQQ5" s="319"/>
      <c r="AQR5" s="319" t="str">
        <f t="shared" ref="AQR5" ca="1" si="974">VLOOKUP(3,AMK18:AML21,2,FALSE)</f>
        <v>Serbia</v>
      </c>
      <c r="AQS5" s="320">
        <f t="shared" ref="AQS5" ca="1" si="975">VLOOKUP(AQR5,AML4:AMQ40,2,FALSE)</f>
        <v>0</v>
      </c>
      <c r="AQT5" s="320">
        <f t="shared" ref="AQT5" ca="1" si="976">VLOOKUP(AQR5,AML4:AMQ40,3,FALSE)</f>
        <v>1</v>
      </c>
      <c r="AQU5" s="320">
        <f t="shared" ref="AQU5" ca="1" si="977">VLOOKUP(AQR5,AML4:AMQ40,4,FALSE)</f>
        <v>2</v>
      </c>
      <c r="AQV5" s="320">
        <f t="shared" ref="AQV5" ca="1" si="978">VLOOKUP(AQR5,AML4:AMQ40,5,FALSE)</f>
        <v>1</v>
      </c>
      <c r="AQW5" s="320">
        <f t="shared" ref="AQW5" ca="1" si="979">VLOOKUP(AQR5,AML4:AMQ40,6,FALSE)</f>
        <v>3</v>
      </c>
      <c r="AQX5" s="320">
        <f t="shared" ca="1" si="107"/>
        <v>998</v>
      </c>
      <c r="AQY5" s="320">
        <f t="shared" ca="1" si="108"/>
        <v>1</v>
      </c>
      <c r="AQZ5" s="319">
        <f ca="1">VLOOKUP(AQR5,B4:J40,9,FALSE)</f>
        <v>35</v>
      </c>
      <c r="ARA5" s="319">
        <f t="shared" ref="ARA5" ca="1" si="980">RANK(AQY5,AQY3:AQY8)</f>
        <v>5</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0</v>
      </c>
      <c r="ARE5" s="319">
        <f t="shared" ca="1" si="113"/>
        <v>5</v>
      </c>
      <c r="ARF5" s="319" t="s">
        <v>107</v>
      </c>
      <c r="ARG5" s="319">
        <v>3</v>
      </c>
      <c r="ARH5" s="319"/>
      <c r="ARI5" s="319">
        <f t="shared" ref="ARI5" ca="1" si="984">VLOOKUP(ARJ5,AVE4:AVF8,2,FALSE)</f>
        <v>3</v>
      </c>
      <c r="ARJ5" s="319" t="str">
        <f t="shared" si="459"/>
        <v>Scotland</v>
      </c>
      <c r="ARK5" s="319">
        <f t="shared" ref="ARK5" ca="1" si="985">SUMPRODUCT((AVH3:AVH42=ARJ5)*(AVL3:AVL42="W"))+SUMPRODUCT((AVK3:AVK42=ARJ5)*(AVM3:AVM42="W"))</f>
        <v>1</v>
      </c>
      <c r="ARL5" s="319">
        <f t="shared" ref="ARL5" ca="1" si="986">SUMPRODUCT((AVH3:AVH42=ARJ5)*(AVL3:AVL42="D"))+SUMPRODUCT((AVK3:AVK42=ARJ5)*(AVM3:AVM42="D"))</f>
        <v>0</v>
      </c>
      <c r="ARM5" s="319">
        <f t="shared" ref="ARM5" ca="1" si="987">SUMPRODUCT((AVH3:AVH42=ARJ5)*(AVL3:AVL42="L"))+SUMPRODUCT((AVK3:AVK42=ARJ5)*(AVM3:AVM42="L"))</f>
        <v>2</v>
      </c>
      <c r="ARN5" s="319">
        <f t="shared" ref="ARN5" ca="1" si="988">SUMIF(AVH3:AVH60,ARJ5,AVI3:AVI60)+SUMIF(AVK3:AVK60,ARJ5,AVJ3:AVJ60)</f>
        <v>5</v>
      </c>
      <c r="ARO5" s="319">
        <f t="shared" ref="ARO5" ca="1" si="989">SUMIF(AVK3:AVK60,ARJ5,AVI3:AVI60)+SUMIF(AVH3:AVH60,ARJ5,AVJ3:AVJ60)</f>
        <v>6</v>
      </c>
      <c r="ARP5" s="319">
        <f t="shared" ca="1" si="465"/>
        <v>999</v>
      </c>
      <c r="ARQ5" s="319">
        <f t="shared" ca="1" si="466"/>
        <v>3</v>
      </c>
      <c r="ARR5" s="319">
        <f t="shared" ref="ARR5:ARR40" si="990">AMT5</f>
        <v>43</v>
      </c>
      <c r="ARS5" s="319">
        <f t="shared" ref="ARS5" ca="1" si="991">IF(COUNTIF(ARQ4:ARQ8,4)&lt;&gt;4,RANK(ARQ5,ARQ4:ARQ8),ARQ45)</f>
        <v>3</v>
      </c>
      <c r="ART5" s="319"/>
      <c r="ARU5" s="319">
        <f t="shared" ref="ARU5" ca="1" si="992">SUMPRODUCT((ARS4:ARS7=ARS5)*(ARR4:ARR7&lt;ARR5))+ARS5</f>
        <v>3</v>
      </c>
      <c r="ARV5" s="319" t="str">
        <f t="shared" ref="ARV5" ca="1" si="993">INDEX(ARJ4:ARJ8,MATCH(2,ARU4:ARU8,0),0)</f>
        <v>Switzerland</v>
      </c>
      <c r="ARW5" s="319">
        <f t="shared" ref="ARW5" ca="1" si="994">INDEX(ARS4:ARS8,MATCH(ARV5,ARJ4:ARJ8,0),0)</f>
        <v>2</v>
      </c>
      <c r="ARX5" s="319" t="str">
        <f t="shared" ref="ARX5" ca="1" si="995">IF(ARX4&lt;&gt;"",ARV5,"")</f>
        <v/>
      </c>
      <c r="ARY5" s="319" t="str">
        <f t="shared" ref="ARY5" ca="1" si="996">IF(ARY4&lt;&gt;"",ARV6,"")</f>
        <v/>
      </c>
      <c r="ARZ5" s="319" t="str">
        <f t="shared" ref="ARZ5" ca="1" si="997">IF(ARZ4&lt;&gt;"",ARV7,"")</f>
        <v/>
      </c>
      <c r="ASA5" s="319" t="str">
        <f t="shared" ref="ASA5" si="998">IF(ASA4&lt;&gt;"",ARV8,"")</f>
        <v/>
      </c>
      <c r="ASB5" s="319"/>
      <c r="ASC5" s="319" t="str">
        <f t="shared" ca="1" si="475"/>
        <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t="str">
        <f t="shared" ca="1" si="482"/>
        <v/>
      </c>
      <c r="ASK5" s="319" t="str">
        <f t="shared" ref="ASK5" ca="1" si="1004">IF(ASC5&lt;&gt;"",VLOOKUP(ASC5,ARJ4:ARP40,7,FALSE),"")</f>
        <v/>
      </c>
      <c r="ASL5" s="319" t="str">
        <f t="shared" ref="ASL5" ca="1" si="1005">IF(ASC5&lt;&gt;"",VLOOKUP(ASC5,ARJ4:ARP40,5,FALSE),"")</f>
        <v/>
      </c>
      <c r="ASM5" s="319" t="str">
        <f t="shared" ref="ASM5" ca="1" si="1006">IF(ASC5&lt;&gt;"",VLOOKUP(ASC5,ARJ4:ARR40,9,FALSE),"")</f>
        <v/>
      </c>
      <c r="ASN5" s="319" t="str">
        <f t="shared" ca="1" si="486"/>
        <v/>
      </c>
      <c r="ASO5" s="319" t="str">
        <f t="shared" ref="ASO5" ca="1" si="1007">IF(ASC5&lt;&gt;"",RANK(ASN5,ASN4:ASN8),"")</f>
        <v/>
      </c>
      <c r="ASP5" s="319" t="str">
        <f t="shared" ref="ASP5" ca="1" si="1008">IF(ASC5&lt;&gt;"",SUMPRODUCT((ASN4:ASN8=ASN5)*(ASI4:ASI8&gt;ASI5)),"")</f>
        <v/>
      </c>
      <c r="ASQ5" s="319" t="str">
        <f t="shared" ref="ASQ5" ca="1" si="1009">IF(ASC5&lt;&gt;"",SUMPRODUCT((ASN4:ASN8=ASN5)*(ASI4:ASI8=ASI5)*(ASG4:ASG8&gt;ASG5)),"")</f>
        <v/>
      </c>
      <c r="ASR5" s="319" t="str">
        <f t="shared" ref="ASR5" ca="1" si="1010">IF(ASC5&lt;&gt;"",SUMPRODUCT((ASN4:ASN8=ASN5)*(ASI4:ASI8=ASI5)*(ASG4:ASG8=ASG5)*(ASK4:ASK8&gt;ASK5)),"")</f>
        <v/>
      </c>
      <c r="ASS5" s="319" t="str">
        <f t="shared" ref="ASS5" ca="1" si="1011">IF(ASC5&lt;&gt;"",SUMPRODUCT((ASN4:ASN8=ASN5)*(ASI4:ASI8=ASI5)*(ASG4:ASG8=ASG5)*(ASK4:ASK8=ASK5)*(ASL4:ASL8&gt;ASL5)),"")</f>
        <v/>
      </c>
      <c r="AST5" s="319" t="str">
        <f t="shared" ref="AST5" ca="1" si="1012">IF(ASC5&lt;&gt;"",SUMPRODUCT((ASN4:ASN8=ASN5)*(ASI4:ASI8=ASI5)*(ASG4:ASG8=ASG5)*(ASK4:ASK8=ASK5)*(ASL4:ASL8=ASL5)*(ASM4:ASM8&gt;ASM5)),"")</f>
        <v/>
      </c>
      <c r="ASU5" s="319" t="str">
        <f ca="1">IF(ASC5&lt;&gt;"",IF(ASU45&lt;&gt;"",IF(ASB43=3,ASU45,ASU45+ASB43),SUM(ASO5:AST5)),"")</f>
        <v/>
      </c>
      <c r="ASV5" s="319" t="str">
        <f t="shared" ref="ASV5" ca="1" si="1013">IF(ASC5&lt;&gt;"",INDEX(ASC4:ASC8,MATCH(2,ASU4:ASU8,0),0),"")</f>
        <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Switzerland</v>
      </c>
      <c r="AVF5" s="319">
        <v>2</v>
      </c>
      <c r="AVG5" s="319">
        <v>3</v>
      </c>
      <c r="AVH5" s="319" t="str">
        <f t="shared" si="114"/>
        <v>Spain</v>
      </c>
      <c r="AVI5" s="322">
        <f ca="1">IF(OFFSET('Player Game Board'!P12,0,AVI1)&lt;&gt;"",OFFSET('Player Game Board'!P12,0,AVI1),0)</f>
        <v>1</v>
      </c>
      <c r="AVJ5" s="322">
        <f ca="1">IF(OFFSET('Player Game Board'!Q12,0,AVI1)&lt;&gt;"",OFFSET('Player Game Board'!Q12,0,AVI1),0)</f>
        <v>0</v>
      </c>
      <c r="AVK5" s="319" t="str">
        <f t="shared" si="115"/>
        <v>Croatia</v>
      </c>
      <c r="AVL5" s="319" t="str">
        <f ca="1">IF(AND(OFFSET('Player Game Board'!P12,0,AVI1)&lt;&gt;"",OFFSET('Player Game Board'!Q12,0,AVI1)&lt;&gt;""),IF(AVI5&gt;AVJ5,"W",IF(AVI5=AVJ5,"D","L")),"")</f>
        <v>W</v>
      </c>
      <c r="AVM5" s="319" t="str">
        <f t="shared" ca="1" si="116"/>
        <v>L</v>
      </c>
      <c r="AVN5" s="319"/>
      <c r="AVO5" s="319"/>
      <c r="AVP5" s="319" t="str">
        <f t="shared" ref="AVP5" ca="1" si="1034">VLOOKUP(3,ARI18:ARJ21,2,FALSE)</f>
        <v>England</v>
      </c>
      <c r="AVQ5" s="320">
        <f t="shared" ref="AVQ5" ca="1" si="1035">VLOOKUP(AVP5,ARJ4:ARO40,2,FALSE)</f>
        <v>1</v>
      </c>
      <c r="AVR5" s="320">
        <f t="shared" ref="AVR5" ca="1" si="1036">VLOOKUP(AVP5,ARJ4:ARO40,3,FALSE)</f>
        <v>0</v>
      </c>
      <c r="AVS5" s="320">
        <f t="shared" ref="AVS5" ca="1" si="1037">VLOOKUP(AVP5,ARJ4:ARO40,4,FALSE)</f>
        <v>2</v>
      </c>
      <c r="AVT5" s="320">
        <f t="shared" ref="AVT5" ca="1" si="1038">VLOOKUP(AVP5,ARJ4:ARO40,5,FALSE)</f>
        <v>3</v>
      </c>
      <c r="AVU5" s="320">
        <f t="shared" ref="AVU5" ca="1" si="1039">VLOOKUP(AVP5,ARJ4:ARO40,6,FALSE)</f>
        <v>6</v>
      </c>
      <c r="AVV5" s="320">
        <f t="shared" ca="1" si="123"/>
        <v>997</v>
      </c>
      <c r="AVW5" s="320">
        <f t="shared" ca="1" si="124"/>
        <v>3</v>
      </c>
      <c r="AVX5" s="319">
        <f ca="1">VLOOKUP(AVP5,B4:J40,9,FALSE)</f>
        <v>49</v>
      </c>
      <c r="AVY5" s="319">
        <f t="shared" ref="AVY5" ca="1" si="1040">RANK(AVW5,AVW3:AVW8)</f>
        <v>3</v>
      </c>
      <c r="AVZ5" s="319">
        <f t="shared" ref="AVZ5" ca="1" si="1041">SUMPRODUCT((AVY3:AVY8=AVY5)*(AVV3:AVV8&gt;AVV5))</f>
        <v>1</v>
      </c>
      <c r="AWA5" s="319">
        <f t="shared" ref="AWA5" ca="1" si="1042">SUMPRODUCT((AVY3:AVY8=AVY5)*(AVV3:AVV8=AVV5)*(AVT3:AVT8&gt;AVT5))</f>
        <v>0</v>
      </c>
      <c r="AWB5" s="319">
        <f t="shared" ref="AWB5" ca="1" si="1043">SUMPRODUCT((AVY3:AVY8=AVY5)*(AVV3:AVV8=AVV5)*(AVT3:AVT8=AVT5)*(AVX3:AVX8&gt;AVX5))</f>
        <v>0</v>
      </c>
      <c r="AWC5" s="319">
        <f t="shared" ca="1" si="129"/>
        <v>4</v>
      </c>
      <c r="AWD5" s="319" t="s">
        <v>107</v>
      </c>
      <c r="AWE5" s="319">
        <v>3</v>
      </c>
      <c r="AWF5" s="319"/>
      <c r="AWG5" s="319">
        <f t="shared" ref="AWG5" ca="1" si="1044">VLOOKUP(AWH5,BAC4:BAD8,2,FALSE)</f>
        <v>2</v>
      </c>
      <c r="AWH5" s="319" t="str">
        <f t="shared" si="506"/>
        <v>Scotland</v>
      </c>
      <c r="AWI5" s="319">
        <f t="shared" ref="AWI5" ca="1" si="1045">SUMPRODUCT((BAF3:BAF42=AWH5)*(BAJ3:BAJ42="W"))+SUMPRODUCT((BAI3:BAI42=AWH5)*(BAK3:BAK42="W"))</f>
        <v>2</v>
      </c>
      <c r="AWJ5" s="319">
        <f t="shared" ref="AWJ5" ca="1" si="1046">SUMPRODUCT((BAF3:BAF42=AWH5)*(BAJ3:BAJ42="D"))+SUMPRODUCT((BAI3:BAI42=AWH5)*(BAK3:BAK42="D"))</f>
        <v>0</v>
      </c>
      <c r="AWK5" s="319">
        <f t="shared" ref="AWK5" ca="1" si="1047">SUMPRODUCT((BAF3:BAF42=AWH5)*(BAJ3:BAJ42="L"))+SUMPRODUCT((BAI3:BAI42=AWH5)*(BAK3:BAK42="L"))</f>
        <v>1</v>
      </c>
      <c r="AWL5" s="319">
        <f t="shared" ref="AWL5" ca="1" si="1048">SUMIF(BAF3:BAF60,AWH5,BAG3:BAG60)+SUMIF(BAI3:BAI60,AWH5,BAH3:BAH60)</f>
        <v>6</v>
      </c>
      <c r="AWM5" s="319">
        <f t="shared" ref="AWM5" ca="1" si="1049">SUMIF(BAI3:BAI60,AWH5,BAG3:BAG60)+SUMIF(BAF3:BAF60,AWH5,BAH3:BAH60)</f>
        <v>6</v>
      </c>
      <c r="AWN5" s="319">
        <f t="shared" ca="1" si="512"/>
        <v>1000</v>
      </c>
      <c r="AWO5" s="319">
        <f t="shared" ca="1" si="513"/>
        <v>6</v>
      </c>
      <c r="AWP5" s="319">
        <f t="shared" ref="AWP5:AWP40" si="1050">ARR5</f>
        <v>43</v>
      </c>
      <c r="AWQ5" s="319">
        <f t="shared" ref="AWQ5" ca="1" si="1051">IF(COUNTIF(AWO4:AWO8,4)&lt;&gt;4,RANK(AWO5,AWO4:AWO8),AWO45)</f>
        <v>2</v>
      </c>
      <c r="AWR5" s="319"/>
      <c r="AWS5" s="319">
        <f t="shared" ref="AWS5" ca="1" si="1052">SUMPRODUCT((AWQ4:AWQ7=AWQ5)*(AWP4:AWP7&lt;AWP5))+AWQ5</f>
        <v>2</v>
      </c>
      <c r="AWT5" s="319" t="str">
        <f t="shared" ref="AWT5" ca="1" si="1053">INDEX(AWH4:AWH8,MATCH(2,AWS4:AWS8,0),0)</f>
        <v>Scotland</v>
      </c>
      <c r="AWU5" s="319">
        <f t="shared" ref="AWU5" ca="1" si="1054">INDEX(AWQ4:AWQ8,MATCH(AWT5,AWH4:AWH8,0),0)</f>
        <v>2</v>
      </c>
      <c r="AWV5" s="319" t="str">
        <f t="shared" ref="AWV5" ca="1" si="1055">IF(AWV4&lt;&gt;"",AWT5,"")</f>
        <v/>
      </c>
      <c r="AWW5" s="319" t="str">
        <f t="shared" ref="AWW5" ca="1" si="1056">IF(AWW4&lt;&gt;"",AWT6,"")</f>
        <v/>
      </c>
      <c r="AWX5" s="319" t="str">
        <f t="shared" ref="AWX5" ca="1" si="1057">IF(AWX4&lt;&gt;"",AWT7,"")</f>
        <v/>
      </c>
      <c r="AWY5" s="319" t="str">
        <f t="shared" ref="AWY5" si="1058">IF(AWY4&lt;&gt;"",AWT8,"")</f>
        <v/>
      </c>
      <c r="AWZ5" s="319"/>
      <c r="AXA5" s="319" t="str">
        <f t="shared" ca="1" si="522"/>
        <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t="str">
        <f t="shared" ca="1" si="529"/>
        <v/>
      </c>
      <c r="AXI5" s="319" t="str">
        <f t="shared" ref="AXI5" ca="1" si="1064">IF(AXA5&lt;&gt;"",VLOOKUP(AXA5,AWH4:AWN40,7,FALSE),"")</f>
        <v/>
      </c>
      <c r="AXJ5" s="319" t="str">
        <f t="shared" ref="AXJ5" ca="1" si="1065">IF(AXA5&lt;&gt;"",VLOOKUP(AXA5,AWH4:AWN40,5,FALSE),"")</f>
        <v/>
      </c>
      <c r="AXK5" s="319" t="str">
        <f t="shared" ref="AXK5" ca="1" si="1066">IF(AXA5&lt;&gt;"",VLOOKUP(AXA5,AWH4:AWP40,9,FALSE),"")</f>
        <v/>
      </c>
      <c r="AXL5" s="319" t="str">
        <f t="shared" ca="1" si="533"/>
        <v/>
      </c>
      <c r="AXM5" s="319" t="str">
        <f t="shared" ref="AXM5" ca="1" si="1067">IF(AXA5&lt;&gt;"",RANK(AXL5,AXL4:AXL8),"")</f>
        <v/>
      </c>
      <c r="AXN5" s="319" t="str">
        <f t="shared" ref="AXN5" ca="1" si="1068">IF(AXA5&lt;&gt;"",SUMPRODUCT((AXL4:AXL8=AXL5)*(AXG4:AXG8&gt;AXG5)),"")</f>
        <v/>
      </c>
      <c r="AXO5" s="319" t="str">
        <f t="shared" ref="AXO5" ca="1" si="1069">IF(AXA5&lt;&gt;"",SUMPRODUCT((AXL4:AXL8=AXL5)*(AXG4:AXG8=AXG5)*(AXE4:AXE8&gt;AXE5)),"")</f>
        <v/>
      </c>
      <c r="AXP5" s="319" t="str">
        <f t="shared" ref="AXP5" ca="1" si="1070">IF(AXA5&lt;&gt;"",SUMPRODUCT((AXL4:AXL8=AXL5)*(AXG4:AXG8=AXG5)*(AXE4:AXE8=AXE5)*(AXI4:AXI8&gt;AXI5)),"")</f>
        <v/>
      </c>
      <c r="AXQ5" s="319" t="str">
        <f t="shared" ref="AXQ5" ca="1" si="1071">IF(AXA5&lt;&gt;"",SUMPRODUCT((AXL4:AXL8=AXL5)*(AXG4:AXG8=AXG5)*(AXE4:AXE8=AXE5)*(AXI4:AXI8=AXI5)*(AXJ4:AXJ8&gt;AXJ5)),"")</f>
        <v/>
      </c>
      <c r="AXR5" s="319" t="str">
        <f t="shared" ref="AXR5" ca="1" si="1072">IF(AXA5&lt;&gt;"",SUMPRODUCT((AXL4:AXL8=AXL5)*(AXG4:AXG8=AXG5)*(AXE4:AXE8=AXE5)*(AXI4:AXI8=AXI5)*(AXJ4:AXJ8=AXJ5)*(AXK4:AXK8&gt;AXK5)),"")</f>
        <v/>
      </c>
      <c r="AXS5" s="319" t="str">
        <f ca="1">IF(AXA5&lt;&gt;"",IF(AXS45&lt;&gt;"",IF(AWZ43=3,AXS45,AXS45+AWZ43),SUM(AXM5:AXR5)),"")</f>
        <v/>
      </c>
      <c r="AXT5" s="319" t="str">
        <f t="shared" ref="AXT5" ca="1" si="1073">IF(AXA5&lt;&gt;"",INDEX(AXA4:AXA8,MATCH(2,AXS4:AXS8,0),0),"")</f>
        <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Scotland</v>
      </c>
      <c r="BAD5" s="319">
        <v>2</v>
      </c>
      <c r="BAE5" s="319">
        <v>3</v>
      </c>
      <c r="BAF5" s="319" t="str">
        <f t="shared" si="130"/>
        <v>Spain</v>
      </c>
      <c r="BAG5" s="322">
        <f ca="1">IF(OFFSET('Player Game Board'!P12,0,BAG1)&lt;&gt;"",OFFSET('Player Game Board'!P12,0,BAG1),0)</f>
        <v>2</v>
      </c>
      <c r="BAH5" s="322">
        <f ca="1">IF(OFFSET('Player Game Board'!Q12,0,BAG1)&lt;&gt;"",OFFSET('Player Game Board'!Q12,0,BAG1),0)</f>
        <v>1</v>
      </c>
      <c r="BAI5" s="319" t="str">
        <f t="shared" si="131"/>
        <v>Croatia</v>
      </c>
      <c r="BAJ5" s="319" t="str">
        <f ca="1">IF(AND(OFFSET('Player Game Board'!P12,0,BAG1)&lt;&gt;"",OFFSET('Player Game Board'!Q12,0,BAG1)&lt;&gt;""),IF(BAG5&gt;BAH5,"W",IF(BAG5=BAH5,"D","L")),"")</f>
        <v>W</v>
      </c>
      <c r="BAK5" s="319" t="str">
        <f t="shared" ca="1" si="132"/>
        <v>L</v>
      </c>
      <c r="BAL5" s="319"/>
      <c r="BAM5" s="319"/>
      <c r="BAN5" s="319" t="str">
        <f t="shared" ref="BAN5" ca="1" si="1094">VLOOKUP(3,AWG18:AWH21,2,FALSE)</f>
        <v>Serbia</v>
      </c>
      <c r="BAO5" s="320">
        <f t="shared" ref="BAO5" ca="1" si="1095">VLOOKUP(BAN5,AWH4:AWM40,2,FALSE)</f>
        <v>1</v>
      </c>
      <c r="BAP5" s="320">
        <f t="shared" ref="BAP5" ca="1" si="1096">VLOOKUP(BAN5,AWH4:AWM40,3,FALSE)</f>
        <v>0</v>
      </c>
      <c r="BAQ5" s="320">
        <f t="shared" ref="BAQ5" ca="1" si="1097">VLOOKUP(BAN5,AWH4:AWM40,4,FALSE)</f>
        <v>2</v>
      </c>
      <c r="BAR5" s="320">
        <f t="shared" ref="BAR5" ca="1" si="1098">VLOOKUP(BAN5,AWH4:AWM40,5,FALSE)</f>
        <v>4</v>
      </c>
      <c r="BAS5" s="320">
        <f t="shared" ref="BAS5" ca="1" si="1099">VLOOKUP(BAN5,AWH4:AWM40,6,FALSE)</f>
        <v>8</v>
      </c>
      <c r="BAT5" s="320">
        <f t="shared" ca="1" si="139"/>
        <v>996</v>
      </c>
      <c r="BAU5" s="320">
        <f t="shared" ca="1" si="140"/>
        <v>3</v>
      </c>
      <c r="BAV5" s="319">
        <f ca="1">VLOOKUP(BAN5,B4:J40,9,FALSE)</f>
        <v>35</v>
      </c>
      <c r="BAW5" s="319">
        <f t="shared" ref="BAW5" ca="1" si="1100">RANK(BAU5,BAU3:BAU8)</f>
        <v>1</v>
      </c>
      <c r="BAX5" s="319">
        <f t="shared" ref="BAX5" ca="1" si="1101">SUMPRODUCT((BAW3:BAW8=BAW5)*(BAT3:BAT8&gt;BAT5))</f>
        <v>4</v>
      </c>
      <c r="BAY5" s="319">
        <f t="shared" ref="BAY5" ca="1" si="1102">SUMPRODUCT((BAW3:BAW8=BAW5)*(BAT3:BAT8=BAT5)*(BAR3:BAR8&gt;BAR5))</f>
        <v>0</v>
      </c>
      <c r="BAZ5" s="319">
        <f t="shared" ref="BAZ5" ca="1" si="1103">SUMPRODUCT((BAW3:BAW8=BAW5)*(BAT3:BAT8=BAT5)*(BAR3:BAR8=BAR5)*(BAV3:BAV8&gt;BAV5))</f>
        <v>0</v>
      </c>
      <c r="BBA5" s="319">
        <f t="shared" ca="1" si="145"/>
        <v>5</v>
      </c>
      <c r="BBB5" s="319" t="s">
        <v>107</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107</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Poland</v>
      </c>
      <c r="DI6" s="320">
        <f>Matches!U24</f>
        <v>0</v>
      </c>
      <c r="DJ6" s="320">
        <f>Matches!V24</f>
        <v>0</v>
      </c>
      <c r="DK6" s="320">
        <f>Matches!W24</f>
        <v>1</v>
      </c>
      <c r="DL6" s="320">
        <f>Matches!X24</f>
        <v>1</v>
      </c>
      <c r="DM6" s="320">
        <f>Matches!Z24</f>
        <v>2</v>
      </c>
      <c r="DN6" s="320">
        <f>Matches!AA24</f>
        <v>-1</v>
      </c>
      <c r="DO6" s="320">
        <f>Matches!AB24</f>
        <v>0</v>
      </c>
      <c r="DP6" s="319">
        <f>VLOOKUP(DH6,B4:J40,9,FALSE)</f>
        <v>0</v>
      </c>
      <c r="DQ6" s="319">
        <f>RANK(DO6,DO3:DO8)</f>
        <v>4</v>
      </c>
      <c r="DR6" s="319">
        <f>SUMPRODUCT((DQ3:DQ8=DQ6)*(DN3:DN8&gt;DN6))</f>
        <v>0</v>
      </c>
      <c r="DS6" s="319">
        <f>SUMPRODUCT((DQ3:DQ8=DQ6)*(DN3:DN8=DN6)*(DL3:DL8&gt;DL6))</f>
        <v>0</v>
      </c>
      <c r="DT6" s="319">
        <f>SUMPRODUCT((DQ3:DQ8=DQ6)*(DN3:DN8=DN6)*(DL3:DL8=DL6)*(DP3:DP8&gt;DP6))</f>
        <v>1</v>
      </c>
      <c r="DU6" s="319">
        <f t="shared" si="163"/>
        <v>5</v>
      </c>
      <c r="DV6" s="319" t="s">
        <v>108</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3</v>
      </c>
      <c r="EE6" s="319">
        <f ca="1">SUMIF(IA3:IA60,DZ6,HY3:HY60)+SUMIF(HX3:HX60,DZ6,HZ3:HZ60)</f>
        <v>7</v>
      </c>
      <c r="EF6" s="319">
        <f t="shared" ca="1" si="607"/>
        <v>996</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2</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Scotland</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1</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19">
        <f ca="1">FQ6-FR6+1000</f>
        <v>1000</v>
      </c>
      <c r="FT6" s="319">
        <f t="shared" ca="1" si="613"/>
        <v>1</v>
      </c>
      <c r="FU6" s="319">
        <f ca="1">IF(FM6&lt;&gt;"",VLOOKUP(FM6,DZ4:EF40,7,FALSE),"")</f>
        <v>999</v>
      </c>
      <c r="FV6" s="319">
        <f ca="1">IF(FM6&lt;&gt;"",VLOOKUP(FM6,DZ4:EF40,5,FALSE),"")</f>
        <v>3</v>
      </c>
      <c r="FW6" s="319">
        <f ca="1">IF(FM6&lt;&gt;"",VLOOKUP(FM6,DZ4:EH40,9,FALSE),"")</f>
        <v>43</v>
      </c>
      <c r="FX6" s="319">
        <f t="shared" ca="1" si="614"/>
        <v>1</v>
      </c>
      <c r="FY6" s="319">
        <f ca="1">IF(FM6&lt;&gt;"",RANK(FX6,FX4:FX8),"")</f>
        <v>1</v>
      </c>
      <c r="FZ6" s="319">
        <f ca="1">IF(FM6&lt;&gt;"",SUMPRODUCT((FX4:FX8=FX6)*(FS4:FS8&gt;FS6)),"")</f>
        <v>0</v>
      </c>
      <c r="GA6" s="319">
        <f ca="1">IF(FM6&lt;&gt;"",SUMPRODUCT((FX4:FX8=FX6)*(FS4:FS8=FS6)*(FQ4:FQ8&gt;FQ6)),"")</f>
        <v>0</v>
      </c>
      <c r="GB6" s="319">
        <f ca="1">IF(FM6&lt;&gt;"",SUMPRODUCT((FX4:FX8=FX6)*(FS4:FS8=FS6)*(FQ4:FQ8=FQ6)*(FU4:FU8&gt;FU6)),"")</f>
        <v>0</v>
      </c>
      <c r="GC6" s="319">
        <f ca="1">IF(FM6&lt;&gt;"",SUMPRODUCT((FX4:FX8=FX6)*(FS4:FS8=FS6)*(FQ4:FQ8=FQ6)*(FU4:FU8=FU6)*(FV4:FV8&gt;FV6)),"")</f>
        <v>1</v>
      </c>
      <c r="GD6" s="319">
        <f ca="1">IF(FM6&lt;&gt;"",SUMPRODUCT((FX4:FX8=FX6)*(FS4:FS8=FS6)*(FQ4:FQ8=FQ6)*(FU4:FU8=FU6)*(FV4:FV8=FV6)*(FW4:FW8&gt;FW6)),"")</f>
        <v>0</v>
      </c>
      <c r="GE6" s="319">
        <f ca="1">IF(FM6&lt;&gt;"",IF(GE46&lt;&gt;"",IF(FL43=3,GE46,GE46+FL43),SUM(FY6:GD6)+1),"")</f>
        <v>3</v>
      </c>
      <c r="GF6" s="319" t="str">
        <f ca="1">IF(FM6&lt;&gt;"",INDEX(FM5:FM8,MATCH(3,GE5:GE8,0),0),"")</f>
        <v>Scotland</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1</v>
      </c>
      <c r="IH6" s="320">
        <f ca="1">VLOOKUP(IF6,DZ4:EE40,3,FALSE)</f>
        <v>0</v>
      </c>
      <c r="II6" s="320">
        <f ca="1">VLOOKUP(IF6,DZ4:EE40,4,FALSE)</f>
        <v>2</v>
      </c>
      <c r="IJ6" s="320">
        <f ca="1">VLOOKUP(IF6,DZ4:EE40,5,FALSE)</f>
        <v>3</v>
      </c>
      <c r="IK6" s="320">
        <f ca="1">VLOOKUP(IF6,DZ4:EE40,6,FALSE)</f>
        <v>5</v>
      </c>
      <c r="IL6" s="320">
        <f t="shared" ca="1" si="167"/>
        <v>998</v>
      </c>
      <c r="IM6" s="320">
        <f t="shared" ca="1" si="168"/>
        <v>3</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108</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0</v>
      </c>
      <c r="JA6" s="319">
        <f ca="1">SUMPRODUCT((MV3:MV42=IX6)*(MZ3:MZ42="L"))+SUMPRODUCT((MY3:MY42=IX6)*(NA3:NA42="L"))</f>
        <v>2</v>
      </c>
      <c r="JB6" s="319">
        <f ca="1">SUMIF(MV3:MV60,IX6,MW3:MW60)+SUMIF(MY3:MY60,IX6,MX3:MX60)</f>
        <v>4</v>
      </c>
      <c r="JC6" s="319">
        <f ca="1">SUMIF(MY3:MY60,IX6,MW3:MW60)+SUMIF(MV3:MV60,IX6,MX3:MX60)</f>
        <v>5</v>
      </c>
      <c r="JD6" s="319">
        <f t="shared" ca="1" si="616"/>
        <v>999</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3</v>
      </c>
      <c r="MX6" s="322">
        <f ca="1">IF(OFFSET('Player Game Board'!Q13,0,MW1)&lt;&gt;"",OFFSET('Player Game Board'!Q13,0,MW1),0)</f>
        <v>1</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5</v>
      </c>
      <c r="NJ6" s="320">
        <f t="shared" ca="1" si="173"/>
        <v>999</v>
      </c>
      <c r="NK6" s="320">
        <f t="shared" ca="1" si="174"/>
        <v>3</v>
      </c>
      <c r="NL6" s="319">
        <f ca="1">VLOOKUP(ND6,B4:J40,9,FALSE)</f>
        <v>0</v>
      </c>
      <c r="NM6" s="319">
        <f ca="1">RANK(NK6,NK3:NK8)</f>
        <v>3</v>
      </c>
      <c r="NN6" s="319">
        <f ca="1">SUMPRODUCT((NM3:NM8=NM6)*(NJ3:NJ8&gt;NJ6))</f>
        <v>0</v>
      </c>
      <c r="NO6" s="319">
        <f ca="1">SUMPRODUCT((NM3:NM8=NM6)*(NJ3:NJ8=NJ6)*(NH3:NH8&gt;NH6))</f>
        <v>0</v>
      </c>
      <c r="NP6" s="319">
        <f ca="1">SUMPRODUCT((NM3:NM8=NM6)*(NJ3:NJ8=NJ6)*(NH3:NH8=NH6)*(NL3:NL8&gt;NL6))</f>
        <v>1</v>
      </c>
      <c r="NQ6" s="319">
        <f t="shared" ca="1" si="175"/>
        <v>4</v>
      </c>
      <c r="NR6" s="319" t="s">
        <v>108</v>
      </c>
      <c r="NS6" s="319">
        <v>4</v>
      </c>
      <c r="NT6" s="319"/>
      <c r="NU6" s="319">
        <f t="shared" ref="NU6" ca="1" si="1170">VLOOKUP(NV6,RQ4:RR8,2,FALSE)</f>
        <v>4</v>
      </c>
      <c r="NV6" s="319" t="str">
        <f t="shared" si="177"/>
        <v>Hungary</v>
      </c>
      <c r="NW6" s="319">
        <f t="shared" ref="NW6" ca="1" si="1171">SUMPRODUCT((RT3:RT42=NV6)*(RX3:RX42="W"))+SUMPRODUCT((RW3:RW42=NV6)*(RY3:RY42="W"))</f>
        <v>0</v>
      </c>
      <c r="NX6" s="319">
        <f t="shared" ref="NX6" ca="1" si="1172">SUMPRODUCT((RT3:RT42=NV6)*(RX3:RX42="D"))+SUMPRODUCT((RW3:RW42=NV6)*(RY3:RY42="D"))</f>
        <v>1</v>
      </c>
      <c r="NY6" s="319">
        <f t="shared" ref="NY6" ca="1" si="1173">SUMPRODUCT((RT3:RT42=NV6)*(RX3:RX42="L"))+SUMPRODUCT((RW3:RW42=NV6)*(RY3:RY42="L"))</f>
        <v>2</v>
      </c>
      <c r="NZ6" s="319">
        <f t="shared" ref="NZ6" ca="1" si="1174">SUMIF(RT3:RT60,NV6,RU3:RU60)+SUMIF(RW3:RW60,NV6,RV3:RV60)</f>
        <v>1</v>
      </c>
      <c r="OA6" s="319">
        <f t="shared" ref="OA6" ca="1" si="1175">SUMIF(RW3:RW60,NV6,RU3:RU60)+SUMIF(RT3:RT60,NV6,RV3:RV60)</f>
        <v>3</v>
      </c>
      <c r="OB6" s="319">
        <f t="shared" ca="1" si="183"/>
        <v>998</v>
      </c>
      <c r="OC6" s="319">
        <f t="shared" ca="1" si="184"/>
        <v>1</v>
      </c>
      <c r="OD6" s="319">
        <f t="shared" si="630"/>
        <v>48</v>
      </c>
      <c r="OE6" s="319">
        <f t="shared" ref="OE6" ca="1" si="1176">IF(COUNTIF(OC4:OC8,4)&lt;&gt;4,RANK(OC6,OC4:OC8),OC46)</f>
        <v>3</v>
      </c>
      <c r="OF6" s="319"/>
      <c r="OG6" s="319">
        <f t="shared" ref="OG6" ca="1" si="1177">SUMPRODUCT((OE4:OE7=OE6)*(OD4:OD7&lt;OD6))+OE6</f>
        <v>4</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998</v>
      </c>
      <c r="QL6" s="319">
        <f t="shared" ref="QL6" ca="1" si="1222">IF(QC6&lt;&gt;"",VLOOKUP(QC6,NV4:OB40,5,FALSE),"")</f>
        <v>2</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0</v>
      </c>
      <c r="QU6" s="319">
        <f t="shared" ref="QU6:QU7" ca="1" si="1231">IF(QC6&lt;&gt;"",SUM(QO6:QT6)+2,"")</f>
        <v>3</v>
      </c>
      <c r="QV6" s="319" t="str">
        <f t="shared" ref="QV6" ca="1" si="1232">IF(QC6&lt;&gt;"",INDEX(QC6:QC8,MATCH(3,QU6:QU8,0),0),"")</f>
        <v>Switzerland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Switzerland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1</v>
      </c>
      <c r="SD6" s="320">
        <f t="shared" ref="SD6" ca="1" si="1236">VLOOKUP(SB6,NV4:OA40,3,FALSE)</f>
        <v>0</v>
      </c>
      <c r="SE6" s="320">
        <f t="shared" ref="SE6" ca="1" si="1237">VLOOKUP(SB6,NV4:OA40,4,FALSE)</f>
        <v>2</v>
      </c>
      <c r="SF6" s="320">
        <f t="shared" ref="SF6" ca="1" si="1238">VLOOKUP(SB6,NV4:OA40,5,FALSE)</f>
        <v>3</v>
      </c>
      <c r="SG6" s="320">
        <f t="shared" ref="SG6" ca="1" si="1239">VLOOKUP(SB6,NV4:OA40,6,FALSE)</f>
        <v>4</v>
      </c>
      <c r="SH6" s="320">
        <f t="shared" ca="1" si="27"/>
        <v>999</v>
      </c>
      <c r="SI6" s="320">
        <f t="shared" ca="1" si="28"/>
        <v>3</v>
      </c>
      <c r="SJ6" s="319">
        <f ca="1">VLOOKUP(SB6,B4:J40,9,FALSE)</f>
        <v>41</v>
      </c>
      <c r="SK6" s="319">
        <f t="shared" ref="SK6" ca="1" si="1240">RANK(SI6,SI3:SI8)</f>
        <v>2</v>
      </c>
      <c r="SL6" s="319">
        <f t="shared" ref="SL6" ca="1" si="1241">SUMPRODUCT((SK3:SK8=SK6)*(SH3:SH8&gt;SH6))</f>
        <v>0</v>
      </c>
      <c r="SM6" s="319">
        <f t="shared" ref="SM6" ca="1" si="1242">SUMPRODUCT((SK3:SK8=SK6)*(SH3:SH8=SH6)*(SF3:SF8&gt;SF6))</f>
        <v>0</v>
      </c>
      <c r="SN6" s="319">
        <f t="shared" ref="SN6" ca="1" si="1243">SUMPRODUCT((SK3:SK8=SK6)*(SH3:SH8=SH6)*(SF3:SF8=SF6)*(SJ3:SJ8&gt;SJ6))</f>
        <v>0</v>
      </c>
      <c r="SO6" s="319">
        <f t="shared" ca="1" si="33"/>
        <v>2</v>
      </c>
      <c r="SP6" s="319" t="s">
        <v>108</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3</v>
      </c>
      <c r="SY6" s="319">
        <f t="shared" ref="SY6" ca="1" si="1249">SUMIF(WU3:WU60,ST6,WS3:WS60)+SUMIF(WR3:WR60,ST6,WT3:WT60)</f>
        <v>6</v>
      </c>
      <c r="SZ6" s="319">
        <f t="shared" ca="1" si="230"/>
        <v>997</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3</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1</v>
      </c>
      <c r="XB6" s="320">
        <f t="shared" ref="XB6" ca="1" si="1310">VLOOKUP(WZ6,ST4:SY40,3,FALSE)</f>
        <v>0</v>
      </c>
      <c r="XC6" s="320">
        <f t="shared" ref="XC6" ca="1" si="1311">VLOOKUP(WZ6,ST4:SY40,4,FALSE)</f>
        <v>2</v>
      </c>
      <c r="XD6" s="320">
        <f t="shared" ref="XD6" ca="1" si="1312">VLOOKUP(WZ6,ST4:SY40,5,FALSE)</f>
        <v>2</v>
      </c>
      <c r="XE6" s="320">
        <f t="shared" ref="XE6" ca="1" si="1313">VLOOKUP(WZ6,ST4:SY40,6,FALSE)</f>
        <v>5</v>
      </c>
      <c r="XF6" s="320">
        <f t="shared" ca="1" si="43"/>
        <v>997</v>
      </c>
      <c r="XG6" s="320">
        <f t="shared" ca="1" si="44"/>
        <v>3</v>
      </c>
      <c r="XH6" s="319">
        <f ca="1">VLOOKUP(WZ6,B4:J40,9,FALSE)</f>
        <v>0</v>
      </c>
      <c r="XI6" s="319">
        <f t="shared" ref="XI6" ca="1" si="1314">RANK(XG6,XG3:XG8)</f>
        <v>3</v>
      </c>
      <c r="XJ6" s="319">
        <f t="shared" ref="XJ6" ca="1" si="1315">SUMPRODUCT((XI3:XI8=XI6)*(XF3:XF8&gt;XF6))</f>
        <v>1</v>
      </c>
      <c r="XK6" s="319">
        <f t="shared" ref="XK6" ca="1" si="1316">SUMPRODUCT((XI3:XI8=XI6)*(XF3:XF8=XF6)*(XD3:XD8&gt;XD6))</f>
        <v>0</v>
      </c>
      <c r="XL6" s="319">
        <f t="shared" ref="XL6" ca="1" si="1317">SUMPRODUCT((XI3:XI8=XI6)*(XF3:XF8=XF6)*(XD3:XD8=XD6)*(XH3:XH8&gt;XH6))</f>
        <v>0</v>
      </c>
      <c r="XM6" s="319">
        <f t="shared" ca="1" si="49"/>
        <v>4</v>
      </c>
      <c r="XN6" s="319" t="s">
        <v>108</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108</v>
      </c>
      <c r="ACM6" s="319">
        <v>4</v>
      </c>
      <c r="ACN6" s="319"/>
      <c r="ACO6" s="319">
        <f t="shared" ref="ACO6" ca="1" si="1392">VLOOKUP(ACP6,AGK4:AGL8,2,FALSE)</f>
        <v>3</v>
      </c>
      <c r="ACP6" s="319" t="str">
        <f t="shared" si="318"/>
        <v>Hungary</v>
      </c>
      <c r="ACQ6" s="319">
        <f t="shared" ref="ACQ6" ca="1" si="1393">SUMPRODUCT((AGN3:AGN42=ACP6)*(AGR3:AGR42="W"))+SUMPRODUCT((AGQ3:AGQ42=ACP6)*(AGS3:AGS42="W"))</f>
        <v>0</v>
      </c>
      <c r="ACR6" s="319">
        <f t="shared" ref="ACR6" ca="1" si="1394">SUMPRODUCT((AGN3:AGN42=ACP6)*(AGR3:AGR42="D"))+SUMPRODUCT((AGQ3:AGQ42=ACP6)*(AGS3:AGS42="D"))</f>
        <v>2</v>
      </c>
      <c r="ACS6" s="319">
        <f t="shared" ref="ACS6" ca="1" si="1395">SUMPRODUCT((AGN3:AGN42=ACP6)*(AGR3:AGR42="L"))+SUMPRODUCT((AGQ3:AGQ42=ACP6)*(AGS3:AGS42="L"))</f>
        <v>1</v>
      </c>
      <c r="ACT6" s="319">
        <f t="shared" ref="ACT6" ca="1" si="1396">SUMIF(AGN3:AGN60,ACP6,AGO3:AGO60)+SUMIF(AGQ3:AGQ60,ACP6,AGP3:AGP60)</f>
        <v>2</v>
      </c>
      <c r="ACU6" s="319">
        <f t="shared" ref="ACU6" ca="1" si="1397">SUMIF(AGQ3:AGQ60,ACP6,AGO3:AGO60)+SUMIF(AGN3:AGN60,ACP6,AGP3:AGP60)</f>
        <v>3</v>
      </c>
      <c r="ACV6" s="319">
        <f t="shared" ca="1" si="324"/>
        <v>999</v>
      </c>
      <c r="ACW6" s="319">
        <f t="shared" ca="1" si="325"/>
        <v>2</v>
      </c>
      <c r="ACX6" s="319">
        <f t="shared" si="810"/>
        <v>48</v>
      </c>
      <c r="ACY6" s="319">
        <f t="shared" ref="ACY6" ca="1" si="1398">IF(COUNTIF(ACW4:ACW8,4)&lt;&gt;4,RANK(ACW6,ACW4:ACW8),ACW46)</f>
        <v>3</v>
      </c>
      <c r="ACZ6" s="319"/>
      <c r="ADA6" s="319">
        <f t="shared" ref="ADA6" ca="1" si="1399">SUMPRODUCT((ACY4:ACY7=ACY6)*(ACX4:ACX7&lt;ACX6))+ACY6</f>
        <v>3</v>
      </c>
      <c r="ADB6" s="319" t="str">
        <f t="shared" ref="ADB6" ca="1" si="1400">INDEX(ACP4:ACP8,MATCH(3,ADA4:ADA8,0),0)</f>
        <v>Hungary</v>
      </c>
      <c r="ADC6" s="319">
        <f t="shared" ref="ADC6" ca="1" si="1401">INDEX(ACY4:ACY8,MATCH(ADB6,ACP4:ACP8,0),0)</f>
        <v>3</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Hungary</v>
      </c>
      <c r="AGL6" s="319">
        <v>3</v>
      </c>
      <c r="AGM6" s="319">
        <v>4</v>
      </c>
      <c r="AGN6" s="319" t="str">
        <f t="shared" si="66"/>
        <v>Italy</v>
      </c>
      <c r="AGO6" s="322">
        <f ca="1">IF(OFFSET('Player Game Board'!P13,0,AGO1)&lt;&gt;"",OFFSET('Player Game Board'!P13,0,AGO1),0)</f>
        <v>1</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Poland</v>
      </c>
      <c r="AGW6" s="320">
        <f t="shared" ref="AGW6" ca="1" si="1457">VLOOKUP(AGV6,ACP4:ACU40,2,FALSE)</f>
        <v>1</v>
      </c>
      <c r="AGX6" s="320">
        <f t="shared" ref="AGX6" ca="1" si="1458">VLOOKUP(AGV6,ACP4:ACU40,3,FALSE)</f>
        <v>0</v>
      </c>
      <c r="AGY6" s="320">
        <f t="shared" ref="AGY6" ca="1" si="1459">VLOOKUP(AGV6,ACP4:ACU40,4,FALSE)</f>
        <v>2</v>
      </c>
      <c r="AGZ6" s="320">
        <f t="shared" ref="AGZ6" ca="1" si="1460">VLOOKUP(AGV6,ACP4:ACU40,5,FALSE)</f>
        <v>5</v>
      </c>
      <c r="AHA6" s="320">
        <f t="shared" ref="AHA6" ca="1" si="1461">VLOOKUP(AGV6,ACP4:ACU40,6,FALSE)</f>
        <v>6</v>
      </c>
      <c r="AHB6" s="320">
        <f t="shared" ca="1" si="75"/>
        <v>999</v>
      </c>
      <c r="AHC6" s="320">
        <f t="shared" ca="1" si="76"/>
        <v>3</v>
      </c>
      <c r="AHD6" s="319">
        <f ca="1">VLOOKUP(AGV6,B4:J40,9,FALSE)</f>
        <v>0</v>
      </c>
      <c r="AHE6" s="319">
        <f t="shared" ref="AHE6" ca="1" si="1462">RANK(AHC6,AHC3:AHC8)</f>
        <v>2</v>
      </c>
      <c r="AHF6" s="319">
        <f t="shared" ref="AHF6" ca="1" si="1463">SUMPRODUCT((AHE3:AHE8=AHE6)*(AHB3:AHB8&gt;AHB6))</f>
        <v>1</v>
      </c>
      <c r="AHG6" s="319">
        <f t="shared" ref="AHG6" ca="1" si="1464">SUMPRODUCT((AHE3:AHE8=AHE6)*(AHB3:AHB8=AHB6)*(AGZ3:AGZ8&gt;AGZ6))</f>
        <v>0</v>
      </c>
      <c r="AHH6" s="319">
        <f t="shared" ref="AHH6" ca="1" si="1465">SUMPRODUCT((AHE3:AHE8=AHE6)*(AHB3:AHB8=AHB6)*(AGZ3:AGZ8=AGZ6)*(AHD3:AHD8&gt;AHD6))</f>
        <v>0</v>
      </c>
      <c r="AHI6" s="319">
        <f t="shared" ca="1" si="81"/>
        <v>3</v>
      </c>
      <c r="AHJ6" s="319" t="s">
        <v>108</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1</v>
      </c>
      <c r="AHS6" s="319">
        <f t="shared" ref="AHS6" ca="1" si="1471">SUMIF(ALO3:ALO60,AHN6,ALM3:ALM60)+SUMIF(ALL3:ALL60,AHN6,ALN3:ALN60)</f>
        <v>4</v>
      </c>
      <c r="AHT6" s="319">
        <f t="shared" ca="1" si="371"/>
        <v>997</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Switzerland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Switzerland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f t="shared" ref="AKB6:AKB7" ca="1" si="1516">IF(AJU6&lt;&gt;"",AJV6*3+AJW6*1,"")</f>
        <v>1</v>
      </c>
      <c r="AKC6" s="319">
        <f t="shared" ref="AKC6" ca="1" si="1517">IF(AJU6&lt;&gt;"",VLOOKUP(AJU6,AHN4:AHT40,7,FALSE),"")</f>
        <v>998</v>
      </c>
      <c r="AKD6" s="319">
        <f t="shared" ref="AKD6" ca="1" si="1518">IF(AJU6&lt;&gt;"",VLOOKUP(AJU6,AHN4:AHT40,5,FALSE),"")</f>
        <v>1</v>
      </c>
      <c r="AKE6" s="319">
        <f t="shared" ref="AKE6" ca="1" si="1519">IF(AJU6&lt;&gt;"",VLOOKUP(AJU6,AHN4:AHV40,9,FALSE),"")</f>
        <v>34</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Switzerland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Switzerland</v>
      </c>
      <c r="ALJ6" s="319">
        <v>3</v>
      </c>
      <c r="ALK6" s="319">
        <v>4</v>
      </c>
      <c r="ALL6" s="319" t="str">
        <f t="shared" si="82"/>
        <v>Italy</v>
      </c>
      <c r="ALM6" s="322">
        <f ca="1">IF(OFFSET('Player Game Board'!P13,0,ALM1)&lt;&gt;"",OFFSET('Player Game Board'!P13,0,ALM1),0)</f>
        <v>3</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Austria</v>
      </c>
      <c r="ALU6" s="320">
        <f t="shared" ref="ALU6" ca="1" si="1531">VLOOKUP(ALT6,AHN4:AHS40,2,FALSE)</f>
        <v>1</v>
      </c>
      <c r="ALV6" s="320">
        <f t="shared" ref="ALV6" ca="1" si="1532">VLOOKUP(ALT6,AHN4:AHS40,3,FALSE)</f>
        <v>0</v>
      </c>
      <c r="ALW6" s="320">
        <f t="shared" ref="ALW6" ca="1" si="1533">VLOOKUP(ALT6,AHN4:AHS40,4,FALSE)</f>
        <v>2</v>
      </c>
      <c r="ALX6" s="320">
        <f t="shared" ref="ALX6" ca="1" si="1534">VLOOKUP(ALT6,AHN4:AHS40,5,FALSE)</f>
        <v>3</v>
      </c>
      <c r="ALY6" s="320">
        <f t="shared" ref="ALY6" ca="1" si="1535">VLOOKUP(ALT6,AHN4:AHS40,6,FALSE)</f>
        <v>4</v>
      </c>
      <c r="ALZ6" s="320">
        <f t="shared" ca="1" si="91"/>
        <v>999</v>
      </c>
      <c r="AMA6" s="320">
        <f t="shared" ca="1" si="92"/>
        <v>3</v>
      </c>
      <c r="AMB6" s="319">
        <f ca="1">VLOOKUP(ALT6,B4:J40,9,FALSE)</f>
        <v>41</v>
      </c>
      <c r="AMC6" s="319">
        <f t="shared" ref="AMC6" ca="1" si="1536">RANK(AMA6,AMA3:AMA8)</f>
        <v>1</v>
      </c>
      <c r="AMD6" s="319">
        <f t="shared" ref="AMD6" ca="1" si="1537">SUMPRODUCT((AMC3:AMC8=AMC6)*(ALZ3:ALZ8&gt;ALZ6))</f>
        <v>1</v>
      </c>
      <c r="AME6" s="319">
        <f t="shared" ref="AME6" ca="1" si="1538">SUMPRODUCT((AMC3:AMC8=AMC6)*(ALZ3:ALZ8=ALZ6)*(ALX3:ALX8&gt;ALX6))</f>
        <v>1</v>
      </c>
      <c r="AMF6" s="319">
        <f t="shared" ref="AMF6" ca="1" si="1539">SUMPRODUCT((AMC3:AMC8=AMC6)*(ALZ3:ALZ8=ALZ6)*(ALX3:ALX8=ALX6)*(AMB3:AMB8&gt;AMB6))</f>
        <v>0</v>
      </c>
      <c r="AMG6" s="319">
        <f t="shared" ca="1" si="97"/>
        <v>3</v>
      </c>
      <c r="AMH6" s="319" t="s">
        <v>108</v>
      </c>
      <c r="AMI6" s="319">
        <v>4</v>
      </c>
      <c r="AMJ6" s="319"/>
      <c r="AMK6" s="319">
        <f t="shared" ref="AMK6" ca="1" si="1540">VLOOKUP(AML6,AQG4:AQH8,2,FALSE)</f>
        <v>4</v>
      </c>
      <c r="AML6" s="319" t="str">
        <f t="shared" si="412"/>
        <v>Hungary</v>
      </c>
      <c r="AMM6" s="319">
        <f t="shared" ref="AMM6" ca="1" si="1541">SUMPRODUCT((AQJ3:AQJ42=AML6)*(AQN3:AQN42="W"))+SUMPRODUCT((AQM3:AQM42=AML6)*(AQO3:AQO42="W"))</f>
        <v>0</v>
      </c>
      <c r="AMN6" s="319">
        <f t="shared" ref="AMN6" ca="1" si="1542">SUMPRODUCT((AQJ3:AQJ42=AML6)*(AQN3:AQN42="D"))+SUMPRODUCT((AQM3:AQM42=AML6)*(AQO3:AQO42="D"))</f>
        <v>1</v>
      </c>
      <c r="AMO6" s="319">
        <f t="shared" ref="AMO6" ca="1" si="1543">SUMPRODUCT((AQJ3:AQJ42=AML6)*(AQN3:AQN42="L"))+SUMPRODUCT((AQM3:AQM42=AML6)*(AQO3:AQO42="L"))</f>
        <v>2</v>
      </c>
      <c r="AMP6" s="319">
        <f t="shared" ref="AMP6" ca="1" si="1544">SUMIF(AQJ3:AQJ60,AML6,AQK3:AQK60)+SUMIF(AQM3:AQM60,AML6,AQL3:AQL60)</f>
        <v>1</v>
      </c>
      <c r="AMQ6" s="319">
        <f t="shared" ref="AMQ6" ca="1" si="1545">SUMIF(AQM3:AQM60,AML6,AQK3:AQK60)+SUMIF(AQJ3:AQJ60,AML6,AQL3:AQL60)</f>
        <v>3</v>
      </c>
      <c r="AMR6" s="319">
        <f t="shared" ca="1" si="418"/>
        <v>998</v>
      </c>
      <c r="AMS6" s="319">
        <f t="shared" ca="1" si="419"/>
        <v>1</v>
      </c>
      <c r="AMT6" s="319">
        <f t="shared" si="930"/>
        <v>48</v>
      </c>
      <c r="AMU6" s="319">
        <f t="shared" ref="AMU6" ca="1" si="1546">IF(COUNTIF(AMS4:AMS8,4)&lt;&gt;4,RANK(AMS6,AMS4:AMS8),AMS46)</f>
        <v>4</v>
      </c>
      <c r="AMV6" s="319"/>
      <c r="AMW6" s="319">
        <f t="shared" ref="AMW6" ca="1" si="1547">SUMPRODUCT((AMU4:AMU7=AMU6)*(AMT4:AMT7&lt;AMT6))+AMU6</f>
        <v>4</v>
      </c>
      <c r="AMX6" s="319" t="str">
        <f t="shared" ref="AMX6" ca="1" si="1548">INDEX(AML4:AML8,MATCH(3,AMW4:AMW8,0),0)</f>
        <v>Switzerland</v>
      </c>
      <c r="AMY6" s="319">
        <f t="shared" ref="AMY6" ca="1" si="1549">INDEX(AMU4:AMU8,MATCH(AMX6,AML4:AML8,0),0)</f>
        <v>3</v>
      </c>
      <c r="AMZ6" s="319" t="str">
        <f t="shared" ref="AMZ6:AMZ7" ca="1" si="1550">IF(AND(AMZ5&lt;&gt;"",AMY6=1),AMX6,"")</f>
        <v/>
      </c>
      <c r="ANA6" s="319" t="str">
        <f t="shared" ref="ANA6:ANA7" ca="1" si="1551">IF(AND(ANA5&lt;&gt;"",AMY7=2),AMX7,"")</f>
        <v/>
      </c>
      <c r="ANB6" s="319" t="str">
        <f t="shared" ref="ANB6" ca="1" si="1552">IF(AND(ANB5&lt;&gt;"",AMY8=3),AMX8,"")</f>
        <v/>
      </c>
      <c r="ANC6" s="319"/>
      <c r="AND6" s="319"/>
      <c r="ANE6" s="319" t="str">
        <f t="shared" ca="1" si="428"/>
        <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t="str">
        <f t="shared" ca="1" si="435"/>
        <v/>
      </c>
      <c r="ANM6" s="319" t="str">
        <f t="shared" ref="ANM6" ca="1" si="1558">IF(ANE6&lt;&gt;"",VLOOKUP(ANE6,AML4:AMR40,7,FALSE),"")</f>
        <v/>
      </c>
      <c r="ANN6" s="319" t="str">
        <f t="shared" ref="ANN6" ca="1" si="1559">IF(ANE6&lt;&gt;"",VLOOKUP(ANE6,AML4:AMR40,5,FALSE),"")</f>
        <v/>
      </c>
      <c r="ANO6" s="319" t="str">
        <f t="shared" ref="ANO6" ca="1" si="1560">IF(ANE6&lt;&gt;"",VLOOKUP(ANE6,AML4:AMT40,9,FALSE),"")</f>
        <v/>
      </c>
      <c r="ANP6" s="319" t="str">
        <f t="shared" ca="1" si="439"/>
        <v/>
      </c>
      <c r="ANQ6" s="319" t="str">
        <f t="shared" ref="ANQ6" ca="1" si="1561">IF(ANE6&lt;&gt;"",RANK(ANP6,ANP4:ANP8),"")</f>
        <v/>
      </c>
      <c r="ANR6" s="319" t="str">
        <f t="shared" ref="ANR6" ca="1" si="1562">IF(ANE6&lt;&gt;"",SUMPRODUCT((ANP4:ANP8=ANP6)*(ANK4:ANK8&gt;ANK6)),"")</f>
        <v/>
      </c>
      <c r="ANS6" s="319" t="str">
        <f t="shared" ref="ANS6" ca="1" si="1563">IF(ANE6&lt;&gt;"",SUMPRODUCT((ANP4:ANP8=ANP6)*(ANK4:ANK8=ANK6)*(ANI4:ANI8&gt;ANI6)),"")</f>
        <v/>
      </c>
      <c r="ANT6" s="319" t="str">
        <f t="shared" ref="ANT6" ca="1" si="1564">IF(ANE6&lt;&gt;"",SUMPRODUCT((ANP4:ANP8=ANP6)*(ANK4:ANK8=ANK6)*(ANI4:ANI8=ANI6)*(ANM4:ANM8&gt;ANM6)),"")</f>
        <v/>
      </c>
      <c r="ANU6" s="319" t="str">
        <f t="shared" ref="ANU6" ca="1" si="1565">IF(ANE6&lt;&gt;"",SUMPRODUCT((ANP4:ANP8=ANP6)*(ANK4:ANK8=ANK6)*(ANI4:ANI8=ANI6)*(ANM4:ANM8=ANM6)*(ANN4:ANN8&gt;ANN6)),"")</f>
        <v/>
      </c>
      <c r="ANV6" s="319" t="str">
        <f t="shared" ref="ANV6" ca="1" si="1566">IF(ANE6&lt;&gt;"",SUMPRODUCT((ANP4:ANP8=ANP6)*(ANK4:ANK8=ANK6)*(ANI4:ANI8=ANI6)*(ANM4:ANM8=ANM6)*(ANN4:ANN8=ANN6)*(ANO4:ANO8&gt;ANO6)),"")</f>
        <v/>
      </c>
      <c r="ANW6" s="319" t="str">
        <f ca="1">IF(ANE6&lt;&gt;"",IF(ANW46&lt;&gt;"",IF(AND43=3,ANW46,ANW46+AND43),SUM(ANQ6:ANV6)),"")</f>
        <v/>
      </c>
      <c r="ANX6" s="319" t="str">
        <f t="shared" ref="ANX6" ca="1" si="1567">IF(ANE6&lt;&gt;"",INDEX(ANE4:ANE8,MATCH(3,ANW4:ANW8,0),0),"")</f>
        <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Switzerland</v>
      </c>
      <c r="AQH6" s="319">
        <v>3</v>
      </c>
      <c r="AQI6" s="319">
        <v>4</v>
      </c>
      <c r="AQJ6" s="319" t="str">
        <f t="shared" si="98"/>
        <v>Italy</v>
      </c>
      <c r="AQK6" s="322">
        <f ca="1">IF(OFFSET('Player Game Board'!P13,0,AQK1)&lt;&gt;"",OFFSET('Player Game Board'!P13,0,AQK1),0)</f>
        <v>3</v>
      </c>
      <c r="AQL6" s="322">
        <f ca="1">IF(OFFSET('Player Game Board'!Q13,0,AQK1)&lt;&gt;"",OFFSET('Player Game Board'!Q13,0,AQK1),0)</f>
        <v>0</v>
      </c>
      <c r="AQM6" s="319" t="str">
        <f t="shared" si="99"/>
        <v>Albania</v>
      </c>
      <c r="AQN6" s="319" t="str">
        <f ca="1">IF(AND(OFFSET('Player Game Board'!P13,0,AQK1)&lt;&gt;"",OFFSET('Player Game Board'!Q13,0,AQK1)&lt;&gt;""),IF(AQK6&gt;AQL6,"W",IF(AQK6=AQL6,"D","L")),"")</f>
        <v>W</v>
      </c>
      <c r="AQO6" s="319" t="str">
        <f t="shared" ca="1" si="100"/>
        <v>L</v>
      </c>
      <c r="AQP6" s="319"/>
      <c r="AQQ6" s="319"/>
      <c r="AQR6" s="319" t="str">
        <f t="shared" ref="AQR6" ca="1" si="1604">VLOOKUP(3,AMK25:AML28,2,FALSE)</f>
        <v>Austria</v>
      </c>
      <c r="AQS6" s="320">
        <f t="shared" ref="AQS6" ca="1" si="1605">VLOOKUP(AQR6,AML4:AMQ40,2,FALSE)</f>
        <v>0</v>
      </c>
      <c r="AQT6" s="320">
        <f t="shared" ref="AQT6" ca="1" si="1606">VLOOKUP(AQR6,AML4:AMQ40,3,FALSE)</f>
        <v>1</v>
      </c>
      <c r="AQU6" s="320">
        <f t="shared" ref="AQU6" ca="1" si="1607">VLOOKUP(AQR6,AML4:AMQ40,4,FALSE)</f>
        <v>2</v>
      </c>
      <c r="AQV6" s="320">
        <f t="shared" ref="AQV6" ca="1" si="1608">VLOOKUP(AQR6,AML4:AMQ40,5,FALSE)</f>
        <v>3</v>
      </c>
      <c r="AQW6" s="320">
        <f t="shared" ref="AQW6" ca="1" si="1609">VLOOKUP(AQR6,AML4:AMQ40,6,FALSE)</f>
        <v>6</v>
      </c>
      <c r="AQX6" s="320">
        <f t="shared" ca="1" si="107"/>
        <v>997</v>
      </c>
      <c r="AQY6" s="320">
        <f t="shared" ca="1" si="108"/>
        <v>1</v>
      </c>
      <c r="AQZ6" s="319">
        <f ca="1">VLOOKUP(AQR6,B4:J40,9,FALSE)</f>
        <v>41</v>
      </c>
      <c r="ARA6" s="319">
        <f t="shared" ref="ARA6" ca="1" si="1610">RANK(AQY6,AQY3:AQY8)</f>
        <v>5</v>
      </c>
      <c r="ARB6" s="319">
        <f t="shared" ref="ARB6" ca="1" si="1611">SUMPRODUCT((ARA3:ARA8=ARA6)*(AQX3:AQX8&gt;AQX6))</f>
        <v>1</v>
      </c>
      <c r="ARC6" s="319">
        <f t="shared" ref="ARC6" ca="1" si="1612">SUMPRODUCT((ARA3:ARA8=ARA6)*(AQX3:AQX8=AQX6)*(AQV3:AQV8&gt;AQV6))</f>
        <v>0</v>
      </c>
      <c r="ARD6" s="319">
        <f t="shared" ref="ARD6" ca="1" si="1613">SUMPRODUCT((ARA3:ARA8=ARA6)*(AQX3:AQX8=AQX6)*(AQV3:AQV8=AQV6)*(AQZ3:AQZ8&gt;AQZ6))</f>
        <v>0</v>
      </c>
      <c r="ARE6" s="319">
        <f t="shared" ca="1" si="113"/>
        <v>6</v>
      </c>
      <c r="ARF6" s="319" t="s">
        <v>108</v>
      </c>
      <c r="ARG6" s="319">
        <v>4</v>
      </c>
      <c r="ARH6" s="319"/>
      <c r="ARI6" s="319">
        <f t="shared" ref="ARI6" ca="1" si="1614">VLOOKUP(ARJ6,AVE4:AVF8,2,FALSE)</f>
        <v>4</v>
      </c>
      <c r="ARJ6" s="319" t="str">
        <f t="shared" si="459"/>
        <v>Hungary</v>
      </c>
      <c r="ARK6" s="319">
        <f t="shared" ref="ARK6" ca="1" si="1615">SUMPRODUCT((AVH3:AVH42=ARJ6)*(AVL3:AVL42="W"))+SUMPRODUCT((AVK3:AVK42=ARJ6)*(AVM3:AVM42="W"))</f>
        <v>0</v>
      </c>
      <c r="ARL6" s="319">
        <f t="shared" ref="ARL6" ca="1" si="1616">SUMPRODUCT((AVH3:AVH42=ARJ6)*(AVL3:AVL42="D"))+SUMPRODUCT((AVK3:AVK42=ARJ6)*(AVM3:AVM42="D"))</f>
        <v>1</v>
      </c>
      <c r="ARM6" s="319">
        <f t="shared" ref="ARM6" ca="1" si="1617">SUMPRODUCT((AVH3:AVH42=ARJ6)*(AVL3:AVL42="L"))+SUMPRODUCT((AVK3:AVK42=ARJ6)*(AVM3:AVM42="L"))</f>
        <v>2</v>
      </c>
      <c r="ARN6" s="319">
        <f t="shared" ref="ARN6" ca="1" si="1618">SUMIF(AVH3:AVH60,ARJ6,AVI3:AVI60)+SUMIF(AVK3:AVK60,ARJ6,AVJ3:AVJ60)</f>
        <v>2</v>
      </c>
      <c r="ARO6" s="319">
        <f t="shared" ref="ARO6" ca="1" si="1619">SUMIF(AVK3:AVK60,ARJ6,AVI3:AVI60)+SUMIF(AVH3:AVH60,ARJ6,AVJ3:AVJ60)</f>
        <v>5</v>
      </c>
      <c r="ARP6" s="319">
        <f t="shared" ca="1" si="465"/>
        <v>997</v>
      </c>
      <c r="ARQ6" s="319">
        <f t="shared" ca="1" si="466"/>
        <v>1</v>
      </c>
      <c r="ARR6" s="319">
        <f t="shared" si="990"/>
        <v>48</v>
      </c>
      <c r="ARS6" s="319">
        <f t="shared" ref="ARS6" ca="1" si="1620">IF(COUNTIF(ARQ4:ARQ8,4)&lt;&gt;4,RANK(ARQ6,ARQ4:ARQ8),ARQ46)</f>
        <v>4</v>
      </c>
      <c r="ART6" s="319"/>
      <c r="ARU6" s="319">
        <f t="shared" ref="ARU6" ca="1" si="1621">SUMPRODUCT((ARS4:ARS7=ARS6)*(ARR4:ARR7&lt;ARR6))+ARS6</f>
        <v>4</v>
      </c>
      <c r="ARV6" s="319" t="str">
        <f t="shared" ref="ARV6" ca="1" si="1622">INDEX(ARJ4:ARJ8,MATCH(3,ARU4:ARU8,0),0)</f>
        <v>Scotland</v>
      </c>
      <c r="ARW6" s="319">
        <f t="shared" ref="ARW6" ca="1" si="1623">INDEX(ARS4:ARS8,MATCH(ARV6,ARJ4:ARJ8,0),0)</f>
        <v>3</v>
      </c>
      <c r="ARX6" s="319" t="str">
        <f t="shared" ref="ARX6:ARX7" ca="1" si="1624">IF(AND(ARX5&lt;&gt;"",ARW6=1),ARV6,"")</f>
        <v/>
      </c>
      <c r="ARY6" s="319" t="str">
        <f t="shared" ref="ARY6:ARY7" ca="1" si="1625">IF(AND(ARY5&lt;&gt;"",ARW7=2),ARV7,"")</f>
        <v/>
      </c>
      <c r="ARZ6" s="319" t="str">
        <f t="shared" ref="ARZ6" ca="1" si="1626">IF(AND(ARZ5&lt;&gt;"",ARW8=3),ARV8,"")</f>
        <v/>
      </c>
      <c r="ASA6" s="319"/>
      <c r="ASB6" s="319"/>
      <c r="ASC6" s="319" t="str">
        <f t="shared" ca="1" si="475"/>
        <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t="str">
        <f t="shared" ca="1" si="482"/>
        <v/>
      </c>
      <c r="ASK6" s="319" t="str">
        <f t="shared" ref="ASK6" ca="1" si="1632">IF(ASC6&lt;&gt;"",VLOOKUP(ASC6,ARJ4:ARP40,7,FALSE),"")</f>
        <v/>
      </c>
      <c r="ASL6" s="319" t="str">
        <f t="shared" ref="ASL6" ca="1" si="1633">IF(ASC6&lt;&gt;"",VLOOKUP(ASC6,ARJ4:ARP40,5,FALSE),"")</f>
        <v/>
      </c>
      <c r="ASM6" s="319" t="str">
        <f t="shared" ref="ASM6" ca="1" si="1634">IF(ASC6&lt;&gt;"",VLOOKUP(ASC6,ARJ4:ARR40,9,FALSE),"")</f>
        <v/>
      </c>
      <c r="ASN6" s="319" t="str">
        <f t="shared" ca="1" si="486"/>
        <v/>
      </c>
      <c r="ASO6" s="319" t="str">
        <f t="shared" ref="ASO6" ca="1" si="1635">IF(ASC6&lt;&gt;"",RANK(ASN6,ASN4:ASN8),"")</f>
        <v/>
      </c>
      <c r="ASP6" s="319" t="str">
        <f t="shared" ref="ASP6" ca="1" si="1636">IF(ASC6&lt;&gt;"",SUMPRODUCT((ASN4:ASN8=ASN6)*(ASI4:ASI8&gt;ASI6)),"")</f>
        <v/>
      </c>
      <c r="ASQ6" s="319" t="str">
        <f t="shared" ref="ASQ6" ca="1" si="1637">IF(ASC6&lt;&gt;"",SUMPRODUCT((ASN4:ASN8=ASN6)*(ASI4:ASI8=ASI6)*(ASG4:ASG8&gt;ASG6)),"")</f>
        <v/>
      </c>
      <c r="ASR6" s="319" t="str">
        <f t="shared" ref="ASR6" ca="1" si="1638">IF(ASC6&lt;&gt;"",SUMPRODUCT((ASN4:ASN8=ASN6)*(ASI4:ASI8=ASI6)*(ASG4:ASG8=ASG6)*(ASK4:ASK8&gt;ASK6)),"")</f>
        <v/>
      </c>
      <c r="ASS6" s="319" t="str">
        <f t="shared" ref="ASS6" ca="1" si="1639">IF(ASC6&lt;&gt;"",SUMPRODUCT((ASN4:ASN8=ASN6)*(ASI4:ASI8=ASI6)*(ASG4:ASG8=ASG6)*(ASK4:ASK8=ASK6)*(ASL4:ASL8&gt;ASL6)),"")</f>
        <v/>
      </c>
      <c r="AST6" s="319" t="str">
        <f t="shared" ref="AST6" ca="1" si="1640">IF(ASC6&lt;&gt;"",SUMPRODUCT((ASN4:ASN8=ASN6)*(ASI4:ASI8=ASI6)*(ASG4:ASG8=ASG6)*(ASK4:ASK8=ASK6)*(ASL4:ASL8=ASL6)*(ASM4:ASM8&gt;ASM6)),"")</f>
        <v/>
      </c>
      <c r="ASU6" s="319" t="str">
        <f ca="1">IF(ASC6&lt;&gt;"",IF(ASU46&lt;&gt;"",IF(ASB43=3,ASU46,ASU46+ASB43),SUM(ASO6:AST6)),"")</f>
        <v/>
      </c>
      <c r="ASV6" s="319" t="str">
        <f t="shared" ref="ASV6" ca="1" si="1641">IF(ASC6&lt;&gt;"",INDEX(ASC4:ASC8,MATCH(3,ASU4:ASU8,0),0),"")</f>
        <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3</v>
      </c>
      <c r="AVJ6" s="322">
        <f ca="1">IF(OFFSET('Player Game Board'!Q13,0,AVI1)&lt;&gt;"",OFFSET('Player Game Board'!Q13,0,AVI1),0)</f>
        <v>0</v>
      </c>
      <c r="AVK6" s="319" t="str">
        <f t="shared" si="115"/>
        <v>Albania</v>
      </c>
      <c r="AVL6" s="319" t="str">
        <f ca="1">IF(AND(OFFSET('Player Game Board'!P13,0,AVI1)&lt;&gt;"",OFFSET('Player Game Board'!Q13,0,AVI1)&lt;&gt;""),IF(AVI6&gt;AVJ6,"W",IF(AVI6=AVJ6,"D","L")),"")</f>
        <v>W</v>
      </c>
      <c r="AVM6" s="319" t="str">
        <f t="shared" ca="1" si="116"/>
        <v>L</v>
      </c>
      <c r="AVN6" s="319"/>
      <c r="AVO6" s="319"/>
      <c r="AVP6" s="319" t="str">
        <f t="shared" ref="AVP6" ca="1" si="1678">VLOOKUP(3,ARI25:ARJ28,2,FALSE)</f>
        <v>Poland</v>
      </c>
      <c r="AVQ6" s="320">
        <f t="shared" ref="AVQ6" ca="1" si="1679">VLOOKUP(AVP6,ARJ4:ARO40,2,FALSE)</f>
        <v>1</v>
      </c>
      <c r="AVR6" s="320">
        <f t="shared" ref="AVR6" ca="1" si="1680">VLOOKUP(AVP6,ARJ4:ARO40,3,FALSE)</f>
        <v>0</v>
      </c>
      <c r="AVS6" s="320">
        <f t="shared" ref="AVS6" ca="1" si="1681">VLOOKUP(AVP6,ARJ4:ARO40,4,FALSE)</f>
        <v>2</v>
      </c>
      <c r="AVT6" s="320">
        <f t="shared" ref="AVT6" ca="1" si="1682">VLOOKUP(AVP6,ARJ4:ARO40,5,FALSE)</f>
        <v>2</v>
      </c>
      <c r="AVU6" s="320">
        <f t="shared" ref="AVU6" ca="1" si="1683">VLOOKUP(AVP6,ARJ4:ARO40,6,FALSE)</f>
        <v>6</v>
      </c>
      <c r="AVV6" s="320">
        <f t="shared" ca="1" si="123"/>
        <v>996</v>
      </c>
      <c r="AVW6" s="320">
        <f t="shared" ca="1" si="124"/>
        <v>3</v>
      </c>
      <c r="AVX6" s="319">
        <f ca="1">VLOOKUP(AVP6,B4:J40,9,FALSE)</f>
        <v>0</v>
      </c>
      <c r="AVY6" s="319">
        <f t="shared" ref="AVY6" ca="1" si="1684">RANK(AVW6,AVW3:AVW8)</f>
        <v>3</v>
      </c>
      <c r="AVZ6" s="319">
        <f t="shared" ref="AVZ6" ca="1" si="1685">SUMPRODUCT((AVY3:AVY8=AVY6)*(AVV3:AVV8&gt;AVV6))</f>
        <v>2</v>
      </c>
      <c r="AWA6" s="319">
        <f t="shared" ref="AWA6" ca="1" si="1686">SUMPRODUCT((AVY3:AVY8=AVY6)*(AVV3:AVV8=AVV6)*(AVT3:AVT8&gt;AVT6))</f>
        <v>0</v>
      </c>
      <c r="AWB6" s="319">
        <f t="shared" ref="AWB6" ca="1" si="1687">SUMPRODUCT((AVY3:AVY8=AVY6)*(AVV3:AVV8=AVV6)*(AVT3:AVT8=AVT6)*(AVX3:AVX8&gt;AVX6))</f>
        <v>0</v>
      </c>
      <c r="AWC6" s="319">
        <f t="shared" ca="1" si="129"/>
        <v>5</v>
      </c>
      <c r="AWD6" s="319" t="s">
        <v>108</v>
      </c>
      <c r="AWE6" s="319">
        <v>4</v>
      </c>
      <c r="AWF6" s="319"/>
      <c r="AWG6" s="319">
        <f t="shared" ref="AWG6" ca="1" si="1688">VLOOKUP(AWH6,BAC4:BAD8,2,FALSE)</f>
        <v>3</v>
      </c>
      <c r="AWH6" s="319" t="str">
        <f t="shared" si="506"/>
        <v>Hungary</v>
      </c>
      <c r="AWI6" s="319">
        <f t="shared" ref="AWI6" ca="1" si="1689">SUMPRODUCT((BAF3:BAF42=AWH6)*(BAJ3:BAJ42="W"))+SUMPRODUCT((BAI3:BAI42=AWH6)*(BAK3:BAK42="W"))</f>
        <v>1</v>
      </c>
      <c r="AWJ6" s="319">
        <f t="shared" ref="AWJ6" ca="1" si="1690">SUMPRODUCT((BAF3:BAF42=AWH6)*(BAJ3:BAJ42="D"))+SUMPRODUCT((BAI3:BAI42=AWH6)*(BAK3:BAK42="D"))</f>
        <v>0</v>
      </c>
      <c r="AWK6" s="319">
        <f t="shared" ref="AWK6" ca="1" si="1691">SUMPRODUCT((BAF3:BAF42=AWH6)*(BAJ3:BAJ42="L"))+SUMPRODUCT((BAI3:BAI42=AWH6)*(BAK3:BAK42="L"))</f>
        <v>2</v>
      </c>
      <c r="AWL6" s="319">
        <f t="shared" ref="AWL6" ca="1" si="1692">SUMIF(BAF3:BAF60,AWH6,BAG3:BAG60)+SUMIF(BAI3:BAI60,AWH6,BAH3:BAH60)</f>
        <v>6</v>
      </c>
      <c r="AWM6" s="319">
        <f t="shared" ref="AWM6" ca="1" si="1693">SUMIF(BAI3:BAI60,AWH6,BAG3:BAG60)+SUMIF(BAF3:BAF60,AWH6,BAH3:BAH60)</f>
        <v>7</v>
      </c>
      <c r="AWN6" s="319">
        <f t="shared" ca="1" si="512"/>
        <v>999</v>
      </c>
      <c r="AWO6" s="319">
        <f t="shared" ca="1" si="513"/>
        <v>3</v>
      </c>
      <c r="AWP6" s="319">
        <f t="shared" si="1050"/>
        <v>48</v>
      </c>
      <c r="AWQ6" s="319">
        <f t="shared" ref="AWQ6" ca="1" si="1694">IF(COUNTIF(AWO4:AWO8,4)&lt;&gt;4,RANK(AWO6,AWO4:AWO8),AWO46)</f>
        <v>3</v>
      </c>
      <c r="AWR6" s="319"/>
      <c r="AWS6" s="319">
        <f t="shared" ref="AWS6" ca="1" si="1695">SUMPRODUCT((AWQ4:AWQ7=AWQ6)*(AWP4:AWP7&lt;AWP6))+AWQ6</f>
        <v>3</v>
      </c>
      <c r="AWT6" s="319" t="str">
        <f t="shared" ref="AWT6" ca="1" si="1696">INDEX(AWH4:AWH8,MATCH(3,AWS4:AWS8,0),0)</f>
        <v>Hungary</v>
      </c>
      <c r="AWU6" s="319">
        <f t="shared" ref="AWU6" ca="1" si="1697">INDEX(AWQ4:AWQ8,MATCH(AWT6,AWH4:AWH8,0),0)</f>
        <v>3</v>
      </c>
      <c r="AWV6" s="319" t="str">
        <f t="shared" ref="AWV6:AWV7" ca="1" si="1698">IF(AND(AWV5&lt;&gt;"",AWU6=1),AWT6,"")</f>
        <v/>
      </c>
      <c r="AWW6" s="319" t="str">
        <f t="shared" ref="AWW6:AWW7" ca="1" si="1699">IF(AND(AWW5&lt;&gt;"",AWU7=2),AWT7,"")</f>
        <v/>
      </c>
      <c r="AWX6" s="319" t="str">
        <f t="shared" ref="AWX6" ca="1" si="1700">IF(AND(AWX5&lt;&gt;"",AWU8=3),AWT8,"")</f>
        <v/>
      </c>
      <c r="AWY6" s="319"/>
      <c r="AWZ6" s="319"/>
      <c r="AXA6" s="319" t="str">
        <f t="shared" ca="1" si="522"/>
        <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t="str">
        <f t="shared" ca="1" si="529"/>
        <v/>
      </c>
      <c r="AXI6" s="319" t="str">
        <f t="shared" ref="AXI6" ca="1" si="1706">IF(AXA6&lt;&gt;"",VLOOKUP(AXA6,AWH4:AWN40,7,FALSE),"")</f>
        <v/>
      </c>
      <c r="AXJ6" s="319" t="str">
        <f t="shared" ref="AXJ6" ca="1" si="1707">IF(AXA6&lt;&gt;"",VLOOKUP(AXA6,AWH4:AWN40,5,FALSE),"")</f>
        <v/>
      </c>
      <c r="AXK6" s="319" t="str">
        <f t="shared" ref="AXK6" ca="1" si="1708">IF(AXA6&lt;&gt;"",VLOOKUP(AXA6,AWH4:AWP40,9,FALSE),"")</f>
        <v/>
      </c>
      <c r="AXL6" s="319" t="str">
        <f t="shared" ca="1" si="533"/>
        <v/>
      </c>
      <c r="AXM6" s="319" t="str">
        <f t="shared" ref="AXM6" ca="1" si="1709">IF(AXA6&lt;&gt;"",RANK(AXL6,AXL4:AXL8),"")</f>
        <v/>
      </c>
      <c r="AXN6" s="319" t="str">
        <f t="shared" ref="AXN6" ca="1" si="1710">IF(AXA6&lt;&gt;"",SUMPRODUCT((AXL4:AXL8=AXL6)*(AXG4:AXG8&gt;AXG6)),"")</f>
        <v/>
      </c>
      <c r="AXO6" s="319" t="str">
        <f t="shared" ref="AXO6" ca="1" si="1711">IF(AXA6&lt;&gt;"",SUMPRODUCT((AXL4:AXL8=AXL6)*(AXG4:AXG8=AXG6)*(AXE4:AXE8&gt;AXE6)),"")</f>
        <v/>
      </c>
      <c r="AXP6" s="319" t="str">
        <f t="shared" ref="AXP6" ca="1" si="1712">IF(AXA6&lt;&gt;"",SUMPRODUCT((AXL4:AXL8=AXL6)*(AXG4:AXG8=AXG6)*(AXE4:AXE8=AXE6)*(AXI4:AXI8&gt;AXI6)),"")</f>
        <v/>
      </c>
      <c r="AXQ6" s="319" t="str">
        <f t="shared" ref="AXQ6" ca="1" si="1713">IF(AXA6&lt;&gt;"",SUMPRODUCT((AXL4:AXL8=AXL6)*(AXG4:AXG8=AXG6)*(AXE4:AXE8=AXE6)*(AXI4:AXI8=AXI6)*(AXJ4:AXJ8&gt;AXJ6)),"")</f>
        <v/>
      </c>
      <c r="AXR6" s="319" t="str">
        <f t="shared" ref="AXR6" ca="1" si="1714">IF(AXA6&lt;&gt;"",SUMPRODUCT((AXL4:AXL8=AXL6)*(AXG4:AXG8=AXG6)*(AXE4:AXE8=AXE6)*(AXI4:AXI8=AXI6)*(AXJ4:AXJ8=AXJ6)*(AXK4:AXK8&gt;AXK6)),"")</f>
        <v/>
      </c>
      <c r="AXS6" s="319" t="str">
        <f ca="1">IF(AXA6&lt;&gt;"",IF(AXS46&lt;&gt;"",IF(AWZ43=3,AXS46,AXS46+AWZ43),SUM(AXM6:AXR6)),"")</f>
        <v/>
      </c>
      <c r="AXT6" s="319" t="str">
        <f t="shared" ref="AXT6" ca="1" si="1715">IF(AXA6&lt;&gt;"",INDEX(AXA4:AXA8,MATCH(3,AXS4:AXS8,0),0),"")</f>
        <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Hungary</v>
      </c>
      <c r="BAD6" s="319">
        <v>3</v>
      </c>
      <c r="BAE6" s="319">
        <v>4</v>
      </c>
      <c r="BAF6" s="319" t="str">
        <f t="shared" si="130"/>
        <v>Italy</v>
      </c>
      <c r="BAG6" s="322">
        <f ca="1">IF(OFFSET('Player Game Board'!P13,0,BAG1)&lt;&gt;"",OFFSET('Player Game Board'!P13,0,BAG1),0)</f>
        <v>5</v>
      </c>
      <c r="BAH6" s="322">
        <f ca="1">IF(OFFSET('Player Game Board'!Q13,0,BAG1)&lt;&gt;"",OFFSET('Player Game Board'!Q13,0,BAG1),0)</f>
        <v>1</v>
      </c>
      <c r="BAI6" s="319" t="str">
        <f t="shared" si="131"/>
        <v>Albania</v>
      </c>
      <c r="BAJ6" s="319" t="str">
        <f ca="1">IF(AND(OFFSET('Player Game Board'!P13,0,BAG1)&lt;&gt;"",OFFSET('Player Game Board'!Q13,0,BAG1)&lt;&gt;""),IF(BAG6&gt;BAH6,"W",IF(BAG6=BAH6,"D","L")),"")</f>
        <v>W</v>
      </c>
      <c r="BAK6" s="319" t="str">
        <f t="shared" ca="1" si="132"/>
        <v>L</v>
      </c>
      <c r="BAL6" s="319"/>
      <c r="BAM6" s="319"/>
      <c r="BAN6" s="319" t="str">
        <f t="shared" ref="BAN6" ca="1" si="1752">VLOOKUP(3,AWG25:AWH28,2,FALSE)</f>
        <v>Poland</v>
      </c>
      <c r="BAO6" s="320">
        <f t="shared" ref="BAO6" ca="1" si="1753">VLOOKUP(BAN6,AWH4:AWM40,2,FALSE)</f>
        <v>1</v>
      </c>
      <c r="BAP6" s="320">
        <f t="shared" ref="BAP6" ca="1" si="1754">VLOOKUP(BAN6,AWH4:AWM40,3,FALSE)</f>
        <v>0</v>
      </c>
      <c r="BAQ6" s="320">
        <f t="shared" ref="BAQ6" ca="1" si="1755">VLOOKUP(BAN6,AWH4:AWM40,4,FALSE)</f>
        <v>2</v>
      </c>
      <c r="BAR6" s="320">
        <f t="shared" ref="BAR6" ca="1" si="1756">VLOOKUP(BAN6,AWH4:AWM40,5,FALSE)</f>
        <v>2</v>
      </c>
      <c r="BAS6" s="320">
        <f t="shared" ref="BAS6" ca="1" si="1757">VLOOKUP(BAN6,AWH4:AWM40,6,FALSE)</f>
        <v>7</v>
      </c>
      <c r="BAT6" s="320">
        <f t="shared" ca="1" si="139"/>
        <v>995</v>
      </c>
      <c r="BAU6" s="320">
        <f t="shared" ca="1" si="140"/>
        <v>3</v>
      </c>
      <c r="BAV6" s="319">
        <f ca="1">VLOOKUP(BAN6,B4:J40,9,FALSE)</f>
        <v>0</v>
      </c>
      <c r="BAW6" s="319">
        <f t="shared" ref="BAW6" ca="1" si="1758">RANK(BAU6,BAU3:BAU8)</f>
        <v>1</v>
      </c>
      <c r="BAX6" s="319">
        <f t="shared" ref="BAX6" ca="1" si="1759">SUMPRODUCT((BAW3:BAW8=BAW6)*(BAT3:BAT8&gt;BAT6))</f>
        <v>5</v>
      </c>
      <c r="BAY6" s="319">
        <f t="shared" ref="BAY6" ca="1" si="1760">SUMPRODUCT((BAW3:BAW8=BAW6)*(BAT3:BAT8=BAT6)*(BAR3:BAR8&gt;BAR6))</f>
        <v>0</v>
      </c>
      <c r="BAZ6" s="319">
        <f t="shared" ref="BAZ6" ca="1" si="1761">SUMPRODUCT((BAW3:BAW8=BAW6)*(BAT3:BAT8=BAT6)*(BAR3:BAR8=BAR6)*(BAV3:BAV8&gt;BAV6))</f>
        <v>0</v>
      </c>
      <c r="BBA6" s="319">
        <f t="shared" ca="1" si="145"/>
        <v>6</v>
      </c>
      <c r="BBB6" s="319" t="s">
        <v>108</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108</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Belgium</v>
      </c>
      <c r="DI7" s="320">
        <f>Matches!U29</f>
        <v>0</v>
      </c>
      <c r="DJ7" s="320">
        <f>Matches!V29</f>
        <v>0</v>
      </c>
      <c r="DK7" s="320">
        <f>Matches!W29</f>
        <v>1</v>
      </c>
      <c r="DL7" s="320">
        <f>Matches!X29</f>
        <v>0</v>
      </c>
      <c r="DM7" s="320">
        <f>Matches!Z29</f>
        <v>1</v>
      </c>
      <c r="DN7" s="320">
        <f>Matches!AA29</f>
        <v>-1</v>
      </c>
      <c r="DO7" s="320">
        <f>Matches!AB29</f>
        <v>0</v>
      </c>
      <c r="DP7" s="319">
        <f>VLOOKUP(DH7,B4:J40,9,FALSE)</f>
        <v>50</v>
      </c>
      <c r="DQ7" s="319">
        <f>RANK(DO7,DO3:DO8)</f>
        <v>4</v>
      </c>
      <c r="DR7" s="319">
        <f>SUMPRODUCT((DQ3:DQ8=DQ7)*(DN3:DN8&gt;DN7))</f>
        <v>0</v>
      </c>
      <c r="DS7" s="319">
        <f>SUMPRODUCT((DQ3:DQ8=DQ7)*(DN3:DN8=DN7)*(DL3:DL8&gt;DL7))</f>
        <v>2</v>
      </c>
      <c r="DT7" s="319">
        <f>SUMPRODUCT((DQ3:DQ8=DQ7)*(DN3:DN8=DN7)*(DL3:DL8=DL7)*(DP3:DP8&gt;DP7))</f>
        <v>0</v>
      </c>
      <c r="DU7" s="319">
        <f t="shared" si="163"/>
        <v>6</v>
      </c>
      <c r="DV7" s="319" t="s">
        <v>109</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1</v>
      </c>
      <c r="EC7" s="319">
        <f ca="1">SUMPRODUCT((HX3:HX42=DZ7)*(IB3:IB42="L"))+SUMPRODUCT((IA3:IA42=DZ7)*(IC3:IC42="L"))</f>
        <v>1</v>
      </c>
      <c r="ED7" s="319">
        <f ca="1">SUMIF(HX3:HX60,DZ7,HY3:HY60)+SUMIF(IA3:IA60,DZ7,HZ3:HZ60)</f>
        <v>4</v>
      </c>
      <c r="EE7" s="319">
        <f ca="1">SUMIF(IA3:IA60,DZ7,HY3:HY60)+SUMIF(HX3:HX60,DZ7,HZ3:HZ60)</f>
        <v>5</v>
      </c>
      <c r="EF7" s="319">
        <f t="shared" ca="1" si="607"/>
        <v>999</v>
      </c>
      <c r="EG7" s="319">
        <f t="shared" ca="1" si="608"/>
        <v>4</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3</v>
      </c>
      <c r="IK7" s="320">
        <f ca="1">VLOOKUP(IF7,DZ4:EE40,6,FALSE)</f>
        <v>4</v>
      </c>
      <c r="IL7" s="320">
        <f t="shared" ca="1" si="167"/>
        <v>999</v>
      </c>
      <c r="IM7" s="320">
        <f t="shared" ca="1" si="168"/>
        <v>2</v>
      </c>
      <c r="IN7" s="319">
        <f ca="1">VLOOKUP(IF7,B4:J40,9,FALSE)</f>
        <v>0</v>
      </c>
      <c r="IO7" s="319">
        <f ca="1">RANK(IM7,IM3:IM8)</f>
        <v>6</v>
      </c>
      <c r="IP7" s="319">
        <f ca="1">SUMPRODUCT((IO3:IO8=IO7)*(IL3:IL8&gt;IL7))</f>
        <v>0</v>
      </c>
      <c r="IQ7" s="319">
        <f ca="1">SUMPRODUCT((IO3:IO8=IO7)*(IL3:IL8=IL7)*(IJ3:IJ8&gt;IJ7))</f>
        <v>0</v>
      </c>
      <c r="IR7" s="319">
        <f ca="1">SUMPRODUCT((IO3:IO8=IO7)*(IL3:IL8=IL7)*(IJ3:IJ8=IJ7)*(IN3:IN8&gt;IN7))</f>
        <v>0</v>
      </c>
      <c r="IS7" s="319">
        <f t="shared" ca="1" si="169"/>
        <v>6</v>
      </c>
      <c r="IT7" s="319" t="s">
        <v>109</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2</v>
      </c>
      <c r="JC7" s="319">
        <f ca="1">SUMIF(MY3:MY60,IX7,MW3:MW60)+SUMIF(MV3:MV60,IX7,MX3:MX60)</f>
        <v>6</v>
      </c>
      <c r="JD7" s="319">
        <f t="shared" ca="1" si="616"/>
        <v>996</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1</v>
      </c>
      <c r="MX7" s="322">
        <f ca="1">IF(OFFSET('Player Game Board'!Q14,0,MW1)&lt;&gt;"",OFFSET('Player Game Board'!Q14,0,MW1),0)</f>
        <v>3</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1</v>
      </c>
      <c r="NF7" s="320">
        <f ca="1">VLOOKUP(ND7,IX4:JC40,3,FALSE)</f>
        <v>1</v>
      </c>
      <c r="NG7" s="320">
        <f ca="1">VLOOKUP(ND7,IX4:JC40,4,FALSE)</f>
        <v>1</v>
      </c>
      <c r="NH7" s="320">
        <f ca="1">VLOOKUP(ND7,IX4:JC40,5,FALSE)</f>
        <v>3</v>
      </c>
      <c r="NI7" s="320">
        <f ca="1">VLOOKUP(ND7,IX4:JC40,6,FALSE)</f>
        <v>4</v>
      </c>
      <c r="NJ7" s="320">
        <f t="shared" ca="1" si="173"/>
        <v>999</v>
      </c>
      <c r="NK7" s="320">
        <f t="shared" ca="1" si="174"/>
        <v>4</v>
      </c>
      <c r="NL7" s="319">
        <f ca="1">VLOOKUP(ND7,B4:J40,9,FALSE)</f>
        <v>38</v>
      </c>
      <c r="NM7" s="319">
        <f ca="1">RANK(NK7,NK3:NK8)</f>
        <v>2</v>
      </c>
      <c r="NN7" s="319">
        <f ca="1">SUMPRODUCT((NM3:NM8=NM7)*(NJ3:NJ8&gt;NJ7))</f>
        <v>0</v>
      </c>
      <c r="NO7" s="319">
        <f ca="1">SUMPRODUCT((NM3:NM8=NM7)*(NJ3:NJ8=NJ7)*(NH3:NH8&gt;NH7))</f>
        <v>0</v>
      </c>
      <c r="NP7" s="319">
        <f ca="1">SUMPRODUCT((NM3:NM8=NM7)*(NJ3:NJ8=NJ7)*(NH3:NH8=NH7)*(NL3:NL8&gt;NL7))</f>
        <v>0</v>
      </c>
      <c r="NQ7" s="319">
        <f t="shared" ca="1" si="175"/>
        <v>2</v>
      </c>
      <c r="NR7" s="319" t="s">
        <v>109</v>
      </c>
      <c r="NS7" s="319">
        <v>5</v>
      </c>
      <c r="NT7" s="319"/>
      <c r="NU7" s="319">
        <f t="shared" ref="NU7" ca="1" si="1842">VLOOKUP(NV7,RQ4:RR8,2,FALSE)</f>
        <v>3</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2</v>
      </c>
      <c r="OA7" s="319">
        <f t="shared" ref="OA7" ca="1" si="1847">SUMIF(RW3:RW60,NV7,RU3:RU60)+SUMIF(RT3:RT60,NV7,RV3:RV60)</f>
        <v>4</v>
      </c>
      <c r="OB7" s="319">
        <f t="shared" ca="1" si="183"/>
        <v>998</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Hungary</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Hungary</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998</v>
      </c>
      <c r="QL7" s="319">
        <f t="shared" ref="QL7" ca="1" si="1888">IF(QC7&lt;&gt;"",VLOOKUP(QC7,NV4:OB40,5,FALSE),"")</f>
        <v>1</v>
      </c>
      <c r="QM7" s="319">
        <f t="shared" ref="QM7" ca="1" si="1889">IF(QC7&lt;&gt;"",VLOOKUP(QC7,NV4:OD40,9,FALSE),"")</f>
        <v>48</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1</v>
      </c>
      <c r="QT7" s="319">
        <f t="shared" ref="QT7" ca="1" si="1895">IF(QC7&lt;&gt;"",SUMPRODUCT((QN4:QN8=QN7)*(QI4:QI8=QI7)*(QG4:QG8=QG7)*(QK4:QK8=QK7)*(QL4:QL8=QL7)*(QM4:QM8&gt;QM7)),"")</f>
        <v>0</v>
      </c>
      <c r="QU7" s="319">
        <f t="shared" ca="1" si="1231"/>
        <v>4</v>
      </c>
      <c r="QV7" s="319" t="str">
        <f t="shared" ref="QV7" ca="1" si="1896">IF(QC7&lt;&gt;"",INDEX(QC6:QC8,MATCH(4,QU6:QU8,0),0),"")</f>
        <v>Hungary</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Hungary</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Slovakia</v>
      </c>
      <c r="SC7" s="320">
        <f t="shared" ref="SC7" ca="1" si="1919">VLOOKUP(SB7,NV4:OA40,2,FALSE)</f>
        <v>1</v>
      </c>
      <c r="SD7" s="320">
        <f t="shared" ref="SD7" ca="1" si="1920">VLOOKUP(SB7,NV4:OA40,3,FALSE)</f>
        <v>0</v>
      </c>
      <c r="SE7" s="320">
        <f t="shared" ref="SE7" ca="1" si="1921">VLOOKUP(SB7,NV4:OA40,4,FALSE)</f>
        <v>2</v>
      </c>
      <c r="SF7" s="320">
        <f t="shared" ref="SF7" ca="1" si="1922">VLOOKUP(SB7,NV4:OA40,5,FALSE)</f>
        <v>3</v>
      </c>
      <c r="SG7" s="320">
        <f t="shared" ref="SG7" ca="1" si="1923">VLOOKUP(SB7,NV4:OA40,6,FALSE)</f>
        <v>4</v>
      </c>
      <c r="SH7" s="320">
        <f t="shared" ca="1" si="27"/>
        <v>999</v>
      </c>
      <c r="SI7" s="320">
        <f t="shared" ca="1" si="28"/>
        <v>3</v>
      </c>
      <c r="SJ7" s="319">
        <f ca="1">VLOOKUP(SB7,B4:J40,9,FALSE)</f>
        <v>38</v>
      </c>
      <c r="SK7" s="319">
        <f t="shared" ref="SK7" ca="1" si="1924">RANK(SI7,SI3:SI8)</f>
        <v>2</v>
      </c>
      <c r="SL7" s="319">
        <f t="shared" ref="SL7" ca="1" si="1925">SUMPRODUCT((SK3:SK8=SK7)*(SH3:SH8&gt;SH7))</f>
        <v>0</v>
      </c>
      <c r="SM7" s="319">
        <f t="shared" ref="SM7" ca="1" si="1926">SUMPRODUCT((SK3:SK8=SK7)*(SH3:SH8=SH7)*(SF3:SF8&gt;SF7))</f>
        <v>0</v>
      </c>
      <c r="SN7" s="319">
        <f t="shared" ref="SN7" ca="1" si="1927">SUMPRODUCT((SK3:SK8=SK7)*(SH3:SH8=SH7)*(SF3:SF8=SF7)*(SJ3:SJ8&gt;SJ7))</f>
        <v>2</v>
      </c>
      <c r="SO7" s="319">
        <f t="shared" ca="1" si="33"/>
        <v>4</v>
      </c>
      <c r="SP7" s="319" t="s">
        <v>109</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1</v>
      </c>
      <c r="SW7" s="319">
        <f t="shared" ref="SW7" ca="1" si="1931">SUMPRODUCT((WR3:WR42=ST7)*(WV3:WV42="L"))+SUMPRODUCT((WU3:WU42=ST7)*(WW3:WW42="L"))</f>
        <v>1</v>
      </c>
      <c r="SX7" s="319">
        <f t="shared" ref="SX7" ca="1" si="1932">SUMIF(WR3:WR60,ST7,WS3:WS60)+SUMIF(WU3:WU60,ST7,WT3:WT60)</f>
        <v>5</v>
      </c>
      <c r="SY7" s="319">
        <f t="shared" ref="SY7" ca="1" si="1933">SUMIF(WU3:WU60,ST7,WS3:WS60)+SUMIF(WR3:WR60,ST7,WT3:WT60)</f>
        <v>5</v>
      </c>
      <c r="SZ7" s="319">
        <f t="shared" ca="1" si="230"/>
        <v>1000</v>
      </c>
      <c r="TA7" s="319">
        <f t="shared" ca="1" si="231"/>
        <v>4</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Romania</v>
      </c>
      <c r="XA7" s="320">
        <f t="shared" ref="XA7" ca="1" si="2005">VLOOKUP(WZ7,ST4:SY40,2,FALSE)</f>
        <v>0</v>
      </c>
      <c r="XB7" s="320">
        <f t="shared" ref="XB7" ca="1" si="2006">VLOOKUP(WZ7,ST4:SY40,3,FALSE)</f>
        <v>2</v>
      </c>
      <c r="XC7" s="320">
        <f t="shared" ref="XC7" ca="1" si="2007">VLOOKUP(WZ7,ST4:SY40,4,FALSE)</f>
        <v>1</v>
      </c>
      <c r="XD7" s="320">
        <f t="shared" ref="XD7" ca="1" si="2008">VLOOKUP(WZ7,ST4:SY40,5,FALSE)</f>
        <v>3</v>
      </c>
      <c r="XE7" s="320">
        <f t="shared" ref="XE7" ca="1" si="2009">VLOOKUP(WZ7,ST4:SY40,6,FALSE)</f>
        <v>6</v>
      </c>
      <c r="XF7" s="320">
        <f t="shared" ca="1" si="43"/>
        <v>997</v>
      </c>
      <c r="XG7" s="320">
        <f t="shared" ca="1" si="44"/>
        <v>2</v>
      </c>
      <c r="XH7" s="319">
        <f ca="1">VLOOKUP(WZ7,B4:J40,9,FALSE)</f>
        <v>46</v>
      </c>
      <c r="XI7" s="319">
        <f t="shared" ref="XI7" ca="1" si="2010">RANK(XG7,XG3:XG8)</f>
        <v>5</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6</v>
      </c>
      <c r="XN7" s="319" t="s">
        <v>109</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109</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Scotland</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Scotland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D</v>
      </c>
      <c r="AGS7" s="319" t="str">
        <f t="shared" ca="1" si="68"/>
        <v>D</v>
      </c>
      <c r="AGT7" s="319"/>
      <c r="AGU7" s="319"/>
      <c r="AGV7" s="319" t="str">
        <f t="shared" ref="AGV7" ca="1" si="2176">VLOOKUP(3,ACO31:ACP34,2,FALSE)</f>
        <v>Ukraine</v>
      </c>
      <c r="AGW7" s="320">
        <f t="shared" ref="AGW7" ca="1" si="2177">VLOOKUP(AGV7,ACP4:ACU40,2,FALSE)</f>
        <v>1</v>
      </c>
      <c r="AGX7" s="320">
        <f t="shared" ref="AGX7" ca="1" si="2178">VLOOKUP(AGV7,ACP4:ACU40,3,FALSE)</f>
        <v>0</v>
      </c>
      <c r="AGY7" s="320">
        <f t="shared" ref="AGY7" ca="1" si="2179">VLOOKUP(AGV7,ACP4:ACU40,4,FALSE)</f>
        <v>2</v>
      </c>
      <c r="AGZ7" s="320">
        <f t="shared" ref="AGZ7" ca="1" si="2180">VLOOKUP(AGV7,ACP4:ACU40,5,FALSE)</f>
        <v>3</v>
      </c>
      <c r="AHA7" s="320">
        <f t="shared" ref="AHA7" ca="1" si="2181">VLOOKUP(AGV7,ACP4:ACU40,6,FALSE)</f>
        <v>4</v>
      </c>
      <c r="AHB7" s="320">
        <f t="shared" ca="1" si="75"/>
        <v>999</v>
      </c>
      <c r="AHC7" s="320">
        <f t="shared" ca="1" si="76"/>
        <v>3</v>
      </c>
      <c r="AHD7" s="319">
        <f ca="1">VLOOKUP(AGV7,B4:J40,9,FALSE)</f>
        <v>0</v>
      </c>
      <c r="AHE7" s="319">
        <f t="shared" ref="AHE7" ca="1" si="2182">RANK(AHC7,AHC3:AHC8)</f>
        <v>2</v>
      </c>
      <c r="AHF7" s="319">
        <f t="shared" ref="AHF7" ca="1" si="2183">SUMPRODUCT((AHE3:AHE8=AHE7)*(AHB3:AHB8&gt;AHB7))</f>
        <v>1</v>
      </c>
      <c r="AHG7" s="319">
        <f t="shared" ref="AHG7" ca="1" si="2184">SUMPRODUCT((AHE3:AHE8=AHE7)*(AHB3:AHB8=AHB7)*(AGZ3:AGZ8&gt;AGZ7))</f>
        <v>1</v>
      </c>
      <c r="AHH7" s="319">
        <f t="shared" ref="AHH7" ca="1" si="2185">SUMPRODUCT((AHE3:AHE8=AHE7)*(AHB3:AHB8=AHB7)*(AGZ3:AGZ8=AGZ7)*(AHD3:AHD8&gt;AHD7))</f>
        <v>1</v>
      </c>
      <c r="AHI7" s="319">
        <f t="shared" ca="1" si="81"/>
        <v>5</v>
      </c>
      <c r="AHJ7" s="319" t="s">
        <v>109</v>
      </c>
      <c r="AHK7" s="319">
        <v>5</v>
      </c>
      <c r="AHL7" s="319"/>
      <c r="AHM7" s="319">
        <f t="shared" ref="AHM7" ca="1" si="2186">VLOOKUP(AHN7,ALI4:ALJ8,2,FALSE)</f>
        <v>3</v>
      </c>
      <c r="AHN7" s="319" t="str">
        <f t="shared" si="365"/>
        <v>Switzerland</v>
      </c>
      <c r="AHO7" s="319">
        <f t="shared" ref="AHO7" ca="1" si="2187">SUMPRODUCT((ALL3:ALL42=AHN7)*(ALP3:ALP42="W"))+SUMPRODUCT((ALO3:ALO42=AHN7)*(ALQ3:ALQ42="W"))</f>
        <v>0</v>
      </c>
      <c r="AHP7" s="319">
        <f t="shared" ref="AHP7" ca="1" si="2188">SUMPRODUCT((ALL3:ALL42=AHN7)*(ALP3:ALP42="D"))+SUMPRODUCT((ALO3:ALO42=AHN7)*(ALQ3:ALQ42="D"))</f>
        <v>1</v>
      </c>
      <c r="AHQ7" s="319">
        <f t="shared" ref="AHQ7" ca="1" si="2189">SUMPRODUCT((ALL3:ALL42=AHN7)*(ALP3:ALP42="L"))+SUMPRODUCT((ALO3:ALO42=AHN7)*(ALQ3:ALQ42="L"))</f>
        <v>2</v>
      </c>
      <c r="AHR7" s="319">
        <f t="shared" ref="AHR7" ca="1" si="2190">SUMIF(ALL3:ALL60,AHN7,ALM3:ALM60)+SUMIF(ALO3:ALO60,AHN7,ALN3:ALN60)</f>
        <v>1</v>
      </c>
      <c r="AHS7" s="319">
        <f t="shared" ref="AHS7" ca="1" si="2191">SUMIF(ALO3:ALO60,AHN7,ALM3:ALM60)+SUMIF(ALL3:ALL60,AHN7,ALN3:ALN60)</f>
        <v>3</v>
      </c>
      <c r="AHT7" s="319">
        <f t="shared" ca="1" si="371"/>
        <v>998</v>
      </c>
      <c r="AHU7" s="319">
        <f t="shared" ca="1" si="372"/>
        <v>1</v>
      </c>
      <c r="AHV7" s="319">
        <f t="shared" si="870"/>
        <v>34</v>
      </c>
      <c r="AHW7" s="319">
        <f t="shared" ref="AHW7" ca="1" si="2192">IF(COUNTIF(AHU4:AHU8,4)&lt;&gt;4,RANK(AHU7,AHU4:AHU8),AHU47)</f>
        <v>3</v>
      </c>
      <c r="AHX7" s="319"/>
      <c r="AHY7" s="319">
        <f t="shared" ref="AHY7" ca="1" si="2193">SUMPRODUCT((AHW4:AHW7=AHW7)*(AHV4:AHV7&lt;AHV7))+AHW7</f>
        <v>3</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f t="shared" ca="1" si="1516"/>
        <v>1</v>
      </c>
      <c r="AKC7" s="319">
        <f t="shared" ref="AKC7" ca="1" si="2231">IF(AJU7&lt;&gt;"",VLOOKUP(AJU7,AHN4:AHT40,7,FALSE),"")</f>
        <v>997</v>
      </c>
      <c r="AKD7" s="319">
        <f t="shared" ref="AKD7" ca="1" si="2232">IF(AJU7&lt;&gt;"",VLOOKUP(AJU7,AHN4:AHT40,5,FALSE),"")</f>
        <v>1</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1</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3</v>
      </c>
      <c r="ALW7" s="320">
        <f t="shared" ref="ALW7" ca="1" si="2265">VLOOKUP(ALT7,AHN4:AHS40,4,FALSE)</f>
        <v>0</v>
      </c>
      <c r="ALX7" s="320">
        <f t="shared" ref="ALX7" ca="1" si="2266">VLOOKUP(ALT7,AHN4:AHS40,5,FALSE)</f>
        <v>1</v>
      </c>
      <c r="ALY7" s="320">
        <f t="shared" ref="ALY7" ca="1" si="2267">VLOOKUP(ALT7,AHN4:AHS40,6,FALSE)</f>
        <v>1</v>
      </c>
      <c r="ALZ7" s="320">
        <f t="shared" ca="1" si="91"/>
        <v>1000</v>
      </c>
      <c r="AMA7" s="320">
        <f t="shared" ca="1" si="92"/>
        <v>3</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1</v>
      </c>
      <c r="AMH7" s="319" t="s">
        <v>109</v>
      </c>
      <c r="AMI7" s="319">
        <v>5</v>
      </c>
      <c r="AMJ7" s="319"/>
      <c r="AMK7" s="319">
        <f t="shared" ref="AMK7" ca="1" si="2272">VLOOKUP(AML7,AQG4:AQH8,2,FALSE)</f>
        <v>3</v>
      </c>
      <c r="AML7" s="319" t="str">
        <f t="shared" si="412"/>
        <v>Switzerland</v>
      </c>
      <c r="AMM7" s="319">
        <f t="shared" ref="AMM7" ca="1" si="2273">SUMPRODUCT((AQJ3:AQJ42=AML7)*(AQN3:AQN42="W"))+SUMPRODUCT((AQM3:AQM42=AML7)*(AQO3:AQO42="W"))</f>
        <v>0</v>
      </c>
      <c r="AMN7" s="319">
        <f t="shared" ref="AMN7" ca="1" si="2274">SUMPRODUCT((AQJ3:AQJ42=AML7)*(AQN3:AQN42="D"))+SUMPRODUCT((AQM3:AQM42=AML7)*(AQO3:AQO42="D"))</f>
        <v>3</v>
      </c>
      <c r="AMO7" s="319">
        <f t="shared" ref="AMO7" ca="1" si="2275">SUMPRODUCT((AQJ3:AQJ42=AML7)*(AQN3:AQN42="L"))+SUMPRODUCT((AQM3:AQM42=AML7)*(AQO3:AQO42="L"))</f>
        <v>0</v>
      </c>
      <c r="AMP7" s="319">
        <f t="shared" ref="AMP7" ca="1" si="2276">SUMIF(AQJ3:AQJ60,AML7,AQK3:AQK60)+SUMIF(AQM3:AQM60,AML7,AQL3:AQL60)</f>
        <v>3</v>
      </c>
      <c r="AMQ7" s="319">
        <f t="shared" ref="AMQ7" ca="1" si="2277">SUMIF(AQM3:AQM60,AML7,AQK3:AQK60)+SUMIF(AQJ3:AQJ60,AML7,AQL3:AQL60)</f>
        <v>3</v>
      </c>
      <c r="AMR7" s="319">
        <f t="shared" ca="1" si="418"/>
        <v>1000</v>
      </c>
      <c r="AMS7" s="319">
        <f t="shared" ca="1" si="419"/>
        <v>3</v>
      </c>
      <c r="AMT7" s="319">
        <f t="shared" si="930"/>
        <v>34</v>
      </c>
      <c r="AMU7" s="319">
        <f t="shared" ref="AMU7" ca="1" si="2278">IF(COUNTIF(AMS4:AMS8,4)&lt;&gt;4,RANK(AMS7,AMS4:AMS8),AMS47)</f>
        <v>3</v>
      </c>
      <c r="AMV7" s="319"/>
      <c r="AMW7" s="319">
        <f t="shared" ref="AMW7" ca="1" si="2279">SUMPRODUCT((AMU4:AMU7=AMU7)*(AMT4:AMT7&lt;AMT7))+AMU7</f>
        <v>3</v>
      </c>
      <c r="AMX7" s="319" t="str">
        <f t="shared" ref="AMX7" ca="1" si="2280">INDEX(AML4:AML8,MATCH(4,AMW4:AMW8,0),0)</f>
        <v>Hungary</v>
      </c>
      <c r="AMY7" s="319">
        <f t="shared" ref="AMY7" ca="1" si="2281">INDEX(AMU4:AMU8,MATCH(AMX7,AML4:AML8,0),0)</f>
        <v>4</v>
      </c>
      <c r="AMZ7" s="319" t="str">
        <f t="shared" ca="1" si="1550"/>
        <v/>
      </c>
      <c r="ANA7" s="319" t="str">
        <f t="shared" ca="1" si="1551"/>
        <v/>
      </c>
      <c r="ANB7" s="319"/>
      <c r="ANC7" s="319"/>
      <c r="AND7" s="319"/>
      <c r="ANE7" s="319" t="str">
        <f t="shared" ca="1" si="428"/>
        <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t="str">
        <f t="shared" ca="1" si="435"/>
        <v/>
      </c>
      <c r="ANM7" s="319" t="str">
        <f t="shared" ref="ANM7" ca="1" si="2287">IF(ANE7&lt;&gt;"",VLOOKUP(ANE7,AML4:AMR40,7,FALSE),"")</f>
        <v/>
      </c>
      <c r="ANN7" s="319" t="str">
        <f t="shared" ref="ANN7" ca="1" si="2288">IF(ANE7&lt;&gt;"",VLOOKUP(ANE7,AML4:AMR40,5,FALSE),"")</f>
        <v/>
      </c>
      <c r="ANO7" s="319" t="str">
        <f t="shared" ref="ANO7" ca="1" si="2289">IF(ANE7&lt;&gt;"",VLOOKUP(ANE7,AML4:AMT40,9,FALSE),"")</f>
        <v/>
      </c>
      <c r="ANP7" s="319" t="str">
        <f t="shared" ca="1" si="439"/>
        <v/>
      </c>
      <c r="ANQ7" s="319" t="str">
        <f t="shared" ref="ANQ7" ca="1" si="2290">IF(ANE7&lt;&gt;"",RANK(ANP7,ANP4:ANP8),"")</f>
        <v/>
      </c>
      <c r="ANR7" s="319" t="str">
        <f t="shared" ref="ANR7" ca="1" si="2291">IF(ANE7&lt;&gt;"",SUMPRODUCT((ANP4:ANP8=ANP7)*(ANK4:ANK8&gt;ANK7)),"")</f>
        <v/>
      </c>
      <c r="ANS7" s="319" t="str">
        <f t="shared" ref="ANS7" ca="1" si="2292">IF(ANE7&lt;&gt;"",SUMPRODUCT((ANP4:ANP8=ANP7)*(ANK4:ANK8=ANK7)*(ANI4:ANI8&gt;ANI7)),"")</f>
        <v/>
      </c>
      <c r="ANT7" s="319" t="str">
        <f t="shared" ref="ANT7" ca="1" si="2293">IF(ANE7&lt;&gt;"",SUMPRODUCT((ANP4:ANP8=ANP7)*(ANK4:ANK8=ANK7)*(ANI4:ANI8=ANI7)*(ANM4:ANM8&gt;ANM7)),"")</f>
        <v/>
      </c>
      <c r="ANU7" s="319" t="str">
        <f t="shared" ref="ANU7" ca="1" si="2294">IF(ANE7&lt;&gt;"",SUMPRODUCT((ANP4:ANP8=ANP7)*(ANK4:ANK8=ANK7)*(ANI4:ANI8=ANI7)*(ANM4:ANM8=ANM7)*(ANN4:ANN8&gt;ANN7)),"")</f>
        <v/>
      </c>
      <c r="ANV7" s="319" t="str">
        <f t="shared" ref="ANV7" ca="1" si="2295">IF(ANE7&lt;&gt;"",SUMPRODUCT((ANP4:ANP8=ANP7)*(ANK4:ANK8=ANK7)*(ANI4:ANI8=ANI7)*(ANM4:ANM8=ANM7)*(ANN4:ANN8=ANN7)*(ANO4:ANO8&gt;ANO7)),"")</f>
        <v/>
      </c>
      <c r="ANW7" s="319" t="str">
        <f ca="1">IF(ANE7&lt;&gt;"",IF(ANW47&lt;&gt;"",IF(AND43=3,ANW47,ANW47+AND43),SUM(ANQ7:ANV7)),"")</f>
        <v/>
      </c>
      <c r="ANX7" s="319" t="str">
        <f t="shared" ref="ANX7" ca="1" si="2296">IF(ANE7&lt;&gt;"",INDEX(ANE4:ANE8,MATCH(4,ANW4:ANW8,0),0),"")</f>
        <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Hungary</v>
      </c>
      <c r="AQH7" s="319">
        <v>4</v>
      </c>
      <c r="AQI7" s="319">
        <v>5</v>
      </c>
      <c r="AQJ7" s="319" t="str">
        <f t="shared" si="98"/>
        <v>Serbia</v>
      </c>
      <c r="AQK7" s="322">
        <f ca="1">IF(OFFSET('Player Game Board'!P14,0,AQK1)&lt;&gt;"",OFFSET('Player Game Board'!P14,0,AQK1),0)</f>
        <v>0</v>
      </c>
      <c r="AQL7" s="322">
        <f ca="1">IF(OFFSET('Player Game Board'!Q14,0,AQK1)&lt;&gt;"",OFFSET('Player Game Board'!Q14,0,AQK1),0)</f>
        <v>1</v>
      </c>
      <c r="AQM7" s="319" t="str">
        <f t="shared" si="99"/>
        <v>England</v>
      </c>
      <c r="AQN7" s="319" t="str">
        <f ca="1">IF(AND(OFFSET('Player Game Board'!P14,0,AQK1)&lt;&gt;"",OFFSET('Player Game Board'!Q14,0,AQK1)&lt;&gt;""),IF(AQK7&gt;AQL7,"W",IF(AQK7=AQL7,"D","L")),"")</f>
        <v>L</v>
      </c>
      <c r="AQO7" s="319" t="str">
        <f t="shared" ca="1" si="100"/>
        <v>W</v>
      </c>
      <c r="AQP7" s="319"/>
      <c r="AQQ7" s="319"/>
      <c r="AQR7" s="319" t="str">
        <f t="shared" ref="AQR7" ca="1" si="2348">VLOOKUP(3,AMK31:AML34,2,FALSE)</f>
        <v>Ukraine</v>
      </c>
      <c r="AQS7" s="320">
        <f t="shared" ref="AQS7" ca="1" si="2349">VLOOKUP(AQR7,AML4:AMQ40,2,FALSE)</f>
        <v>0</v>
      </c>
      <c r="AQT7" s="320">
        <f t="shared" ref="AQT7" ca="1" si="2350">VLOOKUP(AQR7,AML4:AMQ40,3,FALSE)</f>
        <v>2</v>
      </c>
      <c r="AQU7" s="320">
        <f t="shared" ref="AQU7" ca="1" si="2351">VLOOKUP(AQR7,AML4:AMQ40,4,FALSE)</f>
        <v>1</v>
      </c>
      <c r="AQV7" s="320">
        <f t="shared" ref="AQV7" ca="1" si="2352">VLOOKUP(AQR7,AML4:AMQ40,5,FALSE)</f>
        <v>1</v>
      </c>
      <c r="AQW7" s="320">
        <f t="shared" ref="AQW7" ca="1" si="2353">VLOOKUP(AQR7,AML4:AMQ40,6,FALSE)</f>
        <v>4</v>
      </c>
      <c r="AQX7" s="320">
        <f t="shared" ca="1" si="107"/>
        <v>997</v>
      </c>
      <c r="AQY7" s="320">
        <f t="shared" ca="1" si="108"/>
        <v>2</v>
      </c>
      <c r="AQZ7" s="319">
        <f ca="1">VLOOKUP(AQR7,B4:J40,9,FALSE)</f>
        <v>0</v>
      </c>
      <c r="ARA7" s="319">
        <f t="shared" ref="ARA7" ca="1" si="2354">RANK(AQY7,AQY3:AQY8)</f>
        <v>3</v>
      </c>
      <c r="ARB7" s="319">
        <f t="shared" ref="ARB7" ca="1" si="2355">SUMPRODUCT((ARA3:ARA8=ARA7)*(AQX3:AQX8&gt;AQX7))</f>
        <v>1</v>
      </c>
      <c r="ARC7" s="319">
        <f t="shared" ref="ARC7" ca="1" si="2356">SUMPRODUCT((ARA3:ARA8=ARA7)*(AQX3:AQX8=AQX7)*(AQV3:AQV8&gt;AQV7))</f>
        <v>0</v>
      </c>
      <c r="ARD7" s="319">
        <f t="shared" ref="ARD7" ca="1" si="2357">SUMPRODUCT((ARA3:ARA8=ARA7)*(AQX3:AQX8=AQX7)*(AQV3:AQV8=AQV7)*(AQZ3:AQZ8&gt;AQZ7))</f>
        <v>0</v>
      </c>
      <c r="ARE7" s="319">
        <f t="shared" ca="1" si="113"/>
        <v>4</v>
      </c>
      <c r="ARF7" s="319" t="s">
        <v>109</v>
      </c>
      <c r="ARG7" s="319">
        <v>5</v>
      </c>
      <c r="ARH7" s="319"/>
      <c r="ARI7" s="319">
        <f t="shared" ref="ARI7" ca="1" si="2358">VLOOKUP(ARJ7,AVE4:AVF8,2,FALSE)</f>
        <v>2</v>
      </c>
      <c r="ARJ7" s="319" t="str">
        <f t="shared" si="459"/>
        <v>Switzerland</v>
      </c>
      <c r="ARK7" s="319">
        <f t="shared" ref="ARK7" ca="1" si="2359">SUMPRODUCT((AVH3:AVH42=ARJ7)*(AVL3:AVL42="W"))+SUMPRODUCT((AVK3:AVK42=ARJ7)*(AVM3:AVM42="W"))</f>
        <v>2</v>
      </c>
      <c r="ARL7" s="319">
        <f t="shared" ref="ARL7" ca="1" si="2360">SUMPRODUCT((AVH3:AVH42=ARJ7)*(AVL3:AVL42="D"))+SUMPRODUCT((AVK3:AVK42=ARJ7)*(AVM3:AVM42="D"))</f>
        <v>0</v>
      </c>
      <c r="ARM7" s="319">
        <f t="shared" ref="ARM7" ca="1" si="2361">SUMPRODUCT((AVH3:AVH42=ARJ7)*(AVL3:AVL42="L"))+SUMPRODUCT((AVK3:AVK42=ARJ7)*(AVM3:AVM42="L"))</f>
        <v>1</v>
      </c>
      <c r="ARN7" s="319">
        <f t="shared" ref="ARN7" ca="1" si="2362">SUMIF(AVH3:AVH60,ARJ7,AVI3:AVI60)+SUMIF(AVK3:AVK60,ARJ7,AVJ3:AVJ60)</f>
        <v>6</v>
      </c>
      <c r="ARO7" s="319">
        <f t="shared" ref="ARO7" ca="1" si="2363">SUMIF(AVK3:AVK60,ARJ7,AVI3:AVI60)+SUMIF(AVH3:AVH60,ARJ7,AVJ3:AVJ60)</f>
        <v>4</v>
      </c>
      <c r="ARP7" s="319">
        <f t="shared" ca="1" si="465"/>
        <v>1002</v>
      </c>
      <c r="ARQ7" s="319">
        <f t="shared" ca="1" si="466"/>
        <v>6</v>
      </c>
      <c r="ARR7" s="319">
        <f t="shared" si="990"/>
        <v>34</v>
      </c>
      <c r="ARS7" s="319">
        <f t="shared" ref="ARS7" ca="1" si="2364">IF(COUNTIF(ARQ4:ARQ8,4)&lt;&gt;4,RANK(ARQ7,ARQ4:ARQ8),ARQ47)</f>
        <v>2</v>
      </c>
      <c r="ART7" s="319"/>
      <c r="ARU7" s="319">
        <f t="shared" ref="ARU7" ca="1" si="2365">SUMPRODUCT((ARS4:ARS7=ARS7)*(ARR4:ARR7&lt;ARR7))+ARS7</f>
        <v>2</v>
      </c>
      <c r="ARV7" s="319" t="str">
        <f t="shared" ref="ARV7" ca="1" si="2366">INDEX(ARJ4:ARJ8,MATCH(4,ARU4:ARU8,0),0)</f>
        <v>Hungary</v>
      </c>
      <c r="ARW7" s="319">
        <f t="shared" ref="ARW7" ca="1" si="2367">INDEX(ARS4:ARS8,MATCH(ARV7,ARJ4:ARJ8,0),0)</f>
        <v>4</v>
      </c>
      <c r="ARX7" s="319" t="str">
        <f t="shared" ca="1" si="1624"/>
        <v/>
      </c>
      <c r="ARY7" s="319" t="str">
        <f t="shared" ca="1" si="1625"/>
        <v/>
      </c>
      <c r="ARZ7" s="319"/>
      <c r="ASA7" s="319"/>
      <c r="ASB7" s="319"/>
      <c r="ASC7" s="319" t="str">
        <f t="shared" ca="1" si="475"/>
        <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t="str">
        <f t="shared" ca="1" si="482"/>
        <v/>
      </c>
      <c r="ASK7" s="319" t="str">
        <f t="shared" ref="ASK7" ca="1" si="2373">IF(ASC7&lt;&gt;"",VLOOKUP(ASC7,ARJ4:ARP40,7,FALSE),"")</f>
        <v/>
      </c>
      <c r="ASL7" s="319" t="str">
        <f t="shared" ref="ASL7" ca="1" si="2374">IF(ASC7&lt;&gt;"",VLOOKUP(ASC7,ARJ4:ARP40,5,FALSE),"")</f>
        <v/>
      </c>
      <c r="ASM7" s="319" t="str">
        <f t="shared" ref="ASM7" ca="1" si="2375">IF(ASC7&lt;&gt;"",VLOOKUP(ASC7,ARJ4:ARR40,9,FALSE),"")</f>
        <v/>
      </c>
      <c r="ASN7" s="319" t="str">
        <f t="shared" ca="1" si="486"/>
        <v/>
      </c>
      <c r="ASO7" s="319" t="str">
        <f t="shared" ref="ASO7" ca="1" si="2376">IF(ASC7&lt;&gt;"",RANK(ASN7,ASN4:ASN8),"")</f>
        <v/>
      </c>
      <c r="ASP7" s="319" t="str">
        <f t="shared" ref="ASP7" ca="1" si="2377">IF(ASC7&lt;&gt;"",SUMPRODUCT((ASN4:ASN8=ASN7)*(ASI4:ASI8&gt;ASI7)),"")</f>
        <v/>
      </c>
      <c r="ASQ7" s="319" t="str">
        <f t="shared" ref="ASQ7" ca="1" si="2378">IF(ASC7&lt;&gt;"",SUMPRODUCT((ASN4:ASN8=ASN7)*(ASI4:ASI8=ASI7)*(ASG4:ASG8&gt;ASG7)),"")</f>
        <v/>
      </c>
      <c r="ASR7" s="319" t="str">
        <f t="shared" ref="ASR7" ca="1" si="2379">IF(ASC7&lt;&gt;"",SUMPRODUCT((ASN4:ASN8=ASN7)*(ASI4:ASI8=ASI7)*(ASG4:ASG8=ASG7)*(ASK4:ASK8&gt;ASK7)),"")</f>
        <v/>
      </c>
      <c r="ASS7" s="319" t="str">
        <f t="shared" ref="ASS7" ca="1" si="2380">IF(ASC7&lt;&gt;"",SUMPRODUCT((ASN4:ASN8=ASN7)*(ASI4:ASI8=ASI7)*(ASG4:ASG8=ASG7)*(ASK4:ASK8=ASK7)*(ASL4:ASL8&gt;ASL7)),"")</f>
        <v/>
      </c>
      <c r="AST7" s="319" t="str">
        <f t="shared" ref="AST7" ca="1" si="2381">IF(ASC7&lt;&gt;"",SUMPRODUCT((ASN4:ASN8=ASN7)*(ASI4:ASI8=ASI7)*(ASG4:ASG8=ASG7)*(ASK4:ASK8=ASK7)*(ASL4:ASL8=ASL7)*(ASM4:ASM8&gt;ASM7)),"")</f>
        <v/>
      </c>
      <c r="ASU7" s="319" t="str">
        <f ca="1">IF(ASC7&lt;&gt;"",IF(ASU47&lt;&gt;"",IF(ASB43=3,ASU47,ASU47+ASB43),SUM(ASO7:AST7)),"")</f>
        <v/>
      </c>
      <c r="ASV7" s="319" t="str">
        <f t="shared" ref="ASV7" ca="1" si="2382">IF(ASC7&lt;&gt;"",INDEX(ASC4:ASC8,MATCH(4,ASU4:ASU8,0),0),"")</f>
        <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Hungary</v>
      </c>
      <c r="AVF7" s="319">
        <v>4</v>
      </c>
      <c r="AVG7" s="319">
        <v>5</v>
      </c>
      <c r="AVH7" s="319" t="str">
        <f t="shared" si="114"/>
        <v>Serbia</v>
      </c>
      <c r="AVI7" s="322">
        <f ca="1">IF(OFFSET('Player Game Board'!P14,0,AVI1)&lt;&gt;"",OFFSET('Player Game Board'!P14,0,AVI1),0)</f>
        <v>3</v>
      </c>
      <c r="AVJ7" s="322">
        <f ca="1">IF(OFFSET('Player Game Board'!Q14,0,AVI1)&lt;&gt;"",OFFSET('Player Game Board'!Q14,0,AVI1),0)</f>
        <v>1</v>
      </c>
      <c r="AVK7" s="319" t="str">
        <f t="shared" si="115"/>
        <v>England</v>
      </c>
      <c r="AVL7" s="319" t="str">
        <f ca="1">IF(AND(OFFSET('Player Game Board'!P14,0,AVI1)&lt;&gt;"",OFFSET('Player Game Board'!Q14,0,AVI1)&lt;&gt;""),IF(AVI7&gt;AVJ7,"W",IF(AVI7=AVJ7,"D","L")),"")</f>
        <v>W</v>
      </c>
      <c r="AVM7" s="319" t="str">
        <f t="shared" ca="1" si="116"/>
        <v>L</v>
      </c>
      <c r="AVN7" s="319"/>
      <c r="AVO7" s="319"/>
      <c r="AVP7" s="319" t="str">
        <f t="shared" ref="AVP7" ca="1" si="2434">VLOOKUP(3,ARI31:ARJ34,2,FALSE)</f>
        <v>Romania</v>
      </c>
      <c r="AVQ7" s="320">
        <f t="shared" ref="AVQ7" ca="1" si="2435">VLOOKUP(AVP7,ARJ4:ARO40,2,FALSE)</f>
        <v>1</v>
      </c>
      <c r="AVR7" s="320">
        <f t="shared" ref="AVR7" ca="1" si="2436">VLOOKUP(AVP7,ARJ4:ARO40,3,FALSE)</f>
        <v>1</v>
      </c>
      <c r="AVS7" s="320">
        <f t="shared" ref="AVS7" ca="1" si="2437">VLOOKUP(AVP7,ARJ4:ARO40,4,FALSE)</f>
        <v>1</v>
      </c>
      <c r="AVT7" s="320">
        <f t="shared" ref="AVT7" ca="1" si="2438">VLOOKUP(AVP7,ARJ4:ARO40,5,FALSE)</f>
        <v>5</v>
      </c>
      <c r="AVU7" s="320">
        <f t="shared" ref="AVU7" ca="1" si="2439">VLOOKUP(AVP7,ARJ4:ARO40,6,FALSE)</f>
        <v>2</v>
      </c>
      <c r="AVV7" s="320">
        <f t="shared" ca="1" si="123"/>
        <v>1003</v>
      </c>
      <c r="AVW7" s="320">
        <f t="shared" ca="1" si="124"/>
        <v>4</v>
      </c>
      <c r="AVX7" s="319">
        <f ca="1">VLOOKUP(AVP7,B4:J40,9,FALSE)</f>
        <v>46</v>
      </c>
      <c r="AVY7" s="319">
        <f t="shared" ref="AVY7" ca="1" si="2440">RANK(AVW7,AVW3:AVW8)</f>
        <v>1</v>
      </c>
      <c r="AVZ7" s="319">
        <f t="shared" ref="AVZ7" ca="1" si="2441">SUMPRODUCT((AVY3:AVY8=AVY7)*(AVV3:AVV8&gt;AVV7))</f>
        <v>0</v>
      </c>
      <c r="AWA7" s="319">
        <f t="shared" ref="AWA7" ca="1" si="2442">SUMPRODUCT((AVY3:AVY8=AVY7)*(AVV3:AVV8=AVV7)*(AVT3:AVT8&gt;AVT7))</f>
        <v>1</v>
      </c>
      <c r="AWB7" s="319">
        <f t="shared" ref="AWB7" ca="1" si="2443">SUMPRODUCT((AVY3:AVY8=AVY7)*(AVV3:AVV8=AVV7)*(AVT3:AVT8=AVT7)*(AVX3:AVX8&gt;AVX7))</f>
        <v>0</v>
      </c>
      <c r="AWC7" s="319">
        <f t="shared" ca="1" si="129"/>
        <v>2</v>
      </c>
      <c r="AWD7" s="319" t="s">
        <v>109</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3</v>
      </c>
      <c r="AWL7" s="319">
        <f t="shared" ref="AWL7" ca="1" si="2448">SUMIF(BAF3:BAF60,AWH7,BAG3:BAG60)+SUMIF(BAI3:BAI60,AWH7,BAH3:BAH60)</f>
        <v>3</v>
      </c>
      <c r="AWM7" s="319">
        <f t="shared" ref="AWM7" ca="1" si="2449">SUMIF(BAI3:BAI60,AWH7,BAG3:BAG60)+SUMIF(BAF3:BAF60,AWH7,BAH3:BAH60)</f>
        <v>8</v>
      </c>
      <c r="AWN7" s="319">
        <f t="shared" ca="1" si="512"/>
        <v>995</v>
      </c>
      <c r="AWO7" s="319">
        <f t="shared" ca="1" si="513"/>
        <v>0</v>
      </c>
      <c r="AWP7" s="319">
        <f t="shared" si="1050"/>
        <v>34</v>
      </c>
      <c r="AWQ7" s="319">
        <f t="shared" ref="AWQ7" ca="1" si="2450">IF(COUNTIF(AWO4:AWO8,4)&lt;&gt;4,RANK(AWO7,AWO4:AWO8),AWO47)</f>
        <v>4</v>
      </c>
      <c r="AWR7" s="319"/>
      <c r="AWS7" s="319">
        <f t="shared" ref="AWS7" ca="1" si="2451">SUMPRODUCT((AWQ4:AWQ7=AWQ7)*(AWP4:AWP7&lt;AWP7))+AWQ7</f>
        <v>4</v>
      </c>
      <c r="AWT7" s="319" t="str">
        <f t="shared" ref="AWT7" ca="1" si="2452">INDEX(AWH4:AWH8,MATCH(4,AWS4:AWS8,0),0)</f>
        <v>Switzerland</v>
      </c>
      <c r="AWU7" s="319">
        <f t="shared" ref="AWU7" ca="1" si="2453">INDEX(AWQ4:AWQ8,MATCH(AWT7,AWH4:AWH8,0),0)</f>
        <v>4</v>
      </c>
      <c r="AWV7" s="319" t="str">
        <f t="shared" ca="1" si="1698"/>
        <v/>
      </c>
      <c r="AWW7" s="319" t="str">
        <f t="shared" ca="1" si="1699"/>
        <v/>
      </c>
      <c r="AWX7" s="319"/>
      <c r="AWY7" s="319"/>
      <c r="AWZ7" s="319"/>
      <c r="AXA7" s="319" t="str">
        <f t="shared" ca="1" si="522"/>
        <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t="str">
        <f t="shared" ca="1" si="529"/>
        <v/>
      </c>
      <c r="AXI7" s="319" t="str">
        <f t="shared" ref="AXI7" ca="1" si="2459">IF(AXA7&lt;&gt;"",VLOOKUP(AXA7,AWH4:AWN40,7,FALSE),"")</f>
        <v/>
      </c>
      <c r="AXJ7" s="319" t="str">
        <f t="shared" ref="AXJ7" ca="1" si="2460">IF(AXA7&lt;&gt;"",VLOOKUP(AXA7,AWH4:AWN40,5,FALSE),"")</f>
        <v/>
      </c>
      <c r="AXK7" s="319" t="str">
        <f t="shared" ref="AXK7" ca="1" si="2461">IF(AXA7&lt;&gt;"",VLOOKUP(AXA7,AWH4:AWP40,9,FALSE),"")</f>
        <v/>
      </c>
      <c r="AXL7" s="319" t="str">
        <f t="shared" ca="1" si="533"/>
        <v/>
      </c>
      <c r="AXM7" s="319" t="str">
        <f t="shared" ref="AXM7" ca="1" si="2462">IF(AXA7&lt;&gt;"",RANK(AXL7,AXL4:AXL8),"")</f>
        <v/>
      </c>
      <c r="AXN7" s="319" t="str">
        <f t="shared" ref="AXN7" ca="1" si="2463">IF(AXA7&lt;&gt;"",SUMPRODUCT((AXL4:AXL8=AXL7)*(AXG4:AXG8&gt;AXG7)),"")</f>
        <v/>
      </c>
      <c r="AXO7" s="319" t="str">
        <f t="shared" ref="AXO7" ca="1" si="2464">IF(AXA7&lt;&gt;"",SUMPRODUCT((AXL4:AXL8=AXL7)*(AXG4:AXG8=AXG7)*(AXE4:AXE8&gt;AXE7)),"")</f>
        <v/>
      </c>
      <c r="AXP7" s="319" t="str">
        <f t="shared" ref="AXP7" ca="1" si="2465">IF(AXA7&lt;&gt;"",SUMPRODUCT((AXL4:AXL8=AXL7)*(AXG4:AXG8=AXG7)*(AXE4:AXE8=AXE7)*(AXI4:AXI8&gt;AXI7)),"")</f>
        <v/>
      </c>
      <c r="AXQ7" s="319" t="str">
        <f t="shared" ref="AXQ7" ca="1" si="2466">IF(AXA7&lt;&gt;"",SUMPRODUCT((AXL4:AXL8=AXL7)*(AXG4:AXG8=AXG7)*(AXE4:AXE8=AXE7)*(AXI4:AXI8=AXI7)*(AXJ4:AXJ8&gt;AXJ7)),"")</f>
        <v/>
      </c>
      <c r="AXR7" s="319" t="str">
        <f t="shared" ref="AXR7" ca="1" si="2467">IF(AXA7&lt;&gt;"",SUMPRODUCT((AXL4:AXL8=AXL7)*(AXG4:AXG8=AXG7)*(AXE4:AXE8=AXE7)*(AXI4:AXI8=AXI7)*(AXJ4:AXJ8=AXJ7)*(AXK4:AXK8&gt;AXK7)),"")</f>
        <v/>
      </c>
      <c r="AXS7" s="319" t="str">
        <f ca="1">IF(AXA7&lt;&gt;"",IF(AXS47&lt;&gt;"",IF(AWZ43=3,AXS47,AXS47+AWZ43),SUM(AXM7:AXR7)),"")</f>
        <v/>
      </c>
      <c r="AXT7" s="319" t="str">
        <f t="shared" ref="AXT7" ca="1" si="2468">IF(AXA7&lt;&gt;"",INDEX(AXA4:AXA8,MATCH(4,AXS4:AXS8,0),0),"")</f>
        <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1</v>
      </c>
      <c r="BAH7" s="322">
        <f ca="1">IF(OFFSET('Player Game Board'!Q14,0,BAG1)&lt;&gt;"",OFFSET('Player Game Board'!Q14,0,BAG1),0)</f>
        <v>4</v>
      </c>
      <c r="BAI7" s="319" t="str">
        <f t="shared" si="131"/>
        <v>England</v>
      </c>
      <c r="BAJ7" s="319" t="str">
        <f ca="1">IF(AND(OFFSET('Player Game Board'!P14,0,BAG1)&lt;&gt;"",OFFSET('Player Game Board'!Q14,0,BAG1)&lt;&gt;""),IF(BAG7&gt;BAH7,"W",IF(BAG7=BAH7,"D","L")),"")</f>
        <v>L</v>
      </c>
      <c r="BAK7" s="319" t="str">
        <f t="shared" ca="1" si="132"/>
        <v>W</v>
      </c>
      <c r="BAL7" s="319"/>
      <c r="BAM7" s="319"/>
      <c r="BAN7" s="319" t="str">
        <f t="shared" ref="BAN7" ca="1" si="2520">VLOOKUP(3,AWG31:AWH34,2,FALSE)</f>
        <v>Romania</v>
      </c>
      <c r="BAO7" s="320">
        <f t="shared" ref="BAO7" ca="1" si="2521">VLOOKUP(BAN7,AWH4:AWM40,2,FALSE)</f>
        <v>1</v>
      </c>
      <c r="BAP7" s="320">
        <f t="shared" ref="BAP7" ca="1" si="2522">VLOOKUP(BAN7,AWH4:AWM40,3,FALSE)</f>
        <v>0</v>
      </c>
      <c r="BAQ7" s="320">
        <f t="shared" ref="BAQ7" ca="1" si="2523">VLOOKUP(BAN7,AWH4:AWM40,4,FALSE)</f>
        <v>2</v>
      </c>
      <c r="BAR7" s="320">
        <f t="shared" ref="BAR7" ca="1" si="2524">VLOOKUP(BAN7,AWH4:AWM40,5,FALSE)</f>
        <v>5</v>
      </c>
      <c r="BAS7" s="320">
        <f t="shared" ref="BAS7" ca="1" si="2525">VLOOKUP(BAN7,AWH4:AWM40,6,FALSE)</f>
        <v>7</v>
      </c>
      <c r="BAT7" s="320">
        <f t="shared" ca="1" si="139"/>
        <v>998</v>
      </c>
      <c r="BAU7" s="320">
        <f t="shared" ca="1" si="140"/>
        <v>3</v>
      </c>
      <c r="BAV7" s="319">
        <f ca="1">VLOOKUP(BAN7,B4:J40,9,FALSE)</f>
        <v>46</v>
      </c>
      <c r="BAW7" s="319">
        <f t="shared" ref="BAW7" ca="1" si="2526">RANK(BAU7,BAU3:BAU8)</f>
        <v>1</v>
      </c>
      <c r="BAX7" s="319">
        <f t="shared" ref="BAX7" ca="1" si="2527">SUMPRODUCT((BAW3:BAW8=BAW7)*(BAT3:BAT8&gt;BAT7))</f>
        <v>2</v>
      </c>
      <c r="BAY7" s="319">
        <f t="shared" ref="BAY7" ca="1" si="2528">SUMPRODUCT((BAW3:BAW8=BAW7)*(BAT3:BAT8=BAT7)*(BAR3:BAR8&gt;BAR7))</f>
        <v>0</v>
      </c>
      <c r="BAZ7" s="319">
        <f t="shared" ref="BAZ7" ca="1" si="2529">SUMPRODUCT((BAW3:BAW8=BAW7)*(BAT3:BAT8=BAT7)*(BAR3:BAR8=BAR7)*(BAV3:BAV8&gt;BAV7))</f>
        <v>0</v>
      </c>
      <c r="BBA7" s="319">
        <f t="shared" ca="1" si="145"/>
        <v>3</v>
      </c>
      <c r="BBB7" s="319" t="s">
        <v>109</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109</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4</v>
      </c>
      <c r="DR8" s="319">
        <f>SUMPRODUCT((DQ3:DQ8=DQ8)*(DN3:DN8&gt;DN8))</f>
        <v>0</v>
      </c>
      <c r="DS8" s="319">
        <f>SUMPRODUCT((DQ3:DQ8=DQ8)*(DN3:DN8=DN8)*(DL3:DL8&gt;DL8))</f>
        <v>0</v>
      </c>
      <c r="DT8" s="319">
        <f>SUMPRODUCT((DQ3:DQ8=DQ8)*(DN3:DN8=DN8)*(DL3:DL8=DL8)*(DP3:DP8&gt;DP8))</f>
        <v>0</v>
      </c>
      <c r="DU8" s="319">
        <f t="shared" si="163"/>
        <v>4</v>
      </c>
      <c r="DV8" s="319" t="s">
        <v>110</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2</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1</v>
      </c>
      <c r="IH8" s="320">
        <f ca="1">VLOOKUP(IF8,DZ4:EE40,3,FALSE)</f>
        <v>1</v>
      </c>
      <c r="II8" s="320">
        <f ca="1">VLOOKUP(IF8,DZ4:EE40,4,FALSE)</f>
        <v>1</v>
      </c>
      <c r="IJ8" s="320">
        <f ca="1">VLOOKUP(IF8,DZ4:EE40,5,FALSE)</f>
        <v>4</v>
      </c>
      <c r="IK8" s="320">
        <f ca="1">VLOOKUP(IF8,DZ4:EE40,6,FALSE)</f>
        <v>3</v>
      </c>
      <c r="IL8" s="320">
        <f t="shared" ca="1" si="167"/>
        <v>1001</v>
      </c>
      <c r="IM8" s="320">
        <f t="shared" ca="1" si="168"/>
        <v>4</v>
      </c>
      <c r="IN8" s="319">
        <f ca="1">VLOOKUP(IF8,B4:J40,9,FALSE)</f>
        <v>37</v>
      </c>
      <c r="IO8" s="319">
        <f ca="1">RANK(IM8,IM3:IM8)</f>
        <v>1</v>
      </c>
      <c r="IP8" s="319">
        <f ca="1">SUMPRODUCT((IO3:IO8=IO8)*(IL3:IL8&gt;IL8))</f>
        <v>0</v>
      </c>
      <c r="IQ8" s="319">
        <f ca="1">SUMPRODUCT((IO3:IO8=IO8)*(IL3:IL8=IL8)*(IJ3:IJ8&gt;IJ8))</f>
        <v>0</v>
      </c>
      <c r="IR8" s="319">
        <f ca="1">SUMPRODUCT((IO3:IO8=IO8)*(IL3:IL8=IL8)*(IJ3:IJ8=IJ8)*(IN3:IN8&gt;IN8))</f>
        <v>1</v>
      </c>
      <c r="IS8" s="319">
        <f t="shared" ca="1" si="169"/>
        <v>2</v>
      </c>
      <c r="IT8" s="319" t="s">
        <v>110</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Czechia</v>
      </c>
      <c r="NE8" s="320">
        <f ca="1">VLOOKUP(ND8,IX4:JC40,2,FALSE)</f>
        <v>0</v>
      </c>
      <c r="NF8" s="320">
        <f ca="1">VLOOKUP(ND8,IX4:JC40,3,FALSE)</f>
        <v>2</v>
      </c>
      <c r="NG8" s="320">
        <f ca="1">VLOOKUP(ND8,IX4:JC40,4,FALSE)</f>
        <v>1</v>
      </c>
      <c r="NH8" s="320">
        <f ca="1">VLOOKUP(ND8,IX4:JC40,5,FALSE)</f>
        <v>3</v>
      </c>
      <c r="NI8" s="320">
        <f ca="1">VLOOKUP(ND8,IX4:JC40,6,FALSE)</f>
        <v>4</v>
      </c>
      <c r="NJ8" s="320">
        <f t="shared" ca="1" si="173"/>
        <v>999</v>
      </c>
      <c r="NK8" s="320">
        <f t="shared" ca="1" si="174"/>
        <v>2</v>
      </c>
      <c r="NL8" s="319">
        <f ca="1">VLOOKUP(ND8,B4:J40,9,FALSE)</f>
        <v>37</v>
      </c>
      <c r="NM8" s="319">
        <f ca="1">RANK(NK8,NK3:NK8)</f>
        <v>5</v>
      </c>
      <c r="NN8" s="319">
        <f ca="1">SUMPRODUCT((NM3:NM8=NM8)*(NJ3:NJ8&gt;NJ8))</f>
        <v>0</v>
      </c>
      <c r="NO8" s="319">
        <f ca="1">SUMPRODUCT((NM3:NM8=NM8)*(NJ3:NJ8=NJ8)*(NH3:NH8&gt;NH8))</f>
        <v>0</v>
      </c>
      <c r="NP8" s="319">
        <f ca="1">SUMPRODUCT((NM3:NM8=NM8)*(NJ3:NJ8=NJ8)*(NH3:NH8=NH8)*(NL3:NL8&gt;NL8))</f>
        <v>0</v>
      </c>
      <c r="NQ8" s="319">
        <f t="shared" ca="1" si="175"/>
        <v>5</v>
      </c>
      <c r="NR8" s="319" t="s">
        <v>110</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Türkiye</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3</v>
      </c>
      <c r="SH8" s="320">
        <f t="shared" ca="1" si="27"/>
        <v>999</v>
      </c>
      <c r="SI8" s="320">
        <f t="shared" ca="1" si="28"/>
        <v>3</v>
      </c>
      <c r="SJ8" s="319">
        <f ca="1">VLOOKUP(SB8,B4:J40,9,FALSE)</f>
        <v>47</v>
      </c>
      <c r="SK8" s="319">
        <f t="shared" ref="SK8" ca="1" si="2622">RANK(SI8,SI3:SI8)</f>
        <v>2</v>
      </c>
      <c r="SL8" s="319">
        <f t="shared" ref="SL8" ca="1" si="2623">SUMPRODUCT((SK3:SK8=SK8)*(SH3:SH8&gt;SH8))</f>
        <v>0</v>
      </c>
      <c r="SM8" s="319">
        <f t="shared" ref="SM8" ca="1" si="2624">SUMPRODUCT((SK3:SK8=SK8)*(SH3:SH8=SH8)*(SF3:SF8&gt;SF8))</f>
        <v>3</v>
      </c>
      <c r="SN8" s="319">
        <f t="shared" ref="SN8" ca="1" si="2625">SUMPRODUCT((SK3:SK8=SK8)*(SH3:SH8=SH8)*(SF3:SF8=SF8)*(SJ3:SJ8&gt;SJ8))</f>
        <v>0</v>
      </c>
      <c r="SO8" s="319">
        <f t="shared" ca="1" si="33"/>
        <v>5</v>
      </c>
      <c r="SP8" s="319" t="s">
        <v>110</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2</v>
      </c>
      <c r="WT8" s="322">
        <f ca="1">IF(OFFSET('Player Game Board'!Q15,0,WS1)&lt;&gt;"",OFFSET('Player Game Board'!Q15,0,WS1),0)</f>
        <v>3</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Türkiye</v>
      </c>
      <c r="XA8" s="320">
        <f t="shared" ref="XA8" ca="1" si="2627">VLOOKUP(WZ8,ST4:SY40,2,FALSE)</f>
        <v>1</v>
      </c>
      <c r="XB8" s="320">
        <f t="shared" ref="XB8" ca="1" si="2628">VLOOKUP(WZ8,ST4:SY40,3,FALSE)</f>
        <v>1</v>
      </c>
      <c r="XC8" s="320">
        <f t="shared" ref="XC8" ca="1" si="2629">VLOOKUP(WZ8,ST4:SY40,4,FALSE)</f>
        <v>1</v>
      </c>
      <c r="XD8" s="320">
        <f t="shared" ref="XD8" ca="1" si="2630">VLOOKUP(WZ8,ST4:SY40,5,FALSE)</f>
        <v>4</v>
      </c>
      <c r="XE8" s="320">
        <f t="shared" ref="XE8" ca="1" si="2631">VLOOKUP(WZ8,ST4:SY40,6,FALSE)</f>
        <v>5</v>
      </c>
      <c r="XF8" s="320">
        <f t="shared" ca="1" si="43"/>
        <v>999</v>
      </c>
      <c r="XG8" s="320">
        <f t="shared" ca="1" si="44"/>
        <v>4</v>
      </c>
      <c r="XH8" s="319">
        <f ca="1">VLOOKUP(WZ8,B4:J40,9,FALSE)</f>
        <v>47</v>
      </c>
      <c r="XI8" s="319">
        <f t="shared" ref="XI8" ca="1" si="2632">RANK(XG8,XG3:XG8)</f>
        <v>1</v>
      </c>
      <c r="XJ8" s="319">
        <f t="shared" ref="XJ8" ca="1" si="2633">SUMPRODUCT((XI3:XI8=XI8)*(XF3:XF8&gt;XF8))</f>
        <v>1</v>
      </c>
      <c r="XK8" s="319">
        <f t="shared" ref="XK8" ca="1" si="2634">SUMPRODUCT((XI3:XI8=XI8)*(XF3:XF8=XF8)*(XD3:XD8&gt;XD8))</f>
        <v>0</v>
      </c>
      <c r="XL8" s="319">
        <f t="shared" ref="XL8" ca="1" si="2635">SUMPRODUCT((XI3:XI8=XI8)*(XF3:XF8=XF8)*(XD3:XD8=XD8)*(XH3:XH8&gt;XH8))</f>
        <v>0</v>
      </c>
      <c r="XM8" s="319">
        <f t="shared" ca="1" si="49"/>
        <v>2</v>
      </c>
      <c r="XN8" s="319" t="s">
        <v>110</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110</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1</v>
      </c>
      <c r="AGP8" s="322">
        <f ca="1">IF(OFFSET('Player Game Board'!Q15,0,AGO1)&lt;&gt;"",OFFSET('Player Game Board'!Q15,0,AGO1),0)</f>
        <v>1</v>
      </c>
      <c r="AGQ8" s="319" t="str">
        <f t="shared" si="67"/>
        <v>Denmark</v>
      </c>
      <c r="AGR8" s="319" t="str">
        <f ca="1">IF(AND(OFFSET('Player Game Board'!P15,0,AGO1)&lt;&gt;"",OFFSET('Player Game Board'!Q15,0,AGO1)&lt;&gt;""),IF(AGO8&gt;AGP8,"W",IF(AGO8=AGP8,"D","L")),"")</f>
        <v>D</v>
      </c>
      <c r="AGS8" s="319" t="str">
        <f t="shared" ca="1" si="68"/>
        <v>D</v>
      </c>
      <c r="AGT8" s="319"/>
      <c r="AGU8" s="319"/>
      <c r="AGV8" s="319" t="str">
        <f t="shared" ref="AGV8" ca="1" si="2646">VLOOKUP(3,ACO37:ACP40,2,FALSE)</f>
        <v>Portugal</v>
      </c>
      <c r="AGW8" s="320">
        <f t="shared" ref="AGW8" ca="1" si="2647">VLOOKUP(AGV8,ACP4:ACU40,2,FALSE)</f>
        <v>1</v>
      </c>
      <c r="AGX8" s="320">
        <f t="shared" ref="AGX8" ca="1" si="2648">VLOOKUP(AGV8,ACP4:ACU40,3,FALSE)</f>
        <v>0</v>
      </c>
      <c r="AGY8" s="320">
        <f t="shared" ref="AGY8" ca="1" si="2649">VLOOKUP(AGV8,ACP4:ACU40,4,FALSE)</f>
        <v>2</v>
      </c>
      <c r="AGZ8" s="320">
        <f t="shared" ref="AGZ8" ca="1" si="2650">VLOOKUP(AGV8,ACP4:ACU40,5,FALSE)</f>
        <v>3</v>
      </c>
      <c r="AHA8" s="320">
        <f t="shared" ref="AHA8" ca="1" si="2651">VLOOKUP(AGV8,ACP4:ACU40,6,FALSE)</f>
        <v>4</v>
      </c>
      <c r="AHB8" s="320">
        <f t="shared" ca="1" si="75"/>
        <v>999</v>
      </c>
      <c r="AHC8" s="320">
        <f t="shared" ca="1" si="76"/>
        <v>3</v>
      </c>
      <c r="AHD8" s="319">
        <f ca="1">VLOOKUP(AGV8,B4:J40,9,FALSE)</f>
        <v>53</v>
      </c>
      <c r="AHE8" s="319">
        <f t="shared" ref="AHE8" ca="1" si="2652">RANK(AHC8,AHC3:AHC8)</f>
        <v>2</v>
      </c>
      <c r="AHF8" s="319">
        <f t="shared" ref="AHF8" ca="1" si="2653">SUMPRODUCT((AHE3:AHE8=AHE8)*(AHB3:AHB8&gt;AHB8))</f>
        <v>1</v>
      </c>
      <c r="AHG8" s="319">
        <f t="shared" ref="AHG8" ca="1" si="2654">SUMPRODUCT((AHE3:AHE8=AHE8)*(AHB3:AHB8=AHB8)*(AGZ3:AGZ8&gt;AGZ8))</f>
        <v>1</v>
      </c>
      <c r="AHH8" s="319">
        <f t="shared" ref="AHH8" ca="1" si="2655">SUMPRODUCT((AHE3:AHE8=AHE8)*(AHB3:AHB8=AHB8)*(AGZ3:AGZ8=AGZ8)*(AHD3:AHD8&gt;AHD8))</f>
        <v>0</v>
      </c>
      <c r="AHI8" s="319">
        <f t="shared" ca="1" si="81"/>
        <v>4</v>
      </c>
      <c r="AHJ8" s="319" t="s">
        <v>110</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D</v>
      </c>
      <c r="ALQ8" s="319" t="str">
        <f t="shared" ca="1" si="84"/>
        <v>D</v>
      </c>
      <c r="ALR8" s="319"/>
      <c r="ALS8" s="319"/>
      <c r="ALT8" s="319" t="str">
        <f t="shared" ref="ALT8" ca="1" si="2656">VLOOKUP(3,AHM37:AHN40,2,FALSE)</f>
        <v>Czechia</v>
      </c>
      <c r="ALU8" s="320">
        <f t="shared" ref="ALU8" ca="1" si="2657">VLOOKUP(ALT8,AHN4:AHS40,2,FALSE)</f>
        <v>0</v>
      </c>
      <c r="ALV8" s="320">
        <f t="shared" ref="ALV8" ca="1" si="2658">VLOOKUP(ALT8,AHN4:AHS40,3,FALSE)</f>
        <v>1</v>
      </c>
      <c r="ALW8" s="320">
        <f t="shared" ref="ALW8" ca="1" si="2659">VLOOKUP(ALT8,AHN4:AHS40,4,FALSE)</f>
        <v>2</v>
      </c>
      <c r="ALX8" s="320">
        <f t="shared" ref="ALX8" ca="1" si="2660">VLOOKUP(ALT8,AHN4:AHS40,5,FALSE)</f>
        <v>0</v>
      </c>
      <c r="ALY8" s="320">
        <f t="shared" ref="ALY8" ca="1" si="2661">VLOOKUP(ALT8,AHN4:AHS40,6,FALSE)</f>
        <v>3</v>
      </c>
      <c r="ALZ8" s="320">
        <f t="shared" ca="1" si="91"/>
        <v>997</v>
      </c>
      <c r="AMA8" s="320">
        <f t="shared" ca="1" si="92"/>
        <v>1</v>
      </c>
      <c r="AMB8" s="319">
        <f ca="1">VLOOKUP(ALT8,B4:J40,9,FALSE)</f>
        <v>37</v>
      </c>
      <c r="AMC8" s="319">
        <f t="shared" ref="AMC8" ca="1" si="2662">RANK(AMA8,AMA3:AMA8)</f>
        <v>5</v>
      </c>
      <c r="AMD8" s="319">
        <f t="shared" ref="AMD8" ca="1" si="2663">SUMPRODUCT((AMC3:AMC8=AMC8)*(ALZ3:ALZ8&gt;ALZ8))</f>
        <v>1</v>
      </c>
      <c r="AME8" s="319">
        <f t="shared" ref="AME8" ca="1" si="2664">SUMPRODUCT((AMC3:AMC8=AMC8)*(ALZ3:ALZ8=ALZ8)*(ALX3:ALX8&gt;ALX8))</f>
        <v>0</v>
      </c>
      <c r="AMF8" s="319">
        <f t="shared" ref="AMF8" ca="1" si="2665">SUMPRODUCT((AMC3:AMC8=AMC8)*(ALZ3:ALZ8=ALZ8)*(ALX3:ALX8=ALX8)*(AMB3:AMB8&gt;AMB8))</f>
        <v>0</v>
      </c>
      <c r="AMG8" s="319">
        <f t="shared" ca="1" si="97"/>
        <v>6</v>
      </c>
      <c r="AMH8" s="319" t="s">
        <v>110</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1</v>
      </c>
      <c r="AQM8" s="319" t="str">
        <f t="shared" si="99"/>
        <v>Denmark</v>
      </c>
      <c r="AQN8" s="319" t="str">
        <f ca="1">IF(AND(OFFSET('Player Game Board'!P15,0,AQK1)&lt;&gt;"",OFFSET('Player Game Board'!Q15,0,AQK1)&lt;&gt;""),IF(AQK8&gt;AQL8,"W",IF(AQK8=AQL8,"D","L")),"")</f>
        <v>L</v>
      </c>
      <c r="AQO8" s="319" t="str">
        <f t="shared" ca="1" si="100"/>
        <v>W</v>
      </c>
      <c r="AQP8" s="319"/>
      <c r="AQQ8" s="319"/>
      <c r="AQR8" s="319" t="str">
        <f t="shared" ref="AQR8" ca="1" si="2666">VLOOKUP(3,AMK37:AML40,2,FALSE)</f>
        <v>Türkiye</v>
      </c>
      <c r="AQS8" s="320">
        <f t="shared" ref="AQS8" ca="1" si="2667">VLOOKUP(AQR8,AML4:AMQ40,2,FALSE)</f>
        <v>0</v>
      </c>
      <c r="AQT8" s="320">
        <f t="shared" ref="AQT8" ca="1" si="2668">VLOOKUP(AQR8,AML4:AMQ40,3,FALSE)</f>
        <v>2</v>
      </c>
      <c r="AQU8" s="320">
        <f t="shared" ref="AQU8" ca="1" si="2669">VLOOKUP(AQR8,AML4:AMQ40,4,FALSE)</f>
        <v>1</v>
      </c>
      <c r="AQV8" s="320">
        <f t="shared" ref="AQV8" ca="1" si="2670">VLOOKUP(AQR8,AML4:AMQ40,5,FALSE)</f>
        <v>3</v>
      </c>
      <c r="AQW8" s="320">
        <f t="shared" ref="AQW8" ca="1" si="2671">VLOOKUP(AQR8,AML4:AMQ40,6,FALSE)</f>
        <v>5</v>
      </c>
      <c r="AQX8" s="320">
        <f t="shared" ca="1" si="107"/>
        <v>998</v>
      </c>
      <c r="AQY8" s="320">
        <f t="shared" ca="1" si="108"/>
        <v>2</v>
      </c>
      <c r="AQZ8" s="319">
        <f ca="1">VLOOKUP(AQR8,B4:J40,9,FALSE)</f>
        <v>47</v>
      </c>
      <c r="ARA8" s="319">
        <f t="shared" ref="ARA8" ca="1" si="2672">RANK(AQY8,AQY3:AQY8)</f>
        <v>3</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0</v>
      </c>
      <c r="ARE8" s="319">
        <f t="shared" ca="1" si="113"/>
        <v>3</v>
      </c>
      <c r="ARF8" s="319" t="s">
        <v>110</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2</v>
      </c>
      <c r="AVJ8" s="322">
        <f ca="1">IF(OFFSET('Player Game Board'!Q15,0,AVI1)&lt;&gt;"",OFFSET('Player Game Board'!Q15,0,AVI1),0)</f>
        <v>1</v>
      </c>
      <c r="AVK8" s="319" t="str">
        <f t="shared" si="115"/>
        <v>Denmark</v>
      </c>
      <c r="AVL8" s="319" t="str">
        <f ca="1">IF(AND(OFFSET('Player Game Board'!P15,0,AVI1)&lt;&gt;"",OFFSET('Player Game Board'!Q15,0,AVI1)&lt;&gt;""),IF(AVI8&gt;AVJ8,"W",IF(AVI8=AVJ8,"D","L")),"")</f>
        <v>W</v>
      </c>
      <c r="AVM8" s="319" t="str">
        <f t="shared" ca="1" si="116"/>
        <v>L</v>
      </c>
      <c r="AVN8" s="319"/>
      <c r="AVO8" s="319"/>
      <c r="AVP8" s="319" t="str">
        <f t="shared" ref="AVP8" ca="1" si="2676">VLOOKUP(3,ARI37:ARJ40,2,FALSE)</f>
        <v>Georgia</v>
      </c>
      <c r="AVQ8" s="320">
        <f t="shared" ref="AVQ8" ca="1" si="2677">VLOOKUP(AVP8,ARJ4:ARO40,2,FALSE)</f>
        <v>0</v>
      </c>
      <c r="AVR8" s="320">
        <f t="shared" ref="AVR8" ca="1" si="2678">VLOOKUP(AVP8,ARJ4:ARO40,3,FALSE)</f>
        <v>2</v>
      </c>
      <c r="AVS8" s="320">
        <f t="shared" ref="AVS8" ca="1" si="2679">VLOOKUP(AVP8,ARJ4:ARO40,4,FALSE)</f>
        <v>1</v>
      </c>
      <c r="AVT8" s="320">
        <f t="shared" ref="AVT8" ca="1" si="2680">VLOOKUP(AVP8,ARJ4:ARO40,5,FALSE)</f>
        <v>6</v>
      </c>
      <c r="AVU8" s="320">
        <f t="shared" ref="AVU8" ca="1" si="2681">VLOOKUP(AVP8,ARJ4:ARO40,6,FALSE)</f>
        <v>7</v>
      </c>
      <c r="AVV8" s="320">
        <f t="shared" ca="1" si="123"/>
        <v>999</v>
      </c>
      <c r="AVW8" s="320">
        <f t="shared" ca="1" si="124"/>
        <v>2</v>
      </c>
      <c r="AVX8" s="319">
        <f ca="1">VLOOKUP(AVP8,B4:J40,9,FALSE)</f>
        <v>0</v>
      </c>
      <c r="AVY8" s="319">
        <f t="shared" ref="AVY8" ca="1" si="2682">RANK(AVW8,AVW3:AVW8)</f>
        <v>6</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0</v>
      </c>
      <c r="AWC8" s="319">
        <f t="shared" ca="1" si="129"/>
        <v>6</v>
      </c>
      <c r="AWD8" s="319" t="s">
        <v>110</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2</v>
      </c>
      <c r="BAH8" s="322">
        <f ca="1">IF(OFFSET('Player Game Board'!Q15,0,BAG1)&lt;&gt;"",OFFSET('Player Game Board'!Q15,0,BAG1),0)</f>
        <v>4</v>
      </c>
      <c r="BAI8" s="319" t="str">
        <f t="shared" si="131"/>
        <v>Denmark</v>
      </c>
      <c r="BAJ8" s="319" t="str">
        <f ca="1">IF(AND(OFFSET('Player Game Board'!P15,0,BAG1)&lt;&gt;"",OFFSET('Player Game Board'!Q15,0,BAG1)&lt;&gt;""),IF(BAG8&gt;BAH8,"W",IF(BAG8=BAH8,"D","L")),"")</f>
        <v>L</v>
      </c>
      <c r="BAK8" s="319" t="str">
        <f t="shared" ca="1" si="132"/>
        <v>W</v>
      </c>
      <c r="BAL8" s="319"/>
      <c r="BAM8" s="319"/>
      <c r="BAN8" s="319" t="str">
        <f t="shared" ref="BAN8" ca="1" si="2686">VLOOKUP(3,AWG37:AWH40,2,FALSE)</f>
        <v>Georgia</v>
      </c>
      <c r="BAO8" s="320">
        <f t="shared" ref="BAO8" ca="1" si="2687">VLOOKUP(BAN8,AWH4:AWM40,2,FALSE)</f>
        <v>1</v>
      </c>
      <c r="BAP8" s="320">
        <f t="shared" ref="BAP8" ca="1" si="2688">VLOOKUP(BAN8,AWH4:AWM40,3,FALSE)</f>
        <v>0</v>
      </c>
      <c r="BAQ8" s="320">
        <f t="shared" ref="BAQ8" ca="1" si="2689">VLOOKUP(BAN8,AWH4:AWM40,4,FALSE)</f>
        <v>2</v>
      </c>
      <c r="BAR8" s="320">
        <f t="shared" ref="BAR8" ca="1" si="2690">VLOOKUP(BAN8,AWH4:AWM40,5,FALSE)</f>
        <v>4</v>
      </c>
      <c r="BAS8" s="320">
        <f t="shared" ref="BAS8" ca="1" si="2691">VLOOKUP(BAN8,AWH4:AWM40,6,FALSE)</f>
        <v>7</v>
      </c>
      <c r="BAT8" s="320">
        <f t="shared" ca="1" si="139"/>
        <v>997</v>
      </c>
      <c r="BAU8" s="320">
        <f t="shared" ca="1" si="140"/>
        <v>3</v>
      </c>
      <c r="BAV8" s="319">
        <f ca="1">VLOOKUP(BAN8,B4:J40,9,FALSE)</f>
        <v>0</v>
      </c>
      <c r="BAW8" s="319">
        <f t="shared" ref="BAW8" ca="1" si="2692">RANK(BAU8,BAU3:BAU8)</f>
        <v>1</v>
      </c>
      <c r="BAX8" s="319">
        <f t="shared" ref="BAX8" ca="1" si="2693">SUMPRODUCT((BAW3:BAW8=BAW8)*(BAT3:BAT8&gt;BAT8))</f>
        <v>3</v>
      </c>
      <c r="BAY8" s="319">
        <f t="shared" ref="BAY8" ca="1" si="2694">SUMPRODUCT((BAW3:BAW8=BAW8)*(BAT3:BAT8=BAT8)*(BAR3:BAR8&gt;BAR8))</f>
        <v>0</v>
      </c>
      <c r="BAZ8" s="319">
        <f t="shared" ref="BAZ8" ca="1" si="2695">SUMPRODUCT((BAW3:BAW8=BAW8)*(BAT3:BAT8=BAT8)*(BAR3:BAR8=BAR8)*(BAV3:BAV8&gt;BAV8))</f>
        <v>0</v>
      </c>
      <c r="BBA8" s="319">
        <f t="shared" ca="1" si="145"/>
        <v>4</v>
      </c>
      <c r="BBB8" s="319" t="s">
        <v>110</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110</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97</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97</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97</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97</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97</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1</v>
      </c>
      <c r="WU9" s="319" t="str">
        <f t="shared" si="35"/>
        <v>Netherlands</v>
      </c>
      <c r="WV9" s="319" t="str">
        <f ca="1">IF(AND(OFFSET('Player Game Board'!P16,0,WS1)&lt;&gt;"",OFFSET('Player Game Board'!Q16,0,WS1)&lt;&gt;""),IF(WS9&gt;WT9,"W",IF(WS9=WT9,"D","L")),"")</f>
        <v>L</v>
      </c>
      <c r="WW9" s="319" t="str">
        <f t="shared" ca="1" si="36"/>
        <v>W</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97</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97</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97</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1</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97</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2</v>
      </c>
      <c r="AQM9" s="319" t="str">
        <f t="shared" si="99"/>
        <v>Netherlands</v>
      </c>
      <c r="AQN9" s="319" t="str">
        <f ca="1">IF(AND(OFFSET('Player Game Board'!P16,0,AQK1)&lt;&gt;"",OFFSET('Player Game Board'!Q16,0,AQK1)&lt;&gt;""),IF(AQK9&gt;AQL9,"W",IF(AQK9=AQL9,"D","L")),"")</f>
        <v>L</v>
      </c>
      <c r="AQO9" s="319" t="str">
        <f t="shared" ca="1" si="100"/>
        <v>W</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97</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2</v>
      </c>
      <c r="AVK9" s="319" t="str">
        <f t="shared" si="115"/>
        <v>Netherlands</v>
      </c>
      <c r="AVL9" s="319" t="str">
        <f ca="1">IF(AND(OFFSET('Player Game Board'!P16,0,AVI1)&lt;&gt;"",OFFSET('Player Game Board'!Q16,0,AVI1)&lt;&gt;""),IF(AVI9&gt;AVJ9,"W",IF(AVI9=AVJ9,"D","L")),"")</f>
        <v>L</v>
      </c>
      <c r="AVM9" s="319" t="str">
        <f t="shared" ca="1" si="116"/>
        <v>W</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97</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2</v>
      </c>
      <c r="BAI9" s="319" t="str">
        <f t="shared" si="131"/>
        <v>Netherlands</v>
      </c>
      <c r="BAJ9" s="319" t="str">
        <f ca="1">IF(AND(OFFSET('Player Game Board'!P16,0,BAG1)&lt;&gt;"",OFFSET('Player Game Board'!Q16,0,BAG1)&lt;&gt;""),IF(BAG9&gt;BAH9,"W",IF(BAG9=BAH9,"D","L")),"")</f>
        <v>L</v>
      </c>
      <c r="BAK9" s="319" t="str">
        <f t="shared" ca="1" si="132"/>
        <v>W</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97</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1</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1</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3</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1</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1</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1</v>
      </c>
      <c r="AQL10" s="322">
        <f ca="1">IF(OFFSET('Player Game Board'!Q17,0,AQK1)&lt;&gt;"",OFFSET('Player Game Board'!Q17,0,AQK1),0)</f>
        <v>3</v>
      </c>
      <c r="AQM10" s="319" t="str">
        <f t="shared" si="99"/>
        <v>France</v>
      </c>
      <c r="AQN10" s="319" t="str">
        <f ca="1">IF(AND(OFFSET('Player Game Board'!P17,0,AQK1)&lt;&gt;"",OFFSET('Player Game Board'!Q17,0,AQK1)&lt;&gt;""),IF(AQK10&gt;AQL10,"W",IF(AQK10=AQL10,"D","L")),"")</f>
        <v>L</v>
      </c>
      <c r="AQO10" s="319" t="str">
        <f t="shared" ca="1" si="100"/>
        <v>W</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1</v>
      </c>
      <c r="AVJ10" s="322">
        <f ca="1">IF(OFFSET('Player Game Board'!Q17,0,AVI1)&lt;&gt;"",OFFSET('Player Game Board'!Q17,0,AVI1),0)</f>
        <v>3</v>
      </c>
      <c r="AVK10" s="319" t="str">
        <f t="shared" si="115"/>
        <v>France</v>
      </c>
      <c r="AVL10" s="319" t="str">
        <f ca="1">IF(AND(OFFSET('Player Game Board'!P17,0,AVI1)&lt;&gt;"",OFFSET('Player Game Board'!Q17,0,AVI1)&lt;&gt;""),IF(AVI10&gt;AVJ10,"W",IF(AVI10=AVJ10,"D","L")),"")</f>
        <v>L</v>
      </c>
      <c r="AVM10" s="319" t="str">
        <f t="shared" ca="1" si="116"/>
        <v>W</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4</v>
      </c>
      <c r="BAI10" s="319" t="str">
        <f t="shared" si="131"/>
        <v>France</v>
      </c>
      <c r="BAJ10" s="319" t="str">
        <f ca="1">IF(AND(OFFSET('Player Game Board'!P17,0,BAG1)&lt;&gt;"",OFFSET('Player Game Board'!Q17,0,BAG1)&lt;&gt;""),IF(BAG10&gt;BAH10,"W",IF(BAG10=BAH10,"D","L")),"")</f>
        <v>L</v>
      </c>
      <c r="BAK10" s="319" t="str">
        <f t="shared" ca="1" si="132"/>
        <v>W</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1</v>
      </c>
      <c r="EB11" s="319">
        <f ca="1">SUMPRODUCT((HX3:HX42=DZ11)*(IB3:IB42="D"))+SUMPRODUCT((IA3:IA42=DZ11)*(IC3:IC42="D"))</f>
        <v>2</v>
      </c>
      <c r="EC11" s="319">
        <f ca="1">SUMPRODUCT((HX3:HX42=DZ11)*(IB3:IB42="L"))+SUMPRODUCT((IA3:IA42=DZ11)*(IC3:IC42="L"))</f>
        <v>0</v>
      </c>
      <c r="ED11" s="319">
        <f ca="1">SUMIF(HX3:HX60,DZ11,HY3:HY60)+SUMIF(IA3:IA60,DZ11,HZ3:HZ60)</f>
        <v>5</v>
      </c>
      <c r="EE11" s="319">
        <f ca="1">SUMIF(IA3:IA60,DZ11,HY3:HY60)+SUMIF(HX3:HX60,DZ11,HZ3:HZ60)</f>
        <v>2</v>
      </c>
      <c r="EF11" s="319">
        <f t="shared" ref="EF11:EF14" ca="1" si="2710">ED11-EE11+1000</f>
        <v>1003</v>
      </c>
      <c r="EG11" s="319">
        <f t="shared" ref="EG11:EG14" ca="1" si="2711">EA11*3+EB11*1</f>
        <v>5</v>
      </c>
      <c r="EH11" s="319">
        <f t="shared" si="609"/>
        <v>36</v>
      </c>
      <c r="EI11" s="319">
        <f ca="1">IF(COUNTIF(EG11:EG15,4)&lt;&gt;4,RANK(EG11,EG11:EG15),EG51)</f>
        <v>2</v>
      </c>
      <c r="EJ11" s="319"/>
      <c r="EK11" s="319">
        <f ca="1">SUMPRODUCT((EI11:EI14=EI11)*(EH11:EH14&lt;EH11))+EI11</f>
        <v>2</v>
      </c>
      <c r="EL11" s="319" t="str">
        <f ca="1">INDEX(DZ11:DZ15,MATCH(1,EK11:EK15,0),0)</f>
        <v>Spain</v>
      </c>
      <c r="EM11" s="319">
        <f ca="1">INDEX(EI11:EI15,MATCH(EL11,DZ11:DZ15,0),0)</f>
        <v>1</v>
      </c>
      <c r="EN11" s="319" t="str">
        <f ca="1">IF(EM12=1,EL11,"")</f>
        <v/>
      </c>
      <c r="EO11" s="319" t="str">
        <f ca="1">IF(EM13=2,EL12,"")</f>
        <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7</v>
      </c>
      <c r="JC11" s="319">
        <f ca="1">SUMIF(MY3:MY60,IX11,MW3:MW60)+SUMIF(MV3:MV60,IX11,MX3:MX60)</f>
        <v>5</v>
      </c>
      <c r="JD11" s="319">
        <f t="shared" ref="JD11:JD14" ca="1" si="2714">JB11-JC11+1000</f>
        <v>1002</v>
      </c>
      <c r="JE11" s="319">
        <f t="shared" ref="JE11:JE14" ca="1" si="2715">IY11*3+IZ11*1</f>
        <v>5</v>
      </c>
      <c r="JF11" s="319">
        <f t="shared" si="618"/>
        <v>36</v>
      </c>
      <c r="JG11" s="319">
        <f ca="1">IF(COUNTIF(JE11:JE15,4)&lt;&gt;4,RANK(JE11,JE11:JE15),JE51)</f>
        <v>1</v>
      </c>
      <c r="JH11" s="319"/>
      <c r="JI11" s="319">
        <f ca="1">SUMPRODUCT((JG11:JG14=JG11)*(JF11:JF14&lt;JF11))+JG11</f>
        <v>1</v>
      </c>
      <c r="JJ11" s="319" t="str">
        <f ca="1">INDEX(IX11:IX15,MATCH(1,JI11:JI15,0),0)</f>
        <v>Italy</v>
      </c>
      <c r="JK11" s="319">
        <f ca="1">INDEX(JG11:JG15,MATCH(JJ11,IX11:IX15,0),0)</f>
        <v>1</v>
      </c>
      <c r="JL11" s="319" t="str">
        <f ca="1">IF(JK12=1,JJ11,"")</f>
        <v>Italy</v>
      </c>
      <c r="JM11" s="319" t="str">
        <f ca="1">IF(JK13=2,JJ12,"")</f>
        <v/>
      </c>
      <c r="JN11" s="319" t="str">
        <f ca="1">IF(JK14=3,JJ13,"")</f>
        <v/>
      </c>
      <c r="JO11" s="319" t="str">
        <f>IF(JK15=4,JJ14,"")</f>
        <v/>
      </c>
      <c r="JP11" s="319"/>
      <c r="JQ11" s="319" t="str">
        <f ca="1">IF(JL11&lt;&gt;"",JL11,"")</f>
        <v>Italy</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19">
        <f ca="1">JU11-JV11+1000</f>
        <v>1000</v>
      </c>
      <c r="JX11" s="319">
        <f t="shared" ref="JX11:JX14" ca="1" si="2716">IF(JQ11&lt;&gt;"",JR11*3+JS11*1,"")</f>
        <v>2</v>
      </c>
      <c r="JY11" s="319">
        <f ca="1">IF(JQ11&lt;&gt;"",VLOOKUP(JQ11,IX4:JD40,7,FALSE),"")</f>
        <v>1002</v>
      </c>
      <c r="JZ11" s="319">
        <f ca="1">IF(JQ11&lt;&gt;"",VLOOKUP(JQ11,IX4:JD40,5,FALSE),"")</f>
        <v>7</v>
      </c>
      <c r="KA11" s="319">
        <f ca="1">IF(JQ11&lt;&gt;"",VLOOKUP(JQ11,IX4:JF40,9,FALSE),"")</f>
        <v>36</v>
      </c>
      <c r="KB11" s="319">
        <f t="shared" ref="KB11:KB14" ca="1" si="2717">JX11</f>
        <v>2</v>
      </c>
      <c r="KC11" s="319">
        <f ca="1">IF(JQ11&lt;&gt;"",RANK(KB11,KB11:KB15),"")</f>
        <v>1</v>
      </c>
      <c r="KD11" s="319">
        <f ca="1">IF(JQ11&lt;&gt;"",SUMPRODUCT((KB11:KB15=KB11)*(JW11:JW15&gt;JW11)),"")</f>
        <v>0</v>
      </c>
      <c r="KE11" s="319">
        <f ca="1">IF(JQ11&lt;&gt;"",SUMPRODUCT((KB11:KB15=KB11)*(JW11:JW15=JW11)*(JU11:JU15&gt;JU11)),"")</f>
        <v>0</v>
      </c>
      <c r="KF11" s="319">
        <f ca="1">IF(JQ11&lt;&gt;"",SUMPRODUCT((KB11:KB15=KB11)*(JW11:JW15=JW11)*(JU11:JU15=JU11)*(JY11:JY15&gt;JY11)),"")</f>
        <v>2</v>
      </c>
      <c r="KG11" s="319">
        <f ca="1">IF(JQ11&lt;&gt;"",SUMPRODUCT((KB11:KB15=KB11)*(JW11:JW15=JW11)*(JU11:JU15=JU11)*(JY11:JY15=JY11)*(JZ11:JZ15&gt;JZ11)),"")</f>
        <v>0</v>
      </c>
      <c r="KH11" s="319">
        <f ca="1">IF(JQ11&lt;&gt;"",SUMPRODUCT((KB11:KB15=KB11)*(JW11:JW15=JW11)*(JU11:JU15=JU11)*(JY11:JY15=JY11)*(JZ11:JZ15=JZ11)*(KA11:KA15&gt;KA11)),"")</f>
        <v>0</v>
      </c>
      <c r="KI11" s="319">
        <f ca="1">IF(JQ11&lt;&gt;"",IF(KI51&lt;&gt;"",IF(JP50=3,KI51,KI51+JP50),SUM(KC11:KH11)),"")</f>
        <v>3</v>
      </c>
      <c r="KJ11" s="319" t="str">
        <f ca="1">IF(JQ11&lt;&gt;"",INDEX(JQ11:JQ15,MATCH(1,KI11:KI15,0),0),"")</f>
        <v>Spain</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1</v>
      </c>
      <c r="NX11" s="319">
        <f t="shared" ref="NX11" ca="1" si="2721">SUMPRODUCT((RT3:RT42=NV11)*(RX3:RX42="D"))+SUMPRODUCT((RW3:RW42=NV11)*(RY3:RY42="D"))</f>
        <v>2</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3</v>
      </c>
      <c r="OB11" s="319">
        <f t="shared" ref="OB11:OB14" ca="1" si="2725">NZ11-OA11+1000</f>
        <v>1002</v>
      </c>
      <c r="OC11" s="319">
        <f t="shared" ref="OC11:OC14" ca="1" si="2726">NW11*3+NX11*1</f>
        <v>5</v>
      </c>
      <c r="OD11" s="319">
        <f t="shared" si="630"/>
        <v>36</v>
      </c>
      <c r="OE11" s="319">
        <f t="shared" ref="OE11" ca="1" si="2727">IF(COUNTIF(OC11:OC15,4)&lt;&gt;4,RANK(OC11,OC11:OC15),OC51)</f>
        <v>2</v>
      </c>
      <c r="OF11" s="319"/>
      <c r="OG11" s="319">
        <f t="shared" ref="OG11" ca="1" si="2728">SUMPRODUCT((OE11:OE14=OE11)*(OD11:OD14&lt;OD11))+OE11</f>
        <v>2</v>
      </c>
      <c r="OH11" s="319" t="str">
        <f t="shared" ref="OH11" ca="1" si="2729">INDEX(NV11:NV15,MATCH(1,OG11:OG15,0),0)</f>
        <v>Spain</v>
      </c>
      <c r="OI11" s="319">
        <f t="shared" ref="OI11" ca="1" si="2730">INDEX(OE11:OE15,MATCH(OH11,NV11:NV15,0),0)</f>
        <v>1</v>
      </c>
      <c r="OJ11" s="319" t="str">
        <f t="shared" ref="OJ11" ca="1" si="2731">IF(OI12=1,OH11,"")</f>
        <v/>
      </c>
      <c r="OK11" s="319" t="str">
        <f t="shared" ref="OK11" ca="1" si="2732">IF(OI13=2,OH12,"")</f>
        <v/>
      </c>
      <c r="OL11" s="319" t="str">
        <f t="shared" ref="OL11" ca="1" si="2733">IF(OI14=3,OH13,"")</f>
        <v/>
      </c>
      <c r="OM11" s="319" t="str">
        <f t="shared" ref="OM11" si="2734">IF(OI15=4,OH14,"")</f>
        <v/>
      </c>
      <c r="ON11" s="319"/>
      <c r="OO11" s="319" t="str">
        <f t="shared" ref="OO11:OO14" ca="1" si="2735">IF(OJ11&lt;&gt;"",OJ11,"")</f>
        <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t="str">
        <f t="shared" ref="OV11:OV14" ca="1" si="2742">IF(OO11&lt;&gt;"",OP11*3+OQ11*1,"")</f>
        <v/>
      </c>
      <c r="OW11" s="319" t="str">
        <f t="shared" ref="OW11" ca="1" si="2743">IF(OO11&lt;&gt;"",VLOOKUP(OO11,NV4:OB40,7,FALSE),"")</f>
        <v/>
      </c>
      <c r="OX11" s="319" t="str">
        <f t="shared" ref="OX11" ca="1" si="2744">IF(OO11&lt;&gt;"",VLOOKUP(OO11,NV4:OB40,5,FALSE),"")</f>
        <v/>
      </c>
      <c r="OY11" s="319" t="str">
        <f t="shared" ref="OY11" ca="1" si="2745">IF(OO11&lt;&gt;"",VLOOKUP(OO11,NV4:OD40,9,FALSE),"")</f>
        <v/>
      </c>
      <c r="OZ11" s="319" t="str">
        <f t="shared" ref="OZ11:OZ14" ca="1" si="2746">OV11</f>
        <v/>
      </c>
      <c r="PA11" s="319" t="str">
        <f t="shared" ref="PA11" ca="1" si="2747">IF(OO11&lt;&gt;"",RANK(OZ11,OZ11:OZ15),"")</f>
        <v/>
      </c>
      <c r="PB11" s="319" t="str">
        <f t="shared" ref="PB11" ca="1" si="2748">IF(OO11&lt;&gt;"",SUMPRODUCT((OZ11:OZ15=OZ11)*(OU11:OU15&gt;OU11)),"")</f>
        <v/>
      </c>
      <c r="PC11" s="319" t="str">
        <f t="shared" ref="PC11" ca="1" si="2749">IF(OO11&lt;&gt;"",SUMPRODUCT((OZ11:OZ15=OZ11)*(OU11:OU15=OU11)*(OS11:OS15&gt;OS11)),"")</f>
        <v/>
      </c>
      <c r="PD11" s="319" t="str">
        <f t="shared" ref="PD11" ca="1" si="2750">IF(OO11&lt;&gt;"",SUMPRODUCT((OZ11:OZ15=OZ11)*(OU11:OU15=OU11)*(OS11:OS15=OS11)*(OW11:OW15&gt;OW11)),"")</f>
        <v/>
      </c>
      <c r="PE11" s="319" t="str">
        <f t="shared" ref="PE11" ca="1" si="2751">IF(OO11&lt;&gt;"",SUMPRODUCT((OZ11:OZ15=OZ11)*(OU11:OU15=OU11)*(OS11:OS15=OS11)*(OW11:OW15=OW11)*(OX11:OX15&gt;OX11)),"")</f>
        <v/>
      </c>
      <c r="PF11" s="319" t="str">
        <f t="shared" ref="PF11" ca="1" si="2752">IF(OO11&lt;&gt;"",SUMPRODUCT((OZ11:OZ15=OZ11)*(OU11:OU15=OU11)*(OS11:OS15=OS11)*(OW11:OW15=OW11)*(OX11:OX15=OX11)*(OY11:OY15&gt;OY11)),"")</f>
        <v/>
      </c>
      <c r="PG11" s="319" t="str">
        <f ca="1">IF(OO11&lt;&gt;"",IF(PG51&lt;&gt;"",IF(ON50=3,PG51,PG51+ON50),SUM(PA11:PF11)),"")</f>
        <v/>
      </c>
      <c r="PH11" s="319" t="str">
        <f t="shared" ref="PH11" ca="1" si="2753">IF(OO11&lt;&gt;"",INDEX(OO11:OO15,MATCH(1,PG11:PG15,0),0),"")</f>
        <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3</v>
      </c>
      <c r="RV11" s="322">
        <f ca="1">IF(OFFSET('Player Game Board'!Q18,0,RU1)&lt;&gt;"",OFFSET('Player Game Board'!Q18,0,RU1),0)</f>
        <v>1</v>
      </c>
      <c r="RW11" s="319" t="str">
        <f t="shared" si="19"/>
        <v>Slovakia</v>
      </c>
      <c r="RX11" s="319" t="str">
        <f ca="1">IF(AND(OFFSET('Player Game Board'!P18,0,RU1)&lt;&gt;"",OFFSET('Player Game Board'!Q18,0,RU1)&lt;&gt;""),IF(RU11&gt;RV11,"W",IF(RU11=RV11,"D","L")),"")</f>
        <v>W</v>
      </c>
      <c r="RY11" s="319" t="str">
        <f t="shared" ca="1" si="20"/>
        <v>L</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3</v>
      </c>
      <c r="ST11" s="319" t="str">
        <f t="shared" ref="ST11:ST14" si="2756">NV11</f>
        <v>Italy</v>
      </c>
      <c r="SU11" s="319">
        <f t="shared" ref="SU11" ca="1" si="2757">SUMPRODUCT((WR3:WR42=ST11)*(WV3:WV42="W"))+SUMPRODUCT((WU3:WU42=ST11)*(WW3:WW42="W"))</f>
        <v>1</v>
      </c>
      <c r="SV11" s="319">
        <f t="shared" ref="SV11" ca="1" si="2758">SUMPRODUCT((WR3:WR42=ST11)*(WV3:WV42="D"))+SUMPRODUCT((WU3:WU42=ST11)*(WW3:WW42="D"))</f>
        <v>1</v>
      </c>
      <c r="SW11" s="319">
        <f t="shared" ref="SW11" ca="1" si="2759">SUMPRODUCT((WR3:WR42=ST11)*(WV3:WV42="L"))+SUMPRODUCT((WU3:WU42=ST11)*(WW3:WW42="L"))</f>
        <v>1</v>
      </c>
      <c r="SX11" s="319">
        <f t="shared" ref="SX11" ca="1" si="2760">SUMIF(WR3:WR60,ST11,WS3:WS60)+SUMIF(WU3:WU60,ST11,WT3:WT60)</f>
        <v>4</v>
      </c>
      <c r="SY11" s="319">
        <f t="shared" ref="SY11" ca="1" si="2761">SUMIF(WU3:WU60,ST11,WS3:WS60)+SUMIF(WR3:WR60,ST11,WT3:WT60)</f>
        <v>3</v>
      </c>
      <c r="SZ11" s="319">
        <f t="shared" ref="SZ11:SZ14" ca="1" si="2762">SX11-SY11+1000</f>
        <v>1001</v>
      </c>
      <c r="TA11" s="319">
        <f t="shared" ref="TA11:TA14" ca="1" si="2763">SU11*3+SV11*1</f>
        <v>4</v>
      </c>
      <c r="TB11" s="319">
        <f t="shared" si="690"/>
        <v>36</v>
      </c>
      <c r="TC11" s="319">
        <f t="shared" ref="TC11" ca="1" si="2764">IF(COUNTIF(TA11:TA15,4)&lt;&gt;4,RANK(TA11,TA11:TA15),TA51)</f>
        <v>3</v>
      </c>
      <c r="TD11" s="319"/>
      <c r="TE11" s="319">
        <f t="shared" ref="TE11" ca="1" si="2765">SUMPRODUCT((TC11:TC14=TC11)*(TB11:TB14&lt;TB11))+TC11</f>
        <v>3</v>
      </c>
      <c r="TF11" s="319" t="str">
        <f t="shared" ref="TF11" ca="1" si="2766">INDEX(ST11:ST15,MATCH(1,TE11:TE15,0),0)</f>
        <v>Spain</v>
      </c>
      <c r="TG11" s="319">
        <f t="shared" ref="TG11" ca="1" si="2767">INDEX(TC11:TC15,MATCH(TF11,ST11:ST15,0),0)</f>
        <v>1</v>
      </c>
      <c r="TH11" s="319" t="str">
        <f t="shared" ref="TH11" ca="1" si="2768">IF(TG12=1,TF11,"")</f>
        <v/>
      </c>
      <c r="TI11" s="319" t="str">
        <f t="shared" ref="TI11" ca="1" si="2769">IF(TG13=2,TF12,"")</f>
        <v/>
      </c>
      <c r="TJ11" s="319" t="str">
        <f t="shared" ref="TJ11" ca="1" si="2770">IF(TG14=3,TF13,"")</f>
        <v/>
      </c>
      <c r="TK11" s="319" t="str">
        <f t="shared" ref="TK11" si="2771">IF(TG15=4,TF14,"")</f>
        <v/>
      </c>
      <c r="TL11" s="319"/>
      <c r="TM11" s="319" t="str">
        <f t="shared" ref="TM11:TM14" ca="1" si="2772">IF(TH11&lt;&gt;"",TH11,"")</f>
        <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t="str">
        <f t="shared" ref="TT11:TT14" ca="1" si="2779">IF(TM11&lt;&gt;"",TN11*3+TO11*1,"")</f>
        <v/>
      </c>
      <c r="TU11" s="319" t="str">
        <f t="shared" ref="TU11" ca="1" si="2780">IF(TM11&lt;&gt;"",VLOOKUP(TM11,ST4:SZ40,7,FALSE),"")</f>
        <v/>
      </c>
      <c r="TV11" s="319" t="str">
        <f t="shared" ref="TV11" ca="1" si="2781">IF(TM11&lt;&gt;"",VLOOKUP(TM11,ST4:SZ40,5,FALSE),"")</f>
        <v/>
      </c>
      <c r="TW11" s="319" t="str">
        <f t="shared" ref="TW11" ca="1" si="2782">IF(TM11&lt;&gt;"",VLOOKUP(TM11,ST4:TB40,9,FALSE),"")</f>
        <v/>
      </c>
      <c r="TX11" s="319" t="str">
        <f t="shared" ref="TX11:TX14" ca="1" si="2783">TT11</f>
        <v/>
      </c>
      <c r="TY11" s="319" t="str">
        <f t="shared" ref="TY11" ca="1" si="2784">IF(TM11&lt;&gt;"",RANK(TX11,TX11:TX15),"")</f>
        <v/>
      </c>
      <c r="TZ11" s="319" t="str">
        <f t="shared" ref="TZ11" ca="1" si="2785">IF(TM11&lt;&gt;"",SUMPRODUCT((TX11:TX15=TX11)*(TS11:TS15&gt;TS11)),"")</f>
        <v/>
      </c>
      <c r="UA11" s="319" t="str">
        <f t="shared" ref="UA11" ca="1" si="2786">IF(TM11&lt;&gt;"",SUMPRODUCT((TX11:TX15=TX11)*(TS11:TS15=TS11)*(TQ11:TQ15&gt;TQ11)),"")</f>
        <v/>
      </c>
      <c r="UB11" s="319" t="str">
        <f t="shared" ref="UB11" ca="1" si="2787">IF(TM11&lt;&gt;"",SUMPRODUCT((TX11:TX15=TX11)*(TS11:TS15=TS11)*(TQ11:TQ15=TQ11)*(TU11:TU15&gt;TU11)),"")</f>
        <v/>
      </c>
      <c r="UC11" s="319" t="str">
        <f t="shared" ref="UC11" ca="1" si="2788">IF(TM11&lt;&gt;"",SUMPRODUCT((TX11:TX15=TX11)*(TS11:TS15=TS11)*(TQ11:TQ15=TQ11)*(TU11:TU15=TU11)*(TV11:TV15&gt;TV11)),"")</f>
        <v/>
      </c>
      <c r="UD11" s="319" t="str">
        <f t="shared" ref="UD11" ca="1" si="2789">IF(TM11&lt;&gt;"",SUMPRODUCT((TX11:TX15=TX11)*(TS11:TS15=TS11)*(TQ11:TQ15=TQ11)*(TU11:TU15=TU11)*(TV11:TV15=TV11)*(TW11:TW15&gt;TW11)),"")</f>
        <v/>
      </c>
      <c r="UE11" s="319" t="str">
        <f ca="1">IF(TM11&lt;&gt;"",IF(UE51&lt;&gt;"",IF(TL50=3,UE51,UE51+TL50),SUM(TY11:UD11)),"")</f>
        <v/>
      </c>
      <c r="UF11" s="319" t="str">
        <f t="shared" ref="UF11" ca="1" si="2790">IF(TM11&lt;&gt;"",INDEX(TM11:TM15,MATCH(1,UE11:UE15,0),0),"")</f>
        <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2</v>
      </c>
      <c r="WT11" s="322">
        <f ca="1">IF(OFFSET('Player Game Board'!Q18,0,WS1)&lt;&gt;"",OFFSET('Player Game Board'!Q18,0,WS1),0)</f>
        <v>0</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3</v>
      </c>
      <c r="ACP11" s="319" t="str">
        <f t="shared" ref="ACP11:ACP14" si="2830">XR11</f>
        <v>Italy</v>
      </c>
      <c r="ACQ11" s="319">
        <f t="shared" ref="ACQ11" ca="1" si="2831">SUMPRODUCT((AGN3:AGN42=ACP11)*(AGR3:AGR42="W"))+SUMPRODUCT((AGQ3:AGQ42=ACP11)*(AGS3:AGS42="W"))</f>
        <v>1</v>
      </c>
      <c r="ACR11" s="319">
        <f t="shared" ref="ACR11" ca="1" si="2832">SUMPRODUCT((AGN3:AGN42=ACP11)*(AGR3:AGR42="D"))+SUMPRODUCT((AGQ3:AGQ42=ACP11)*(AGS3:AGS42="D"))</f>
        <v>1</v>
      </c>
      <c r="ACS11" s="319">
        <f t="shared" ref="ACS11" ca="1" si="2833">SUMPRODUCT((AGN3:AGN42=ACP11)*(AGR3:AGR42="L"))+SUMPRODUCT((AGQ3:AGQ42=ACP11)*(AGS3:AGS42="L"))</f>
        <v>1</v>
      </c>
      <c r="ACT11" s="319">
        <f t="shared" ref="ACT11" ca="1" si="2834">SUMIF(AGN3:AGN60,ACP11,AGO3:AGO60)+SUMIF(AGQ3:AGQ60,ACP11,AGP3:AGP60)</f>
        <v>2</v>
      </c>
      <c r="ACU11" s="319">
        <f t="shared" ref="ACU11" ca="1" si="2835">SUMIF(AGQ3:AGQ60,ACP11,AGO3:AGO60)+SUMIF(AGN3:AGN60,ACP11,AGP3:AGP60)</f>
        <v>2</v>
      </c>
      <c r="ACV11" s="319">
        <f t="shared" ref="ACV11:ACV14" ca="1" si="2836">ACT11-ACU11+1000</f>
        <v>1000</v>
      </c>
      <c r="ACW11" s="319">
        <f t="shared" ref="ACW11:ACW14" ca="1" si="2837">ACQ11*3+ACR11*1</f>
        <v>4</v>
      </c>
      <c r="ACX11" s="319">
        <f t="shared" si="810"/>
        <v>36</v>
      </c>
      <c r="ACY11" s="319">
        <f t="shared" ref="ACY11" ca="1" si="2838">IF(COUNTIF(ACW11:ACW15,4)&lt;&gt;4,RANK(ACW11,ACW11:ACW15),ACW51)</f>
        <v>3</v>
      </c>
      <c r="ACZ11" s="319"/>
      <c r="ADA11" s="319">
        <f t="shared" ref="ADA11" ca="1" si="2839">SUMPRODUCT((ACY11:ACY14=ACY11)*(ACX11:ACX14&lt;ACX11))+ACY11</f>
        <v>3</v>
      </c>
      <c r="ADB11" s="319" t="str">
        <f t="shared" ref="ADB11" ca="1" si="2840">INDEX(ACP11:ACP15,MATCH(1,ADA11:ADA15,0),0)</f>
        <v>Croatia</v>
      </c>
      <c r="ADC11" s="319">
        <f t="shared" ref="ADC11" ca="1" si="2841">INDEX(ACY11:ACY15,MATCH(ADB11,ACP11:ACP15,0),0)</f>
        <v>1</v>
      </c>
      <c r="ADD11" s="319" t="str">
        <f t="shared" ref="ADD11" ca="1" si="2842">IF(ADC12=1,ADB11,"")</f>
        <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t="str">
        <f t="shared" ref="ADP11:ADP14" ca="1" si="2853">IF(ADI11&lt;&gt;"",ADJ11*3+ADK11*1,"")</f>
        <v/>
      </c>
      <c r="ADQ11" s="319" t="str">
        <f t="shared" ref="ADQ11" ca="1" si="2854">IF(ADI11&lt;&gt;"",VLOOKUP(ADI11,ACP4:ACV40,7,FALSE),"")</f>
        <v/>
      </c>
      <c r="ADR11" s="319" t="str">
        <f t="shared" ref="ADR11" ca="1" si="2855">IF(ADI11&lt;&gt;"",VLOOKUP(ADI11,ACP4:ACV40,5,FALSE),"")</f>
        <v/>
      </c>
      <c r="ADS11" s="319" t="str">
        <f t="shared" ref="ADS11" ca="1" si="2856">IF(ADI11&lt;&gt;"",VLOOKUP(ADI11,ACP4:ACX40,9,FALSE),"")</f>
        <v/>
      </c>
      <c r="ADT11" s="319" t="str">
        <f t="shared" ref="ADT11:ADT14" ca="1" si="2857">ADP11</f>
        <v/>
      </c>
      <c r="ADU11" s="319" t="str">
        <f t="shared" ref="ADU11" ca="1" si="2858">IF(ADI11&lt;&gt;"",RANK(ADT11,ADT11:ADT15),"")</f>
        <v/>
      </c>
      <c r="ADV11" s="319" t="str">
        <f t="shared" ref="ADV11" ca="1" si="2859">IF(ADI11&lt;&gt;"",SUMPRODUCT((ADT11:ADT15=ADT11)*(ADO11:ADO15&gt;ADO11)),"")</f>
        <v/>
      </c>
      <c r="ADW11" s="319" t="str">
        <f t="shared" ref="ADW11" ca="1" si="2860">IF(ADI11&lt;&gt;"",SUMPRODUCT((ADT11:ADT15=ADT11)*(ADO11:ADO15=ADO11)*(ADM11:ADM15&gt;ADM11)),"")</f>
        <v/>
      </c>
      <c r="ADX11" s="319" t="str">
        <f t="shared" ref="ADX11" ca="1" si="2861">IF(ADI11&lt;&gt;"",SUMPRODUCT((ADT11:ADT15=ADT11)*(ADO11:ADO15=ADO11)*(ADM11:ADM15=ADM11)*(ADQ11:ADQ15&gt;ADQ11)),"")</f>
        <v/>
      </c>
      <c r="ADY11" s="319" t="str">
        <f t="shared" ref="ADY11" ca="1" si="2862">IF(ADI11&lt;&gt;"",SUMPRODUCT((ADT11:ADT15=ADT11)*(ADO11:ADO15=ADO11)*(ADM11:ADM15=ADM11)*(ADQ11:ADQ15=ADQ11)*(ADR11:ADR15&gt;ADR11)),"")</f>
        <v/>
      </c>
      <c r="ADZ11" s="319" t="str">
        <f t="shared" ref="ADZ11" ca="1" si="2863">IF(ADI11&lt;&gt;"",SUMPRODUCT((ADT11:ADT15=ADT11)*(ADO11:ADO15=ADO11)*(ADM11:ADM15=ADM11)*(ADQ11:ADQ15=ADQ11)*(ADR11:ADR15=ADR11)*(ADS11:ADS15&gt;ADS11)),"")</f>
        <v/>
      </c>
      <c r="AEA11" s="319" t="str">
        <f ca="1">IF(ADI11&lt;&gt;"",IF(AEA51&lt;&gt;"",IF(ADH50=3,AEA51,AEA51+ADH50),SUM(ADU11:ADZ11)),"")</f>
        <v/>
      </c>
      <c r="AEB11" s="319" t="str">
        <f t="shared" ref="AEB11" ca="1" si="2864">IF(ADI11&lt;&gt;"",INDEX(ADI11:ADI15,MATCH(1,AEA11:AEA15,0),0),"")</f>
        <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Croatia</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1</v>
      </c>
      <c r="AHN11" s="319" t="str">
        <f t="shared" ref="AHN11:AHN14" si="2867">ACP11</f>
        <v>Italy</v>
      </c>
      <c r="AHO11" s="319">
        <f t="shared" ref="AHO11" ca="1" si="2868">SUMPRODUCT((ALL3:ALL42=AHN11)*(ALP3:ALP42="W"))+SUMPRODUCT((ALO3:ALO42=AHN11)*(ALQ3:ALQ42="W"))</f>
        <v>2</v>
      </c>
      <c r="AHP11" s="319">
        <f t="shared" ref="AHP11" ca="1" si="2869">SUMPRODUCT((ALL3:ALL42=AHN11)*(ALP3:ALP42="D"))+SUMPRODUCT((ALO3:ALO42=AHN11)*(ALQ3:ALQ42="D"))</f>
        <v>1</v>
      </c>
      <c r="AHQ11" s="319">
        <f t="shared" ref="AHQ11" ca="1" si="2870">SUMPRODUCT((ALL3:ALL42=AHN11)*(ALP3:ALP42="L"))+SUMPRODUCT((ALO3:ALO42=AHN11)*(ALQ3:ALQ42="L"))</f>
        <v>0</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7</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19">
        <f t="shared" ref="AIM11:AIM14" ca="1" si="2889">AIK11-AIL11+1000</f>
        <v>1000</v>
      </c>
      <c r="AIN11" s="319">
        <f t="shared" ref="AIN11:AIN14" ca="1" si="2890">IF(AIG11&lt;&gt;"",AIH11*3+AII11*1,"")</f>
        <v>1</v>
      </c>
      <c r="AIO11" s="319">
        <f t="shared" ref="AIO11" ca="1" si="2891">IF(AIG11&lt;&gt;"",VLOOKUP(AIG11,AHN4:AHT40,7,FALSE),"")</f>
        <v>1004</v>
      </c>
      <c r="AIP11" s="319">
        <f t="shared" ref="AIP11" ca="1" si="2892">IF(AIG11&lt;&gt;"",VLOOKUP(AIG11,AHN4:AHT40,5,FALSE),"")</f>
        <v>7</v>
      </c>
      <c r="AIQ11" s="319">
        <f t="shared" ref="AIQ11" ca="1" si="2893">IF(AIG11&lt;&gt;"",VLOOKUP(AIG11,AHN4:AHV40,9,FALSE),"")</f>
        <v>36</v>
      </c>
      <c r="AIR11" s="319">
        <f t="shared" ref="AIR11:AIR14" ca="1" si="2894">AIN11</f>
        <v>1</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0</v>
      </c>
      <c r="AIY11" s="319">
        <f ca="1">IF(AIG11&lt;&gt;"",IF(AIY51&lt;&gt;"",IF(AIF50=3,AIY51,AIY51+AIF50),SUM(AIS11:AIX11)),"")</f>
        <v>1</v>
      </c>
      <c r="AIZ11" s="319" t="str">
        <f t="shared" ref="AIZ11" ca="1" si="2901">IF(AIG11&lt;&gt;"",INDEX(AIG11:AIG15,MATCH(1,AIY11:AIY15,0),0),"")</f>
        <v>Italy</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Italy</v>
      </c>
      <c r="ALJ11" s="319">
        <v>1</v>
      </c>
      <c r="ALK11" s="319">
        <v>9</v>
      </c>
      <c r="ALL11" s="319" t="str">
        <f t="shared" si="82"/>
        <v>Belgium</v>
      </c>
      <c r="ALM11" s="322">
        <f ca="1">IF(OFFSET('Player Game Board'!P18,0,ALM1)&lt;&gt;"",OFFSET('Player Game Board'!P18,0,ALM1),0)</f>
        <v>1</v>
      </c>
      <c r="ALN11" s="322">
        <f ca="1">IF(OFFSET('Player Game Board'!Q18,0,ALM1)&lt;&gt;"",OFFSET('Player Game Board'!Q18,0,ALM1),0)</f>
        <v>1</v>
      </c>
      <c r="ALO11" s="319" t="str">
        <f t="shared" si="83"/>
        <v>Slovakia</v>
      </c>
      <c r="ALP11" s="319" t="str">
        <f ca="1">IF(AND(OFFSET('Player Game Board'!P18,0,ALM1)&lt;&gt;"",OFFSET('Player Game Board'!Q18,0,ALM1)&lt;&gt;""),IF(ALM11&gt;ALN11,"W",IF(ALM11=ALN11,"D","L")),"")</f>
        <v>D</v>
      </c>
      <c r="ALQ11" s="319" t="str">
        <f t="shared" ca="1" si="84"/>
        <v>D</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2</v>
      </c>
      <c r="AML11" s="319" t="str">
        <f t="shared" ref="AML11:AML14" si="2904">AHN11</f>
        <v>Italy</v>
      </c>
      <c r="AMM11" s="319">
        <f t="shared" ref="AMM11" ca="1" si="2905">SUMPRODUCT((AQJ3:AQJ42=AML11)*(AQN3:AQN42="W"))+SUMPRODUCT((AQM3:AQM42=AML11)*(AQO3:AQO42="W"))</f>
        <v>1</v>
      </c>
      <c r="AMN11" s="319">
        <f t="shared" ref="AMN11" ca="1" si="2906">SUMPRODUCT((AQJ3:AQJ42=AML11)*(AQN3:AQN42="D"))+SUMPRODUCT((AQM3:AQM42=AML11)*(AQO3:AQO42="D"))</f>
        <v>1</v>
      </c>
      <c r="AMO11" s="319">
        <f t="shared" ref="AMO11" ca="1" si="2907">SUMPRODUCT((AQJ3:AQJ42=AML11)*(AQN3:AQN42="L"))+SUMPRODUCT((AQM3:AQM42=AML11)*(AQO3:AQO42="L"))</f>
        <v>1</v>
      </c>
      <c r="AMP11" s="319">
        <f t="shared" ref="AMP11" ca="1" si="2908">SUMIF(AQJ3:AQJ60,AML11,AQK3:AQK60)+SUMIF(AQM3:AQM60,AML11,AQL3:AQL60)</f>
        <v>6</v>
      </c>
      <c r="AMQ11" s="319">
        <f t="shared" ref="AMQ11" ca="1" si="2909">SUMIF(AQM3:AQM60,AML11,AQK3:AQK60)+SUMIF(AQJ3:AQJ60,AML11,AQL3:AQL60)</f>
        <v>4</v>
      </c>
      <c r="AMR11" s="319">
        <f t="shared" ref="AMR11:AMR14" ca="1" si="2910">AMP11-AMQ11+1000</f>
        <v>1002</v>
      </c>
      <c r="AMS11" s="319">
        <f t="shared" ref="AMS11:AMS14" ca="1" si="2911">AMM11*3+AMN11*1</f>
        <v>4</v>
      </c>
      <c r="AMT11" s="319">
        <f t="shared" si="930"/>
        <v>36</v>
      </c>
      <c r="AMU11" s="319">
        <f t="shared" ref="AMU11" ca="1" si="2912">IF(COUNTIF(AMS11:AMS15,4)&lt;&gt;4,RANK(AMS11,AMS11:AMS15),AMS51)</f>
        <v>2</v>
      </c>
      <c r="AMV11" s="319"/>
      <c r="AMW11" s="319">
        <f t="shared" ref="AMW11" ca="1" si="2913">SUMPRODUCT((AMU11:AMU14=AMU11)*(AMT11:AMT14&lt;AMT11))+AMU11</f>
        <v>2</v>
      </c>
      <c r="AMX11" s="319" t="str">
        <f t="shared" ref="AMX11" ca="1" si="2914">INDEX(AML11:AML15,MATCH(1,AMW11:AMW15,0),0)</f>
        <v>Spain</v>
      </c>
      <c r="AMY11" s="319">
        <f t="shared" ref="AMY11" ca="1" si="2915">INDEX(AMU11:AMU15,MATCH(AMX11,AML11:AML15,0),0)</f>
        <v>1</v>
      </c>
      <c r="AMZ11" s="319" t="str">
        <f t="shared" ref="AMZ11" ca="1" si="2916">IF(AMY12=1,AMX11,"")</f>
        <v/>
      </c>
      <c r="ANA11" s="319" t="str">
        <f t="shared" ref="ANA11" ca="1" si="2917">IF(AMY13=2,AMX12,"")</f>
        <v>Italy</v>
      </c>
      <c r="ANB11" s="319" t="str">
        <f t="shared" ref="ANB11" ca="1" si="2918">IF(AMY14=3,AMX13,"")</f>
        <v/>
      </c>
      <c r="ANC11" s="319" t="str">
        <f t="shared" ref="ANC11" si="2919">IF(AMY15=4,AMX14,"")</f>
        <v/>
      </c>
      <c r="AND11" s="319"/>
      <c r="ANE11" s="319" t="str">
        <f t="shared" ref="ANE11:ANE14" ca="1" si="2920">IF(AMZ11&lt;&gt;"",AMZ11,"")</f>
        <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t="str">
        <f t="shared" ref="ANL11:ANL14" ca="1" si="2927">IF(ANE11&lt;&gt;"",ANF11*3+ANG11*1,"")</f>
        <v/>
      </c>
      <c r="ANM11" s="319" t="str">
        <f t="shared" ref="ANM11" ca="1" si="2928">IF(ANE11&lt;&gt;"",VLOOKUP(ANE11,AML4:AMR40,7,FALSE),"")</f>
        <v/>
      </c>
      <c r="ANN11" s="319" t="str">
        <f t="shared" ref="ANN11" ca="1" si="2929">IF(ANE11&lt;&gt;"",VLOOKUP(ANE11,AML4:AMR40,5,FALSE),"")</f>
        <v/>
      </c>
      <c r="ANO11" s="319" t="str">
        <f t="shared" ref="ANO11" ca="1" si="2930">IF(ANE11&lt;&gt;"",VLOOKUP(ANE11,AML4:AMT40,9,FALSE),"")</f>
        <v/>
      </c>
      <c r="ANP11" s="319" t="str">
        <f t="shared" ref="ANP11:ANP14" ca="1" si="2931">ANL11</f>
        <v/>
      </c>
      <c r="ANQ11" s="319" t="str">
        <f t="shared" ref="ANQ11" ca="1" si="2932">IF(ANE11&lt;&gt;"",RANK(ANP11,ANP11:ANP15),"")</f>
        <v/>
      </c>
      <c r="ANR11" s="319" t="str">
        <f t="shared" ref="ANR11" ca="1" si="2933">IF(ANE11&lt;&gt;"",SUMPRODUCT((ANP11:ANP15=ANP11)*(ANK11:ANK15&gt;ANK11)),"")</f>
        <v/>
      </c>
      <c r="ANS11" s="319" t="str">
        <f t="shared" ref="ANS11" ca="1" si="2934">IF(ANE11&lt;&gt;"",SUMPRODUCT((ANP11:ANP15=ANP11)*(ANK11:ANK15=ANK11)*(ANI11:ANI15&gt;ANI11)),"")</f>
        <v/>
      </c>
      <c r="ANT11" s="319" t="str">
        <f t="shared" ref="ANT11" ca="1" si="2935">IF(ANE11&lt;&gt;"",SUMPRODUCT((ANP11:ANP15=ANP11)*(ANK11:ANK15=ANK11)*(ANI11:ANI15=ANI11)*(ANM11:ANM15&gt;ANM11)),"")</f>
        <v/>
      </c>
      <c r="ANU11" s="319" t="str">
        <f t="shared" ref="ANU11" ca="1" si="2936">IF(ANE11&lt;&gt;"",SUMPRODUCT((ANP11:ANP15=ANP11)*(ANK11:ANK15=ANK11)*(ANI11:ANI15=ANI11)*(ANM11:ANM15=ANM11)*(ANN11:ANN15&gt;ANN11)),"")</f>
        <v/>
      </c>
      <c r="ANV11" s="319" t="str">
        <f t="shared" ref="ANV11" ca="1" si="2937">IF(ANE11&lt;&gt;"",SUMPRODUCT((ANP11:ANP15=ANP11)*(ANK11:ANK15=ANK11)*(ANI11:ANI15=ANI11)*(ANM11:ANM15=ANM11)*(ANN11:ANN15=ANN11)*(ANO11:ANO15&gt;ANO11)),"")</f>
        <v/>
      </c>
      <c r="ANW11" s="319" t="str">
        <f ca="1">IF(ANE11&lt;&gt;"",IF(ANW51&lt;&gt;"",IF(AND50=3,ANW51,ANW51+AND50),SUM(ANQ11:ANV11)),"")</f>
        <v/>
      </c>
      <c r="ANX11" s="319" t="str">
        <f t="shared" ref="ANX11" ca="1" si="2938">IF(ANE11&lt;&gt;"",INDEX(ANE11:ANE15,MATCH(1,ANW11:ANW15,0),0),"")</f>
        <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1</v>
      </c>
      <c r="AQL11" s="322">
        <f ca="1">IF(OFFSET('Player Game Board'!Q18,0,AQK1)&lt;&gt;"",OFFSET('Player Game Board'!Q18,0,AQK1),0)</f>
        <v>0</v>
      </c>
      <c r="AQM11" s="319" t="str">
        <f t="shared" si="99"/>
        <v>Slovakia</v>
      </c>
      <c r="AQN11" s="319" t="str">
        <f ca="1">IF(AND(OFFSET('Player Game Board'!P18,0,AQK1)&lt;&gt;"",OFFSET('Player Game Board'!Q18,0,AQK1)&lt;&gt;""),IF(AQK11&gt;AQL11,"W",IF(AQK11=AQL11,"D","L")),"")</f>
        <v>W</v>
      </c>
      <c r="AQO11" s="319" t="str">
        <f t="shared" ca="1" si="100"/>
        <v>L</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1</v>
      </c>
      <c r="ARJ11" s="319" t="str">
        <f t="shared" ref="ARJ11:ARJ14" si="2941">AML11</f>
        <v>Italy</v>
      </c>
      <c r="ARK11" s="319">
        <f t="shared" ref="ARK11" ca="1" si="2942">SUMPRODUCT((AVH3:AVH42=ARJ11)*(AVL3:AVL42="W"))+SUMPRODUCT((AVK3:AVK42=ARJ11)*(AVM3:AVM42="W"))</f>
        <v>1</v>
      </c>
      <c r="ARL11" s="319">
        <f t="shared" ref="ARL11" ca="1" si="2943">SUMPRODUCT((AVH3:AVH42=ARJ11)*(AVL3:AVL42="D"))+SUMPRODUCT((AVK3:AVK42=ARJ11)*(AVM3:AVM42="D"))</f>
        <v>2</v>
      </c>
      <c r="ARM11" s="319">
        <f t="shared" ref="ARM11" ca="1" si="2944">SUMPRODUCT((AVH3:AVH42=ARJ11)*(AVL3:AVL42="L"))+SUMPRODUCT((AVK3:AVK42=ARJ11)*(AVM3:AVM42="L"))</f>
        <v>0</v>
      </c>
      <c r="ARN11" s="319">
        <f t="shared" ref="ARN11" ca="1" si="2945">SUMIF(AVH3:AVH60,ARJ11,AVI3:AVI60)+SUMIF(AVK3:AVK60,ARJ11,AVJ3:AVJ60)</f>
        <v>9</v>
      </c>
      <c r="ARO11" s="319">
        <f t="shared" ref="ARO11" ca="1" si="2946">SUMIF(AVK3:AVK60,ARJ11,AVI3:AVI60)+SUMIF(AVH3:AVH60,ARJ11,AVJ3:AVJ60)</f>
        <v>6</v>
      </c>
      <c r="ARP11" s="319">
        <f t="shared" ref="ARP11:ARP14" ca="1" si="2947">ARN11-ARO11+1000</f>
        <v>1003</v>
      </c>
      <c r="ARQ11" s="319">
        <f t="shared" ref="ARQ11:ARQ14" ca="1" si="2948">ARK11*3+ARL11*1</f>
        <v>5</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19">
        <f t="shared" ref="ASI11:ASI14" ca="1" si="2963">ASG11-ASH11+1000</f>
        <v>1000</v>
      </c>
      <c r="ASJ11" s="319">
        <f t="shared" ref="ASJ11:ASJ14" ca="1" si="2964">IF(ASC11&lt;&gt;"",ASD11*3+ASE11*1,"")</f>
        <v>1</v>
      </c>
      <c r="ASK11" s="319">
        <f t="shared" ref="ASK11" ca="1" si="2965">IF(ASC11&lt;&gt;"",VLOOKUP(ASC11,ARJ4:ARP40,7,FALSE),"")</f>
        <v>1003</v>
      </c>
      <c r="ASL11" s="319">
        <f t="shared" ref="ASL11" ca="1" si="2966">IF(ASC11&lt;&gt;"",VLOOKUP(ASC11,ARJ4:ARP40,5,FALSE),"")</f>
        <v>9</v>
      </c>
      <c r="ASM11" s="319">
        <f t="shared" ref="ASM11" ca="1" si="2967">IF(ASC11&lt;&gt;"",VLOOKUP(ASC11,ARJ4:ARR40,9,FALSE),"")</f>
        <v>36</v>
      </c>
      <c r="ASN11" s="319">
        <f t="shared" ref="ASN11:ASN14" ca="1" si="2968">ASJ11</f>
        <v>1</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0</v>
      </c>
      <c r="ASU11" s="319">
        <f ca="1">IF(ASC11&lt;&gt;"",IF(ASU51&lt;&gt;"",IF(ASB50=3,ASU51,ASU51+ASB50),SUM(ASO11:AST11)),"")</f>
        <v>1</v>
      </c>
      <c r="ASV11" s="319" t="str">
        <f t="shared" ref="ASV11" ca="1" si="2975">IF(ASC11&lt;&gt;"",INDEX(ASC11:ASC15,MATCH(1,ASU11:ASU15,0),0),"")</f>
        <v>Italy</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Italy</v>
      </c>
      <c r="AVF11" s="319">
        <v>1</v>
      </c>
      <c r="AVG11" s="319">
        <v>9</v>
      </c>
      <c r="AVH11" s="319" t="str">
        <f t="shared" si="114"/>
        <v>Belgium</v>
      </c>
      <c r="AVI11" s="322">
        <f ca="1">IF(OFFSET('Player Game Board'!P18,0,AVI1)&lt;&gt;"",OFFSET('Player Game Board'!P18,0,AVI1),0)</f>
        <v>1</v>
      </c>
      <c r="AVJ11" s="322">
        <f ca="1">IF(OFFSET('Player Game Board'!Q18,0,AVI1)&lt;&gt;"",OFFSET('Player Game Board'!Q18,0,AVI1),0)</f>
        <v>3</v>
      </c>
      <c r="AVK11" s="319" t="str">
        <f t="shared" si="115"/>
        <v>Slovakia</v>
      </c>
      <c r="AVL11" s="319" t="str">
        <f ca="1">IF(AND(OFFSET('Player Game Board'!P18,0,AVI1)&lt;&gt;"",OFFSET('Player Game Board'!Q18,0,AVI1)&lt;&gt;""),IF(AVI11&gt;AVJ11,"W",IF(AVI11=AVJ11,"D","L")),"")</f>
        <v>L</v>
      </c>
      <c r="AVM11" s="319" t="str">
        <f t="shared" ca="1" si="116"/>
        <v>W</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1</v>
      </c>
      <c r="AWH11" s="319" t="str">
        <f t="shared" ref="AWH11:AWH14" si="2978">ARJ11</f>
        <v>Italy</v>
      </c>
      <c r="AWI11" s="319">
        <f t="shared" ref="AWI11" ca="1" si="2979">SUMPRODUCT((BAF3:BAF42=AWH11)*(BAJ3:BAJ42="W"))+SUMPRODUCT((BAI3:BAI42=AWH11)*(BAK3:BAK42="W"))</f>
        <v>3</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12</v>
      </c>
      <c r="AWM11" s="319">
        <f t="shared" ref="AWM11" ca="1" si="2983">SUMIF(BAI3:BAI60,AWH11,BAG3:BAG60)+SUMIF(BAF3:BAF60,AWH11,BAH3:BAH60)</f>
        <v>4</v>
      </c>
      <c r="AWN11" s="319">
        <f t="shared" ref="AWN11:AWN14" ca="1" si="2984">AWL11-AWM11+1000</f>
        <v>1008</v>
      </c>
      <c r="AWO11" s="319">
        <f t="shared" ref="AWO11:AWO14" ca="1" si="2985">AWI11*3+AWJ11*1</f>
        <v>9</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t="str">
        <f t="shared" ref="AXH11:AXH14" ca="1" si="3001">IF(AXA11&lt;&gt;"",AXB11*3+AXC11*1,"")</f>
        <v/>
      </c>
      <c r="AXI11" s="319" t="str">
        <f t="shared" ref="AXI11" ca="1" si="3002">IF(AXA11&lt;&gt;"",VLOOKUP(AXA11,AWH4:AWN40,7,FALSE),"")</f>
        <v/>
      </c>
      <c r="AXJ11" s="319" t="str">
        <f t="shared" ref="AXJ11" ca="1" si="3003">IF(AXA11&lt;&gt;"",VLOOKUP(AXA11,AWH4:AWN40,5,FALSE),"")</f>
        <v/>
      </c>
      <c r="AXK11" s="319" t="str">
        <f t="shared" ref="AXK11" ca="1" si="3004">IF(AXA11&lt;&gt;"",VLOOKUP(AXA11,AWH4:AWP40,9,FALSE),"")</f>
        <v/>
      </c>
      <c r="AXL11" s="319" t="str">
        <f t="shared" ref="AXL11:AXL14" ca="1" si="3005">AXH11</f>
        <v/>
      </c>
      <c r="AXM11" s="319" t="str">
        <f t="shared" ref="AXM11" ca="1" si="3006">IF(AXA11&lt;&gt;"",RANK(AXL11,AXL11:AXL15),"")</f>
        <v/>
      </c>
      <c r="AXN11" s="319" t="str">
        <f t="shared" ref="AXN11" ca="1" si="3007">IF(AXA11&lt;&gt;"",SUMPRODUCT((AXL11:AXL15=AXL11)*(AXG11:AXG15&gt;AXG11)),"")</f>
        <v/>
      </c>
      <c r="AXO11" s="319" t="str">
        <f t="shared" ref="AXO11" ca="1" si="3008">IF(AXA11&lt;&gt;"",SUMPRODUCT((AXL11:AXL15=AXL11)*(AXG11:AXG15=AXG11)*(AXE11:AXE15&gt;AXE11)),"")</f>
        <v/>
      </c>
      <c r="AXP11" s="319" t="str">
        <f t="shared" ref="AXP11" ca="1" si="3009">IF(AXA11&lt;&gt;"",SUMPRODUCT((AXL11:AXL15=AXL11)*(AXG11:AXG15=AXG11)*(AXE11:AXE15=AXE11)*(AXI11:AXI15&gt;AXI11)),"")</f>
        <v/>
      </c>
      <c r="AXQ11" s="319" t="str">
        <f t="shared" ref="AXQ11" ca="1" si="3010">IF(AXA11&lt;&gt;"",SUMPRODUCT((AXL11:AXL15=AXL11)*(AXG11:AXG15=AXG11)*(AXE11:AXE15=AXE11)*(AXI11:AXI15=AXI11)*(AXJ11:AXJ15&gt;AXJ11)),"")</f>
        <v/>
      </c>
      <c r="AXR11" s="319" t="str">
        <f t="shared" ref="AXR11" ca="1" si="3011">IF(AXA11&lt;&gt;"",SUMPRODUCT((AXL11:AXL15=AXL11)*(AXG11:AXG15=AXG11)*(AXE11:AXE15=AXE11)*(AXI11:AXI15=AXI11)*(AXJ11:AXJ15=AXJ11)*(AXK11:AXK15&gt;AXK11)),"")</f>
        <v/>
      </c>
      <c r="AXS11" s="319" t="str">
        <f ca="1">IF(AXA11&lt;&gt;"",IF(AXS51&lt;&gt;"",IF(AWZ50=3,AXS51,AXS51+AWZ50),SUM(AXM11:AXR11)),"")</f>
        <v/>
      </c>
      <c r="AXT11" s="319" t="str">
        <f t="shared" ref="AXT11" ca="1" si="3012">IF(AXA11&lt;&gt;"",INDEX(AXA11:AXA15,MATCH(1,AXS11:AXS15,0),0),"")</f>
        <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Italy</v>
      </c>
      <c r="BAD11" s="319">
        <v>1</v>
      </c>
      <c r="BAE11" s="319">
        <v>9</v>
      </c>
      <c r="BAF11" s="319" t="str">
        <f t="shared" si="130"/>
        <v>Belgium</v>
      </c>
      <c r="BAG11" s="322">
        <f ca="1">IF(OFFSET('Player Game Board'!P18,0,BAG1)&lt;&gt;"",OFFSET('Player Game Board'!P18,0,BAG1),0)</f>
        <v>3</v>
      </c>
      <c r="BAH11" s="322">
        <f ca="1">IF(OFFSET('Player Game Board'!Q18,0,BAG1)&lt;&gt;"",OFFSET('Player Game Board'!Q18,0,BAG1),0)</f>
        <v>0</v>
      </c>
      <c r="BAI11" s="319" t="str">
        <f t="shared" si="131"/>
        <v>Slovakia</v>
      </c>
      <c r="BAJ11" s="319" t="str">
        <f ca="1">IF(AND(OFFSET('Player Game Board'!P18,0,BAG1)&lt;&gt;"",OFFSET('Player Game Board'!Q18,0,BAG1)&lt;&gt;""),IF(BAG11&gt;BAH11,"W",IF(BAG11=BAH11,"D","L")),"")</f>
        <v>W</v>
      </c>
      <c r="BAK11" s="319" t="str">
        <f t="shared" ca="1" si="132"/>
        <v>L</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356</v>
      </c>
      <c r="DI12" s="323"/>
      <c r="DJ12" s="323"/>
      <c r="DK12" s="323"/>
      <c r="DL12" s="324" t="s">
        <v>357</v>
      </c>
      <c r="DM12" s="324" t="s">
        <v>358</v>
      </c>
      <c r="DN12" s="324" t="s">
        <v>359</v>
      </c>
      <c r="DO12" s="324" t="s">
        <v>360</v>
      </c>
      <c r="DP12" s="325"/>
      <c r="DQ12" s="324" t="str">
        <f>Matches!AC39</f>
        <v>C</v>
      </c>
      <c r="DR12" s="326" t="str">
        <f>Matches!AC40</f>
        <v>B</v>
      </c>
      <c r="DS12" s="326" t="str">
        <f>Matches!AC41</f>
        <v>A</v>
      </c>
      <c r="DT12" s="326" t="str">
        <f>Matches!AC42</f>
        <v>F</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8</v>
      </c>
      <c r="EF12" s="319">
        <f t="shared" ca="1" si="2710"/>
        <v>992</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356</v>
      </c>
      <c r="IG12" s="323"/>
      <c r="IH12" s="323"/>
      <c r="II12" s="323"/>
      <c r="IJ12" s="324" t="s">
        <v>357</v>
      </c>
      <c r="IK12" s="324" t="s">
        <v>358</v>
      </c>
      <c r="IL12" s="324" t="s">
        <v>359</v>
      </c>
      <c r="IM12" s="324" t="s">
        <v>360</v>
      </c>
      <c r="IN12" s="325"/>
      <c r="IO12" s="324" t="str">
        <f ca="1">INDEX(IT3:IT8,MATCH(1,IS3:IS8,0),0)</f>
        <v>B</v>
      </c>
      <c r="IP12" s="326" t="str">
        <f ca="1">INDEX(IT3:IT8,MATCH(2,IS3:IS8,0),0)</f>
        <v>F</v>
      </c>
      <c r="IQ12" s="326" t="str">
        <f ca="1">INDEX(IT3:IT8,MATCH(3,IS3:IS8,0),0)</f>
        <v>A</v>
      </c>
      <c r="IR12" s="326" t="str">
        <f ca="1">INDEX(IT3:IT8,MATCH(4,IS3:IS8,0),0)</f>
        <v>C</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Croatia</v>
      </c>
      <c r="JK12" s="319">
        <f ca="1">INDEX(JG11:JG15,MATCH(JJ12,IX11:IX15,0),0)</f>
        <v>1</v>
      </c>
      <c r="JL12" s="319" t="str">
        <f ca="1">IF(JL11&lt;&gt;"",JJ12,"")</f>
        <v>Croatia</v>
      </c>
      <c r="JM12" s="319" t="str">
        <f ca="1">IF(JM11&lt;&gt;"",JJ13,"")</f>
        <v/>
      </c>
      <c r="JN12" s="319" t="str">
        <f ca="1">IF(JN11&lt;&gt;"",JJ14,"")</f>
        <v/>
      </c>
      <c r="JO12" s="319" t="str">
        <f>IF(JO11&lt;&gt;"",JJ15,"")</f>
        <v/>
      </c>
      <c r="JP12" s="319"/>
      <c r="JQ12" s="319" t="str">
        <f t="shared" ref="JQ12:JQ14" ca="1" si="3059">IF(JL12&lt;&gt;"",JL12,"")</f>
        <v>Croatia</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19">
        <f ca="1">JU12-JV12+1000</f>
        <v>1000</v>
      </c>
      <c r="JX12" s="319">
        <f t="shared" ca="1" si="2716"/>
        <v>2</v>
      </c>
      <c r="JY12" s="319">
        <f ca="1">IF(JQ12&lt;&gt;"",VLOOKUP(JQ12,IX4:JD40,7,FALSE),"")</f>
        <v>1003</v>
      </c>
      <c r="JZ12" s="319">
        <f ca="1">IF(JQ12&lt;&gt;"",VLOOKUP(JQ12,IX4:JD40,5,FALSE),"")</f>
        <v>7</v>
      </c>
      <c r="KA12" s="319">
        <f ca="1">IF(JQ12&lt;&gt;"",VLOOKUP(JQ12,IX4:JF40,9,FALSE),"")</f>
        <v>40</v>
      </c>
      <c r="KB12" s="319">
        <f t="shared" ca="1" si="2717"/>
        <v>2</v>
      </c>
      <c r="KC12" s="319">
        <f ca="1">IF(JQ12&lt;&gt;"",RANK(KB12,KB11:KB15),"")</f>
        <v>1</v>
      </c>
      <c r="KD12" s="319">
        <f ca="1">IF(JQ12&lt;&gt;"",SUMPRODUCT((KB11:KB15=KB12)*(JW11:JW15&gt;JW12)),"")</f>
        <v>0</v>
      </c>
      <c r="KE12" s="319">
        <f ca="1">IF(JQ12&lt;&gt;"",SUMPRODUCT((KB11:KB15=KB12)*(JW11:JW15=JW12)*(JU11:JU15&gt;JU12)),"")</f>
        <v>0</v>
      </c>
      <c r="KF12" s="319">
        <f ca="1">IF(JQ12&lt;&gt;"",SUMPRODUCT((KB11:KB15=KB12)*(JW11:JW15=JW12)*(JU11:JU15=JU12)*(JY11:JY15&gt;JY12)),"")</f>
        <v>0</v>
      </c>
      <c r="KG12" s="319">
        <f ca="1">IF(JQ12&lt;&gt;"",SUMPRODUCT((KB11:KB15=KB12)*(JW11:JW15=JW12)*(JU11:JU15=JU12)*(JY11:JY15=JY12)*(JZ11:JZ15&gt;JZ12)),"")</f>
        <v>0</v>
      </c>
      <c r="KH12" s="319">
        <f ca="1">IF(JQ12&lt;&gt;"",SUMPRODUCT((KB11:KB15=KB12)*(JW11:JW15=JW12)*(JU11:JU15=JU12)*(JY11:JY15=JY12)*(JZ11:JZ15=JZ12)*(KA11:KA15&gt;KA12)),"")</f>
        <v>1</v>
      </c>
      <c r="KI12" s="319">
        <f ca="1">IF(JQ12&lt;&gt;"",IF(KI52&lt;&gt;"",IF(JP50=3,KI52,KI52+JP50),SUM(KC12:KH12)),"")</f>
        <v>2</v>
      </c>
      <c r="KJ12" s="319" t="str">
        <f ca="1">IF(JQ12&lt;&gt;"",INDEX(JQ11:JQ15,MATCH(2,KI11:KI15,0),0),"")</f>
        <v>Croatia</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Croatia</v>
      </c>
      <c r="MT12" s="319">
        <v>2</v>
      </c>
      <c r="MU12" s="319">
        <v>10</v>
      </c>
      <c r="MV12" s="319" t="str">
        <f t="shared" si="170"/>
        <v>Romania</v>
      </c>
      <c r="MW12" s="322">
        <f ca="1">IF(OFFSET('Player Game Board'!P19,0,MW1)&lt;&gt;"",OFFSET('Player Game Board'!P19,0,MW1),0)</f>
        <v>1</v>
      </c>
      <c r="MX12" s="322">
        <f ca="1">IF(OFFSET('Player Game Board'!Q19,0,MW1)&lt;&gt;"",OFFSET('Player Game Board'!Q19,0,MW1),0)</f>
        <v>3</v>
      </c>
      <c r="MY12" s="319" t="str">
        <f t="shared" si="171"/>
        <v>Ukraine</v>
      </c>
      <c r="MZ12" s="319" t="str">
        <f ca="1">IF(AND(OFFSET('Player Game Board'!P19,0,MW1)&lt;&gt;"",OFFSET('Player Game Board'!Q19,0,MW1)&lt;&gt;""),IF(MW12&gt;MX12,"W",IF(MW12=MX12,"D","L")),"")</f>
        <v>L</v>
      </c>
      <c r="NA12" s="319" t="str">
        <f t="shared" ca="1" si="172"/>
        <v>W</v>
      </c>
      <c r="NB12" s="319"/>
      <c r="NC12" s="319"/>
      <c r="ND12" s="323" t="s">
        <v>356</v>
      </c>
      <c r="NE12" s="323"/>
      <c r="NF12" s="323"/>
      <c r="NG12" s="323"/>
      <c r="NH12" s="324" t="s">
        <v>357</v>
      </c>
      <c r="NI12" s="324" t="s">
        <v>358</v>
      </c>
      <c r="NJ12" s="324" t="s">
        <v>359</v>
      </c>
      <c r="NK12" s="324" t="s">
        <v>360</v>
      </c>
      <c r="NL12" s="325"/>
      <c r="NM12" s="324" t="str">
        <f ca="1">INDEX(NR3:NR8,MATCH(1,NQ3:NQ8,0),0)</f>
        <v>B</v>
      </c>
      <c r="NN12" s="326" t="str">
        <f ca="1">INDEX(NR3:NR8,MATCH(2,NQ3:NQ8,0),0)</f>
        <v>E</v>
      </c>
      <c r="NO12" s="326" t="str">
        <f ca="1">INDEX(NR3:NR8,MATCH(3,NQ3:NQ8,0),0)</f>
        <v>A</v>
      </c>
      <c r="NP12" s="326" t="str">
        <f ca="1">INDEX(NR3:NR8,MATCH(4,NQ3:NQ8,0),0)</f>
        <v>D</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1</v>
      </c>
      <c r="OA12" s="319">
        <f t="shared" ref="OA12" ca="1" si="3067">SUMIF(RW3:RW60,NV12,RU3:RU60)+SUMIF(RT3:RT60,NV12,RV3:RV60)</f>
        <v>7</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Italy</v>
      </c>
      <c r="OI12" s="319">
        <f t="shared" ref="OI12" ca="1" si="3071">INDEX(OE11:OE15,MATCH(OH12,NV11:NV15,0),0)</f>
        <v>2</v>
      </c>
      <c r="OJ12" s="319" t="str">
        <f t="shared" ref="OJ12" ca="1" si="3072">IF(OJ11&lt;&gt;"",OH12,"")</f>
        <v/>
      </c>
      <c r="OK12" s="319" t="str">
        <f t="shared" ref="OK12" ca="1" si="3073">IF(OK11&lt;&gt;"",OH13,"")</f>
        <v/>
      </c>
      <c r="OL12" s="319" t="str">
        <f t="shared" ref="OL12" ca="1" si="3074">IF(OL11&lt;&gt;"",OH14,"")</f>
        <v/>
      </c>
      <c r="OM12" s="319" t="str">
        <f t="shared" ref="OM12" si="3075">IF(OM11&lt;&gt;"",OH15,"")</f>
        <v/>
      </c>
      <c r="ON12" s="319"/>
      <c r="OO12" s="319" t="str">
        <f t="shared" ca="1" si="2735"/>
        <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t="str">
        <f t="shared" ca="1" si="2742"/>
        <v/>
      </c>
      <c r="OW12" s="319" t="str">
        <f t="shared" ref="OW12" ca="1" si="3081">IF(OO12&lt;&gt;"",VLOOKUP(OO12,NV4:OB40,7,FALSE),"")</f>
        <v/>
      </c>
      <c r="OX12" s="319" t="str">
        <f t="shared" ref="OX12" ca="1" si="3082">IF(OO12&lt;&gt;"",VLOOKUP(OO12,NV4:OB40,5,FALSE),"")</f>
        <v/>
      </c>
      <c r="OY12" s="319" t="str">
        <f t="shared" ref="OY12" ca="1" si="3083">IF(OO12&lt;&gt;"",VLOOKUP(OO12,NV4:OD40,9,FALSE),"")</f>
        <v/>
      </c>
      <c r="OZ12" s="319" t="str">
        <f t="shared" ca="1" si="2746"/>
        <v/>
      </c>
      <c r="PA12" s="319" t="str">
        <f t="shared" ref="PA12" ca="1" si="3084">IF(OO12&lt;&gt;"",RANK(OZ12,OZ11:OZ15),"")</f>
        <v/>
      </c>
      <c r="PB12" s="319" t="str">
        <f t="shared" ref="PB12" ca="1" si="3085">IF(OO12&lt;&gt;"",SUMPRODUCT((OZ11:OZ15=OZ12)*(OU11:OU15&gt;OU12)),"")</f>
        <v/>
      </c>
      <c r="PC12" s="319" t="str">
        <f t="shared" ref="PC12" ca="1" si="3086">IF(OO12&lt;&gt;"",SUMPRODUCT((OZ11:OZ15=OZ12)*(OU11:OU15=OU12)*(OS11:OS15&gt;OS12)),"")</f>
        <v/>
      </c>
      <c r="PD12" s="319" t="str">
        <f t="shared" ref="PD12" ca="1" si="3087">IF(OO12&lt;&gt;"",SUMPRODUCT((OZ11:OZ15=OZ12)*(OU11:OU15=OU12)*(OS11:OS15=OS12)*(OW11:OW15&gt;OW12)),"")</f>
        <v/>
      </c>
      <c r="PE12" s="319" t="str">
        <f t="shared" ref="PE12" ca="1" si="3088">IF(OO12&lt;&gt;"",SUMPRODUCT((OZ11:OZ15=OZ12)*(OU11:OU15=OU12)*(OS11:OS15=OS12)*(OW11:OW15=OW12)*(OX11:OX15&gt;OX12)),"")</f>
        <v/>
      </c>
      <c r="PF12" s="319" t="str">
        <f t="shared" ref="PF12" ca="1" si="3089">IF(OO12&lt;&gt;"",SUMPRODUCT((OZ11:OZ15=OZ12)*(OU11:OU15=OU12)*(OS11:OS15=OS12)*(OW11:OW15=OW12)*(OX11:OX15=OX12)*(OY11:OY15&gt;OY12)),"")</f>
        <v/>
      </c>
      <c r="PG12" s="319" t="str">
        <f ca="1">IF(OO12&lt;&gt;"",IF(PG52&lt;&gt;"",IF(ON50=3,PG52,PG52+ON50),SUM(PA12:PF12)),"")</f>
        <v/>
      </c>
      <c r="PH12" s="319" t="str">
        <f t="shared" ref="PH12" ca="1" si="3090">IF(OO12&lt;&gt;"",INDEX(OO11:OO15,MATCH(2,PG11:PG15,0),0),"")</f>
        <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0</v>
      </c>
      <c r="RV12" s="322">
        <f ca="1">IF(OFFSET('Player Game Board'!Q19,0,RU1)&lt;&gt;"",OFFSET('Player Game Board'!Q19,0,RU1),0)</f>
        <v>1</v>
      </c>
      <c r="RW12" s="319" t="str">
        <f t="shared" si="19"/>
        <v>Ukraine</v>
      </c>
      <c r="RX12" s="319" t="str">
        <f ca="1">IF(AND(OFFSET('Player Game Board'!P19,0,RU1)&lt;&gt;"",OFFSET('Player Game Board'!Q19,0,RU1)&lt;&gt;""),IF(RU12&gt;RV12,"W",IF(RU12=RV12,"D","L")),"")</f>
        <v>L</v>
      </c>
      <c r="RY12" s="319" t="str">
        <f t="shared" ca="1" si="20"/>
        <v>W</v>
      </c>
      <c r="RZ12" s="319"/>
      <c r="SA12" s="319"/>
      <c r="SB12" s="323" t="s">
        <v>356</v>
      </c>
      <c r="SC12" s="323"/>
      <c r="SD12" s="323"/>
      <c r="SE12" s="323"/>
      <c r="SF12" s="324" t="s">
        <v>357</v>
      </c>
      <c r="SG12" s="324" t="s">
        <v>358</v>
      </c>
      <c r="SH12" s="324" t="s">
        <v>359</v>
      </c>
      <c r="SI12" s="324" t="s">
        <v>360</v>
      </c>
      <c r="SJ12" s="325"/>
      <c r="SK12" s="324" t="str">
        <f t="shared" ref="SK12" ca="1" si="3111">INDEX(SP3:SP8,MATCH(1,SO3:SO8,0),0)</f>
        <v>B</v>
      </c>
      <c r="SL12" s="326" t="str">
        <f t="shared" ref="SL12" ca="1" si="3112">INDEX(SP3:SP8,MATCH(2,SO3:SO8,0),0)</f>
        <v>D</v>
      </c>
      <c r="SM12" s="326" t="str">
        <f t="shared" ref="SM12" ca="1" si="3113">INDEX(SP3:SP8,MATCH(3,SO3:SO8,0),0)</f>
        <v>C</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1</v>
      </c>
      <c r="SY12" s="319">
        <f t="shared" ref="SY12" ca="1" si="3120">SUMIF(WU3:WU60,ST12,WS3:WS60)+SUMIF(WR3:WR60,ST12,WT3:WT60)</f>
        <v>6</v>
      </c>
      <c r="SZ12" s="319">
        <f t="shared" ca="1" si="2762"/>
        <v>995</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Croatia</v>
      </c>
      <c r="TG12" s="319">
        <f t="shared" ref="TG12" ca="1" si="3124">INDEX(TC11:TC15,MATCH(TF12,ST11:ST15,0),0)</f>
        <v>2</v>
      </c>
      <c r="TH12" s="319" t="str">
        <f t="shared" ref="TH12" ca="1" si="3125">IF(TH11&lt;&gt;"",TF12,"")</f>
        <v/>
      </c>
      <c r="TI12" s="319" t="str">
        <f t="shared" ref="TI12" ca="1" si="3126">IF(TI11&lt;&gt;"",TF13,"")</f>
        <v/>
      </c>
      <c r="TJ12" s="319" t="str">
        <f t="shared" ref="TJ12" ca="1" si="3127">IF(TJ11&lt;&gt;"",TF14,"")</f>
        <v/>
      </c>
      <c r="TK12" s="319" t="str">
        <f t="shared" ref="TK12" si="3128">IF(TK11&lt;&gt;"",TF15,"")</f>
        <v/>
      </c>
      <c r="TL12" s="319"/>
      <c r="TM12" s="319" t="str">
        <f t="shared" ca="1" si="2772"/>
        <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t="str">
        <f t="shared" ca="1" si="2779"/>
        <v/>
      </c>
      <c r="TU12" s="319" t="str">
        <f t="shared" ref="TU12" ca="1" si="3134">IF(TM12&lt;&gt;"",VLOOKUP(TM12,ST4:SZ40,7,FALSE),"")</f>
        <v/>
      </c>
      <c r="TV12" s="319" t="str">
        <f t="shared" ref="TV12" ca="1" si="3135">IF(TM12&lt;&gt;"",VLOOKUP(TM12,ST4:SZ40,5,FALSE),"")</f>
        <v/>
      </c>
      <c r="TW12" s="319" t="str">
        <f t="shared" ref="TW12" ca="1" si="3136">IF(TM12&lt;&gt;"",VLOOKUP(TM12,ST4:TB40,9,FALSE),"")</f>
        <v/>
      </c>
      <c r="TX12" s="319" t="str">
        <f t="shared" ca="1" si="2783"/>
        <v/>
      </c>
      <c r="TY12" s="319" t="str">
        <f t="shared" ref="TY12" ca="1" si="3137">IF(TM12&lt;&gt;"",RANK(TX12,TX11:TX15),"")</f>
        <v/>
      </c>
      <c r="TZ12" s="319" t="str">
        <f t="shared" ref="TZ12" ca="1" si="3138">IF(TM12&lt;&gt;"",SUMPRODUCT((TX11:TX15=TX12)*(TS11:TS15&gt;TS12)),"")</f>
        <v/>
      </c>
      <c r="UA12" s="319" t="str">
        <f t="shared" ref="UA12" ca="1" si="3139">IF(TM12&lt;&gt;"",SUMPRODUCT((TX11:TX15=TX12)*(TS11:TS15=TS12)*(TQ11:TQ15&gt;TQ12)),"")</f>
        <v/>
      </c>
      <c r="UB12" s="319" t="str">
        <f t="shared" ref="UB12" ca="1" si="3140">IF(TM12&lt;&gt;"",SUMPRODUCT((TX11:TX15=TX12)*(TS11:TS15=TS12)*(TQ11:TQ15=TQ12)*(TU11:TU15&gt;TU12)),"")</f>
        <v/>
      </c>
      <c r="UC12" s="319" t="str">
        <f t="shared" ref="UC12" ca="1" si="3141">IF(TM12&lt;&gt;"",SUMPRODUCT((TX11:TX15=TX12)*(TS11:TS15=TS12)*(TQ11:TQ15=TQ12)*(TU11:TU15=TU12)*(TV11:TV15&gt;TV12)),"")</f>
        <v/>
      </c>
      <c r="UD12" s="319" t="str">
        <f t="shared" ref="UD12" ca="1" si="3142">IF(TM12&lt;&gt;"",SUMPRODUCT((TX11:TX15=TX12)*(TS11:TS15=TS12)*(TQ11:TQ15=TQ12)*(TU11:TU15=TU12)*(TV11:TV15=TV12)*(TW11:TW15&gt;TW12)),"")</f>
        <v/>
      </c>
      <c r="UE12" s="319" t="str">
        <f ca="1">IF(TM12&lt;&gt;"",IF(UE52&lt;&gt;"",IF(TL50=3,UE52,UE52+TL50),SUM(TY12:UD12)),"")</f>
        <v/>
      </c>
      <c r="UF12" s="319" t="str">
        <f t="shared" ref="UF12" ca="1" si="3143">IF(TM12&lt;&gt;"",INDEX(TM11:TM15,MATCH(2,UE11:UE15,0),0),"")</f>
        <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Croatia</v>
      </c>
      <c r="WP12" s="319">
        <v>2</v>
      </c>
      <c r="WQ12" s="319">
        <v>10</v>
      </c>
      <c r="WR12" s="319" t="str">
        <f t="shared" si="34"/>
        <v>Romania</v>
      </c>
      <c r="WS12" s="322">
        <f ca="1">IF(OFFSET('Player Game Board'!P19,0,WS1)&lt;&gt;"",OFFSET('Player Game Board'!P19,0,WS1),0)</f>
        <v>1</v>
      </c>
      <c r="WT12" s="322">
        <f ca="1">IF(OFFSET('Player Game Board'!Q19,0,WS1)&lt;&gt;"",OFFSET('Player Game Board'!Q19,0,WS1),0)</f>
        <v>1</v>
      </c>
      <c r="WU12" s="319" t="str">
        <f t="shared" si="35"/>
        <v>Ukraine</v>
      </c>
      <c r="WV12" s="319" t="str">
        <f ca="1">IF(AND(OFFSET('Player Game Board'!P19,0,WS1)&lt;&gt;"",OFFSET('Player Game Board'!Q19,0,WS1)&lt;&gt;""),IF(WS12&gt;WT12,"W",IF(WS12=WT12,"D","L")),"")</f>
        <v>D</v>
      </c>
      <c r="WW12" s="319" t="str">
        <f t="shared" ca="1" si="36"/>
        <v>D</v>
      </c>
      <c r="WX12" s="319"/>
      <c r="WY12" s="319"/>
      <c r="WZ12" s="323" t="s">
        <v>356</v>
      </c>
      <c r="XA12" s="323"/>
      <c r="XB12" s="323"/>
      <c r="XC12" s="323"/>
      <c r="XD12" s="324" t="s">
        <v>357</v>
      </c>
      <c r="XE12" s="324" t="s">
        <v>358</v>
      </c>
      <c r="XF12" s="324" t="s">
        <v>359</v>
      </c>
      <c r="XG12" s="324" t="s">
        <v>360</v>
      </c>
      <c r="XH12" s="325"/>
      <c r="XI12" s="324" t="str">
        <f t="shared" ref="XI12" ca="1" si="3164">INDEX(XN3:XN8,MATCH(1,XM3:XM8,0),0)</f>
        <v>B</v>
      </c>
      <c r="XJ12" s="326" t="str">
        <f t="shared" ref="XJ12" ca="1" si="3165">INDEX(XN3:XN8,MATCH(2,XM3:XM8,0),0)</f>
        <v>F</v>
      </c>
      <c r="XK12" s="326" t="str">
        <f t="shared" ref="XK12" ca="1" si="3166">INDEX(XN3:XN8,MATCH(3,XM3:XM8,0),0)</f>
        <v>C</v>
      </c>
      <c r="XL12" s="326" t="str">
        <f t="shared" ref="XL12" ca="1" si="3167">INDEX(XN3:XN8,MATCH(4,XM3:XM8,0),0)</f>
        <v>D</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356</v>
      </c>
      <c r="ABY12" s="323"/>
      <c r="ABZ12" s="323"/>
      <c r="ACA12" s="323"/>
      <c r="ACB12" s="324" t="s">
        <v>357</v>
      </c>
      <c r="ACC12" s="324" t="s">
        <v>358</v>
      </c>
      <c r="ACD12" s="324" t="s">
        <v>359</v>
      </c>
      <c r="ACE12" s="324" t="s">
        <v>360</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6</v>
      </c>
      <c r="ACV12" s="319">
        <f t="shared" ca="1" si="2836"/>
        <v>994</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2</v>
      </c>
      <c r="ADD12" s="319" t="str">
        <f t="shared" ref="ADD12" ca="1" si="3231">IF(ADD11&lt;&gt;"",ADB12,"")</f>
        <v/>
      </c>
      <c r="ADE12" s="319" t="str">
        <f t="shared" ref="ADE12" ca="1" si="3232">IF(ADE11&lt;&gt;"",ADB13,"")</f>
        <v/>
      </c>
      <c r="ADF12" s="319" t="str">
        <f t="shared" ref="ADF12" ca="1" si="3233">IF(ADF11&lt;&gt;"",ADB14,"")</f>
        <v/>
      </c>
      <c r="ADG12" s="319" t="str">
        <f t="shared" ref="ADG12" si="3234">IF(ADG11&lt;&gt;"",ADB15,"")</f>
        <v/>
      </c>
      <c r="ADH12" s="319"/>
      <c r="ADI12" s="319" t="str">
        <f t="shared" ca="1" si="2846"/>
        <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t="str">
        <f t="shared" ca="1" si="2853"/>
        <v/>
      </c>
      <c r="ADQ12" s="319" t="str">
        <f t="shared" ref="ADQ12" ca="1" si="3240">IF(ADI12&lt;&gt;"",VLOOKUP(ADI12,ACP4:ACV40,7,FALSE),"")</f>
        <v/>
      </c>
      <c r="ADR12" s="319" t="str">
        <f t="shared" ref="ADR12" ca="1" si="3241">IF(ADI12&lt;&gt;"",VLOOKUP(ADI12,ACP4:ACV40,5,FALSE),"")</f>
        <v/>
      </c>
      <c r="ADS12" s="319" t="str">
        <f t="shared" ref="ADS12" ca="1" si="3242">IF(ADI12&lt;&gt;"",VLOOKUP(ADI12,ACP4:ACX40,9,FALSE),"")</f>
        <v/>
      </c>
      <c r="ADT12" s="319" t="str">
        <f t="shared" ca="1" si="2857"/>
        <v/>
      </c>
      <c r="ADU12" s="319" t="str">
        <f t="shared" ref="ADU12" ca="1" si="3243">IF(ADI12&lt;&gt;"",RANK(ADT12,ADT11:ADT15),"")</f>
        <v/>
      </c>
      <c r="ADV12" s="319" t="str">
        <f t="shared" ref="ADV12" ca="1" si="3244">IF(ADI12&lt;&gt;"",SUMPRODUCT((ADT11:ADT15=ADT12)*(ADO11:ADO15&gt;ADO12)),"")</f>
        <v/>
      </c>
      <c r="ADW12" s="319" t="str">
        <f t="shared" ref="ADW12" ca="1" si="3245">IF(ADI12&lt;&gt;"",SUMPRODUCT((ADT11:ADT15=ADT12)*(ADO11:ADO15=ADO12)*(ADM11:ADM15&gt;ADM12)),"")</f>
        <v/>
      </c>
      <c r="ADX12" s="319" t="str">
        <f t="shared" ref="ADX12" ca="1" si="3246">IF(ADI12&lt;&gt;"",SUMPRODUCT((ADT11:ADT15=ADT12)*(ADO11:ADO15=ADO12)*(ADM11:ADM15=ADM12)*(ADQ11:ADQ15&gt;ADQ12)),"")</f>
        <v/>
      </c>
      <c r="ADY12" s="319" t="str">
        <f t="shared" ref="ADY12" ca="1" si="3247">IF(ADI12&lt;&gt;"",SUMPRODUCT((ADT11:ADT15=ADT12)*(ADO11:ADO15=ADO12)*(ADM11:ADM15=ADM12)*(ADQ11:ADQ15=ADQ12)*(ADR11:ADR15&gt;ADR12)),"")</f>
        <v/>
      </c>
      <c r="ADZ12" s="319" t="str">
        <f t="shared" ref="ADZ12" ca="1" si="3248">IF(ADI12&lt;&gt;"",SUMPRODUCT((ADT11:ADT15=ADT12)*(ADO11:ADO15=ADO12)*(ADM11:ADM15=ADM12)*(ADQ11:ADQ15=ADQ12)*(ADR11:ADR15=ADR12)*(ADS11:ADS15&gt;ADS12)),"")</f>
        <v/>
      </c>
      <c r="AEA12" s="319" t="str">
        <f ca="1">IF(ADI12&lt;&gt;"",IF(AEA52&lt;&gt;"",IF(ADH50=3,AEA52,AEA52+ADH50),SUM(ADU12:ADZ12)),"")</f>
        <v/>
      </c>
      <c r="AEB12" s="319" t="str">
        <f t="shared" ref="AEB12" ca="1" si="3249">IF(ADI12&lt;&gt;"",INDEX(ADI11:ADI15,MATCH(2,AEA11:AEA15,0),0),"")</f>
        <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Spain</v>
      </c>
      <c r="AGL12" s="319">
        <v>2</v>
      </c>
      <c r="AGM12" s="319">
        <v>10</v>
      </c>
      <c r="AGN12" s="319" t="str">
        <f t="shared" si="66"/>
        <v>Romania</v>
      </c>
      <c r="AGO12" s="322">
        <f ca="1">IF(OFFSET('Player Game Board'!P19,0,AGO1)&lt;&gt;"",OFFSET('Player Game Board'!P19,0,AGO1),0)</f>
        <v>0</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356</v>
      </c>
      <c r="AGW12" s="323"/>
      <c r="AGX12" s="323"/>
      <c r="AGY12" s="323"/>
      <c r="AGZ12" s="324" t="s">
        <v>357</v>
      </c>
      <c r="AHA12" s="324" t="s">
        <v>358</v>
      </c>
      <c r="AHB12" s="324" t="s">
        <v>359</v>
      </c>
      <c r="AHC12" s="324" t="s">
        <v>360</v>
      </c>
      <c r="AHD12" s="325"/>
      <c r="AHE12" s="324" t="str">
        <f t="shared" ref="AHE12" ca="1" si="3270">INDEX(AHJ3:AHJ8,MATCH(1,AHI3:AHI8,0),0)</f>
        <v>B</v>
      </c>
      <c r="AHF12" s="326" t="str">
        <f t="shared" ref="AHF12" ca="1" si="3271">INDEX(AHJ3:AHJ8,MATCH(2,AHI3:AHI8,0),0)</f>
        <v>C</v>
      </c>
      <c r="AHG12" s="326" t="str">
        <f t="shared" ref="AHG12" ca="1" si="3272">INDEX(AHJ3:AHJ8,MATCH(3,AHI3:AHI8,0),0)</f>
        <v>D</v>
      </c>
      <c r="AHH12" s="326" t="str">
        <f t="shared" ref="AHH12" ca="1" si="3273">INDEX(AHJ3:AHJ8,MATCH(4,AHI3:AHI8,0),0)</f>
        <v>F</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1</v>
      </c>
      <c r="AHS12" s="319">
        <f t="shared" ref="AHS12" ca="1" si="3279">SUMIF(ALO3:ALO60,AHN12,ALM3:ALM60)+SUMIF(ALL3:ALL60,AHN12,ALN3:ALN60)</f>
        <v>7</v>
      </c>
      <c r="AHT12" s="319">
        <f t="shared" ca="1" si="2873"/>
        <v>994</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Spain</v>
      </c>
      <c r="AIA12" s="319">
        <f t="shared" ref="AIA12" ca="1" si="3283">INDEX(AHW11:AHW15,MATCH(AHZ12,AHN11:AHN15,0),0)</f>
        <v>1</v>
      </c>
      <c r="AIB12" s="319" t="str">
        <f t="shared" ref="AIB12" ca="1" si="3284">IF(AIB11&lt;&gt;"",AHZ12,"")</f>
        <v>Spain</v>
      </c>
      <c r="AIC12" s="319" t="str">
        <f t="shared" ref="AIC12" ca="1" si="3285">IF(AIC11&lt;&gt;"",AHZ13,"")</f>
        <v/>
      </c>
      <c r="AID12" s="319" t="str">
        <f t="shared" ref="AID12" ca="1" si="3286">IF(AID11&lt;&gt;"",AHZ14,"")</f>
        <v/>
      </c>
      <c r="AIE12" s="319" t="str">
        <f t="shared" ref="AIE12" si="3287">IF(AIE11&lt;&gt;"",AHZ15,"")</f>
        <v/>
      </c>
      <c r="AIF12" s="319"/>
      <c r="AIG12" s="319" t="str">
        <f t="shared" ca="1" si="2883"/>
        <v>Spain</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19">
        <f t="shared" ca="1" si="2889"/>
        <v>1000</v>
      </c>
      <c r="AIN12" s="319">
        <f t="shared" ca="1" si="2890"/>
        <v>1</v>
      </c>
      <c r="AIO12" s="319">
        <f t="shared" ref="AIO12" ca="1" si="3293">IF(AIG12&lt;&gt;"",VLOOKUP(AIG12,AHN4:AHT40,7,FALSE),"")</f>
        <v>1003</v>
      </c>
      <c r="AIP12" s="319">
        <f t="shared" ref="AIP12" ca="1" si="3294">IF(AIG12&lt;&gt;"",VLOOKUP(AIG12,AHN4:AHT40,5,FALSE),"")</f>
        <v>6</v>
      </c>
      <c r="AIQ12" s="319">
        <f t="shared" ref="AIQ12" ca="1" si="3295">IF(AIG12&lt;&gt;"",VLOOKUP(AIG12,AHN4:AHV40,9,FALSE),"")</f>
        <v>51</v>
      </c>
      <c r="AIR12" s="319">
        <f t="shared" ca="1" si="2894"/>
        <v>1</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1</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0</v>
      </c>
      <c r="AIY12" s="319">
        <f ca="1">IF(AIG12&lt;&gt;"",IF(AIY52&lt;&gt;"",IF(AIF50=3,AIY52,AIY52+AIF50),SUM(AIS12:AIX12)),"")</f>
        <v>2</v>
      </c>
      <c r="AIZ12" s="319" t="str">
        <f t="shared" ref="AIZ12" ca="1" si="3302">IF(AIG12&lt;&gt;"",INDEX(AIG11:AIG15,MATCH(2,AIY11:AIY15,0),0),"")</f>
        <v>Spain</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Spain</v>
      </c>
      <c r="ALJ12" s="319">
        <v>2</v>
      </c>
      <c r="ALK12" s="319">
        <v>10</v>
      </c>
      <c r="ALL12" s="319" t="str">
        <f t="shared" si="82"/>
        <v>Romania</v>
      </c>
      <c r="ALM12" s="322">
        <f ca="1">IF(OFFSET('Player Game Board'!P19,0,ALM1)&lt;&gt;"",OFFSET('Player Game Board'!P19,0,ALM1),0)</f>
        <v>1</v>
      </c>
      <c r="ALN12" s="322">
        <f ca="1">IF(OFFSET('Player Game Board'!Q19,0,ALM1)&lt;&gt;"",OFFSET('Player Game Board'!Q19,0,ALM1),0)</f>
        <v>0</v>
      </c>
      <c r="ALO12" s="319" t="str">
        <f t="shared" si="83"/>
        <v>Ukraine</v>
      </c>
      <c r="ALP12" s="319" t="str">
        <f ca="1">IF(AND(OFFSET('Player Game Board'!P19,0,ALM1)&lt;&gt;"",OFFSET('Player Game Board'!Q19,0,ALM1)&lt;&gt;""),IF(ALM12&gt;ALN12,"W",IF(ALM12=ALN12,"D","L")),"")</f>
        <v>W</v>
      </c>
      <c r="ALQ12" s="319" t="str">
        <f t="shared" ca="1" si="84"/>
        <v>L</v>
      </c>
      <c r="ALR12" s="319"/>
      <c r="ALS12" s="319"/>
      <c r="ALT12" s="323" t="s">
        <v>356</v>
      </c>
      <c r="ALU12" s="323"/>
      <c r="ALV12" s="323"/>
      <c r="ALW12" s="323"/>
      <c r="ALX12" s="324" t="s">
        <v>357</v>
      </c>
      <c r="ALY12" s="324" t="s">
        <v>358</v>
      </c>
      <c r="ALZ12" s="324" t="s">
        <v>359</v>
      </c>
      <c r="AMA12" s="324" t="s">
        <v>360</v>
      </c>
      <c r="AMB12" s="325"/>
      <c r="AMC12" s="324" t="str">
        <f t="shared" ref="AMC12" ca="1" si="3323">INDEX(AMH3:AMH8,MATCH(1,AMG3:AMG8,0),0)</f>
        <v>E</v>
      </c>
      <c r="AMD12" s="326" t="str">
        <f t="shared" ref="AMD12" ca="1" si="3324">INDEX(AMH3:AMH8,MATCH(2,AMG3:AMG8,0),0)</f>
        <v>B</v>
      </c>
      <c r="AME12" s="326" t="str">
        <f t="shared" ref="AME12" ca="1" si="3325">INDEX(AMH3:AMH8,MATCH(3,AMG3:AMG8,0),0)</f>
        <v>D</v>
      </c>
      <c r="AMF12" s="326" t="str">
        <f t="shared" ref="AMF12" ca="1" si="3326">INDEX(AMH3:AMH8,MATCH(4,AMG3:AMG8,0),0)</f>
        <v>C</v>
      </c>
      <c r="AMG12" s="326"/>
      <c r="AMH12" s="325"/>
      <c r="AMI12" s="325"/>
      <c r="AMJ12" s="325"/>
      <c r="AMK12" s="319">
        <f t="shared" ref="AMK12" ca="1" si="3327">VLOOKUP(AML12,AQG11:AQH15,2,FALSE)</f>
        <v>4</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3</v>
      </c>
      <c r="AMP12" s="319">
        <f t="shared" ref="AMP12" ca="1" si="3331">SUMIF(AQJ3:AQJ60,AML12,AQK3:AQK60)+SUMIF(AQM3:AQM60,AML12,AQL3:AQL60)</f>
        <v>0</v>
      </c>
      <c r="AMQ12" s="319">
        <f t="shared" ref="AMQ12" ca="1" si="3332">SUMIF(AQM3:AQM60,AML12,AQK3:AQK60)+SUMIF(AQJ3:AQJ60,AML12,AQL3:AQL60)</f>
        <v>9</v>
      </c>
      <c r="AMR12" s="319">
        <f t="shared" ca="1" si="2910"/>
        <v>991</v>
      </c>
      <c r="AMS12" s="319">
        <f t="shared" ca="1" si="2911"/>
        <v>0</v>
      </c>
      <c r="AMT12" s="319">
        <f t="shared" si="930"/>
        <v>44</v>
      </c>
      <c r="AMU12" s="319">
        <f t="shared" ref="AMU12" ca="1" si="3333">IF(COUNTIF(AMS11:AMS15,4)&lt;&gt;4,RANK(AMS12,AMS11:AMS15),AMS52)</f>
        <v>4</v>
      </c>
      <c r="AMV12" s="319"/>
      <c r="AMW12" s="319">
        <f t="shared" ref="AMW12" ca="1" si="3334">SUMPRODUCT((AMU11:AMU14=AMU12)*(AMT11:AMT14&lt;AMT12))+AMU12</f>
        <v>4</v>
      </c>
      <c r="AMX12" s="319" t="str">
        <f t="shared" ref="AMX12" ca="1" si="3335">INDEX(AML11:AML15,MATCH(2,AMW11:AMW15,0),0)</f>
        <v>Italy</v>
      </c>
      <c r="AMY12" s="319">
        <f t="shared" ref="AMY12" ca="1" si="3336">INDEX(AMU11:AMU15,MATCH(AMX12,AML11:AML15,0),0)</f>
        <v>2</v>
      </c>
      <c r="AMZ12" s="319" t="str">
        <f t="shared" ref="AMZ12" ca="1" si="3337">IF(AMZ11&lt;&gt;"",AMX12,"")</f>
        <v/>
      </c>
      <c r="ANA12" s="319" t="str">
        <f t="shared" ref="ANA12" ca="1" si="3338">IF(ANA11&lt;&gt;"",AMX13,"")</f>
        <v>Croatia</v>
      </c>
      <c r="ANB12" s="319" t="str">
        <f t="shared" ref="ANB12" ca="1" si="3339">IF(ANB11&lt;&gt;"",AMX14,"")</f>
        <v/>
      </c>
      <c r="ANC12" s="319" t="str">
        <f t="shared" ref="ANC12" si="3340">IF(ANC11&lt;&gt;"",AMX15,"")</f>
        <v/>
      </c>
      <c r="AND12" s="319"/>
      <c r="ANE12" s="319" t="str">
        <f t="shared" ca="1" si="2920"/>
        <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t="str">
        <f t="shared" ca="1" si="2927"/>
        <v/>
      </c>
      <c r="ANM12" s="319" t="str">
        <f t="shared" ref="ANM12" ca="1" si="3346">IF(ANE12&lt;&gt;"",VLOOKUP(ANE12,AML4:AMR40,7,FALSE),"")</f>
        <v/>
      </c>
      <c r="ANN12" s="319" t="str">
        <f t="shared" ref="ANN12" ca="1" si="3347">IF(ANE12&lt;&gt;"",VLOOKUP(ANE12,AML4:AMR40,5,FALSE),"")</f>
        <v/>
      </c>
      <c r="ANO12" s="319" t="str">
        <f t="shared" ref="ANO12" ca="1" si="3348">IF(ANE12&lt;&gt;"",VLOOKUP(ANE12,AML4:AMT40,9,FALSE),"")</f>
        <v/>
      </c>
      <c r="ANP12" s="319" t="str">
        <f t="shared" ca="1" si="2931"/>
        <v/>
      </c>
      <c r="ANQ12" s="319" t="str">
        <f t="shared" ref="ANQ12" ca="1" si="3349">IF(ANE12&lt;&gt;"",RANK(ANP12,ANP11:ANP15),"")</f>
        <v/>
      </c>
      <c r="ANR12" s="319" t="str">
        <f t="shared" ref="ANR12" ca="1" si="3350">IF(ANE12&lt;&gt;"",SUMPRODUCT((ANP11:ANP15=ANP12)*(ANK11:ANK15&gt;ANK12)),"")</f>
        <v/>
      </c>
      <c r="ANS12" s="319" t="str">
        <f t="shared" ref="ANS12" ca="1" si="3351">IF(ANE12&lt;&gt;"",SUMPRODUCT((ANP11:ANP15=ANP12)*(ANK11:ANK15=ANK12)*(ANI11:ANI15&gt;ANI12)),"")</f>
        <v/>
      </c>
      <c r="ANT12" s="319" t="str">
        <f t="shared" ref="ANT12" ca="1" si="3352">IF(ANE12&lt;&gt;"",SUMPRODUCT((ANP11:ANP15=ANP12)*(ANK11:ANK15=ANK12)*(ANI11:ANI15=ANI12)*(ANM11:ANM15&gt;ANM12)),"")</f>
        <v/>
      </c>
      <c r="ANU12" s="319" t="str">
        <f t="shared" ref="ANU12" ca="1" si="3353">IF(ANE12&lt;&gt;"",SUMPRODUCT((ANP11:ANP15=ANP12)*(ANK11:ANK15=ANK12)*(ANI11:ANI15=ANI12)*(ANM11:ANM15=ANM12)*(ANN11:ANN15&gt;ANN12)),"")</f>
        <v/>
      </c>
      <c r="ANV12" s="319" t="str">
        <f t="shared" ref="ANV12" ca="1" si="3354">IF(ANE12&lt;&gt;"",SUMPRODUCT((ANP11:ANP15=ANP12)*(ANK11:ANK15=ANK12)*(ANI11:ANI15=ANI12)*(ANM11:ANM15=ANM12)*(ANN11:ANN15=ANN12)*(ANO11:ANO15&gt;ANO12)),"")</f>
        <v/>
      </c>
      <c r="ANW12" s="319" t="str">
        <f ca="1">IF(ANE12&lt;&gt;"",IF(ANW52&lt;&gt;"",IF(AND50=3,ANW52,ANW52+AND50),SUM(ANQ12:ANV12)),"")</f>
        <v/>
      </c>
      <c r="ANX12" s="319" t="str">
        <f t="shared" ref="ANX12" ca="1" si="3355">IF(ANE12&lt;&gt;"",INDEX(ANE11:ANE15,MATCH(2,ANW11:ANW15,0),0),"")</f>
        <v/>
      </c>
      <c r="ANY12" s="319" t="str">
        <f t="shared" ref="ANY12:ANY14" ca="1" si="3356">IF(ANA11&lt;&gt;"",ANA11,"")</f>
        <v>Italy</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19">
        <f t="shared" ref="AOE12:AOE14" ca="1" si="3362">AOC12-AOD12+1000</f>
        <v>1000</v>
      </c>
      <c r="AOF12" s="319">
        <f t="shared" ref="AOF12:AOF14" ca="1" si="3363">IF(ANY12&lt;&gt;"",ANZ12*3+AOA12*1,"")</f>
        <v>1</v>
      </c>
      <c r="AOG12" s="319">
        <f t="shared" ref="AOG12" ca="1" si="3364">IF(ANY12&lt;&gt;"",VLOOKUP(ANY12,AML4:AMR40,7,FALSE),"")</f>
        <v>1002</v>
      </c>
      <c r="AOH12" s="319">
        <f t="shared" ref="AOH12" ca="1" si="3365">IF(ANY12&lt;&gt;"",VLOOKUP(ANY12,AML4:AMR40,5,FALSE),"")</f>
        <v>6</v>
      </c>
      <c r="AOI12" s="319">
        <f t="shared" ref="AOI12" ca="1" si="3366">IF(ANY12&lt;&gt;"",VLOOKUP(ANY12,AML4:AMT40,9,FALSE),"")</f>
        <v>36</v>
      </c>
      <c r="AOJ12" s="319">
        <f t="shared" ref="AOJ12:AOJ14" ca="1" si="3367">AOF12</f>
        <v>1</v>
      </c>
      <c r="AOK12" s="319">
        <f t="shared" ref="AOK12" ca="1" si="3368">IF(ANY12&lt;&gt;"",RANK(AOJ12,AOJ11:AOJ15),"")</f>
        <v>1</v>
      </c>
      <c r="AOL12" s="319">
        <f t="shared" ref="AOL12" ca="1" si="3369">IF(ANY12&lt;&gt;"",SUMPRODUCT((AOJ11:AOJ15=AOJ12)*(AOE11:AOE15&gt;AOE12)),"")</f>
        <v>0</v>
      </c>
      <c r="AOM12" s="319">
        <f t="shared" ref="AOM12" ca="1" si="3370">IF(ANY12&lt;&gt;"",SUMPRODUCT((AOJ11:AOJ15=AOJ12)*(AOE11:AOE15=AOE12)*(AOC11:AOC15&gt;AOC12)),"")</f>
        <v>0</v>
      </c>
      <c r="AON12" s="319">
        <f t="shared" ref="AON12" ca="1" si="3371">IF(ANY12&lt;&gt;"",SUMPRODUCT((AOJ11:AOJ15=AOJ12)*(AOE11:AOE15=AOE12)*(AOC11:AOC15=AOC12)*(AOG11:AOG15&gt;AOG12)),"")</f>
        <v>0</v>
      </c>
      <c r="AOO12" s="319">
        <f t="shared" ref="AOO12" ca="1" si="3372">IF(ANY12&lt;&gt;"",SUMPRODUCT((AOJ11:AOJ15=AOJ12)*(AOE11:AOE15=AOE12)*(AOC11:AOC15=AOC12)*(AOG11:AOG15=AOG12)*(AOH11:AOH15&gt;AOH12)),"")</f>
        <v>0</v>
      </c>
      <c r="AOP12" s="319">
        <f t="shared" ref="AOP12" ca="1" si="3373">IF(ANY12&lt;&gt;"",SUMPRODUCT((AOJ11:AOJ15=AOJ12)*(AOE11:AOE15=AOE12)*(AOC11:AOC15=AOC12)*(AOG11:AOG15=AOG12)*(AOH11:AOH15=AOH12)*(AOI11:AOI15&gt;AOI12)),"")</f>
        <v>0</v>
      </c>
      <c r="AOQ12" s="319">
        <f ca="1">IF(ANY12&lt;&gt;"",IF(AOQ52&lt;&gt;"",IF(ANX50=3,AOQ52,AOQ52+ANX50),SUM(AOK12:AOP12)+1),"")</f>
        <v>2</v>
      </c>
      <c r="AOR12" s="319" t="str">
        <f t="shared" ref="AOR12" ca="1" si="3374">IF(ANY12&lt;&gt;"",INDEX(ANY12:ANY15,MATCH(2,AOQ12:AOQ15,0),0),"")</f>
        <v>Italy</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Italy</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D</v>
      </c>
      <c r="AQO12" s="319" t="str">
        <f t="shared" ca="1" si="100"/>
        <v>D</v>
      </c>
      <c r="AQP12" s="319"/>
      <c r="AQQ12" s="319"/>
      <c r="AQR12" s="323" t="s">
        <v>356</v>
      </c>
      <c r="AQS12" s="323"/>
      <c r="AQT12" s="323"/>
      <c r="AQU12" s="323"/>
      <c r="AQV12" s="324" t="s">
        <v>357</v>
      </c>
      <c r="AQW12" s="324" t="s">
        <v>358</v>
      </c>
      <c r="AQX12" s="324" t="s">
        <v>359</v>
      </c>
      <c r="AQY12" s="324" t="s">
        <v>360</v>
      </c>
      <c r="AQZ12" s="325"/>
      <c r="ARA12" s="324" t="str">
        <f t="shared" ref="ARA12" ca="1" si="3376">INDEX(ARF3:ARF8,MATCH(1,ARE3:ARE8,0),0)</f>
        <v>B</v>
      </c>
      <c r="ARB12" s="326" t="str">
        <f t="shared" ref="ARB12" ca="1" si="3377">INDEX(ARF3:ARF8,MATCH(2,ARE3:ARE8,0),0)</f>
        <v>A</v>
      </c>
      <c r="ARC12" s="326" t="str">
        <f t="shared" ref="ARC12" ca="1" si="3378">INDEX(ARF3:ARF8,MATCH(3,ARE3:ARE8,0),0)</f>
        <v>F</v>
      </c>
      <c r="ARD12" s="326" t="str">
        <f t="shared" ref="ARD12" ca="1" si="3379">INDEX(ARF3:ARF8,MATCH(4,ARE3:ARE8,0),0)</f>
        <v>E</v>
      </c>
      <c r="ARE12" s="326"/>
      <c r="ARF12" s="325"/>
      <c r="ARG12" s="325"/>
      <c r="ARH12" s="325"/>
      <c r="ARI12" s="319">
        <f t="shared" ref="ARI12" ca="1" si="3380">VLOOKUP(ARJ12,AVE11:AVF15,2,FALSE)</f>
        <v>4</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1</v>
      </c>
      <c r="ARM12" s="319">
        <f t="shared" ref="ARM12" ca="1" si="3383">SUMPRODUCT((AVH3:AVH42=ARJ12)*(AVL3:AVL42="L"))+SUMPRODUCT((AVK3:AVK42=ARJ12)*(AVM3:AVM42="L"))</f>
        <v>2</v>
      </c>
      <c r="ARN12" s="319">
        <f t="shared" ref="ARN12" ca="1" si="3384">SUMIF(AVH3:AVH60,ARJ12,AVI3:AVI60)+SUMIF(AVK3:AVK60,ARJ12,AVJ3:AVJ60)</f>
        <v>1</v>
      </c>
      <c r="ARO12" s="319">
        <f t="shared" ref="ARO12" ca="1" si="3385">SUMIF(AVK3:AVK60,ARJ12,AVI3:AVI60)+SUMIF(AVH3:AVH60,ARJ12,AVJ3:AVJ60)</f>
        <v>8</v>
      </c>
      <c r="ARP12" s="319">
        <f t="shared" ca="1" si="2947"/>
        <v>993</v>
      </c>
      <c r="ARQ12" s="319">
        <f t="shared" ca="1" si="2948"/>
        <v>1</v>
      </c>
      <c r="ARR12" s="319">
        <f t="shared" si="990"/>
        <v>44</v>
      </c>
      <c r="ARS12" s="319">
        <f t="shared" ref="ARS12" ca="1" si="3386">IF(COUNTIF(ARQ11:ARQ15,4)&lt;&gt;4,RANK(ARQ12,ARQ11:ARQ15),ARQ52)</f>
        <v>4</v>
      </c>
      <c r="ART12" s="319"/>
      <c r="ARU12" s="319">
        <f t="shared" ref="ARU12" ca="1" si="3387">SUMPRODUCT((ARS11:ARS14=ARS12)*(ARR11:ARR14&lt;ARR12))+ARS12</f>
        <v>4</v>
      </c>
      <c r="ARV12" s="319" t="str">
        <f t="shared" ref="ARV12" ca="1" si="3388">INDEX(ARJ11:ARJ15,MATCH(2,ARU11:ARU15,0),0)</f>
        <v>Spain</v>
      </c>
      <c r="ARW12" s="319">
        <f t="shared" ref="ARW12" ca="1" si="3389">INDEX(ARS11:ARS15,MATCH(ARV12,ARJ11:ARJ15,0),0)</f>
        <v>1</v>
      </c>
      <c r="ARX12" s="319" t="str">
        <f t="shared" ref="ARX12" ca="1" si="3390">IF(ARX11&lt;&gt;"",ARV12,"")</f>
        <v>Spain</v>
      </c>
      <c r="ARY12" s="319" t="str">
        <f t="shared" ref="ARY12" ca="1" si="3391">IF(ARY11&lt;&gt;"",ARV13,"")</f>
        <v/>
      </c>
      <c r="ARZ12" s="319" t="str">
        <f t="shared" ref="ARZ12" ca="1" si="3392">IF(ARZ11&lt;&gt;"",ARV14,"")</f>
        <v/>
      </c>
      <c r="ASA12" s="319" t="str">
        <f t="shared" ref="ASA12" si="3393">IF(ASA11&lt;&gt;"",ARV15,"")</f>
        <v/>
      </c>
      <c r="ASB12" s="319"/>
      <c r="ASC12" s="319" t="str">
        <f t="shared" ca="1" si="2957"/>
        <v>Spain</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19">
        <f t="shared" ca="1" si="2963"/>
        <v>1000</v>
      </c>
      <c r="ASJ12" s="319">
        <f t="shared" ca="1" si="2964"/>
        <v>1</v>
      </c>
      <c r="ASK12" s="319">
        <f t="shared" ref="ASK12" ca="1" si="3399">IF(ASC12&lt;&gt;"",VLOOKUP(ASC12,ARJ4:ARP40,7,FALSE),"")</f>
        <v>1001</v>
      </c>
      <c r="ASL12" s="319">
        <f t="shared" ref="ASL12" ca="1" si="3400">IF(ASC12&lt;&gt;"",VLOOKUP(ASC12,ARJ4:ARP40,5,FALSE),"")</f>
        <v>5</v>
      </c>
      <c r="ASM12" s="319">
        <f t="shared" ref="ASM12" ca="1" si="3401">IF(ASC12&lt;&gt;"",VLOOKUP(ASC12,ARJ4:ARR40,9,FALSE),"")</f>
        <v>51</v>
      </c>
      <c r="ASN12" s="319">
        <f t="shared" ca="1" si="2968"/>
        <v>1</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1</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0</v>
      </c>
      <c r="ASU12" s="319">
        <f ca="1">IF(ASC12&lt;&gt;"",IF(ASU52&lt;&gt;"",IF(ASB50=3,ASU52,ASU52+ASB50),SUM(ASO12:AST12)),"")</f>
        <v>2</v>
      </c>
      <c r="ASV12" s="319" t="str">
        <f t="shared" ref="ASV12" ca="1" si="3408">IF(ASC12&lt;&gt;"",INDEX(ASC11:ASC15,MATCH(2,ASU11:ASU15,0),0),"")</f>
        <v>Spain</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Spain</v>
      </c>
      <c r="AVF12" s="319">
        <v>2</v>
      </c>
      <c r="AVG12" s="319">
        <v>10</v>
      </c>
      <c r="AVH12" s="319" t="str">
        <f t="shared" si="114"/>
        <v>Romania</v>
      </c>
      <c r="AVI12" s="322">
        <f ca="1">IF(OFFSET('Player Game Board'!P19,0,AVI1)&lt;&gt;"",OFFSET('Player Game Board'!P19,0,AVI1),0)</f>
        <v>4</v>
      </c>
      <c r="AVJ12" s="322">
        <f ca="1">IF(OFFSET('Player Game Board'!Q19,0,AVI1)&lt;&gt;"",OFFSET('Player Game Board'!Q19,0,AVI1),0)</f>
        <v>0</v>
      </c>
      <c r="AVK12" s="319" t="str">
        <f t="shared" si="115"/>
        <v>Ukraine</v>
      </c>
      <c r="AVL12" s="319" t="str">
        <f ca="1">IF(AND(OFFSET('Player Game Board'!P19,0,AVI1)&lt;&gt;"",OFFSET('Player Game Board'!Q19,0,AVI1)&lt;&gt;""),IF(AVI12&gt;AVJ12,"W",IF(AVI12=AVJ12,"D","L")),"")</f>
        <v>W</v>
      </c>
      <c r="AVM12" s="319" t="str">
        <f t="shared" ca="1" si="116"/>
        <v>L</v>
      </c>
      <c r="AVN12" s="319"/>
      <c r="AVO12" s="319"/>
      <c r="AVP12" s="323" t="s">
        <v>356</v>
      </c>
      <c r="AVQ12" s="323"/>
      <c r="AVR12" s="323"/>
      <c r="AVS12" s="323"/>
      <c r="AVT12" s="324" t="s">
        <v>357</v>
      </c>
      <c r="AVU12" s="324" t="s">
        <v>358</v>
      </c>
      <c r="AVV12" s="324" t="s">
        <v>359</v>
      </c>
      <c r="AVW12" s="324" t="s">
        <v>360</v>
      </c>
      <c r="AVX12" s="325"/>
      <c r="AVY12" s="324" t="str">
        <f t="shared" ref="AVY12" ca="1" si="3429">INDEX(AWD3:AWD8,MATCH(1,AWC3:AWC8,0),0)</f>
        <v>B</v>
      </c>
      <c r="AVZ12" s="326" t="str">
        <f t="shared" ref="AVZ12" ca="1" si="3430">INDEX(AWD3:AWD8,MATCH(2,AWC3:AWC8,0),0)</f>
        <v>E</v>
      </c>
      <c r="AWA12" s="326" t="str">
        <f t="shared" ref="AWA12" ca="1" si="3431">INDEX(AWD3:AWD8,MATCH(3,AWC3:AWC8,0),0)</f>
        <v>A</v>
      </c>
      <c r="AWB12" s="326" t="str">
        <f t="shared" ref="AWB12" ca="1" si="3432">INDEX(AWD3:AWD8,MATCH(4,AWC3:AWC8,0),0)</f>
        <v>C</v>
      </c>
      <c r="AWC12" s="326"/>
      <c r="AWD12" s="325"/>
      <c r="AWE12" s="325"/>
      <c r="AWF12" s="325"/>
      <c r="AWG12" s="319">
        <f t="shared" ref="AWG12" ca="1" si="3433">VLOOKUP(AWH12,BAC11:BAD15,2,FALSE)</f>
        <v>4</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3</v>
      </c>
      <c r="AWL12" s="319">
        <f t="shared" ref="AWL12" ca="1" si="3437">SUMIF(BAF3:BAF60,AWH12,BAG3:BAG60)+SUMIF(BAI3:BAI60,AWH12,BAH3:BAH60)</f>
        <v>3</v>
      </c>
      <c r="AWM12" s="319">
        <f t="shared" ref="AWM12" ca="1" si="3438">SUMIF(BAI3:BAI60,AWH12,BAG3:BAG60)+SUMIF(BAF3:BAF60,AWH12,BAH3:BAH60)</f>
        <v>12</v>
      </c>
      <c r="AWN12" s="319">
        <f t="shared" ca="1" si="2984"/>
        <v>991</v>
      </c>
      <c r="AWO12" s="319">
        <f t="shared" ca="1" si="2985"/>
        <v>0</v>
      </c>
      <c r="AWP12" s="319">
        <f t="shared" si="1050"/>
        <v>44</v>
      </c>
      <c r="AWQ12" s="319">
        <f t="shared" ref="AWQ12" ca="1" si="3439">IF(COUNTIF(AWO11:AWO15,4)&lt;&gt;4,RANK(AWO12,AWO11:AWO15),AWO52)</f>
        <v>4</v>
      </c>
      <c r="AWR12" s="319"/>
      <c r="AWS12" s="319">
        <f t="shared" ref="AWS12" ca="1" si="3440">SUMPRODUCT((AWQ11:AWQ14=AWQ12)*(AWP11:AWP14&lt;AWP12))+AWQ12</f>
        <v>4</v>
      </c>
      <c r="AWT12" s="319" t="str">
        <f t="shared" ref="AWT12" ca="1" si="3441">INDEX(AWH11:AWH15,MATCH(2,AWS11:AWS15,0),0)</f>
        <v>Spain</v>
      </c>
      <c r="AWU12" s="319">
        <f t="shared" ref="AWU12" ca="1" si="3442">INDEX(AWQ11:AWQ15,MATCH(AWT12,AWH11:AWH15,0),0)</f>
        <v>2</v>
      </c>
      <c r="AWV12" s="319" t="str">
        <f t="shared" ref="AWV12" ca="1" si="3443">IF(AWV11&lt;&gt;"",AWT12,"")</f>
        <v/>
      </c>
      <c r="AWW12" s="319" t="str">
        <f t="shared" ref="AWW12" ca="1" si="3444">IF(AWW11&lt;&gt;"",AWT13,"")</f>
        <v/>
      </c>
      <c r="AWX12" s="319" t="str">
        <f t="shared" ref="AWX12" ca="1" si="3445">IF(AWX11&lt;&gt;"",AWT14,"")</f>
        <v/>
      </c>
      <c r="AWY12" s="319" t="str">
        <f t="shared" ref="AWY12" si="3446">IF(AWY11&lt;&gt;"",AWT15,"")</f>
        <v/>
      </c>
      <c r="AWZ12" s="319"/>
      <c r="AXA12" s="319" t="str">
        <f t="shared" ca="1" si="2994"/>
        <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t="str">
        <f t="shared" ca="1" si="3001"/>
        <v/>
      </c>
      <c r="AXI12" s="319" t="str">
        <f t="shared" ref="AXI12" ca="1" si="3452">IF(AXA12&lt;&gt;"",VLOOKUP(AXA12,AWH4:AWN40,7,FALSE),"")</f>
        <v/>
      </c>
      <c r="AXJ12" s="319" t="str">
        <f t="shared" ref="AXJ12" ca="1" si="3453">IF(AXA12&lt;&gt;"",VLOOKUP(AXA12,AWH4:AWN40,5,FALSE),"")</f>
        <v/>
      </c>
      <c r="AXK12" s="319" t="str">
        <f t="shared" ref="AXK12" ca="1" si="3454">IF(AXA12&lt;&gt;"",VLOOKUP(AXA12,AWH4:AWP40,9,FALSE),"")</f>
        <v/>
      </c>
      <c r="AXL12" s="319" t="str">
        <f t="shared" ca="1" si="3005"/>
        <v/>
      </c>
      <c r="AXM12" s="319" t="str">
        <f t="shared" ref="AXM12" ca="1" si="3455">IF(AXA12&lt;&gt;"",RANK(AXL12,AXL11:AXL15),"")</f>
        <v/>
      </c>
      <c r="AXN12" s="319" t="str">
        <f t="shared" ref="AXN12" ca="1" si="3456">IF(AXA12&lt;&gt;"",SUMPRODUCT((AXL11:AXL15=AXL12)*(AXG11:AXG15&gt;AXG12)),"")</f>
        <v/>
      </c>
      <c r="AXO12" s="319" t="str">
        <f t="shared" ref="AXO12" ca="1" si="3457">IF(AXA12&lt;&gt;"",SUMPRODUCT((AXL11:AXL15=AXL12)*(AXG11:AXG15=AXG12)*(AXE11:AXE15&gt;AXE12)),"")</f>
        <v/>
      </c>
      <c r="AXP12" s="319" t="str">
        <f t="shared" ref="AXP12" ca="1" si="3458">IF(AXA12&lt;&gt;"",SUMPRODUCT((AXL11:AXL15=AXL12)*(AXG11:AXG15=AXG12)*(AXE11:AXE15=AXE12)*(AXI11:AXI15&gt;AXI12)),"")</f>
        <v/>
      </c>
      <c r="AXQ12" s="319" t="str">
        <f t="shared" ref="AXQ12" ca="1" si="3459">IF(AXA12&lt;&gt;"",SUMPRODUCT((AXL11:AXL15=AXL12)*(AXG11:AXG15=AXG12)*(AXE11:AXE15=AXE12)*(AXI11:AXI15=AXI12)*(AXJ11:AXJ15&gt;AXJ12)),"")</f>
        <v/>
      </c>
      <c r="AXR12" s="319" t="str">
        <f t="shared" ref="AXR12" ca="1" si="3460">IF(AXA12&lt;&gt;"",SUMPRODUCT((AXL11:AXL15=AXL12)*(AXG11:AXG15=AXG12)*(AXE11:AXE15=AXE12)*(AXI11:AXI15=AXI12)*(AXJ11:AXJ15=AXJ12)*(AXK11:AXK15&gt;AXK12)),"")</f>
        <v/>
      </c>
      <c r="AXS12" s="319" t="str">
        <f ca="1">IF(AXA12&lt;&gt;"",IF(AXS52&lt;&gt;"",IF(AWZ50=3,AXS52,AXS52+AWZ50),SUM(AXM12:AXR12)),"")</f>
        <v/>
      </c>
      <c r="AXT12" s="319" t="str">
        <f t="shared" ref="AXT12" ca="1" si="3461">IF(AXA12&lt;&gt;"",INDEX(AXA11:AXA15,MATCH(2,AXS11:AXS15,0),0),"")</f>
        <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Spain</v>
      </c>
      <c r="BAD12" s="319">
        <v>2</v>
      </c>
      <c r="BAE12" s="319">
        <v>10</v>
      </c>
      <c r="BAF12" s="319" t="str">
        <f t="shared" si="130"/>
        <v>Romania</v>
      </c>
      <c r="BAG12" s="322">
        <f ca="1">IF(OFFSET('Player Game Board'!P19,0,BAG1)&lt;&gt;"",OFFSET('Player Game Board'!P19,0,BAG1),0)</f>
        <v>2</v>
      </c>
      <c r="BAH12" s="322">
        <f ca="1">IF(OFFSET('Player Game Board'!Q19,0,BAG1)&lt;&gt;"",OFFSET('Player Game Board'!Q19,0,BAG1),0)</f>
        <v>1</v>
      </c>
      <c r="BAI12" s="319" t="str">
        <f t="shared" si="131"/>
        <v>Ukraine</v>
      </c>
      <c r="BAJ12" s="319" t="str">
        <f ca="1">IF(AND(OFFSET('Player Game Board'!P19,0,BAG1)&lt;&gt;"",OFFSET('Player Game Board'!Q19,0,BAG1)&lt;&gt;""),IF(BAG12&gt;BAH12,"W",IF(BAG12=BAH12,"D","L")),"")</f>
        <v>W</v>
      </c>
      <c r="BAK12" s="319" t="str">
        <f t="shared" ca="1" si="132"/>
        <v>L</v>
      </c>
      <c r="BAL12" s="319"/>
      <c r="BAM12" s="319"/>
      <c r="BAN12" s="323" t="s">
        <v>356</v>
      </c>
      <c r="BAO12" s="323"/>
      <c r="BAP12" s="323"/>
      <c r="BAQ12" s="323"/>
      <c r="BAR12" s="324" t="s">
        <v>357</v>
      </c>
      <c r="BAS12" s="324" t="s">
        <v>358</v>
      </c>
      <c r="BAT12" s="324" t="s">
        <v>359</v>
      </c>
      <c r="BAU12" s="324" t="s">
        <v>360</v>
      </c>
      <c r="BAV12" s="325"/>
      <c r="BAW12" s="324" t="str">
        <f t="shared" ref="BAW12" ca="1" si="3482">INDEX(BBB3:BBB8,MATCH(1,BBA3:BBA8,0),0)</f>
        <v>A</v>
      </c>
      <c r="BAX12" s="326" t="str">
        <f t="shared" ref="BAX12" ca="1" si="3483">INDEX(BBB3:BBB8,MATCH(2,BBA3:BBA8,0),0)</f>
        <v>B</v>
      </c>
      <c r="BAY12" s="326" t="str">
        <f t="shared" ref="BAY12" ca="1" si="3484">INDEX(BBB3:BBB8,MATCH(3,BBA3:BBA8,0),0)</f>
        <v>E</v>
      </c>
      <c r="BAZ12" s="326" t="str">
        <f t="shared" ref="BAZ12" ca="1" si="3485">INDEX(BBB3:BBB8,MATCH(4,BBA3:BBA8,0),0)</f>
        <v>F</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356</v>
      </c>
      <c r="BFM12" s="323"/>
      <c r="BFN12" s="323"/>
      <c r="BFO12" s="323"/>
      <c r="BFP12" s="324" t="s">
        <v>357</v>
      </c>
      <c r="BFQ12" s="324" t="s">
        <v>358</v>
      </c>
      <c r="BFR12" s="324" t="s">
        <v>359</v>
      </c>
      <c r="BFS12" s="324" t="s">
        <v>360</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105</v>
      </c>
      <c r="DI13" s="325" t="s">
        <v>106</v>
      </c>
      <c r="DJ13" s="325" t="s">
        <v>107</v>
      </c>
      <c r="DK13" s="325" t="s">
        <v>108</v>
      </c>
      <c r="DL13" s="324" t="s">
        <v>105</v>
      </c>
      <c r="DM13" s="324" t="s">
        <v>108</v>
      </c>
      <c r="DN13" s="324" t="s">
        <v>106</v>
      </c>
      <c r="DO13" s="324" t="s">
        <v>107</v>
      </c>
      <c r="DP13" s="325"/>
      <c r="DQ13" s="326">
        <f>IFERROR(MATCH(DQ12,DH13:DK13,0),0)</f>
        <v>3</v>
      </c>
      <c r="DR13" s="326">
        <f>IFERROR(MATCH(DR12,DH13:DK13,0),0)</f>
        <v>2</v>
      </c>
      <c r="DS13" s="326">
        <f>IFERROR(MATCH(DS12,DH13:DK13,0),0)</f>
        <v>1</v>
      </c>
      <c r="DT13" s="326">
        <f>IFERROR(MATCH(DT12,DH13:DK13,0),0)</f>
        <v>0</v>
      </c>
      <c r="DU13" s="326">
        <f t="shared" ref="DU13:DU27" si="3541">SUM(DQ13:DT13)</f>
        <v>6</v>
      </c>
      <c r="DV13" s="325"/>
      <c r="DW13" s="325" t="str">
        <f>INDEX(DH3:DH8,MATCH(1,DU3:DU8,0),0)</f>
        <v>Slovenia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6</v>
      </c>
      <c r="EE13" s="319">
        <f ca="1">SUMIF(IA3:IA60,DZ13,HY3:HY60)+SUMIF(HX3:HX60,DZ13,HZ3:HZ60)</f>
        <v>2</v>
      </c>
      <c r="EF13" s="319">
        <f t="shared" ca="1" si="2710"/>
        <v>1004</v>
      </c>
      <c r="EG13" s="319">
        <f t="shared" ca="1" si="2711"/>
        <v>7</v>
      </c>
      <c r="EH13" s="319">
        <f t="shared" si="609"/>
        <v>51</v>
      </c>
      <c r="EI13" s="319">
        <f ca="1">IF(COUNTIF(EG11:EG15,4)&lt;&gt;4,RANK(EG13,EG11:EG15),EG53)</f>
        <v>1</v>
      </c>
      <c r="EJ13" s="319"/>
      <c r="EK13" s="319">
        <f ca="1">SUMPRODUCT((EI11:EI14=EI13)*(EH11:EH14&lt;EH13))+EI13</f>
        <v>1</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2</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105</v>
      </c>
      <c r="IG13" s="325" t="s">
        <v>106</v>
      </c>
      <c r="IH13" s="325" t="s">
        <v>107</v>
      </c>
      <c r="II13" s="325" t="s">
        <v>108</v>
      </c>
      <c r="IJ13" s="324" t="s">
        <v>105</v>
      </c>
      <c r="IK13" s="324" t="s">
        <v>108</v>
      </c>
      <c r="IL13" s="324" t="s">
        <v>106</v>
      </c>
      <c r="IM13" s="324" t="s">
        <v>107</v>
      </c>
      <c r="IN13" s="325"/>
      <c r="IO13" s="326">
        <f ca="1">IFERROR(MATCH(IO12,IF13:II13,0),0)</f>
        <v>2</v>
      </c>
      <c r="IP13" s="326">
        <f ca="1">IFERROR(MATCH(IP12,IF13:II13,0),0)</f>
        <v>0</v>
      </c>
      <c r="IQ13" s="326">
        <f ca="1">IFERROR(MATCH(IQ12,IF13:II13,0),0)</f>
        <v>1</v>
      </c>
      <c r="IR13" s="326">
        <f ca="1">IFERROR(MATCH(IR12,IF13:II13,0),0)</f>
        <v>3</v>
      </c>
      <c r="IS13" s="326">
        <f t="shared" ref="IS13:IS27" ca="1" si="3544">SUM(IO13:IR13)</f>
        <v>6</v>
      </c>
      <c r="IT13" s="325"/>
      <c r="IU13" s="325" t="str">
        <f ca="1">INDEX(IF3:IF8,MATCH(1,IS3:IS8,0),0)</f>
        <v>Croatia</v>
      </c>
      <c r="IV13" s="325"/>
      <c r="IW13" s="319">
        <f ca="1">VLOOKUP(IX13,MS11:MT15,2,FALSE)</f>
        <v>1</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4</v>
      </c>
      <c r="JD13" s="319">
        <f t="shared" ca="1" si="2714"/>
        <v>1003</v>
      </c>
      <c r="JE13" s="319">
        <f t="shared" ca="1" si="2715"/>
        <v>5</v>
      </c>
      <c r="JF13" s="319">
        <f t="shared" si="618"/>
        <v>51</v>
      </c>
      <c r="JG13" s="319">
        <f ca="1">IF(COUNTIF(JE11:JE15,4)&lt;&gt;4,RANK(JE13,JE11:JE15),JE53)</f>
        <v>1</v>
      </c>
      <c r="JH13" s="319"/>
      <c r="JI13" s="319">
        <f ca="1">SUMPRODUCT((JG11:JG14=JG13)*(JF11:JF14&lt;JF13))+JG13</f>
        <v>3</v>
      </c>
      <c r="JJ13" s="319" t="str">
        <f ca="1">INDEX(IX11:IX15,MATCH(3,JI11:JI15,0),0)</f>
        <v>Spain</v>
      </c>
      <c r="JK13" s="319">
        <f ca="1">INDEX(JG11:JG15,MATCH(JJ13,IX11:IX15,0),0)</f>
        <v>1</v>
      </c>
      <c r="JL13" s="319" t="str">
        <f ca="1">IF(AND(JL12&lt;&gt;"",JK13=1),JJ13,"")</f>
        <v>Spain</v>
      </c>
      <c r="JM13" s="319" t="str">
        <f ca="1">IF(AND(JM12&lt;&gt;"",JK14=2),JJ14,"")</f>
        <v/>
      </c>
      <c r="JN13" s="319" t="str">
        <f ca="1">IF(AND(JN12&lt;&gt;"",JK15=3),JJ15,"")</f>
        <v/>
      </c>
      <c r="JO13" s="319"/>
      <c r="JP13" s="319"/>
      <c r="JQ13" s="319" t="str">
        <f t="shared" ca="1" si="3059"/>
        <v>Spain</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19">
        <f ca="1">JU13-JV13+1000</f>
        <v>1000</v>
      </c>
      <c r="JX13" s="319">
        <f t="shared" ca="1" si="2716"/>
        <v>2</v>
      </c>
      <c r="JY13" s="319">
        <f ca="1">IF(JQ13&lt;&gt;"",VLOOKUP(JQ13,IX4:JD40,7,FALSE),"")</f>
        <v>1003</v>
      </c>
      <c r="JZ13" s="319">
        <f ca="1">IF(JQ13&lt;&gt;"",VLOOKUP(JQ13,IX4:JD40,5,FALSE),"")</f>
        <v>7</v>
      </c>
      <c r="KA13" s="319">
        <f ca="1">IF(JQ13&lt;&gt;"",VLOOKUP(JQ13,IX4:JF40,9,FALSE),"")</f>
        <v>51</v>
      </c>
      <c r="KB13" s="319">
        <f t="shared" ca="1" si="2717"/>
        <v>2</v>
      </c>
      <c r="KC13" s="319">
        <f ca="1">IF(JQ13&lt;&gt;"",RANK(KB13,KB11:KB15),"")</f>
        <v>1</v>
      </c>
      <c r="KD13" s="319">
        <f ca="1">IF(JQ13&lt;&gt;"",SUMPRODUCT((KB11:KB15=KB13)*(JW11:JW15&gt;JW13)),"")</f>
        <v>0</v>
      </c>
      <c r="KE13" s="319">
        <f ca="1">IF(JQ13&lt;&gt;"",SUMPRODUCT((KB11:KB15=KB13)*(JW11:JW15=JW13)*(JU11:JU15&gt;JU13)),"")</f>
        <v>0</v>
      </c>
      <c r="KF13" s="319">
        <f ca="1">IF(JQ13&lt;&gt;"",SUMPRODUCT((KB11:KB15=KB13)*(JW11:JW15=JW13)*(JU11:JU15=JU13)*(JY11:JY15&gt;JY13)),"")</f>
        <v>0</v>
      </c>
      <c r="KG13" s="319">
        <f ca="1">IF(JQ13&lt;&gt;"",SUMPRODUCT((KB11:KB15=KB13)*(JW11:JW15=JW13)*(JU11:JU15=JU13)*(JY11:JY15=JY13)*(JZ11:JZ15&gt;JZ13)),"")</f>
        <v>0</v>
      </c>
      <c r="KH13" s="319">
        <f ca="1">IF(JQ13&lt;&gt;"",SUMPRODUCT((KB11:KB15=KB13)*(JW11:JW15=JW13)*(JU11:JU15=JU13)*(JY11:JY15=JY13)*(JZ11:JZ15=JZ13)*(KA11:KA15&gt;KA13)),"")</f>
        <v>0</v>
      </c>
      <c r="KI13" s="319">
        <f ca="1">IF(JQ13&lt;&gt;"",IF(KI53&lt;&gt;"",IF(JP50=3,KI53,KI53+JP50),SUM(KC13:KH13)),"")</f>
        <v>1</v>
      </c>
      <c r="KJ13" s="319" t="str">
        <f ca="1">IF(JQ13&lt;&gt;"",INDEX(JQ11:JQ15,MATCH(3,KI11:KI15,0),0),"")</f>
        <v>Italy</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0</v>
      </c>
      <c r="MY13" s="319" t="str">
        <f t="shared" si="171"/>
        <v>Georgia</v>
      </c>
      <c r="MZ13" s="319" t="str">
        <f ca="1">IF(AND(OFFSET('Player Game Board'!P20,0,MW1)&lt;&gt;"",OFFSET('Player Game Board'!Q20,0,MW1)&lt;&gt;""),IF(MW13&gt;MX13,"W",IF(MW13=MX13,"D","L")),"")</f>
        <v>W</v>
      </c>
      <c r="NA13" s="319" t="str">
        <f t="shared" ca="1" si="172"/>
        <v>L</v>
      </c>
      <c r="NB13" s="319"/>
      <c r="NC13" s="319"/>
      <c r="ND13" s="324" t="s">
        <v>105</v>
      </c>
      <c r="NE13" s="325" t="s">
        <v>106</v>
      </c>
      <c r="NF13" s="325" t="s">
        <v>107</v>
      </c>
      <c r="NG13" s="325" t="s">
        <v>108</v>
      </c>
      <c r="NH13" s="324" t="s">
        <v>105</v>
      </c>
      <c r="NI13" s="324" t="s">
        <v>108</v>
      </c>
      <c r="NJ13" s="324" t="s">
        <v>106</v>
      </c>
      <c r="NK13" s="324" t="s">
        <v>107</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7</v>
      </c>
      <c r="OA13" s="319">
        <f t="shared" ref="OA13" ca="1" si="3553">SUMIF(RW3:RW60,NV13,RU3:RU60)+SUMIF(RT3:RT60,NV13,RV3:RV60)</f>
        <v>4</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1</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1</v>
      </c>
      <c r="RW13" s="319" t="str">
        <f t="shared" si="19"/>
        <v>Georgia</v>
      </c>
      <c r="RX13" s="319" t="str">
        <f ca="1">IF(AND(OFFSET('Player Game Board'!P20,0,RU1)&lt;&gt;"",OFFSET('Player Game Board'!Q20,0,RU1)&lt;&gt;""),IF(RU13&gt;RV13,"W",IF(RU13=RV13,"D","L")),"")</f>
        <v>L</v>
      </c>
      <c r="RY13" s="319" t="str">
        <f t="shared" ca="1" si="20"/>
        <v>W</v>
      </c>
      <c r="RZ13" s="319"/>
      <c r="SA13" s="319"/>
      <c r="SB13" s="324" t="s">
        <v>105</v>
      </c>
      <c r="SC13" s="325" t="s">
        <v>106</v>
      </c>
      <c r="SD13" s="325" t="s">
        <v>107</v>
      </c>
      <c r="SE13" s="325" t="s">
        <v>108</v>
      </c>
      <c r="SF13" s="324" t="s">
        <v>105</v>
      </c>
      <c r="SG13" s="324" t="s">
        <v>108</v>
      </c>
      <c r="SH13" s="324" t="s">
        <v>106</v>
      </c>
      <c r="SI13" s="324" t="s">
        <v>107</v>
      </c>
      <c r="SJ13" s="325"/>
      <c r="SK13" s="326">
        <f t="shared" ref="SK13" ca="1" si="3612">IFERROR(MATCH(SK12,SB13:SE13,0),0)</f>
        <v>2</v>
      </c>
      <c r="SL13" s="326">
        <f t="shared" ref="SL13" ca="1" si="3613">IFERROR(MATCH(SL12,SB13:SE13,0),0)</f>
        <v>4</v>
      </c>
      <c r="SM13" s="326">
        <f t="shared" ref="SM13" ca="1" si="3614">IFERROR(MATCH(SM12,SB13:SE13,0),0)</f>
        <v>3</v>
      </c>
      <c r="SN13" s="326">
        <f t="shared" ref="SN13" ca="1" si="3615">IFERROR(MATCH(SN12,SB13:SE13,0),0)</f>
        <v>0</v>
      </c>
      <c r="SO13" s="326">
        <f t="shared" ref="SO13:SO27" ca="1" si="3616">SUM(SK13:SN13)</f>
        <v>9</v>
      </c>
      <c r="SP13" s="325"/>
      <c r="SQ13" s="325" t="str">
        <f t="shared" ref="SQ13" ca="1" si="3617">IF(SQ38="A",INDEX(SB3:SB8,MATCH(1,SO3:SO8,0),0),"")</f>
        <v>Croatia</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5</v>
      </c>
      <c r="SY13" s="319">
        <f t="shared" ref="SY13" ca="1" si="3623">SUMIF(WU3:WU60,ST13,WS3:WS60)+SUMIF(WR3:WR60,ST13,WT3:WT60)</f>
        <v>2</v>
      </c>
      <c r="SZ13" s="319">
        <f t="shared" ca="1" si="2762"/>
        <v>1003</v>
      </c>
      <c r="TA13" s="319">
        <f t="shared" ca="1" si="2763"/>
        <v>7</v>
      </c>
      <c r="TB13" s="319">
        <f t="shared" si="690"/>
        <v>51</v>
      </c>
      <c r="TC13" s="319">
        <f t="shared" ref="TC13" ca="1" si="3624">IF(COUNTIF(TA11:TA15,4)&lt;&gt;4,RANK(TA13,TA11:TA15),TA53)</f>
        <v>1</v>
      </c>
      <c r="TD13" s="319"/>
      <c r="TE13" s="319">
        <f t="shared" ref="TE13" ca="1" si="3625">SUMPRODUCT((TC11:TC14=TC13)*(TB11:TB14&lt;TB13))+TC13</f>
        <v>1</v>
      </c>
      <c r="TF13" s="319" t="str">
        <f t="shared" ref="TF13" ca="1" si="3626">INDEX(ST11:ST15,MATCH(3,TE11:TE15,0),0)</f>
        <v>Italy</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Italy</v>
      </c>
      <c r="WP13" s="319">
        <v>3</v>
      </c>
      <c r="WQ13" s="319">
        <v>11</v>
      </c>
      <c r="WR13" s="319" t="str">
        <f t="shared" si="34"/>
        <v>Türkiye</v>
      </c>
      <c r="WS13" s="322">
        <f ca="1">IF(OFFSET('Player Game Board'!P20,0,WS1)&lt;&gt;"",OFFSET('Player Game Board'!P20,0,WS1),0)</f>
        <v>1</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105</v>
      </c>
      <c r="XA13" s="325" t="s">
        <v>106</v>
      </c>
      <c r="XB13" s="325" t="s">
        <v>107</v>
      </c>
      <c r="XC13" s="325" t="s">
        <v>108</v>
      </c>
      <c r="XD13" s="324" t="s">
        <v>105</v>
      </c>
      <c r="XE13" s="324" t="s">
        <v>108</v>
      </c>
      <c r="XF13" s="324" t="s">
        <v>106</v>
      </c>
      <c r="XG13" s="324" t="s">
        <v>107</v>
      </c>
      <c r="XH13" s="325"/>
      <c r="XI13" s="326">
        <f t="shared" ref="XI13" ca="1" si="3682">IFERROR(MATCH(XI12,WZ13:XC13,0),0)</f>
        <v>2</v>
      </c>
      <c r="XJ13" s="326">
        <f t="shared" ref="XJ13" ca="1" si="3683">IFERROR(MATCH(XJ12,WZ13:XC13,0),0)</f>
        <v>0</v>
      </c>
      <c r="XK13" s="326">
        <f t="shared" ref="XK13" ca="1" si="3684">IFERROR(MATCH(XK12,WZ13:XC13,0),0)</f>
        <v>3</v>
      </c>
      <c r="XL13" s="326">
        <f t="shared" ref="XL13" ca="1" si="3685">IFERROR(MATCH(XL12,WZ13:XC13,0),0)</f>
        <v>4</v>
      </c>
      <c r="XM13" s="326">
        <f t="shared" ref="XM13:XM27" ca="1" si="3686">SUM(XI13:XL13)</f>
        <v>9</v>
      </c>
      <c r="XN13" s="325"/>
      <c r="XO13" s="325" t="str">
        <f t="shared" ref="XO13" ca="1" si="3687">IF(XO38="A",INDEX(WZ3:WZ8,MATCH(1,XM3:XM8,0),0),"")</f>
        <v>Italy</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105</v>
      </c>
      <c r="ABY13" s="325" t="s">
        <v>106</v>
      </c>
      <c r="ABZ13" s="325" t="s">
        <v>107</v>
      </c>
      <c r="ACA13" s="325" t="s">
        <v>108</v>
      </c>
      <c r="ACB13" s="324" t="s">
        <v>105</v>
      </c>
      <c r="ACC13" s="324" t="s">
        <v>108</v>
      </c>
      <c r="ACD13" s="324" t="s">
        <v>106</v>
      </c>
      <c r="ACE13" s="324" t="s">
        <v>107</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2</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0</v>
      </c>
      <c r="ACS13" s="319">
        <f t="shared" ref="ACS13" ca="1" si="3761">SUMPRODUCT((AGN3:AGN42=ACP13)*(AGR3:AGR42="L"))+SUMPRODUCT((AGQ3:AGQ42=ACP13)*(AGS3:AGS42="L"))</f>
        <v>1</v>
      </c>
      <c r="ACT13" s="319">
        <f t="shared" ref="ACT13" ca="1" si="3762">SUMIF(AGN3:AGN60,ACP13,AGO3:AGO60)+SUMIF(AGQ3:AGQ60,ACP13,AGP3:AGP60)</f>
        <v>4</v>
      </c>
      <c r="ACU13" s="319">
        <f t="shared" ref="ACU13" ca="1" si="3763">SUMIF(AGQ3:AGQ60,ACP13,AGO3:AGO60)+SUMIF(AGN3:AGN60,ACP13,AGP3:AGP60)</f>
        <v>3</v>
      </c>
      <c r="ACV13" s="319">
        <f t="shared" ca="1" si="2836"/>
        <v>1001</v>
      </c>
      <c r="ACW13" s="319">
        <f t="shared" ca="1" si="2837"/>
        <v>6</v>
      </c>
      <c r="ACX13" s="319">
        <f t="shared" si="810"/>
        <v>51</v>
      </c>
      <c r="ACY13" s="319">
        <f t="shared" ref="ACY13" ca="1" si="3764">IF(COUNTIF(ACW11:ACW15,4)&lt;&gt;4,RANK(ACW13,ACW11:ACW15),ACW53)</f>
        <v>2</v>
      </c>
      <c r="ACZ13" s="319"/>
      <c r="ADA13" s="319">
        <f t="shared" ref="ADA13" ca="1" si="3765">SUMPRODUCT((ACY11:ACY14=ACY13)*(ACX11:ACX14&lt;ACX13))+ACY13</f>
        <v>2</v>
      </c>
      <c r="ADB13" s="319" t="str">
        <f t="shared" ref="ADB13" ca="1" si="3766">INDEX(ACP11:ACP15,MATCH(3,ADA11:ADA15,0),0)</f>
        <v>Italy</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Italy</v>
      </c>
      <c r="AGL13" s="319">
        <v>3</v>
      </c>
      <c r="AGM13" s="319">
        <v>11</v>
      </c>
      <c r="AGN13" s="319" t="str">
        <f t="shared" si="66"/>
        <v>Türkiye</v>
      </c>
      <c r="AGO13" s="322">
        <f ca="1">IF(OFFSET('Player Game Board'!P20,0,AGO1)&lt;&gt;"",OFFSET('Player Game Board'!P20,0,AGO1),0)</f>
        <v>3</v>
      </c>
      <c r="AGP13" s="322">
        <f ca="1">IF(OFFSET('Player Game Board'!Q20,0,AGO1)&lt;&gt;"",OFFSET('Player Game Board'!Q20,0,AGO1),0)</f>
        <v>0</v>
      </c>
      <c r="AGQ13" s="319" t="str">
        <f t="shared" si="67"/>
        <v>Georgia</v>
      </c>
      <c r="AGR13" s="319" t="str">
        <f ca="1">IF(AND(OFFSET('Player Game Board'!P20,0,AGO1)&lt;&gt;"",OFFSET('Player Game Board'!Q20,0,AGO1)&lt;&gt;""),IF(AGO13&gt;AGP13,"W",IF(AGO13=AGP13,"D","L")),"")</f>
        <v>W</v>
      </c>
      <c r="AGS13" s="319" t="str">
        <f t="shared" ca="1" si="68"/>
        <v>L</v>
      </c>
      <c r="AGT13" s="319"/>
      <c r="AGU13" s="319"/>
      <c r="AGV13" s="324" t="s">
        <v>105</v>
      </c>
      <c r="AGW13" s="325" t="s">
        <v>106</v>
      </c>
      <c r="AGX13" s="325" t="s">
        <v>107</v>
      </c>
      <c r="AGY13" s="325" t="s">
        <v>108</v>
      </c>
      <c r="AGZ13" s="324" t="s">
        <v>105</v>
      </c>
      <c r="AHA13" s="324" t="s">
        <v>108</v>
      </c>
      <c r="AHB13" s="324" t="s">
        <v>106</v>
      </c>
      <c r="AHC13" s="324" t="s">
        <v>107</v>
      </c>
      <c r="AHD13" s="325"/>
      <c r="AHE13" s="326">
        <f t="shared" ref="AHE13" ca="1" si="3822">IFERROR(MATCH(AHE12,AGV13:AGY13,0),0)</f>
        <v>2</v>
      </c>
      <c r="AHF13" s="326">
        <f t="shared" ref="AHF13" ca="1" si="3823">IFERROR(MATCH(AHF12,AGV13:AGY13,0),0)</f>
        <v>3</v>
      </c>
      <c r="AHG13" s="326">
        <f t="shared" ref="AHG13" ca="1" si="3824">IFERROR(MATCH(AHG12,AGV13:AGY13,0),0)</f>
        <v>4</v>
      </c>
      <c r="AHH13" s="326">
        <f t="shared" ref="AHH13" ca="1" si="3825">IFERROR(MATCH(AHH12,AGV13:AGY13,0),0)</f>
        <v>0</v>
      </c>
      <c r="AHI13" s="326">
        <f t="shared" ref="AHI13:AHI27" ca="1" si="3826">SUM(AHE13:AHH13)</f>
        <v>9</v>
      </c>
      <c r="AHJ13" s="325"/>
      <c r="AHK13" s="325" t="str">
        <f t="shared" ref="AHK13" ca="1" si="3827">IF(AHK38="A",INDEX(AGV3:AGV8,MATCH(1,AHI3:AHI8,0),0),"")</f>
        <v>Italy</v>
      </c>
      <c r="AHL13" s="325"/>
      <c r="AHM13" s="319">
        <f t="shared" ref="AHM13" ca="1" si="3828">VLOOKUP(AHN13,ALI11:ALJ15,2,FALSE)</f>
        <v>2</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6</v>
      </c>
      <c r="AHS13" s="319">
        <f t="shared" ref="AHS13" ca="1" si="3833">SUMIF(ALO3:ALO60,AHN13,ALM3:ALM60)+SUMIF(ALL3:ALL60,AHN13,ALN3:ALN60)</f>
        <v>3</v>
      </c>
      <c r="AHT13" s="319">
        <f t="shared" ca="1" si="2873"/>
        <v>1003</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2</v>
      </c>
      <c r="AHZ13" s="319" t="str">
        <f t="shared" ref="AHZ13" ca="1" si="3836">INDEX(AHN11:AHN15,MATCH(3,AHY11:AHY15,0),0)</f>
        <v>Croatia</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1</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105</v>
      </c>
      <c r="ALU13" s="325" t="s">
        <v>106</v>
      </c>
      <c r="ALV13" s="325" t="s">
        <v>107</v>
      </c>
      <c r="ALW13" s="325" t="s">
        <v>108</v>
      </c>
      <c r="ALX13" s="324" t="s">
        <v>105</v>
      </c>
      <c r="ALY13" s="324" t="s">
        <v>108</v>
      </c>
      <c r="ALZ13" s="324" t="s">
        <v>106</v>
      </c>
      <c r="AMA13" s="324" t="s">
        <v>107</v>
      </c>
      <c r="AMB13" s="325"/>
      <c r="AMC13" s="326">
        <f t="shared" ref="AMC13" ca="1" si="3892">IFERROR(MATCH(AMC12,ALT13:ALW13,0),0)</f>
        <v>0</v>
      </c>
      <c r="AMD13" s="326">
        <f t="shared" ref="AMD13" ca="1" si="3893">IFERROR(MATCH(AMD12,ALT13:ALW13,0),0)</f>
        <v>2</v>
      </c>
      <c r="AME13" s="326">
        <f t="shared" ref="AME13" ca="1" si="3894">IFERROR(MATCH(AME12,ALT13:ALW13,0),0)</f>
        <v>4</v>
      </c>
      <c r="AMF13" s="326">
        <f t="shared" ref="AMF13" ca="1" si="3895">IFERROR(MATCH(AMF12,ALT13:ALW13,0),0)</f>
        <v>3</v>
      </c>
      <c r="AMG13" s="326">
        <f t="shared" ref="AMG13:AMG27" ca="1" si="3896">SUM(AMC13:AMF13)</f>
        <v>9</v>
      </c>
      <c r="AMH13" s="325"/>
      <c r="AMI13" s="325" t="str">
        <f t="shared" ref="AMI13" ca="1" si="3897">IF(AMI38="A",INDEX(ALT3:ALT8,MATCH(1,AMG3:AMG8,0),0),"")</f>
        <v>Slovakia</v>
      </c>
      <c r="AMJ13" s="325"/>
      <c r="AMK13" s="319">
        <f t="shared" ref="AMK13" ca="1" si="3898">VLOOKUP(AML13,AQG11:AQH15,2,FALSE)</f>
        <v>1</v>
      </c>
      <c r="AML13" s="319" t="str">
        <f t="shared" si="2904"/>
        <v>Spain</v>
      </c>
      <c r="AMM13" s="319">
        <f t="shared" ref="AMM13" ca="1" si="3899">SUMPRODUCT((AQJ3:AQJ42=AML13)*(AQN3:AQN42="W"))+SUMPRODUCT((AQM3:AQM42=AML13)*(AQO3:AQO42="W"))</f>
        <v>3</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8</v>
      </c>
      <c r="AMQ13" s="319">
        <f t="shared" ref="AMQ13" ca="1" si="3903">SUMIF(AQM3:AQM60,AML13,AQK3:AQK60)+SUMIF(AQJ3:AQJ60,AML13,AQL3:AQL60)</f>
        <v>1</v>
      </c>
      <c r="AMR13" s="319">
        <f t="shared" ca="1" si="2910"/>
        <v>1007</v>
      </c>
      <c r="AMS13" s="319">
        <f t="shared" ca="1" si="2911"/>
        <v>9</v>
      </c>
      <c r="AMT13" s="319">
        <f t="shared" si="930"/>
        <v>51</v>
      </c>
      <c r="AMU13" s="319">
        <f t="shared" ref="AMU13" ca="1" si="3904">IF(COUNTIF(AMS11:AMS15,4)&lt;&gt;4,RANK(AMS13,AMS11:AMS15),AMS53)</f>
        <v>1</v>
      </c>
      <c r="AMV13" s="319"/>
      <c r="AMW13" s="319">
        <f t="shared" ref="AMW13" ca="1" si="3905">SUMPRODUCT((AMU11:AMU14=AMU13)*(AMT11:AMT14&lt;AMT13))+AMU13</f>
        <v>1</v>
      </c>
      <c r="AMX13" s="319" t="str">
        <f t="shared" ref="AMX13" ca="1" si="3906">INDEX(AML11:AML15,MATCH(3,AMW11:AMW15,0),0)</f>
        <v>Croatia</v>
      </c>
      <c r="AMY13" s="319">
        <f t="shared" ref="AMY13" ca="1" si="3907">INDEX(AMU11:AMU15,MATCH(AMX13,AML11:AML15,0),0)</f>
        <v>2</v>
      </c>
      <c r="AMZ13" s="319" t="str">
        <f t="shared" ref="AMZ13:AMZ14" ca="1" si="3908">IF(AND(AMZ12&lt;&gt;"",AMY13=1),AMX13,"")</f>
        <v/>
      </c>
      <c r="ANA13" s="319" t="str">
        <f t="shared" ref="ANA13:ANA14" ca="1" si="3909">IF(AND(ANA12&lt;&gt;"",AMY14=2),AMX14,"")</f>
        <v/>
      </c>
      <c r="ANB13" s="319" t="str">
        <f t="shared" ref="ANB13" ca="1" si="3910">IF(AND(ANB12&lt;&gt;"",AMY15=3),AMX15,"")</f>
        <v/>
      </c>
      <c r="ANC13" s="319"/>
      <c r="AND13" s="319"/>
      <c r="ANE13" s="319" t="str">
        <f t="shared" ca="1" si="2920"/>
        <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t="str">
        <f t="shared" ca="1" si="2927"/>
        <v/>
      </c>
      <c r="ANM13" s="319" t="str">
        <f t="shared" ref="ANM13" ca="1" si="3916">IF(ANE13&lt;&gt;"",VLOOKUP(ANE13,AML4:AMR40,7,FALSE),"")</f>
        <v/>
      </c>
      <c r="ANN13" s="319" t="str">
        <f t="shared" ref="ANN13" ca="1" si="3917">IF(ANE13&lt;&gt;"",VLOOKUP(ANE13,AML4:AMR40,5,FALSE),"")</f>
        <v/>
      </c>
      <c r="ANO13" s="319" t="str">
        <f t="shared" ref="ANO13" ca="1" si="3918">IF(ANE13&lt;&gt;"",VLOOKUP(ANE13,AML4:AMT40,9,FALSE),"")</f>
        <v/>
      </c>
      <c r="ANP13" s="319" t="str">
        <f t="shared" ca="1" si="2931"/>
        <v/>
      </c>
      <c r="ANQ13" s="319" t="str">
        <f t="shared" ref="ANQ13" ca="1" si="3919">IF(ANE13&lt;&gt;"",RANK(ANP13,ANP11:ANP15),"")</f>
        <v/>
      </c>
      <c r="ANR13" s="319" t="str">
        <f t="shared" ref="ANR13" ca="1" si="3920">IF(ANE13&lt;&gt;"",SUMPRODUCT((ANP11:ANP15=ANP13)*(ANK11:ANK15&gt;ANK13)),"")</f>
        <v/>
      </c>
      <c r="ANS13" s="319" t="str">
        <f t="shared" ref="ANS13" ca="1" si="3921">IF(ANE13&lt;&gt;"",SUMPRODUCT((ANP11:ANP15=ANP13)*(ANK11:ANK15=ANK13)*(ANI11:ANI15&gt;ANI13)),"")</f>
        <v/>
      </c>
      <c r="ANT13" s="319" t="str">
        <f t="shared" ref="ANT13" ca="1" si="3922">IF(ANE13&lt;&gt;"",SUMPRODUCT((ANP11:ANP15=ANP13)*(ANK11:ANK15=ANK13)*(ANI11:ANI15=ANI13)*(ANM11:ANM15&gt;ANM13)),"")</f>
        <v/>
      </c>
      <c r="ANU13" s="319" t="str">
        <f t="shared" ref="ANU13" ca="1" si="3923">IF(ANE13&lt;&gt;"",SUMPRODUCT((ANP11:ANP15=ANP13)*(ANK11:ANK15=ANK13)*(ANI11:ANI15=ANI13)*(ANM11:ANM15=ANM13)*(ANN11:ANN15&gt;ANN13)),"")</f>
        <v/>
      </c>
      <c r="ANV13" s="319" t="str">
        <f t="shared" ref="ANV13" ca="1" si="3924">IF(ANE13&lt;&gt;"",SUMPRODUCT((ANP11:ANP15=ANP13)*(ANK11:ANK15=ANK13)*(ANI11:ANI15=ANI13)*(ANM11:ANM15=ANM13)*(ANN11:ANN15=ANN13)*(ANO11:ANO15&gt;ANO13)),"")</f>
        <v/>
      </c>
      <c r="ANW13" s="319" t="str">
        <f ca="1">IF(ANE13&lt;&gt;"",IF(ANW53&lt;&gt;"",IF(AND50=3,ANW53,ANW53+AND50),SUM(ANQ13:ANV13)),"")</f>
        <v/>
      </c>
      <c r="ANX13" s="319" t="str">
        <f t="shared" ref="ANX13" ca="1" si="3925">IF(ANE13&lt;&gt;"",INDEX(ANE11:ANE15,MATCH(3,ANW11:ANW15,0),0),"")</f>
        <v/>
      </c>
      <c r="ANY13" s="319" t="str">
        <f t="shared" ca="1" si="3356"/>
        <v>Croatia</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19">
        <f t="shared" ca="1" si="3362"/>
        <v>1000</v>
      </c>
      <c r="AOF13" s="319">
        <f t="shared" ca="1" si="3363"/>
        <v>1</v>
      </c>
      <c r="AOG13" s="319">
        <f t="shared" ref="AOG13" ca="1" si="3931">IF(ANY13&lt;&gt;"",VLOOKUP(ANY13,AML4:AMR40,7,FALSE),"")</f>
        <v>1000</v>
      </c>
      <c r="AOH13" s="319">
        <f t="shared" ref="AOH13" ca="1" si="3932">IF(ANY13&lt;&gt;"",VLOOKUP(ANY13,AML4:AMR40,5,FALSE),"")</f>
        <v>3</v>
      </c>
      <c r="AOI13" s="319">
        <f t="shared" ref="AOI13" ca="1" si="3933">IF(ANY13&lt;&gt;"",VLOOKUP(ANY13,AML4:AMT40,9,FALSE),"")</f>
        <v>40</v>
      </c>
      <c r="AOJ13" s="319">
        <f t="shared" ca="1" si="3367"/>
        <v>1</v>
      </c>
      <c r="AOK13" s="319">
        <f t="shared" ref="AOK13" ca="1" si="3934">IF(ANY13&lt;&gt;"",RANK(AOJ13,AOJ11:AOJ15),"")</f>
        <v>1</v>
      </c>
      <c r="AOL13" s="319">
        <f t="shared" ref="AOL13" ca="1" si="3935">IF(ANY13&lt;&gt;"",SUMPRODUCT((AOJ11:AOJ15=AOJ13)*(AOE11:AOE15&gt;AOE13)),"")</f>
        <v>0</v>
      </c>
      <c r="AOM13" s="319">
        <f t="shared" ref="AOM13" ca="1" si="3936">IF(ANY13&lt;&gt;"",SUMPRODUCT((AOJ11:AOJ15=AOJ13)*(AOE11:AOE15=AOE13)*(AOC11:AOC15&gt;AOC13)),"")</f>
        <v>0</v>
      </c>
      <c r="AON13" s="319">
        <f t="shared" ref="AON13" ca="1" si="3937">IF(ANY13&lt;&gt;"",SUMPRODUCT((AOJ11:AOJ15=AOJ13)*(AOE11:AOE15=AOE13)*(AOC11:AOC15=AOC13)*(AOG11:AOG15&gt;AOG13)),"")</f>
        <v>1</v>
      </c>
      <c r="AOO13" s="319">
        <f t="shared" ref="AOO13" ca="1" si="3938">IF(ANY13&lt;&gt;"",SUMPRODUCT((AOJ11:AOJ15=AOJ13)*(AOE11:AOE15=AOE13)*(AOC11:AOC15=AOC13)*(AOG11:AOG15=AOG13)*(AOH11:AOH15&gt;AOH13)),"")</f>
        <v>0</v>
      </c>
      <c r="AOP13" s="319">
        <f t="shared" ref="AOP13" ca="1" si="3939">IF(ANY13&lt;&gt;"",SUMPRODUCT((AOJ11:AOJ15=AOJ13)*(AOE11:AOE15=AOE13)*(AOC11:AOC15=AOC13)*(AOG11:AOG15=AOG13)*(AOH11:AOH15=AOH13)*(AOI11:AOI15&gt;AOI13)),"")</f>
        <v>0</v>
      </c>
      <c r="AOQ13" s="319">
        <f ca="1">IF(ANY13&lt;&gt;"",IF(AOQ53&lt;&gt;"",IF(ANX50=3,AOQ53,AOQ53+ANX50),SUM(AOK13:AOP13)+1),"")</f>
        <v>3</v>
      </c>
      <c r="AOR13" s="319" t="str">
        <f t="shared" ref="AOR13" ca="1" si="3940">IF(ANY13&lt;&gt;"",INDEX(ANY12:ANY15,MATCH(3,AOQ12:AOQ15,0),0),"")</f>
        <v>Croatia</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D</v>
      </c>
      <c r="AQO13" s="319" t="str">
        <f t="shared" ca="1" si="100"/>
        <v>D</v>
      </c>
      <c r="AQP13" s="319"/>
      <c r="AQQ13" s="319"/>
      <c r="AQR13" s="324" t="s">
        <v>105</v>
      </c>
      <c r="AQS13" s="325" t="s">
        <v>106</v>
      </c>
      <c r="AQT13" s="325" t="s">
        <v>107</v>
      </c>
      <c r="AQU13" s="325" t="s">
        <v>108</v>
      </c>
      <c r="AQV13" s="324" t="s">
        <v>105</v>
      </c>
      <c r="AQW13" s="324" t="s">
        <v>108</v>
      </c>
      <c r="AQX13" s="324" t="s">
        <v>106</v>
      </c>
      <c r="AQY13" s="324" t="s">
        <v>107</v>
      </c>
      <c r="AQZ13" s="325"/>
      <c r="ARA13" s="326">
        <f t="shared" ref="ARA13" ca="1" si="3962">IFERROR(MATCH(ARA12,AQR13:AQU13,0),0)</f>
        <v>2</v>
      </c>
      <c r="ARB13" s="326">
        <f t="shared" ref="ARB13" ca="1" si="3963">IFERROR(MATCH(ARB12,AQR13:AQU13,0),0)</f>
        <v>1</v>
      </c>
      <c r="ARC13" s="326">
        <f t="shared" ref="ARC13" ca="1" si="3964">IFERROR(MATCH(ARC12,AQR13:AQU13,0),0)</f>
        <v>0</v>
      </c>
      <c r="ARD13" s="326">
        <f t="shared" ref="ARD13" ca="1" si="3965">IFERROR(MATCH(ARD12,AQR13:AQU13,0),0)</f>
        <v>0</v>
      </c>
      <c r="ARE13" s="326">
        <f t="shared" ref="ARE13:ARE27" ca="1" si="3966">SUM(ARA13:ARD13)</f>
        <v>3</v>
      </c>
      <c r="ARF13" s="325"/>
      <c r="ARG13" s="325" t="str">
        <f t="shared" ref="ARG13" ca="1" si="3967">IF(ARG38="A",INDEX(AQR3:AQR8,MATCH(1,ARE3:ARE8,0),0),"")</f>
        <v>Croatia</v>
      </c>
      <c r="ARH13" s="325"/>
      <c r="ARI13" s="319">
        <f t="shared" ref="ARI13" ca="1" si="3968">VLOOKUP(ARJ13,AVE11:AVF15,2,FALSE)</f>
        <v>2</v>
      </c>
      <c r="ARJ13" s="319" t="str">
        <f t="shared" si="2941"/>
        <v>Spain</v>
      </c>
      <c r="ARK13" s="319">
        <f t="shared" ref="ARK13" ca="1" si="3969">SUMPRODUCT((AVH3:AVH42=ARJ13)*(AVL3:AVL42="W"))+SUMPRODUCT((AVK3:AVK42=ARJ13)*(AVM3:AVM42="W"))</f>
        <v>1</v>
      </c>
      <c r="ARL13" s="319">
        <f t="shared" ref="ARL13" ca="1" si="3970">SUMPRODUCT((AVH3:AVH42=ARJ13)*(AVL3:AVL42="D"))+SUMPRODUCT((AVK3:AVK42=ARJ13)*(AVM3:AVM42="D"))</f>
        <v>2</v>
      </c>
      <c r="ARM13" s="319">
        <f t="shared" ref="ARM13" ca="1" si="3971">SUMPRODUCT((AVH3:AVH42=ARJ13)*(AVL3:AVL42="L"))+SUMPRODUCT((AVK3:AVK42=ARJ13)*(AVM3:AVM42="L"))</f>
        <v>0</v>
      </c>
      <c r="ARN13" s="319">
        <f t="shared" ref="ARN13" ca="1" si="3972">SUMIF(AVH3:AVH60,ARJ13,AVI3:AVI60)+SUMIF(AVK3:AVK60,ARJ13,AVJ3:AVJ60)</f>
        <v>5</v>
      </c>
      <c r="ARO13" s="319">
        <f t="shared" ref="ARO13" ca="1" si="3973">SUMIF(AVK3:AVK60,ARJ13,AVI3:AVI60)+SUMIF(AVH3:AVH60,ARJ13,AVJ3:AVJ60)</f>
        <v>4</v>
      </c>
      <c r="ARP13" s="319">
        <f t="shared" ca="1" si="2947"/>
        <v>1001</v>
      </c>
      <c r="ARQ13" s="319">
        <f t="shared" ca="1" si="2948"/>
        <v>5</v>
      </c>
      <c r="ARR13" s="319">
        <f t="shared" si="990"/>
        <v>51</v>
      </c>
      <c r="ARS13" s="319">
        <f t="shared" ref="ARS13" ca="1" si="3974">IF(COUNTIF(ARQ11:ARQ15,4)&lt;&gt;4,RANK(ARQ13,ARQ11:ARQ15),ARQ53)</f>
        <v>1</v>
      </c>
      <c r="ART13" s="319"/>
      <c r="ARU13" s="319">
        <f t="shared" ref="ARU13" ca="1" si="3975">SUMPRODUCT((ARS11:ARS14=ARS13)*(ARR11:ARR14&lt;ARR13))+ARS13</f>
        <v>2</v>
      </c>
      <c r="ARV13" s="319" t="str">
        <f t="shared" ref="ARV13" ca="1" si="3976">INDEX(ARJ11:ARJ15,MATCH(3,ARU11:ARU15,0),0)</f>
        <v>Croatia</v>
      </c>
      <c r="ARW13" s="319">
        <f t="shared" ref="ARW13" ca="1" si="3977">INDEX(ARS11:ARS15,MATCH(ARV13,ARJ11:ARJ15,0),0)</f>
        <v>3</v>
      </c>
      <c r="ARX13" s="319" t="str">
        <f t="shared" ref="ARX13:ARX14" ca="1" si="3978">IF(AND(ARX12&lt;&gt;"",ARW13=1),ARV13,"")</f>
        <v/>
      </c>
      <c r="ARY13" s="319" t="str">
        <f t="shared" ref="ARY13:ARY14" ca="1" si="3979">IF(AND(ARY12&lt;&gt;"",ARW14=2),ARV14,"")</f>
        <v/>
      </c>
      <c r="ARZ13" s="319" t="str">
        <f t="shared" ref="ARZ13" ca="1" si="3980">IF(AND(ARZ12&lt;&gt;"",ARW15=3),ARV15,"")</f>
        <v/>
      </c>
      <c r="ASA13" s="319"/>
      <c r="ASB13" s="319"/>
      <c r="ASC13" s="319" t="str">
        <f t="shared" ca="1" si="2957"/>
        <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t="str">
        <f t="shared" ca="1" si="2964"/>
        <v/>
      </c>
      <c r="ASK13" s="319" t="str">
        <f t="shared" ref="ASK13" ca="1" si="3986">IF(ASC13&lt;&gt;"",VLOOKUP(ASC13,ARJ4:ARP40,7,FALSE),"")</f>
        <v/>
      </c>
      <c r="ASL13" s="319" t="str">
        <f t="shared" ref="ASL13" ca="1" si="3987">IF(ASC13&lt;&gt;"",VLOOKUP(ASC13,ARJ4:ARP40,5,FALSE),"")</f>
        <v/>
      </c>
      <c r="ASM13" s="319" t="str">
        <f t="shared" ref="ASM13" ca="1" si="3988">IF(ASC13&lt;&gt;"",VLOOKUP(ASC13,ARJ4:ARR40,9,FALSE),"")</f>
        <v/>
      </c>
      <c r="ASN13" s="319" t="str">
        <f t="shared" ca="1" si="2968"/>
        <v/>
      </c>
      <c r="ASO13" s="319" t="str">
        <f t="shared" ref="ASO13" ca="1" si="3989">IF(ASC13&lt;&gt;"",RANK(ASN13,ASN11:ASN15),"")</f>
        <v/>
      </c>
      <c r="ASP13" s="319" t="str">
        <f t="shared" ref="ASP13" ca="1" si="3990">IF(ASC13&lt;&gt;"",SUMPRODUCT((ASN11:ASN15=ASN13)*(ASI11:ASI15&gt;ASI13)),"")</f>
        <v/>
      </c>
      <c r="ASQ13" s="319" t="str">
        <f t="shared" ref="ASQ13" ca="1" si="3991">IF(ASC13&lt;&gt;"",SUMPRODUCT((ASN11:ASN15=ASN13)*(ASI11:ASI15=ASI13)*(ASG11:ASG15&gt;ASG13)),"")</f>
        <v/>
      </c>
      <c r="ASR13" s="319" t="str">
        <f t="shared" ref="ASR13" ca="1" si="3992">IF(ASC13&lt;&gt;"",SUMPRODUCT((ASN11:ASN15=ASN13)*(ASI11:ASI15=ASI13)*(ASG11:ASG15=ASG13)*(ASK11:ASK15&gt;ASK13)),"")</f>
        <v/>
      </c>
      <c r="ASS13" s="319" t="str">
        <f t="shared" ref="ASS13" ca="1" si="3993">IF(ASC13&lt;&gt;"",SUMPRODUCT((ASN11:ASN15=ASN13)*(ASI11:ASI15=ASI13)*(ASG11:ASG15=ASG13)*(ASK11:ASK15=ASK13)*(ASL11:ASL15&gt;ASL13)),"")</f>
        <v/>
      </c>
      <c r="AST13" s="319" t="str">
        <f t="shared" ref="AST13" ca="1" si="3994">IF(ASC13&lt;&gt;"",SUMPRODUCT((ASN11:ASN15=ASN13)*(ASI11:ASI15=ASI13)*(ASG11:ASG15=ASG13)*(ASK11:ASK15=ASK13)*(ASL11:ASL15=ASL13)*(ASM11:ASM15&gt;ASM13)),"")</f>
        <v/>
      </c>
      <c r="ASU13" s="319" t="str">
        <f ca="1">IF(ASC13&lt;&gt;"",IF(ASU53&lt;&gt;"",IF(ASB50=3,ASU53,ASU53+ASB50),SUM(ASO13:AST13)),"")</f>
        <v/>
      </c>
      <c r="ASV13" s="319" t="str">
        <f t="shared" ref="ASV13" ca="1" si="3995">IF(ASC13&lt;&gt;"",INDEX(ASC11:ASC15,MATCH(3,ASU11:ASU15,0),0),"")</f>
        <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2</v>
      </c>
      <c r="AVJ13" s="322">
        <f ca="1">IF(OFFSET('Player Game Board'!Q20,0,AVI1)&lt;&gt;"",OFFSET('Player Game Board'!Q20,0,AVI1),0)</f>
        <v>1</v>
      </c>
      <c r="AVK13" s="319" t="str">
        <f t="shared" si="115"/>
        <v>Georgia</v>
      </c>
      <c r="AVL13" s="319" t="str">
        <f ca="1">IF(AND(OFFSET('Player Game Board'!P20,0,AVI1)&lt;&gt;"",OFFSET('Player Game Board'!Q20,0,AVI1)&lt;&gt;""),IF(AVI13&gt;AVJ13,"W",IF(AVI13=AVJ13,"D","L")),"")</f>
        <v>W</v>
      </c>
      <c r="AVM13" s="319" t="str">
        <f t="shared" ca="1" si="116"/>
        <v>L</v>
      </c>
      <c r="AVN13" s="319"/>
      <c r="AVO13" s="319"/>
      <c r="AVP13" s="324" t="s">
        <v>105</v>
      </c>
      <c r="AVQ13" s="325" t="s">
        <v>106</v>
      </c>
      <c r="AVR13" s="325" t="s">
        <v>107</v>
      </c>
      <c r="AVS13" s="325" t="s">
        <v>108</v>
      </c>
      <c r="AVT13" s="324" t="s">
        <v>105</v>
      </c>
      <c r="AVU13" s="324" t="s">
        <v>108</v>
      </c>
      <c r="AVV13" s="324" t="s">
        <v>106</v>
      </c>
      <c r="AVW13" s="324" t="s">
        <v>107</v>
      </c>
      <c r="AVX13" s="325"/>
      <c r="AVY13" s="326">
        <f t="shared" ref="AVY13" ca="1" si="4032">IFERROR(MATCH(AVY12,AVP13:AVS13,0),0)</f>
        <v>2</v>
      </c>
      <c r="AVZ13" s="326">
        <f t="shared" ref="AVZ13" ca="1" si="4033">IFERROR(MATCH(AVZ12,AVP13:AVS13,0),0)</f>
        <v>0</v>
      </c>
      <c r="AWA13" s="326">
        <f t="shared" ref="AWA13" ca="1" si="4034">IFERROR(MATCH(AWA12,AVP13:AVS13,0),0)</f>
        <v>1</v>
      </c>
      <c r="AWB13" s="326">
        <f t="shared" ref="AWB13" ca="1" si="4035">IFERROR(MATCH(AWB12,AVP13:AVS13,0),0)</f>
        <v>3</v>
      </c>
      <c r="AWC13" s="326">
        <f t="shared" ref="AWC13:AWC27" ca="1" si="4036">SUM(AVY13:AWB13)</f>
        <v>6</v>
      </c>
      <c r="AWD13" s="325"/>
      <c r="AWE13" s="325" t="str">
        <f t="shared" ref="AWE13" ca="1" si="4037">IF(AWE38="A",INDEX(AVP3:AVP8,MATCH(1,AWC3:AWC8,0),0),"")</f>
        <v>Croatia</v>
      </c>
      <c r="AWF13" s="325"/>
      <c r="AWG13" s="319">
        <f t="shared" ref="AWG13" ca="1" si="4038">VLOOKUP(AWH13,BAC11:BAD15,2,FALSE)</f>
        <v>2</v>
      </c>
      <c r="AWH13" s="319" t="str">
        <f t="shared" si="2978"/>
        <v>Spain</v>
      </c>
      <c r="AWI13" s="319">
        <f t="shared" ref="AWI13" ca="1" si="4039">SUMPRODUCT((BAF3:BAF42=AWH13)*(BAJ3:BAJ42="W"))+SUMPRODUCT((BAI3:BAI42=AWH13)*(BAK3:BAK42="W"))</f>
        <v>2</v>
      </c>
      <c r="AWJ13" s="319">
        <f t="shared" ref="AWJ13" ca="1" si="4040">SUMPRODUCT((BAF3:BAF42=AWH13)*(BAJ3:BAJ42="D"))+SUMPRODUCT((BAI3:BAI42=AWH13)*(BAK3:BAK42="D"))</f>
        <v>0</v>
      </c>
      <c r="AWK13" s="319">
        <f t="shared" ref="AWK13" ca="1" si="4041">SUMPRODUCT((BAF3:BAF42=AWH13)*(BAJ3:BAJ42="L"))+SUMPRODUCT((BAI3:BAI42=AWH13)*(BAK3:BAK42="L"))</f>
        <v>1</v>
      </c>
      <c r="AWL13" s="319">
        <f t="shared" ref="AWL13" ca="1" si="4042">SUMIF(BAF3:BAF60,AWH13,BAG3:BAG60)+SUMIF(BAI3:BAI60,AWH13,BAH3:BAH60)</f>
        <v>7</v>
      </c>
      <c r="AWM13" s="319">
        <f t="shared" ref="AWM13" ca="1" si="4043">SUMIF(BAI3:BAI60,AWH13,BAG3:BAG60)+SUMIF(BAF3:BAF60,AWH13,BAH3:BAH60)</f>
        <v>5</v>
      </c>
      <c r="AWN13" s="319">
        <f t="shared" ca="1" si="2984"/>
        <v>1002</v>
      </c>
      <c r="AWO13" s="319">
        <f t="shared" ca="1" si="2985"/>
        <v>6</v>
      </c>
      <c r="AWP13" s="319">
        <f t="shared" si="1050"/>
        <v>51</v>
      </c>
      <c r="AWQ13" s="319">
        <f t="shared" ref="AWQ13" ca="1" si="4044">IF(COUNTIF(AWO11:AWO15,4)&lt;&gt;4,RANK(AWO13,AWO11:AWO15),AWO53)</f>
        <v>2</v>
      </c>
      <c r="AWR13" s="319"/>
      <c r="AWS13" s="319">
        <f t="shared" ref="AWS13" ca="1" si="4045">SUMPRODUCT((AWQ11:AWQ14=AWQ13)*(AWP11:AWP14&lt;AWP13))+AWQ13</f>
        <v>2</v>
      </c>
      <c r="AWT13" s="319" t="str">
        <f t="shared" ref="AWT13" ca="1" si="4046">INDEX(AWH11:AWH15,MATCH(3,AWS11:AWS15,0),0)</f>
        <v>Croatia</v>
      </c>
      <c r="AWU13" s="319">
        <f t="shared" ref="AWU13" ca="1" si="4047">INDEX(AWQ11:AWQ15,MATCH(AWT13,AWH11:AWH15,0),0)</f>
        <v>3</v>
      </c>
      <c r="AWV13" s="319" t="str">
        <f t="shared" ref="AWV13:AWV14" ca="1" si="4048">IF(AND(AWV12&lt;&gt;"",AWU13=1),AWT13,"")</f>
        <v/>
      </c>
      <c r="AWW13" s="319" t="str">
        <f t="shared" ref="AWW13:AWW14" ca="1" si="4049">IF(AND(AWW12&lt;&gt;"",AWU14=2),AWT14,"")</f>
        <v/>
      </c>
      <c r="AWX13" s="319" t="str">
        <f t="shared" ref="AWX13" ca="1" si="4050">IF(AND(AWX12&lt;&gt;"",AWU15=3),AWT15,"")</f>
        <v/>
      </c>
      <c r="AWY13" s="319"/>
      <c r="AWZ13" s="319"/>
      <c r="AXA13" s="319" t="str">
        <f t="shared" ca="1" si="2994"/>
        <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t="str">
        <f t="shared" ca="1" si="3001"/>
        <v/>
      </c>
      <c r="AXI13" s="319" t="str">
        <f t="shared" ref="AXI13" ca="1" si="4056">IF(AXA13&lt;&gt;"",VLOOKUP(AXA13,AWH4:AWN40,7,FALSE),"")</f>
        <v/>
      </c>
      <c r="AXJ13" s="319" t="str">
        <f t="shared" ref="AXJ13" ca="1" si="4057">IF(AXA13&lt;&gt;"",VLOOKUP(AXA13,AWH4:AWN40,5,FALSE),"")</f>
        <v/>
      </c>
      <c r="AXK13" s="319" t="str">
        <f t="shared" ref="AXK13" ca="1" si="4058">IF(AXA13&lt;&gt;"",VLOOKUP(AXA13,AWH4:AWP40,9,FALSE),"")</f>
        <v/>
      </c>
      <c r="AXL13" s="319" t="str">
        <f t="shared" ca="1" si="3005"/>
        <v/>
      </c>
      <c r="AXM13" s="319" t="str">
        <f t="shared" ref="AXM13" ca="1" si="4059">IF(AXA13&lt;&gt;"",RANK(AXL13,AXL11:AXL15),"")</f>
        <v/>
      </c>
      <c r="AXN13" s="319" t="str">
        <f t="shared" ref="AXN13" ca="1" si="4060">IF(AXA13&lt;&gt;"",SUMPRODUCT((AXL11:AXL15=AXL13)*(AXG11:AXG15&gt;AXG13)),"")</f>
        <v/>
      </c>
      <c r="AXO13" s="319" t="str">
        <f t="shared" ref="AXO13" ca="1" si="4061">IF(AXA13&lt;&gt;"",SUMPRODUCT((AXL11:AXL15=AXL13)*(AXG11:AXG15=AXG13)*(AXE11:AXE15&gt;AXE13)),"")</f>
        <v/>
      </c>
      <c r="AXP13" s="319" t="str">
        <f t="shared" ref="AXP13" ca="1" si="4062">IF(AXA13&lt;&gt;"",SUMPRODUCT((AXL11:AXL15=AXL13)*(AXG11:AXG15=AXG13)*(AXE11:AXE15=AXE13)*(AXI11:AXI15&gt;AXI13)),"")</f>
        <v/>
      </c>
      <c r="AXQ13" s="319" t="str">
        <f t="shared" ref="AXQ13" ca="1" si="4063">IF(AXA13&lt;&gt;"",SUMPRODUCT((AXL11:AXL15=AXL13)*(AXG11:AXG15=AXG13)*(AXE11:AXE15=AXE13)*(AXI11:AXI15=AXI13)*(AXJ11:AXJ15&gt;AXJ13)),"")</f>
        <v/>
      </c>
      <c r="AXR13" s="319" t="str">
        <f t="shared" ref="AXR13" ca="1" si="4064">IF(AXA13&lt;&gt;"",SUMPRODUCT((AXL11:AXL15=AXL13)*(AXG11:AXG15=AXG13)*(AXE11:AXE15=AXE13)*(AXI11:AXI15=AXI13)*(AXJ11:AXJ15=AXJ13)*(AXK11:AXK15&gt;AXK13)),"")</f>
        <v/>
      </c>
      <c r="AXS13" s="319" t="str">
        <f ca="1">IF(AXA13&lt;&gt;"",IF(AXS53&lt;&gt;"",IF(AWZ50=3,AXS53,AXS53+AWZ50),SUM(AXM13:AXR13)),"")</f>
        <v/>
      </c>
      <c r="AXT13" s="319" t="str">
        <f t="shared" ref="AXT13" ca="1" si="4065">IF(AXA13&lt;&gt;"",INDEX(AXA11:AXA15,MATCH(3,AXS11:AXS15,0),0),"")</f>
        <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3</v>
      </c>
      <c r="BAH13" s="322">
        <f ca="1">IF(OFFSET('Player Game Board'!Q20,0,BAG1)&lt;&gt;"",OFFSET('Player Game Board'!Q20,0,BAG1),0)</f>
        <v>1</v>
      </c>
      <c r="BAI13" s="319" t="str">
        <f t="shared" si="131"/>
        <v>Georgia</v>
      </c>
      <c r="BAJ13" s="319" t="str">
        <f ca="1">IF(AND(OFFSET('Player Game Board'!P20,0,BAG1)&lt;&gt;"",OFFSET('Player Game Board'!Q20,0,BAG1)&lt;&gt;""),IF(BAG13&gt;BAH13,"W",IF(BAG13=BAH13,"D","L")),"")</f>
        <v>W</v>
      </c>
      <c r="BAK13" s="319" t="str">
        <f t="shared" ca="1" si="132"/>
        <v>L</v>
      </c>
      <c r="BAL13" s="319"/>
      <c r="BAM13" s="319"/>
      <c r="BAN13" s="324" t="s">
        <v>105</v>
      </c>
      <c r="BAO13" s="325" t="s">
        <v>106</v>
      </c>
      <c r="BAP13" s="325" t="s">
        <v>107</v>
      </c>
      <c r="BAQ13" s="325" t="s">
        <v>108</v>
      </c>
      <c r="BAR13" s="324" t="s">
        <v>105</v>
      </c>
      <c r="BAS13" s="324" t="s">
        <v>108</v>
      </c>
      <c r="BAT13" s="324" t="s">
        <v>106</v>
      </c>
      <c r="BAU13" s="324" t="s">
        <v>107</v>
      </c>
      <c r="BAV13" s="325"/>
      <c r="BAW13" s="326">
        <f t="shared" ref="BAW13" ca="1" si="4102">IFERROR(MATCH(BAW12,BAN13:BAQ13,0),0)</f>
        <v>1</v>
      </c>
      <c r="BAX13" s="326">
        <f t="shared" ref="BAX13" ca="1" si="4103">IFERROR(MATCH(BAX12,BAN13:BAQ13,0),0)</f>
        <v>2</v>
      </c>
      <c r="BAY13" s="326">
        <f t="shared" ref="BAY13" ca="1" si="4104">IFERROR(MATCH(BAY12,BAN13:BAQ13,0),0)</f>
        <v>0</v>
      </c>
      <c r="BAZ13" s="326">
        <f t="shared" ref="BAZ13" ca="1" si="4105">IFERROR(MATCH(BAZ12,BAN13:BAQ13,0),0)</f>
        <v>0</v>
      </c>
      <c r="BBA13" s="326">
        <f t="shared" ref="BBA13:BBA27" ca="1" si="4106">SUM(BAW13:BAZ13)</f>
        <v>3</v>
      </c>
      <c r="BBB13" s="325"/>
      <c r="BBC13" s="325" t="str">
        <f t="shared" ref="BBC13" ca="1" si="4107">IF(BBC38="A",INDEX(BAN3:BAN8,MATCH(1,BBA3:BBA8,0),0),"")</f>
        <v>Hungary</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105</v>
      </c>
      <c r="BFM13" s="325" t="s">
        <v>106</v>
      </c>
      <c r="BFN13" s="325" t="s">
        <v>107</v>
      </c>
      <c r="BFO13" s="325" t="s">
        <v>108</v>
      </c>
      <c r="BFP13" s="324" t="s">
        <v>105</v>
      </c>
      <c r="BFQ13" s="324" t="s">
        <v>108</v>
      </c>
      <c r="BFR13" s="324" t="s">
        <v>106</v>
      </c>
      <c r="BFS13" s="324" t="s">
        <v>107</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105</v>
      </c>
      <c r="DI14" s="325" t="s">
        <v>106</v>
      </c>
      <c r="DJ14" s="325" t="s">
        <v>107</v>
      </c>
      <c r="DK14" s="325" t="s">
        <v>109</v>
      </c>
      <c r="DL14" s="324" t="s">
        <v>105</v>
      </c>
      <c r="DM14" s="324" t="s">
        <v>109</v>
      </c>
      <c r="DN14" s="324" t="s">
        <v>106</v>
      </c>
      <c r="DO14" s="324" t="s">
        <v>107</v>
      </c>
      <c r="DP14" s="325"/>
      <c r="DQ14" s="326">
        <f>IFERROR(MATCH(DQ12,DH14:DK14,0),0)</f>
        <v>3</v>
      </c>
      <c r="DR14" s="326">
        <f>IFERROR(MATCH(DR12,DH14:DK14,0),0)</f>
        <v>2</v>
      </c>
      <c r="DS14" s="326">
        <f>IFERROR(MATCH(DS12,DH14:DK14,0),0)</f>
        <v>1</v>
      </c>
      <c r="DT14" s="326">
        <f>IFERROR(MATCH(DT12,DH14:DK14,0),0)</f>
        <v>0</v>
      </c>
      <c r="DU14" s="326">
        <f t="shared" si="3541"/>
        <v>6</v>
      </c>
      <c r="DV14" s="325"/>
      <c r="DW14" s="325" t="str">
        <f>INDEX(DH3:DH8,MATCH(2,DU3:DU8,0),0)</f>
        <v>Albania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1</v>
      </c>
      <c r="EC14" s="319">
        <f ca="1">SUMPRODUCT((HX3:HX42=DZ14)*(IB3:IB42="L"))+SUMPRODUCT((IA3:IA42=DZ14)*(IC3:IC42="L"))</f>
        <v>1</v>
      </c>
      <c r="ED14" s="319">
        <f ca="1">SUMIF(HX3:HX60,DZ14,HY3:HY60)+SUMIF(IA3:IA60,DZ14,HZ3:HZ60)</f>
        <v>4</v>
      </c>
      <c r="EE14" s="319">
        <f ca="1">SUMIF(IA3:IA60,DZ14,HY3:HY60)+SUMIF(HX3:HX60,DZ14,HZ3:HZ60)</f>
        <v>3</v>
      </c>
      <c r="EF14" s="319">
        <f t="shared" ca="1" si="2710"/>
        <v>1001</v>
      </c>
      <c r="EG14" s="319">
        <f t="shared" ca="1" si="2711"/>
        <v>4</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2</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105</v>
      </c>
      <c r="IG14" s="325" t="s">
        <v>106</v>
      </c>
      <c r="IH14" s="325" t="s">
        <v>107</v>
      </c>
      <c r="II14" s="325" t="s">
        <v>109</v>
      </c>
      <c r="IJ14" s="324" t="s">
        <v>105</v>
      </c>
      <c r="IK14" s="324" t="s">
        <v>109</v>
      </c>
      <c r="IL14" s="324" t="s">
        <v>106</v>
      </c>
      <c r="IM14" s="324" t="s">
        <v>107</v>
      </c>
      <c r="IN14" s="325"/>
      <c r="IO14" s="326">
        <f ca="1">IFERROR(MATCH(IO12,IF14:II14,0),0)</f>
        <v>2</v>
      </c>
      <c r="IP14" s="326">
        <f ca="1">IFERROR(MATCH(IP12,IF14:II14,0),0)</f>
        <v>0</v>
      </c>
      <c r="IQ14" s="326">
        <f ca="1">IFERROR(MATCH(IQ12,IF14:II14,0),0)</f>
        <v>1</v>
      </c>
      <c r="IR14" s="326">
        <f ca="1">IFERROR(MATCH(IR12,IF14:II14,0),0)</f>
        <v>3</v>
      </c>
      <c r="IS14" s="326">
        <f t="shared" ca="1" si="3544"/>
        <v>6</v>
      </c>
      <c r="IT14" s="325"/>
      <c r="IU14" s="325" t="str">
        <f ca="1">INDEX(IF3:IF8,MATCH(2,IS3:IS8,0),0)</f>
        <v>Czechia</v>
      </c>
      <c r="IV14" s="325"/>
      <c r="IW14" s="319">
        <f ca="1">VLOOKUP(IX14,MS11:MT15,2,FALSE)</f>
        <v>2</v>
      </c>
      <c r="IX14" s="319" t="str">
        <f t="shared" si="3058"/>
        <v>Croatia</v>
      </c>
      <c r="IY14" s="319">
        <f ca="1">SUMPRODUCT((MV3:MV42=IX14)*(MZ3:MZ42="W"))+SUMPRODUCT((MY3:MY42=IX14)*(NA3:NA42="W"))</f>
        <v>1</v>
      </c>
      <c r="IZ14" s="319">
        <f ca="1">SUMPRODUCT((MV3:MV42=IX14)*(MZ3:MZ42="D"))+SUMPRODUCT((MY3:MY42=IX14)*(NA3:NA42="D"))</f>
        <v>2</v>
      </c>
      <c r="JA14" s="319">
        <f ca="1">SUMPRODUCT((MV3:MV42=IX14)*(MZ3:MZ42="L"))+SUMPRODUCT((MY3:MY42=IX14)*(NA3:NA42="L"))</f>
        <v>0</v>
      </c>
      <c r="JB14" s="319">
        <f ca="1">SUMIF(MV3:MV60,IX14,MW3:MW60)+SUMIF(MY3:MY60,IX14,MX3:MX60)</f>
        <v>7</v>
      </c>
      <c r="JC14" s="319">
        <f ca="1">SUMIF(MY3:MY60,IX14,MW3:MW60)+SUMIF(MV3:MV60,IX14,MX3:MX60)</f>
        <v>4</v>
      </c>
      <c r="JD14" s="319">
        <f t="shared" ca="1" si="2714"/>
        <v>1003</v>
      </c>
      <c r="JE14" s="319">
        <f t="shared" ca="1" si="2715"/>
        <v>5</v>
      </c>
      <c r="JF14" s="319">
        <f t="shared" si="618"/>
        <v>40</v>
      </c>
      <c r="JG14" s="319">
        <f ca="1">IF(COUNTIF(JE11:JE15,4)&lt;&gt;4,RANK(JE14,JE11:JE15),JE54)</f>
        <v>1</v>
      </c>
      <c r="JH14" s="319"/>
      <c r="JI14" s="319">
        <f ca="1">SUMPRODUCT((JG11:JG14=JG14)*(JF11:JF14&lt;JF14))+JG14</f>
        <v>2</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0</v>
      </c>
      <c r="MY14" s="319" t="str">
        <f t="shared" si="171"/>
        <v>Czechia</v>
      </c>
      <c r="MZ14" s="319" t="str">
        <f ca="1">IF(AND(OFFSET('Player Game Board'!P21,0,MW1)&lt;&gt;"",OFFSET('Player Game Board'!Q21,0,MW1)&lt;&gt;""),IF(MW14&gt;MX14,"W",IF(MW14=MX14,"D","L")),"")</f>
        <v>W</v>
      </c>
      <c r="NA14" s="319" t="str">
        <f t="shared" ca="1" si="172"/>
        <v>L</v>
      </c>
      <c r="NB14" s="319"/>
      <c r="NC14" s="319"/>
      <c r="ND14" s="324" t="s">
        <v>105</v>
      </c>
      <c r="NE14" s="325" t="s">
        <v>106</v>
      </c>
      <c r="NF14" s="325" t="s">
        <v>107</v>
      </c>
      <c r="NG14" s="325" t="s">
        <v>109</v>
      </c>
      <c r="NH14" s="324" t="s">
        <v>105</v>
      </c>
      <c r="NI14" s="324" t="s">
        <v>109</v>
      </c>
      <c r="NJ14" s="324" t="s">
        <v>106</v>
      </c>
      <c r="NK14" s="324" t="s">
        <v>107</v>
      </c>
      <c r="NL14" s="325"/>
      <c r="NM14" s="326">
        <f ca="1">IFERROR(MATCH(NM12,ND14:NG14,0),0)</f>
        <v>2</v>
      </c>
      <c r="NN14" s="326">
        <f ca="1">IFERROR(MATCH(NN12,ND14:NG14,0),0)</f>
        <v>4</v>
      </c>
      <c r="NO14" s="326">
        <f ca="1">IFERROR(MATCH(NO12,ND14:NG14,0),0)</f>
        <v>1</v>
      </c>
      <c r="NP14" s="326">
        <f ca="1">IFERROR(MATCH(NP12,ND14:NG14,0),0)</f>
        <v>0</v>
      </c>
      <c r="NQ14" s="326">
        <f t="shared" ca="1" si="3547"/>
        <v>7</v>
      </c>
      <c r="NR14" s="325"/>
      <c r="NS14" s="325" t="str">
        <f ca="1">INDEX(ND3:ND8,MATCH(2,NQ3:NQ8,0),0)</f>
        <v>Slovakia</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1</v>
      </c>
      <c r="NY14" s="319">
        <f t="shared" ref="NY14" ca="1" si="4187">SUMPRODUCT((RT3:RT42=NV14)*(RX3:RX42="L"))+SUMPRODUCT((RW3:RW42=NV14)*(RY3:RY42="L"))</f>
        <v>1</v>
      </c>
      <c r="NZ14" s="319">
        <f t="shared" ref="NZ14" ca="1" si="4188">SUMIF(RT3:RT60,NV14,RU3:RU60)+SUMIF(RW3:RW60,NV14,RV3:RV60)</f>
        <v>6</v>
      </c>
      <c r="OA14" s="319">
        <f t="shared" ref="OA14" ca="1" si="4189">SUMIF(RW3:RW60,NV14,RU3:RU60)+SUMIF(RT3:RT60,NV14,RV3:RV60)</f>
        <v>5</v>
      </c>
      <c r="OB14" s="319">
        <f t="shared" ca="1" si="2725"/>
        <v>1001</v>
      </c>
      <c r="OC14" s="319">
        <f t="shared" ca="1" si="2726"/>
        <v>4</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105</v>
      </c>
      <c r="SC14" s="325" t="s">
        <v>106</v>
      </c>
      <c r="SD14" s="325" t="s">
        <v>107</v>
      </c>
      <c r="SE14" s="325" t="s">
        <v>109</v>
      </c>
      <c r="SF14" s="324" t="s">
        <v>105</v>
      </c>
      <c r="SG14" s="324" t="s">
        <v>109</v>
      </c>
      <c r="SH14" s="324" t="s">
        <v>106</v>
      </c>
      <c r="SI14" s="324" t="s">
        <v>107</v>
      </c>
      <c r="SJ14" s="325"/>
      <c r="SK14" s="326">
        <f t="shared" ref="SK14" ca="1" si="4260">IFERROR(MATCH(SK12,SB14:SE14,0),0)</f>
        <v>2</v>
      </c>
      <c r="SL14" s="326">
        <f t="shared" ref="SL14" ca="1" si="4261">IFERROR(MATCH(SL12,SB14:SE14,0),0)</f>
        <v>0</v>
      </c>
      <c r="SM14" s="326">
        <f t="shared" ref="SM14" ca="1" si="4262">IFERROR(MATCH(SM12,SB14:SE14,0),0)</f>
        <v>3</v>
      </c>
      <c r="SN14" s="326">
        <f t="shared" ref="SN14" ca="1" si="4263">IFERROR(MATCH(SN12,SB14:SE14,0),0)</f>
        <v>4</v>
      </c>
      <c r="SO14" s="326">
        <f t="shared" ca="1" si="3616"/>
        <v>9</v>
      </c>
      <c r="SP14" s="325"/>
      <c r="SQ14" s="325" t="str">
        <f t="shared" ref="SQ14" ca="1" si="4264">INDEX(SB3:SB8,MATCH(2,SO3:SO8,0),0)</f>
        <v>Austria</v>
      </c>
      <c r="SR14" s="325"/>
      <c r="SS14" s="319">
        <f t="shared" ref="SS14" ca="1" si="4265">VLOOKUP(ST14,WO11:WP15,2,FALSE)</f>
        <v>2</v>
      </c>
      <c r="ST14" s="319" t="str">
        <f t="shared" si="2756"/>
        <v>Croatia</v>
      </c>
      <c r="SU14" s="319">
        <f t="shared" ref="SU14" ca="1" si="4266">SUMPRODUCT((WR3:WR42=ST14)*(WV3:WV42="W"))+SUMPRODUCT((WU3:WU42=ST14)*(WW3:WW42="W"))</f>
        <v>1</v>
      </c>
      <c r="SV14" s="319">
        <f t="shared" ref="SV14" ca="1" si="4267">SUMPRODUCT((WR3:WR42=ST14)*(WV3:WV42="D"))+SUMPRODUCT((WU3:WU42=ST14)*(WW3:WW42="D"))</f>
        <v>2</v>
      </c>
      <c r="SW14" s="319">
        <f t="shared" ref="SW14" ca="1" si="4268">SUMPRODUCT((WR3:WR42=ST14)*(WV3:WV42="L"))+SUMPRODUCT((WU3:WU42=ST14)*(WW3:WW42="L"))</f>
        <v>0</v>
      </c>
      <c r="SX14" s="319">
        <f t="shared" ref="SX14" ca="1" si="4269">SUMIF(WR3:WR60,ST14,WS3:WS60)+SUMIF(WU3:WU60,ST14,WT3:WT60)</f>
        <v>3</v>
      </c>
      <c r="SY14" s="319">
        <f t="shared" ref="SY14" ca="1" si="4270">SUMIF(WU3:WU60,ST14,WS3:WS60)+SUMIF(WR3:WR60,ST14,WT3:WT60)</f>
        <v>2</v>
      </c>
      <c r="SZ14" s="319">
        <f t="shared" ca="1" si="2762"/>
        <v>1001</v>
      </c>
      <c r="TA14" s="319">
        <f t="shared" ca="1" si="2763"/>
        <v>5</v>
      </c>
      <c r="TB14" s="319">
        <f t="shared" si="690"/>
        <v>40</v>
      </c>
      <c r="TC14" s="319">
        <f t="shared" ref="TC14" ca="1" si="4271">IF(COUNTIF(TA11:TA15,4)&lt;&gt;4,RANK(TA14,TA11:TA15),TA54)</f>
        <v>2</v>
      </c>
      <c r="TD14" s="319"/>
      <c r="TE14" s="319">
        <f t="shared" ref="TE14" ca="1" si="4272">SUMPRODUCT((TC11:TC14=TC14)*(TB11:TB14&lt;TB14))+TC14</f>
        <v>2</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2</v>
      </c>
      <c r="WT14" s="322">
        <f ca="1">IF(OFFSET('Player Game Board'!Q21,0,WS1)&lt;&gt;"",OFFSET('Player Game Board'!Q21,0,WS1),0)</f>
        <v>1</v>
      </c>
      <c r="WU14" s="319" t="str">
        <f t="shared" si="35"/>
        <v>Czechia</v>
      </c>
      <c r="WV14" s="319" t="str">
        <f ca="1">IF(AND(OFFSET('Player Game Board'!P21,0,WS1)&lt;&gt;"",OFFSET('Player Game Board'!Q21,0,WS1)&lt;&gt;""),IF(WS14&gt;WT14,"W",IF(WS14=WT14,"D","L")),"")</f>
        <v>W</v>
      </c>
      <c r="WW14" s="319" t="str">
        <f t="shared" ca="1" si="36"/>
        <v>L</v>
      </c>
      <c r="WX14" s="319"/>
      <c r="WY14" s="319"/>
      <c r="WZ14" s="324" t="s">
        <v>105</v>
      </c>
      <c r="XA14" s="325" t="s">
        <v>106</v>
      </c>
      <c r="XB14" s="325" t="s">
        <v>107</v>
      </c>
      <c r="XC14" s="325" t="s">
        <v>109</v>
      </c>
      <c r="XD14" s="324" t="s">
        <v>105</v>
      </c>
      <c r="XE14" s="324" t="s">
        <v>109</v>
      </c>
      <c r="XF14" s="324" t="s">
        <v>106</v>
      </c>
      <c r="XG14" s="324" t="s">
        <v>107</v>
      </c>
      <c r="XH14" s="325"/>
      <c r="XI14" s="326">
        <f t="shared" ref="XI14" ca="1" si="4341">IFERROR(MATCH(XI12,WZ14:XC14,0),0)</f>
        <v>2</v>
      </c>
      <c r="XJ14" s="326">
        <f t="shared" ref="XJ14" ca="1" si="4342">IFERROR(MATCH(XJ12,WZ14:XC14,0),0)</f>
        <v>0</v>
      </c>
      <c r="XK14" s="326">
        <f t="shared" ref="XK14" ca="1" si="4343">IFERROR(MATCH(XK12,WZ14:XC14,0),0)</f>
        <v>3</v>
      </c>
      <c r="XL14" s="326">
        <f t="shared" ref="XL14" ca="1" si="4344">IFERROR(MATCH(XL12,WZ14:XC14,0),0)</f>
        <v>0</v>
      </c>
      <c r="XM14" s="326">
        <f t="shared" ca="1" si="3686"/>
        <v>5</v>
      </c>
      <c r="XN14" s="325"/>
      <c r="XO14" s="325" t="str">
        <f t="shared" ref="XO14" ca="1" si="4345">INDEX(WZ3:WZ8,MATCH(2,XM3:XM8,0),0)</f>
        <v>Türkiye</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105</v>
      </c>
      <c r="ABY14" s="325" t="s">
        <v>106</v>
      </c>
      <c r="ABZ14" s="325" t="s">
        <v>107</v>
      </c>
      <c r="ACA14" s="325" t="s">
        <v>109</v>
      </c>
      <c r="ACB14" s="324" t="s">
        <v>105</v>
      </c>
      <c r="ACC14" s="324" t="s">
        <v>109</v>
      </c>
      <c r="ACD14" s="324" t="s">
        <v>106</v>
      </c>
      <c r="ACE14" s="324" t="s">
        <v>107</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1</v>
      </c>
      <c r="ACP14" s="319" t="str">
        <f t="shared" si="2830"/>
        <v>Croatia</v>
      </c>
      <c r="ACQ14" s="319">
        <f t="shared" ref="ACQ14" ca="1" si="4428">SUMPRODUCT((AGN3:AGN42=ACP14)*(AGR3:AGR42="W"))+SUMPRODUCT((AGQ3:AGQ42=ACP14)*(AGS3:AGS42="W"))</f>
        <v>2</v>
      </c>
      <c r="ACR14" s="319">
        <f t="shared" ref="ACR14" ca="1" si="4429">SUMPRODUCT((AGN3:AGN42=ACP14)*(AGR3:AGR42="D"))+SUMPRODUCT((AGQ3:AGQ42=ACP14)*(AGS3:AGS42="D"))</f>
        <v>1</v>
      </c>
      <c r="ACS14" s="319">
        <f t="shared" ref="ACS14" ca="1" si="4430">SUMPRODUCT((AGN3:AGN42=ACP14)*(AGR3:AGR42="L"))+SUMPRODUCT((AGQ3:AGQ42=ACP14)*(AGS3:AGS42="L"))</f>
        <v>0</v>
      </c>
      <c r="ACT14" s="319">
        <f t="shared" ref="ACT14" ca="1" si="4431">SUMIF(AGN3:AGN60,ACP14,AGO3:AGO60)+SUMIF(AGQ3:AGQ60,ACP14,AGP3:AGP60)</f>
        <v>6</v>
      </c>
      <c r="ACU14" s="319">
        <f t="shared" ref="ACU14" ca="1" si="4432">SUMIF(AGQ3:AGQ60,ACP14,AGO3:AGO60)+SUMIF(AGN3:AGN60,ACP14,AGP3:AGP60)</f>
        <v>1</v>
      </c>
      <c r="ACV14" s="319">
        <f t="shared" ca="1" si="2836"/>
        <v>1005</v>
      </c>
      <c r="ACW14" s="319">
        <f t="shared" ca="1" si="2837"/>
        <v>7</v>
      </c>
      <c r="ACX14" s="319">
        <f t="shared" si="810"/>
        <v>40</v>
      </c>
      <c r="ACY14" s="319">
        <f t="shared" ref="ACY14" ca="1" si="4433">IF(COUNTIF(ACW11:ACW15,4)&lt;&gt;4,RANK(ACW14,ACW11:ACW15),ACW54)</f>
        <v>1</v>
      </c>
      <c r="ACZ14" s="319"/>
      <c r="ADA14" s="319">
        <f t="shared" ref="ADA14" ca="1" si="4434">SUMPRODUCT((ACY11:ACY14=ACY14)*(ACX11:ACX14&lt;ACX14))+ACY14</f>
        <v>1</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1</v>
      </c>
      <c r="AGP14" s="322">
        <f ca="1">IF(OFFSET('Player Game Board'!Q21,0,AGO1)&lt;&gt;"",OFFSET('Player Game Board'!Q21,0,AGO1),0)</f>
        <v>2</v>
      </c>
      <c r="AGQ14" s="319" t="str">
        <f t="shared" si="67"/>
        <v>Czechia</v>
      </c>
      <c r="AGR14" s="319" t="str">
        <f ca="1">IF(AND(OFFSET('Player Game Board'!P21,0,AGO1)&lt;&gt;"",OFFSET('Player Game Board'!Q21,0,AGO1)&lt;&gt;""),IF(AGO14&gt;AGP14,"W",IF(AGO14=AGP14,"D","L")),"")</f>
        <v>L</v>
      </c>
      <c r="AGS14" s="319" t="str">
        <f t="shared" ca="1" si="68"/>
        <v>W</v>
      </c>
      <c r="AGT14" s="319"/>
      <c r="AGU14" s="319"/>
      <c r="AGV14" s="324" t="s">
        <v>105</v>
      </c>
      <c r="AGW14" s="325" t="s">
        <v>106</v>
      </c>
      <c r="AGX14" s="325" t="s">
        <v>107</v>
      </c>
      <c r="AGY14" s="325" t="s">
        <v>109</v>
      </c>
      <c r="AGZ14" s="324" t="s">
        <v>105</v>
      </c>
      <c r="AHA14" s="324" t="s">
        <v>109</v>
      </c>
      <c r="AHB14" s="324" t="s">
        <v>106</v>
      </c>
      <c r="AHC14" s="324" t="s">
        <v>107</v>
      </c>
      <c r="AHD14" s="325"/>
      <c r="AHE14" s="326">
        <f t="shared" ref="AHE14" ca="1" si="4503">IFERROR(MATCH(AHE12,AGV14:AGY14,0),0)</f>
        <v>2</v>
      </c>
      <c r="AHF14" s="326">
        <f t="shared" ref="AHF14" ca="1" si="4504">IFERROR(MATCH(AHF12,AGV14:AGY14,0),0)</f>
        <v>3</v>
      </c>
      <c r="AHG14" s="326">
        <f t="shared" ref="AHG14" ca="1" si="4505">IFERROR(MATCH(AHG12,AGV14:AGY14,0),0)</f>
        <v>0</v>
      </c>
      <c r="AHH14" s="326">
        <f t="shared" ref="AHH14" ca="1" si="4506">IFERROR(MATCH(AHH12,AGV14:AGY14,0),0)</f>
        <v>0</v>
      </c>
      <c r="AHI14" s="326">
        <f t="shared" ca="1" si="3826"/>
        <v>5</v>
      </c>
      <c r="AHJ14" s="325"/>
      <c r="AHK14" s="325" t="str">
        <f t="shared" ref="AHK14" ca="1" si="4507">INDEX(AGV3:AGV8,MATCH(2,AHI3:AHI8,0),0)</f>
        <v>Slovenia</v>
      </c>
      <c r="AHL14" s="325"/>
      <c r="AHM14" s="319">
        <f t="shared" ref="AHM14" ca="1" si="4508">VLOOKUP(AHN14,ALI11:ALJ15,2,FALSE)</f>
        <v>3</v>
      </c>
      <c r="AHN14" s="319" t="str">
        <f t="shared" si="2867"/>
        <v>Croatia</v>
      </c>
      <c r="AHO14" s="319">
        <f t="shared" ref="AHO14" ca="1" si="4509">SUMPRODUCT((ALL3:ALL42=AHN14)*(ALP3:ALP42="W"))+SUMPRODUCT((ALO3:ALO42=AHN14)*(ALQ3:ALQ42="W"))</f>
        <v>1</v>
      </c>
      <c r="AHP14" s="319">
        <f t="shared" ref="AHP14" ca="1" si="4510">SUMPRODUCT((ALL3:ALL42=AHN14)*(ALP3:ALP42="D"))+SUMPRODUCT((ALO3:ALO42=AHN14)*(ALQ3:ALQ42="D"))</f>
        <v>0</v>
      </c>
      <c r="AHQ14" s="319">
        <f t="shared" ref="AHQ14" ca="1" si="4511">SUMPRODUCT((ALL3:ALL42=AHN14)*(ALP3:ALP42="L"))+SUMPRODUCT((ALO3:ALO42=AHN14)*(ALQ3:ALQ42="L"))</f>
        <v>2</v>
      </c>
      <c r="AHR14" s="319">
        <f t="shared" ref="AHR14" ca="1" si="4512">SUMIF(ALL3:ALL60,AHN14,ALM3:ALM60)+SUMIF(ALO3:ALO60,AHN14,ALN3:ALN60)</f>
        <v>4</v>
      </c>
      <c r="AHS14" s="319">
        <f t="shared" ref="AHS14" ca="1" si="4513">SUMIF(ALO3:ALO60,AHN14,ALM3:ALM60)+SUMIF(ALL3:ALL60,AHN14,ALN3:ALN60)</f>
        <v>5</v>
      </c>
      <c r="AHT14" s="319">
        <f t="shared" ca="1" si="2873"/>
        <v>999</v>
      </c>
      <c r="AHU14" s="319">
        <f t="shared" ca="1" si="2874"/>
        <v>3</v>
      </c>
      <c r="AHV14" s="319">
        <f t="shared" si="870"/>
        <v>40</v>
      </c>
      <c r="AHW14" s="319">
        <f t="shared" ref="AHW14" ca="1" si="4514">IF(COUNTIF(AHU11:AHU15,4)&lt;&gt;4,RANK(AHU14,AHU11:AHU15),AHU54)</f>
        <v>3</v>
      </c>
      <c r="AHX14" s="319"/>
      <c r="AHY14" s="319">
        <f t="shared" ref="AHY14" ca="1" si="4515">SUMPRODUCT((AHW11:AHW14=AHW14)*(AHV11:AHV14&lt;AHV14))+AHW14</f>
        <v>3</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0</v>
      </c>
      <c r="ALO14" s="319" t="str">
        <f t="shared" si="83"/>
        <v>Czechia</v>
      </c>
      <c r="ALP14" s="319" t="str">
        <f ca="1">IF(AND(OFFSET('Player Game Board'!P21,0,ALM1)&lt;&gt;"",OFFSET('Player Game Board'!Q21,0,ALM1)&lt;&gt;""),IF(ALM14&gt;ALN14,"W",IF(ALM14=ALN14,"D","L")),"")</f>
        <v>W</v>
      </c>
      <c r="ALQ14" s="319" t="str">
        <f t="shared" ca="1" si="84"/>
        <v>L</v>
      </c>
      <c r="ALR14" s="319"/>
      <c r="ALS14" s="319"/>
      <c r="ALT14" s="324" t="s">
        <v>105</v>
      </c>
      <c r="ALU14" s="325" t="s">
        <v>106</v>
      </c>
      <c r="ALV14" s="325" t="s">
        <v>107</v>
      </c>
      <c r="ALW14" s="325" t="s">
        <v>109</v>
      </c>
      <c r="ALX14" s="324" t="s">
        <v>105</v>
      </c>
      <c r="ALY14" s="324" t="s">
        <v>109</v>
      </c>
      <c r="ALZ14" s="324" t="s">
        <v>106</v>
      </c>
      <c r="AMA14" s="324" t="s">
        <v>107</v>
      </c>
      <c r="AMB14" s="325"/>
      <c r="AMC14" s="326">
        <f t="shared" ref="AMC14" ca="1" si="4584">IFERROR(MATCH(AMC12,ALT14:ALW14,0),0)</f>
        <v>4</v>
      </c>
      <c r="AMD14" s="326">
        <f t="shared" ref="AMD14" ca="1" si="4585">IFERROR(MATCH(AMD12,ALT14:ALW14,0),0)</f>
        <v>2</v>
      </c>
      <c r="AME14" s="326">
        <f t="shared" ref="AME14" ca="1" si="4586">IFERROR(MATCH(AME12,ALT14:ALW14,0),0)</f>
        <v>0</v>
      </c>
      <c r="AMF14" s="326">
        <f t="shared" ref="AMF14" ca="1" si="4587">IFERROR(MATCH(AMF12,ALT14:ALW14,0),0)</f>
        <v>3</v>
      </c>
      <c r="AMG14" s="326">
        <f t="shared" ca="1" si="3896"/>
        <v>9</v>
      </c>
      <c r="AMH14" s="325"/>
      <c r="AMI14" s="325" t="str">
        <f t="shared" ref="AMI14" ca="1" si="4588">INDEX(ALT3:ALT8,MATCH(2,AMG3:AMG8,0),0)</f>
        <v>Croatia</v>
      </c>
      <c r="AMJ14" s="325"/>
      <c r="AMK14" s="319">
        <f t="shared" ref="AMK14" ca="1" si="4589">VLOOKUP(AML14,AQG11:AQH15,2,FALSE)</f>
        <v>3</v>
      </c>
      <c r="AML14" s="319" t="str">
        <f t="shared" si="2904"/>
        <v>Croatia</v>
      </c>
      <c r="AMM14" s="319">
        <f t="shared" ref="AMM14" ca="1" si="4590">SUMPRODUCT((AQJ3:AQJ42=AML14)*(AQN3:AQN42="W"))+SUMPRODUCT((AQM3:AQM42=AML14)*(AQO3:AQO42="W"))</f>
        <v>1</v>
      </c>
      <c r="AMN14" s="319">
        <f t="shared" ref="AMN14" ca="1" si="4591">SUMPRODUCT((AQJ3:AQJ42=AML14)*(AQN3:AQN42="D"))+SUMPRODUCT((AQM3:AQM42=AML14)*(AQO3:AQO42="D"))</f>
        <v>1</v>
      </c>
      <c r="AMO14" s="319">
        <f t="shared" ref="AMO14" ca="1" si="4592">SUMPRODUCT((AQJ3:AQJ42=AML14)*(AQN3:AQN42="L"))+SUMPRODUCT((AQM3:AQM42=AML14)*(AQO3:AQO42="L"))</f>
        <v>1</v>
      </c>
      <c r="AMP14" s="319">
        <f t="shared" ref="AMP14" ca="1" si="4593">SUMIF(AQJ3:AQJ60,AML14,AQK3:AQK60)+SUMIF(AQM3:AQM60,AML14,AQL3:AQL60)</f>
        <v>3</v>
      </c>
      <c r="AMQ14" s="319">
        <f t="shared" ref="AMQ14" ca="1" si="4594">SUMIF(AQM3:AQM60,AML14,AQK3:AQK60)+SUMIF(AQJ3:AQJ60,AML14,AQL3:AQL60)</f>
        <v>3</v>
      </c>
      <c r="AMR14" s="319">
        <f t="shared" ca="1" si="2910"/>
        <v>1000</v>
      </c>
      <c r="AMS14" s="319">
        <f t="shared" ca="1" si="2911"/>
        <v>4</v>
      </c>
      <c r="AMT14" s="319">
        <f t="shared" si="930"/>
        <v>40</v>
      </c>
      <c r="AMU14" s="319">
        <f t="shared" ref="AMU14" ca="1" si="4595">IF(COUNTIF(AMS11:AMS15,4)&lt;&gt;4,RANK(AMS14,AMS11:AMS15),AMS54)</f>
        <v>2</v>
      </c>
      <c r="AMV14" s="319"/>
      <c r="AMW14" s="319">
        <f t="shared" ref="AMW14" ca="1" si="4596">SUMPRODUCT((AMU11:AMU14=AMU14)*(AMT11:AMT14&lt;AMT14))+AMU14</f>
        <v>3</v>
      </c>
      <c r="AMX14" s="319" t="str">
        <f t="shared" ref="AMX14" ca="1" si="4597">INDEX(AML11:AML15,MATCH(4,AMW11:AMW15,0),0)</f>
        <v>Albania</v>
      </c>
      <c r="AMY14" s="319">
        <f t="shared" ref="AMY14" ca="1" si="4598">INDEX(AMU11:AMU15,MATCH(AMX14,AML11:AML15,0),0)</f>
        <v>4</v>
      </c>
      <c r="AMZ14" s="319" t="str">
        <f t="shared" ca="1" si="3908"/>
        <v/>
      </c>
      <c r="ANA14" s="319" t="str">
        <f t="shared" ca="1" si="3909"/>
        <v/>
      </c>
      <c r="ANB14" s="319"/>
      <c r="ANC14" s="319"/>
      <c r="AND14" s="319"/>
      <c r="ANE14" s="319" t="str">
        <f t="shared" ca="1" si="2920"/>
        <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t="str">
        <f t="shared" ca="1" si="2927"/>
        <v/>
      </c>
      <c r="ANM14" s="319" t="str">
        <f t="shared" ref="ANM14" ca="1" si="4604">IF(ANE14&lt;&gt;"",VLOOKUP(ANE14,AML4:AMR40,7,FALSE),"")</f>
        <v/>
      </c>
      <c r="ANN14" s="319" t="str">
        <f t="shared" ref="ANN14" ca="1" si="4605">IF(ANE14&lt;&gt;"",VLOOKUP(ANE14,AML4:AMR40,5,FALSE),"")</f>
        <v/>
      </c>
      <c r="ANO14" s="319" t="str">
        <f t="shared" ref="ANO14" ca="1" si="4606">IF(ANE14&lt;&gt;"",VLOOKUP(ANE14,AML4:AMT40,9,FALSE),"")</f>
        <v/>
      </c>
      <c r="ANP14" s="319" t="str">
        <f t="shared" ca="1" si="2931"/>
        <v/>
      </c>
      <c r="ANQ14" s="319" t="str">
        <f t="shared" ref="ANQ14" ca="1" si="4607">IF(ANE14&lt;&gt;"",RANK(ANP14,ANP11:ANP15),"")</f>
        <v/>
      </c>
      <c r="ANR14" s="319" t="str">
        <f t="shared" ref="ANR14" ca="1" si="4608">IF(ANE14&lt;&gt;"",SUMPRODUCT((ANP11:ANP15=ANP14)*(ANK11:ANK15&gt;ANK14)),"")</f>
        <v/>
      </c>
      <c r="ANS14" s="319" t="str">
        <f t="shared" ref="ANS14" ca="1" si="4609">IF(ANE14&lt;&gt;"",SUMPRODUCT((ANP11:ANP15=ANP14)*(ANK11:ANK15=ANK14)*(ANI11:ANI15&gt;ANI14)),"")</f>
        <v/>
      </c>
      <c r="ANT14" s="319" t="str">
        <f t="shared" ref="ANT14" ca="1" si="4610">IF(ANE14&lt;&gt;"",SUMPRODUCT((ANP11:ANP15=ANP14)*(ANK11:ANK15=ANK14)*(ANI11:ANI15=ANI14)*(ANM11:ANM15&gt;ANM14)),"")</f>
        <v/>
      </c>
      <c r="ANU14" s="319" t="str">
        <f t="shared" ref="ANU14" ca="1" si="4611">IF(ANE14&lt;&gt;"",SUMPRODUCT((ANP11:ANP15=ANP14)*(ANK11:ANK15=ANK14)*(ANI11:ANI15=ANI14)*(ANM11:ANM15=ANM14)*(ANN11:ANN15&gt;ANN14)),"")</f>
        <v/>
      </c>
      <c r="ANV14" s="319" t="str">
        <f t="shared" ref="ANV14" ca="1" si="4612">IF(ANE14&lt;&gt;"",SUMPRODUCT((ANP11:ANP15=ANP14)*(ANK11:ANK15=ANK14)*(ANI11:ANI15=ANI14)*(ANM11:ANM15=ANM14)*(ANN11:ANN15=ANN14)*(ANO11:ANO15&gt;ANO14)),"")</f>
        <v/>
      </c>
      <c r="ANW14" s="319" t="str">
        <f ca="1">IF(ANE14&lt;&gt;"",IF(ANW54&lt;&gt;"",IF(AND50=3,ANW54,ANW54+AND50),SUM(ANQ14:ANV14)),"")</f>
        <v/>
      </c>
      <c r="ANX14" s="319" t="str">
        <f t="shared" ref="ANX14" ca="1" si="4613">IF(ANE14&lt;&gt;"",INDEX(ANE11:ANE15,MATCH(4,ANW11:ANW15,0),0),"")</f>
        <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Albania</v>
      </c>
      <c r="AQH14" s="319">
        <v>4</v>
      </c>
      <c r="AQI14" s="319">
        <v>12</v>
      </c>
      <c r="AQJ14" s="319" t="str">
        <f t="shared" si="98"/>
        <v>Portugal</v>
      </c>
      <c r="AQK14" s="322">
        <f ca="1">IF(OFFSET('Player Game Board'!P21,0,AQK1)&lt;&gt;"",OFFSET('Player Game Board'!P21,0,AQK1),0)</f>
        <v>1</v>
      </c>
      <c r="AQL14" s="322">
        <f ca="1">IF(OFFSET('Player Game Board'!Q21,0,AQK1)&lt;&gt;"",OFFSET('Player Game Board'!Q21,0,AQK1),0)</f>
        <v>0</v>
      </c>
      <c r="AQM14" s="319" t="str">
        <f t="shared" si="99"/>
        <v>Czechia</v>
      </c>
      <c r="AQN14" s="319" t="str">
        <f ca="1">IF(AND(OFFSET('Player Game Board'!P21,0,AQK1)&lt;&gt;"",OFFSET('Player Game Board'!Q21,0,AQK1)&lt;&gt;""),IF(AQK14&gt;AQL14,"W",IF(AQK14=AQL14,"D","L")),"")</f>
        <v>W</v>
      </c>
      <c r="AQO14" s="319" t="str">
        <f t="shared" ca="1" si="100"/>
        <v>L</v>
      </c>
      <c r="AQP14" s="319"/>
      <c r="AQQ14" s="319"/>
      <c r="AQR14" s="324" t="s">
        <v>105</v>
      </c>
      <c r="AQS14" s="325" t="s">
        <v>106</v>
      </c>
      <c r="AQT14" s="325" t="s">
        <v>107</v>
      </c>
      <c r="AQU14" s="325" t="s">
        <v>109</v>
      </c>
      <c r="AQV14" s="324" t="s">
        <v>105</v>
      </c>
      <c r="AQW14" s="324" t="s">
        <v>109</v>
      </c>
      <c r="AQX14" s="324" t="s">
        <v>106</v>
      </c>
      <c r="AQY14" s="324" t="s">
        <v>107</v>
      </c>
      <c r="AQZ14" s="325"/>
      <c r="ARA14" s="326">
        <f t="shared" ref="ARA14" ca="1" si="4665">IFERROR(MATCH(ARA12,AQR14:AQU14,0),0)</f>
        <v>2</v>
      </c>
      <c r="ARB14" s="326">
        <f t="shared" ref="ARB14" ca="1" si="4666">IFERROR(MATCH(ARB12,AQR14:AQU14,0),0)</f>
        <v>1</v>
      </c>
      <c r="ARC14" s="326">
        <f t="shared" ref="ARC14" ca="1" si="4667">IFERROR(MATCH(ARC12,AQR14:AQU14,0),0)</f>
        <v>0</v>
      </c>
      <c r="ARD14" s="326">
        <f t="shared" ref="ARD14" ca="1" si="4668">IFERROR(MATCH(ARD12,AQR14:AQU14,0),0)</f>
        <v>4</v>
      </c>
      <c r="ARE14" s="326">
        <f t="shared" ca="1" si="3966"/>
        <v>7</v>
      </c>
      <c r="ARF14" s="325"/>
      <c r="ARG14" s="325" t="str">
        <f t="shared" ref="ARG14" ca="1" si="4669">INDEX(AQR3:AQR8,MATCH(2,ARE3:ARE8,0),0)</f>
        <v>Switzerland</v>
      </c>
      <c r="ARH14" s="325"/>
      <c r="ARI14" s="319">
        <f t="shared" ref="ARI14" ca="1" si="4670">VLOOKUP(ARJ14,AVE11:AVF15,2,FALSE)</f>
        <v>3</v>
      </c>
      <c r="ARJ14" s="319" t="str">
        <f t="shared" si="2941"/>
        <v>Croatia</v>
      </c>
      <c r="ARK14" s="319">
        <f t="shared" ref="ARK14" ca="1" si="4671">SUMPRODUCT((AVH3:AVH42=ARJ14)*(AVL3:AVL42="W"))+SUMPRODUCT((AVK3:AVK42=ARJ14)*(AVM3:AVM42="W"))</f>
        <v>1</v>
      </c>
      <c r="ARL14" s="319">
        <f t="shared" ref="ARL14" ca="1" si="4672">SUMPRODUCT((AVH3:AVH42=ARJ14)*(AVL3:AVL42="D"))+SUMPRODUCT((AVK3:AVK42=ARJ14)*(AVM3:AVM42="D"))</f>
        <v>1</v>
      </c>
      <c r="ARM14" s="319">
        <f t="shared" ref="ARM14" ca="1" si="4673">SUMPRODUCT((AVH3:AVH42=ARJ14)*(AVL3:AVL42="L"))+SUMPRODUCT((AVK3:AVK42=ARJ14)*(AVM3:AVM42="L"))</f>
        <v>1</v>
      </c>
      <c r="ARN14" s="319">
        <f t="shared" ref="ARN14" ca="1" si="4674">SUMIF(AVH3:AVH60,ARJ14,AVI3:AVI60)+SUMIF(AVK3:AVK60,ARJ14,AVJ3:AVJ60)</f>
        <v>7</v>
      </c>
      <c r="ARO14" s="319">
        <f t="shared" ref="ARO14" ca="1" si="4675">SUMIF(AVK3:AVK60,ARJ14,AVI3:AVI60)+SUMIF(AVH3:AVH60,ARJ14,AVJ3:AVJ60)</f>
        <v>4</v>
      </c>
      <c r="ARP14" s="319">
        <f t="shared" ca="1" si="2947"/>
        <v>1003</v>
      </c>
      <c r="ARQ14" s="319">
        <f t="shared" ca="1" si="2948"/>
        <v>4</v>
      </c>
      <c r="ARR14" s="319">
        <f t="shared" si="990"/>
        <v>40</v>
      </c>
      <c r="ARS14" s="319">
        <f t="shared" ref="ARS14" ca="1" si="4676">IF(COUNTIF(ARQ11:ARQ15,4)&lt;&gt;4,RANK(ARQ14,ARQ11:ARQ15),ARQ54)</f>
        <v>3</v>
      </c>
      <c r="ART14" s="319"/>
      <c r="ARU14" s="319">
        <f t="shared" ref="ARU14" ca="1" si="4677">SUMPRODUCT((ARS11:ARS14=ARS14)*(ARR11:ARR14&lt;ARR14))+ARS14</f>
        <v>3</v>
      </c>
      <c r="ARV14" s="319" t="str">
        <f t="shared" ref="ARV14" ca="1" si="4678">INDEX(ARJ11:ARJ15,MATCH(4,ARU11:ARU15,0),0)</f>
        <v>Albania</v>
      </c>
      <c r="ARW14" s="319">
        <f t="shared" ref="ARW14" ca="1" si="4679">INDEX(ARS11:ARS15,MATCH(ARV14,ARJ11:ARJ15,0),0)</f>
        <v>4</v>
      </c>
      <c r="ARX14" s="319" t="str">
        <f t="shared" ca="1" si="3978"/>
        <v/>
      </c>
      <c r="ARY14" s="319" t="str">
        <f t="shared" ca="1" si="3979"/>
        <v/>
      </c>
      <c r="ARZ14" s="319"/>
      <c r="ASA14" s="319"/>
      <c r="ASB14" s="319"/>
      <c r="ASC14" s="319" t="str">
        <f t="shared" ca="1" si="2957"/>
        <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t="str">
        <f t="shared" ca="1" si="2964"/>
        <v/>
      </c>
      <c r="ASK14" s="319" t="str">
        <f t="shared" ref="ASK14" ca="1" si="4685">IF(ASC14&lt;&gt;"",VLOOKUP(ASC14,ARJ4:ARP40,7,FALSE),"")</f>
        <v/>
      </c>
      <c r="ASL14" s="319" t="str">
        <f t="shared" ref="ASL14" ca="1" si="4686">IF(ASC14&lt;&gt;"",VLOOKUP(ASC14,ARJ4:ARP40,5,FALSE),"")</f>
        <v/>
      </c>
      <c r="ASM14" s="319" t="str">
        <f t="shared" ref="ASM14" ca="1" si="4687">IF(ASC14&lt;&gt;"",VLOOKUP(ASC14,ARJ4:ARR40,9,FALSE),"")</f>
        <v/>
      </c>
      <c r="ASN14" s="319" t="str">
        <f t="shared" ca="1" si="2968"/>
        <v/>
      </c>
      <c r="ASO14" s="319" t="str">
        <f t="shared" ref="ASO14" ca="1" si="4688">IF(ASC14&lt;&gt;"",RANK(ASN14,ASN11:ASN15),"")</f>
        <v/>
      </c>
      <c r="ASP14" s="319" t="str">
        <f t="shared" ref="ASP14" ca="1" si="4689">IF(ASC14&lt;&gt;"",SUMPRODUCT((ASN11:ASN15=ASN14)*(ASI11:ASI15&gt;ASI14)),"")</f>
        <v/>
      </c>
      <c r="ASQ14" s="319" t="str">
        <f t="shared" ref="ASQ14" ca="1" si="4690">IF(ASC14&lt;&gt;"",SUMPRODUCT((ASN11:ASN15=ASN14)*(ASI11:ASI15=ASI14)*(ASG11:ASG15&gt;ASG14)),"")</f>
        <v/>
      </c>
      <c r="ASR14" s="319" t="str">
        <f t="shared" ref="ASR14" ca="1" si="4691">IF(ASC14&lt;&gt;"",SUMPRODUCT((ASN11:ASN15=ASN14)*(ASI11:ASI15=ASI14)*(ASG11:ASG15=ASG14)*(ASK11:ASK15&gt;ASK14)),"")</f>
        <v/>
      </c>
      <c r="ASS14" s="319" t="str">
        <f t="shared" ref="ASS14" ca="1" si="4692">IF(ASC14&lt;&gt;"",SUMPRODUCT((ASN11:ASN15=ASN14)*(ASI11:ASI15=ASI14)*(ASG11:ASG15=ASG14)*(ASK11:ASK15=ASK14)*(ASL11:ASL15&gt;ASL14)),"")</f>
        <v/>
      </c>
      <c r="AST14" s="319" t="str">
        <f t="shared" ref="AST14" ca="1" si="4693">IF(ASC14&lt;&gt;"",SUMPRODUCT((ASN11:ASN15=ASN14)*(ASI11:ASI15=ASI14)*(ASG11:ASG15=ASG14)*(ASK11:ASK15=ASK14)*(ASL11:ASL15=ASL14)*(ASM11:ASM15&gt;ASM14)),"")</f>
        <v/>
      </c>
      <c r="ASU14" s="319" t="str">
        <f ca="1">IF(ASC14&lt;&gt;"",IF(ASU54&lt;&gt;"",IF(ASB50=3,ASU54,ASU54+ASB50),SUM(ASO14:AST14)),"")</f>
        <v/>
      </c>
      <c r="ASV14" s="319" t="str">
        <f t="shared" ref="ASV14" ca="1" si="4694">IF(ASC14&lt;&gt;"",INDEX(ASC11:ASC15,MATCH(4,ASU11:ASU15,0),0),"")</f>
        <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Albania</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2</v>
      </c>
      <c r="AVK14" s="319" t="str">
        <f t="shared" si="115"/>
        <v>Czechia</v>
      </c>
      <c r="AVL14" s="319" t="str">
        <f ca="1">IF(AND(OFFSET('Player Game Board'!P21,0,AVI1)&lt;&gt;"",OFFSET('Player Game Board'!Q21,0,AVI1)&lt;&gt;""),IF(AVI14&gt;AVJ14,"W",IF(AVI14=AVJ14,"D","L")),"")</f>
        <v>L</v>
      </c>
      <c r="AVM14" s="319" t="str">
        <f t="shared" ca="1" si="116"/>
        <v>W</v>
      </c>
      <c r="AVN14" s="319"/>
      <c r="AVO14" s="319"/>
      <c r="AVP14" s="324" t="s">
        <v>105</v>
      </c>
      <c r="AVQ14" s="325" t="s">
        <v>106</v>
      </c>
      <c r="AVR14" s="325" t="s">
        <v>107</v>
      </c>
      <c r="AVS14" s="325" t="s">
        <v>109</v>
      </c>
      <c r="AVT14" s="324" t="s">
        <v>105</v>
      </c>
      <c r="AVU14" s="324" t="s">
        <v>109</v>
      </c>
      <c r="AVV14" s="324" t="s">
        <v>106</v>
      </c>
      <c r="AVW14" s="324" t="s">
        <v>107</v>
      </c>
      <c r="AVX14" s="325"/>
      <c r="AVY14" s="326">
        <f t="shared" ref="AVY14" ca="1" si="4746">IFERROR(MATCH(AVY12,AVP14:AVS14,0),0)</f>
        <v>2</v>
      </c>
      <c r="AVZ14" s="326">
        <f t="shared" ref="AVZ14" ca="1" si="4747">IFERROR(MATCH(AVZ12,AVP14:AVS14,0),0)</f>
        <v>4</v>
      </c>
      <c r="AWA14" s="326">
        <f t="shared" ref="AWA14" ca="1" si="4748">IFERROR(MATCH(AWA12,AVP14:AVS14,0),0)</f>
        <v>1</v>
      </c>
      <c r="AWB14" s="326">
        <f t="shared" ref="AWB14" ca="1" si="4749">IFERROR(MATCH(AWB12,AVP14:AVS14,0),0)</f>
        <v>3</v>
      </c>
      <c r="AWC14" s="326">
        <f t="shared" ca="1" si="4036"/>
        <v>10</v>
      </c>
      <c r="AWD14" s="325"/>
      <c r="AWE14" s="325" t="str">
        <f t="shared" ref="AWE14" ca="1" si="4750">INDEX(AVP3:AVP8,MATCH(2,AWC3:AWC8,0),0)</f>
        <v>Romania</v>
      </c>
      <c r="AWF14" s="325"/>
      <c r="AWG14" s="319">
        <f t="shared" ref="AWG14" ca="1" si="4751">VLOOKUP(AWH14,BAC11:BAD15,2,FALSE)</f>
        <v>3</v>
      </c>
      <c r="AWH14" s="319" t="str">
        <f t="shared" si="2978"/>
        <v>Croatia</v>
      </c>
      <c r="AWI14" s="319">
        <f t="shared" ref="AWI14" ca="1" si="4752">SUMPRODUCT((BAF3:BAF42=AWH14)*(BAJ3:BAJ42="W"))+SUMPRODUCT((BAI3:BAI42=AWH14)*(BAK3:BAK42="W"))</f>
        <v>1</v>
      </c>
      <c r="AWJ14" s="319">
        <f t="shared" ref="AWJ14" ca="1" si="4753">SUMPRODUCT((BAF3:BAF42=AWH14)*(BAJ3:BAJ42="D"))+SUMPRODUCT((BAI3:BAI42=AWH14)*(BAK3:BAK42="D"))</f>
        <v>0</v>
      </c>
      <c r="AWK14" s="319">
        <f t="shared" ref="AWK14" ca="1" si="4754">SUMPRODUCT((BAF3:BAF42=AWH14)*(BAJ3:BAJ42="L"))+SUMPRODUCT((BAI3:BAI42=AWH14)*(BAK3:BAK42="L"))</f>
        <v>2</v>
      </c>
      <c r="AWL14" s="319">
        <f t="shared" ref="AWL14" ca="1" si="4755">SUMIF(BAF3:BAF60,AWH14,BAG3:BAG60)+SUMIF(BAI3:BAI60,AWH14,BAH3:BAH60)</f>
        <v>6</v>
      </c>
      <c r="AWM14" s="319">
        <f t="shared" ref="AWM14" ca="1" si="4756">SUMIF(BAI3:BAI60,AWH14,BAG3:BAG60)+SUMIF(BAF3:BAF60,AWH14,BAH3:BAH60)</f>
        <v>7</v>
      </c>
      <c r="AWN14" s="319">
        <f t="shared" ca="1" si="2984"/>
        <v>999</v>
      </c>
      <c r="AWO14" s="319">
        <f t="shared" ca="1" si="2985"/>
        <v>3</v>
      </c>
      <c r="AWP14" s="319">
        <f t="shared" si="1050"/>
        <v>40</v>
      </c>
      <c r="AWQ14" s="319">
        <f t="shared" ref="AWQ14" ca="1" si="4757">IF(COUNTIF(AWO11:AWO15,4)&lt;&gt;4,RANK(AWO14,AWO11:AWO15),AWO54)</f>
        <v>3</v>
      </c>
      <c r="AWR14" s="319"/>
      <c r="AWS14" s="319">
        <f t="shared" ref="AWS14" ca="1" si="4758">SUMPRODUCT((AWQ11:AWQ14=AWQ14)*(AWP11:AWP14&lt;AWP14))+AWQ14</f>
        <v>3</v>
      </c>
      <c r="AWT14" s="319" t="str">
        <f t="shared" ref="AWT14" ca="1" si="4759">INDEX(AWH11:AWH15,MATCH(4,AWS11:AWS15,0),0)</f>
        <v>Albania</v>
      </c>
      <c r="AWU14" s="319">
        <f t="shared" ref="AWU14" ca="1" si="4760">INDEX(AWQ11:AWQ15,MATCH(AWT14,AWH11:AWH15,0),0)</f>
        <v>4</v>
      </c>
      <c r="AWV14" s="319" t="str">
        <f t="shared" ca="1" si="4048"/>
        <v/>
      </c>
      <c r="AWW14" s="319" t="str">
        <f t="shared" ca="1" si="4049"/>
        <v/>
      </c>
      <c r="AWX14" s="319"/>
      <c r="AWY14" s="319"/>
      <c r="AWZ14" s="319"/>
      <c r="AXA14" s="319" t="str">
        <f t="shared" ca="1" si="2994"/>
        <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t="str">
        <f t="shared" ca="1" si="3001"/>
        <v/>
      </c>
      <c r="AXI14" s="319" t="str">
        <f t="shared" ref="AXI14" ca="1" si="4766">IF(AXA14&lt;&gt;"",VLOOKUP(AXA14,AWH4:AWN40,7,FALSE),"")</f>
        <v/>
      </c>
      <c r="AXJ14" s="319" t="str">
        <f t="shared" ref="AXJ14" ca="1" si="4767">IF(AXA14&lt;&gt;"",VLOOKUP(AXA14,AWH4:AWN40,5,FALSE),"")</f>
        <v/>
      </c>
      <c r="AXK14" s="319" t="str">
        <f t="shared" ref="AXK14" ca="1" si="4768">IF(AXA14&lt;&gt;"",VLOOKUP(AXA14,AWH4:AWP40,9,FALSE),"")</f>
        <v/>
      </c>
      <c r="AXL14" s="319" t="str">
        <f t="shared" ca="1" si="3005"/>
        <v/>
      </c>
      <c r="AXM14" s="319" t="str">
        <f t="shared" ref="AXM14" ca="1" si="4769">IF(AXA14&lt;&gt;"",RANK(AXL14,AXL11:AXL15),"")</f>
        <v/>
      </c>
      <c r="AXN14" s="319" t="str">
        <f t="shared" ref="AXN14" ca="1" si="4770">IF(AXA14&lt;&gt;"",SUMPRODUCT((AXL11:AXL15=AXL14)*(AXG11:AXG15&gt;AXG14)),"")</f>
        <v/>
      </c>
      <c r="AXO14" s="319" t="str">
        <f t="shared" ref="AXO14" ca="1" si="4771">IF(AXA14&lt;&gt;"",SUMPRODUCT((AXL11:AXL15=AXL14)*(AXG11:AXG15=AXG14)*(AXE11:AXE15&gt;AXE14)),"")</f>
        <v/>
      </c>
      <c r="AXP14" s="319" t="str">
        <f t="shared" ref="AXP14" ca="1" si="4772">IF(AXA14&lt;&gt;"",SUMPRODUCT((AXL11:AXL15=AXL14)*(AXG11:AXG15=AXG14)*(AXE11:AXE15=AXE14)*(AXI11:AXI15&gt;AXI14)),"")</f>
        <v/>
      </c>
      <c r="AXQ14" s="319" t="str">
        <f t="shared" ref="AXQ14" ca="1" si="4773">IF(AXA14&lt;&gt;"",SUMPRODUCT((AXL11:AXL15=AXL14)*(AXG11:AXG15=AXG14)*(AXE11:AXE15=AXE14)*(AXI11:AXI15=AXI14)*(AXJ11:AXJ15&gt;AXJ14)),"")</f>
        <v/>
      </c>
      <c r="AXR14" s="319" t="str">
        <f t="shared" ref="AXR14" ca="1" si="4774">IF(AXA14&lt;&gt;"",SUMPRODUCT((AXL11:AXL15=AXL14)*(AXG11:AXG15=AXG14)*(AXE11:AXE15=AXE14)*(AXI11:AXI15=AXI14)*(AXJ11:AXJ15=AXJ14)*(AXK11:AXK15&gt;AXK14)),"")</f>
        <v/>
      </c>
      <c r="AXS14" s="319" t="str">
        <f ca="1">IF(AXA14&lt;&gt;"",IF(AXS54&lt;&gt;"",IF(AWZ50=3,AXS54,AXS54+AWZ50),SUM(AXM14:AXR14)),"")</f>
        <v/>
      </c>
      <c r="AXT14" s="319" t="str">
        <f t="shared" ref="AXT14" ca="1" si="4775">IF(AXA14&lt;&gt;"",INDEX(AXA11:AXA15,MATCH(4,AXS11:AXS15,0),0),"")</f>
        <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Albania</v>
      </c>
      <c r="BAD14" s="319">
        <v>4</v>
      </c>
      <c r="BAE14" s="319">
        <v>12</v>
      </c>
      <c r="BAF14" s="319" t="str">
        <f t="shared" si="130"/>
        <v>Portugal</v>
      </c>
      <c r="BAG14" s="322">
        <f ca="1">IF(OFFSET('Player Game Board'!P21,0,BAG1)&lt;&gt;"",OFFSET('Player Game Board'!P21,0,BAG1),0)</f>
        <v>2</v>
      </c>
      <c r="BAH14" s="322">
        <f ca="1">IF(OFFSET('Player Game Board'!Q21,0,BAG1)&lt;&gt;"",OFFSET('Player Game Board'!Q21,0,BAG1),0)</f>
        <v>1</v>
      </c>
      <c r="BAI14" s="319" t="str">
        <f t="shared" si="131"/>
        <v>Czechia</v>
      </c>
      <c r="BAJ14" s="319" t="str">
        <f ca="1">IF(AND(OFFSET('Player Game Board'!P21,0,BAG1)&lt;&gt;"",OFFSET('Player Game Board'!Q21,0,BAG1)&lt;&gt;""),IF(BAG14&gt;BAH14,"W",IF(BAG14=BAH14,"D","L")),"")</f>
        <v>W</v>
      </c>
      <c r="BAK14" s="319" t="str">
        <f t="shared" ca="1" si="132"/>
        <v>L</v>
      </c>
      <c r="BAL14" s="319"/>
      <c r="BAM14" s="319"/>
      <c r="BAN14" s="324" t="s">
        <v>105</v>
      </c>
      <c r="BAO14" s="325" t="s">
        <v>106</v>
      </c>
      <c r="BAP14" s="325" t="s">
        <v>107</v>
      </c>
      <c r="BAQ14" s="325" t="s">
        <v>109</v>
      </c>
      <c r="BAR14" s="324" t="s">
        <v>105</v>
      </c>
      <c r="BAS14" s="324" t="s">
        <v>109</v>
      </c>
      <c r="BAT14" s="324" t="s">
        <v>106</v>
      </c>
      <c r="BAU14" s="324" t="s">
        <v>107</v>
      </c>
      <c r="BAV14" s="325"/>
      <c r="BAW14" s="326">
        <f t="shared" ref="BAW14" ca="1" si="4827">IFERROR(MATCH(BAW12,BAN14:BAQ14,0),0)</f>
        <v>1</v>
      </c>
      <c r="BAX14" s="326">
        <f t="shared" ref="BAX14" ca="1" si="4828">IFERROR(MATCH(BAX12,BAN14:BAQ14,0),0)</f>
        <v>2</v>
      </c>
      <c r="BAY14" s="326">
        <f t="shared" ref="BAY14" ca="1" si="4829">IFERROR(MATCH(BAY12,BAN14:BAQ14,0),0)</f>
        <v>4</v>
      </c>
      <c r="BAZ14" s="326">
        <f t="shared" ref="BAZ14" ca="1" si="4830">IFERROR(MATCH(BAZ12,BAN14:BAQ14,0),0)</f>
        <v>0</v>
      </c>
      <c r="BBA14" s="326">
        <f t="shared" ca="1" si="4106"/>
        <v>7</v>
      </c>
      <c r="BBB14" s="325"/>
      <c r="BBC14" s="325" t="str">
        <f t="shared" ref="BBC14" ca="1" si="4831">INDEX(BAN3:BAN8,MATCH(2,BBA3:BBA8,0),0)</f>
        <v>Croatia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105</v>
      </c>
      <c r="BFM14" s="325" t="s">
        <v>106</v>
      </c>
      <c r="BFN14" s="325" t="s">
        <v>107</v>
      </c>
      <c r="BFO14" s="325" t="s">
        <v>109</v>
      </c>
      <c r="BFP14" s="324" t="s">
        <v>105</v>
      </c>
      <c r="BFQ14" s="324" t="s">
        <v>109</v>
      </c>
      <c r="BFR14" s="324" t="s">
        <v>106</v>
      </c>
      <c r="BFS14" s="324" t="s">
        <v>107</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105</v>
      </c>
      <c r="DI15" s="325" t="s">
        <v>106</v>
      </c>
      <c r="DJ15" s="325" t="s">
        <v>107</v>
      </c>
      <c r="DK15" s="325" t="s">
        <v>110</v>
      </c>
      <c r="DL15" s="324" t="s">
        <v>105</v>
      </c>
      <c r="DM15" s="324" t="s">
        <v>110</v>
      </c>
      <c r="DN15" s="324" t="s">
        <v>106</v>
      </c>
      <c r="DO15" s="324" t="s">
        <v>107</v>
      </c>
      <c r="DP15" s="325"/>
      <c r="DQ15" s="326">
        <f>IFERROR(MATCH(DQ12,DH15:DK15,0),0)</f>
        <v>3</v>
      </c>
      <c r="DR15" s="326">
        <f>IFERROR(MATCH(DR12,DH15:DK15,0),0)</f>
        <v>2</v>
      </c>
      <c r="DS15" s="326">
        <f>IFERROR(MATCH(DS12,DH15:DK15,0),0)</f>
        <v>1</v>
      </c>
      <c r="DT15" s="326">
        <f>IFERROR(MATCH(DT12,DH15:DK15,0),0)</f>
        <v>4</v>
      </c>
      <c r="DU15" s="326">
        <f t="shared" si="3541"/>
        <v>10</v>
      </c>
      <c r="DV15" s="325"/>
      <c r="DW15" s="325" t="str">
        <f>INDEX(DH3:DH8,MATCH(3,DU3:DU8,0),0)</f>
        <v>Scotland</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1</v>
      </c>
      <c r="HZ15" s="322">
        <f ca="1">IF(OFFSET('Player Game Board'!Q22,0,HY1)&lt;&gt;"",OFFSET('Player Game Board'!Q22,0,HY1),0)</f>
        <v>1</v>
      </c>
      <c r="IA15" s="319" t="str">
        <f t="shared" si="165"/>
        <v>Switzerland</v>
      </c>
      <c r="IB15" s="319" t="str">
        <f ca="1">IF(AND(OFFSET('Player Game Board'!P22,0,HY1)&lt;&gt;"",OFFSET('Player Game Board'!Q22,0,HY1)&lt;&gt;""),IF(HY15&gt;HZ15,"W",IF(HY15=HZ15,"D","L")),"")</f>
        <v>D</v>
      </c>
      <c r="IC15" s="319" t="str">
        <f t="shared" ca="1" si="166"/>
        <v>D</v>
      </c>
      <c r="ID15" s="319"/>
      <c r="IE15" s="319"/>
      <c r="IF15" s="324" t="s">
        <v>105</v>
      </c>
      <c r="IG15" s="325" t="s">
        <v>106</v>
      </c>
      <c r="IH15" s="325" t="s">
        <v>107</v>
      </c>
      <c r="II15" s="325" t="s">
        <v>110</v>
      </c>
      <c r="IJ15" s="324" t="s">
        <v>105</v>
      </c>
      <c r="IK15" s="324" t="s">
        <v>110</v>
      </c>
      <c r="IL15" s="324" t="s">
        <v>106</v>
      </c>
      <c r="IM15" s="324" t="s">
        <v>107</v>
      </c>
      <c r="IN15" s="325"/>
      <c r="IO15" s="326">
        <f ca="1">IFERROR(MATCH(IO12,IF15:II15,0),0)</f>
        <v>2</v>
      </c>
      <c r="IP15" s="326">
        <f ca="1">IFERROR(MATCH(IP12,IF15:II15,0),0)</f>
        <v>4</v>
      </c>
      <c r="IQ15" s="326">
        <f ca="1">IFERROR(MATCH(IQ12,IF15:II15,0),0)</f>
        <v>1</v>
      </c>
      <c r="IR15" s="326">
        <f ca="1">IFERROR(MATCH(IR12,IF15:II15,0),0)</f>
        <v>3</v>
      </c>
      <c r="IS15" s="326">
        <f t="shared" ca="1" si="3544"/>
        <v>10</v>
      </c>
      <c r="IT15" s="325"/>
      <c r="IU15" s="325" t="str">
        <f ca="1">INDEX(IF3:IF8,MATCH(3,IS3:IS8,0),0)</f>
        <v>Scotland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1</v>
      </c>
      <c r="MY15" s="319" t="str">
        <f t="shared" si="171"/>
        <v>Switzerland</v>
      </c>
      <c r="MZ15" s="319" t="str">
        <f ca="1">IF(AND(OFFSET('Player Game Board'!P22,0,MW1)&lt;&gt;"",OFFSET('Player Game Board'!Q22,0,MW1)&lt;&gt;""),IF(MW15&gt;MX15,"W",IF(MW15=MX15,"D","L")),"")</f>
        <v>D</v>
      </c>
      <c r="NA15" s="319" t="str">
        <f t="shared" ca="1" si="172"/>
        <v>D</v>
      </c>
      <c r="NB15" s="319"/>
      <c r="NC15" s="319"/>
      <c r="ND15" s="324" t="s">
        <v>105</v>
      </c>
      <c r="NE15" s="325" t="s">
        <v>106</v>
      </c>
      <c r="NF15" s="325" t="s">
        <v>107</v>
      </c>
      <c r="NG15" s="325" t="s">
        <v>110</v>
      </c>
      <c r="NH15" s="324" t="s">
        <v>105</v>
      </c>
      <c r="NI15" s="324" t="s">
        <v>110</v>
      </c>
      <c r="NJ15" s="324" t="s">
        <v>106</v>
      </c>
      <c r="NK15" s="324" t="s">
        <v>107</v>
      </c>
      <c r="NL15" s="325"/>
      <c r="NM15" s="326">
        <f ca="1">IFERROR(MATCH(NM12,ND15:NG15,0),0)</f>
        <v>2</v>
      </c>
      <c r="NN15" s="326">
        <f ca="1">IFERROR(MATCH(NN12,ND15:NG15,0),0)</f>
        <v>0</v>
      </c>
      <c r="NO15" s="326">
        <f ca="1">IFERROR(MATCH(NO12,ND15:NG15,0),0)</f>
        <v>1</v>
      </c>
      <c r="NP15" s="326">
        <f ca="1">IFERROR(MATCH(NP12,ND15:NG15,0),0)</f>
        <v>0</v>
      </c>
      <c r="NQ15" s="326">
        <f t="shared" ca="1" si="3547"/>
        <v>3</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2</v>
      </c>
      <c r="RV15" s="322">
        <f ca="1">IF(OFFSET('Player Game Board'!Q22,0,RU1)&lt;&gt;"",OFFSET('Player Game Board'!Q22,0,RU1),0)</f>
        <v>1</v>
      </c>
      <c r="RW15" s="319" t="str">
        <f t="shared" si="19"/>
        <v>Switzerland</v>
      </c>
      <c r="RX15" s="319" t="str">
        <f ca="1">IF(AND(OFFSET('Player Game Board'!P22,0,RU1)&lt;&gt;"",OFFSET('Player Game Board'!Q22,0,RU1)&lt;&gt;""),IF(RU15&gt;RV15,"W",IF(RU15=RV15,"D","L")),"")</f>
        <v>W</v>
      </c>
      <c r="RY15" s="319" t="str">
        <f t="shared" ca="1" si="20"/>
        <v>L</v>
      </c>
      <c r="RZ15" s="319"/>
      <c r="SA15" s="319"/>
      <c r="SB15" s="324" t="s">
        <v>105</v>
      </c>
      <c r="SC15" s="325" t="s">
        <v>106</v>
      </c>
      <c r="SD15" s="325" t="s">
        <v>107</v>
      </c>
      <c r="SE15" s="325" t="s">
        <v>110</v>
      </c>
      <c r="SF15" s="324" t="s">
        <v>105</v>
      </c>
      <c r="SG15" s="324" t="s">
        <v>110</v>
      </c>
      <c r="SH15" s="324" t="s">
        <v>106</v>
      </c>
      <c r="SI15" s="324" t="s">
        <v>107</v>
      </c>
      <c r="SJ15" s="325"/>
      <c r="SK15" s="326">
        <f t="shared" ref="SK15" ca="1" si="4913">IFERROR(MATCH(SK12,SB15:SE15,0),0)</f>
        <v>2</v>
      </c>
      <c r="SL15" s="326">
        <f t="shared" ref="SL15" ca="1" si="4914">IFERROR(MATCH(SL12,SB15:SE15,0),0)</f>
        <v>0</v>
      </c>
      <c r="SM15" s="326">
        <f t="shared" ref="SM15" ca="1" si="4915">IFERROR(MATCH(SM12,SB15:SE15,0),0)</f>
        <v>3</v>
      </c>
      <c r="SN15" s="326">
        <f t="shared" ref="SN15" ca="1" si="4916">IFERROR(MATCH(SN12,SB15:SE15,0),0)</f>
        <v>0</v>
      </c>
      <c r="SO15" s="326">
        <f t="shared" ca="1" si="3616"/>
        <v>5</v>
      </c>
      <c r="SP15" s="325"/>
      <c r="SQ15" s="325" t="str">
        <f t="shared" ref="SQ15" ca="1" si="4917">INDEX(SB3:SB8,MATCH(3,SO3:SO8,0),0)</f>
        <v>Slovenia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2</v>
      </c>
      <c r="WT15" s="322">
        <f ca="1">IF(OFFSET('Player Game Board'!Q22,0,WS1)&lt;&gt;"",OFFSET('Player Game Board'!Q22,0,WS1),0)</f>
        <v>2</v>
      </c>
      <c r="WU15" s="319" t="str">
        <f t="shared" si="35"/>
        <v>Switzerland</v>
      </c>
      <c r="WV15" s="319" t="str">
        <f ca="1">IF(AND(OFFSET('Player Game Board'!P22,0,WS1)&lt;&gt;"",OFFSET('Player Game Board'!Q22,0,WS1)&lt;&gt;""),IF(WS15&gt;WT15,"W",IF(WS15=WT15,"D","L")),"")</f>
        <v>D</v>
      </c>
      <c r="WW15" s="319" t="str">
        <f t="shared" ca="1" si="36"/>
        <v>D</v>
      </c>
      <c r="WX15" s="319"/>
      <c r="WY15" s="319"/>
      <c r="WZ15" s="324" t="s">
        <v>105</v>
      </c>
      <c r="XA15" s="325" t="s">
        <v>106</v>
      </c>
      <c r="XB15" s="325" t="s">
        <v>107</v>
      </c>
      <c r="XC15" s="325" t="s">
        <v>110</v>
      </c>
      <c r="XD15" s="324" t="s">
        <v>105</v>
      </c>
      <c r="XE15" s="324" t="s">
        <v>110</v>
      </c>
      <c r="XF15" s="324" t="s">
        <v>106</v>
      </c>
      <c r="XG15" s="324" t="s">
        <v>107</v>
      </c>
      <c r="XH15" s="325"/>
      <c r="XI15" s="326">
        <f t="shared" ref="XI15" ca="1" si="4918">IFERROR(MATCH(XI12,WZ15:XC15,0),0)</f>
        <v>2</v>
      </c>
      <c r="XJ15" s="326">
        <f t="shared" ref="XJ15" ca="1" si="4919">IFERROR(MATCH(XJ12,WZ15:XC15,0),0)</f>
        <v>4</v>
      </c>
      <c r="XK15" s="326">
        <f t="shared" ref="XK15" ca="1" si="4920">IFERROR(MATCH(XK12,WZ15:XC15,0),0)</f>
        <v>3</v>
      </c>
      <c r="XL15" s="326">
        <f t="shared" ref="XL15" ca="1" si="4921">IFERROR(MATCH(XL12,WZ15:XC15,0),0)</f>
        <v>0</v>
      </c>
      <c r="XM15" s="326">
        <f t="shared" ca="1" si="3686"/>
        <v>9</v>
      </c>
      <c r="XN15" s="325"/>
      <c r="XO15" s="325" t="str">
        <f t="shared" ref="XO15" ca="1" si="4922">INDEX(WZ3:WZ8,MATCH(3,XM3:XM8,0),0)</f>
        <v>Serbia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105</v>
      </c>
      <c r="ABY15" s="325" t="s">
        <v>106</v>
      </c>
      <c r="ABZ15" s="325" t="s">
        <v>107</v>
      </c>
      <c r="ACA15" s="325" t="s">
        <v>110</v>
      </c>
      <c r="ACB15" s="324" t="s">
        <v>105</v>
      </c>
      <c r="ACC15" s="324" t="s">
        <v>110</v>
      </c>
      <c r="ACD15" s="324" t="s">
        <v>106</v>
      </c>
      <c r="ACE15" s="324" t="s">
        <v>107</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2</v>
      </c>
      <c r="AGQ15" s="319" t="str">
        <f t="shared" si="67"/>
        <v>Switzerland</v>
      </c>
      <c r="AGR15" s="319" t="str">
        <f ca="1">IF(AND(OFFSET('Player Game Board'!P22,0,AGO1)&lt;&gt;"",OFFSET('Player Game Board'!Q22,0,AGO1)&lt;&gt;""),IF(AGO15&gt;AGP15,"W",IF(AGO15=AGP15,"D","L")),"")</f>
        <v>L</v>
      </c>
      <c r="AGS15" s="319" t="str">
        <f t="shared" ca="1" si="68"/>
        <v>W</v>
      </c>
      <c r="AGT15" s="319"/>
      <c r="AGU15" s="319"/>
      <c r="AGV15" s="324" t="s">
        <v>105</v>
      </c>
      <c r="AGW15" s="325" t="s">
        <v>106</v>
      </c>
      <c r="AGX15" s="325" t="s">
        <v>107</v>
      </c>
      <c r="AGY15" s="325" t="s">
        <v>110</v>
      </c>
      <c r="AGZ15" s="324" t="s">
        <v>105</v>
      </c>
      <c r="AHA15" s="324" t="s">
        <v>110</v>
      </c>
      <c r="AHB15" s="324" t="s">
        <v>106</v>
      </c>
      <c r="AHC15" s="324" t="s">
        <v>107</v>
      </c>
      <c r="AHD15" s="325"/>
      <c r="AHE15" s="326">
        <f t="shared" ref="AHE15" ca="1" si="4928">IFERROR(MATCH(AHE12,AGV15:AGY15,0),0)</f>
        <v>2</v>
      </c>
      <c r="AHF15" s="326">
        <f t="shared" ref="AHF15" ca="1" si="4929">IFERROR(MATCH(AHF12,AGV15:AGY15,0),0)</f>
        <v>3</v>
      </c>
      <c r="AHG15" s="326">
        <f t="shared" ref="AHG15" ca="1" si="4930">IFERROR(MATCH(AHG12,AGV15:AGY15,0),0)</f>
        <v>0</v>
      </c>
      <c r="AHH15" s="326">
        <f t="shared" ref="AHH15" ca="1" si="4931">IFERROR(MATCH(AHH12,AGV15:AGY15,0),0)</f>
        <v>4</v>
      </c>
      <c r="AHI15" s="326">
        <f t="shared" ca="1" si="3826"/>
        <v>9</v>
      </c>
      <c r="AHJ15" s="325"/>
      <c r="AHK15" s="325" t="str">
        <f t="shared" ref="AHK15" ca="1" si="4932">INDEX(AGV3:AGV8,MATCH(3,AHI3:AHI8,0),0)</f>
        <v>Poland</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2</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W</v>
      </c>
      <c r="ALQ15" s="319" t="str">
        <f t="shared" ca="1" si="84"/>
        <v>L</v>
      </c>
      <c r="ALR15" s="319"/>
      <c r="ALS15" s="319"/>
      <c r="ALT15" s="324" t="s">
        <v>105</v>
      </c>
      <c r="ALU15" s="325" t="s">
        <v>106</v>
      </c>
      <c r="ALV15" s="325" t="s">
        <v>107</v>
      </c>
      <c r="ALW15" s="325" t="s">
        <v>110</v>
      </c>
      <c r="ALX15" s="324" t="s">
        <v>105</v>
      </c>
      <c r="ALY15" s="324" t="s">
        <v>110</v>
      </c>
      <c r="ALZ15" s="324" t="s">
        <v>106</v>
      </c>
      <c r="AMA15" s="324" t="s">
        <v>107</v>
      </c>
      <c r="AMB15" s="325"/>
      <c r="AMC15" s="326">
        <f t="shared" ref="AMC15" ca="1" si="4933">IFERROR(MATCH(AMC12,ALT15:ALW15,0),0)</f>
        <v>0</v>
      </c>
      <c r="AMD15" s="326">
        <f t="shared" ref="AMD15" ca="1" si="4934">IFERROR(MATCH(AMD12,ALT15:ALW15,0),0)</f>
        <v>2</v>
      </c>
      <c r="AME15" s="326">
        <f t="shared" ref="AME15" ca="1" si="4935">IFERROR(MATCH(AME12,ALT15:ALW15,0),0)</f>
        <v>0</v>
      </c>
      <c r="AMF15" s="326">
        <f t="shared" ref="AMF15" ca="1" si="4936">IFERROR(MATCH(AMF12,ALT15:ALW15,0),0)</f>
        <v>3</v>
      </c>
      <c r="AMG15" s="326">
        <f t="shared" ca="1" si="3896"/>
        <v>5</v>
      </c>
      <c r="AMH15" s="325"/>
      <c r="AMI15" s="325" t="str">
        <f t="shared" ref="AMI15" ca="1" si="4937">INDEX(ALT3:ALT8,MATCH(3,AMG3:AMG8,0),0)</f>
        <v>Austria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1</v>
      </c>
      <c r="AQL15" s="322">
        <f ca="1">IF(OFFSET('Player Game Board'!Q22,0,AQK1)&lt;&gt;"",OFFSET('Player Game Board'!Q22,0,AQK1),0)</f>
        <v>1</v>
      </c>
      <c r="AQM15" s="319" t="str">
        <f t="shared" si="99"/>
        <v>Switzerland</v>
      </c>
      <c r="AQN15" s="319" t="str">
        <f ca="1">IF(AND(OFFSET('Player Game Board'!P22,0,AQK1)&lt;&gt;"",OFFSET('Player Game Board'!Q22,0,AQK1)&lt;&gt;""),IF(AQK15&gt;AQL15,"W",IF(AQK15=AQL15,"D","L")),"")</f>
        <v>D</v>
      </c>
      <c r="AQO15" s="319" t="str">
        <f t="shared" ca="1" si="100"/>
        <v>D</v>
      </c>
      <c r="AQP15" s="319"/>
      <c r="AQQ15" s="319"/>
      <c r="AQR15" s="324" t="s">
        <v>105</v>
      </c>
      <c r="AQS15" s="325" t="s">
        <v>106</v>
      </c>
      <c r="AQT15" s="325" t="s">
        <v>107</v>
      </c>
      <c r="AQU15" s="325" t="s">
        <v>110</v>
      </c>
      <c r="AQV15" s="324" t="s">
        <v>105</v>
      </c>
      <c r="AQW15" s="324" t="s">
        <v>110</v>
      </c>
      <c r="AQX15" s="324" t="s">
        <v>106</v>
      </c>
      <c r="AQY15" s="324" t="s">
        <v>107</v>
      </c>
      <c r="AQZ15" s="325"/>
      <c r="ARA15" s="326">
        <f t="shared" ref="ARA15" ca="1" si="4938">IFERROR(MATCH(ARA12,AQR15:AQU15,0),0)</f>
        <v>2</v>
      </c>
      <c r="ARB15" s="326">
        <f t="shared" ref="ARB15" ca="1" si="4939">IFERROR(MATCH(ARB12,AQR15:AQU15,0),0)</f>
        <v>1</v>
      </c>
      <c r="ARC15" s="326">
        <f t="shared" ref="ARC15" ca="1" si="4940">IFERROR(MATCH(ARC12,AQR15:AQU15,0),0)</f>
        <v>4</v>
      </c>
      <c r="ARD15" s="326">
        <f t="shared" ref="ARD15" ca="1" si="4941">IFERROR(MATCH(ARD12,AQR15:AQU15,0),0)</f>
        <v>0</v>
      </c>
      <c r="ARE15" s="326">
        <f t="shared" ca="1" si="3966"/>
        <v>7</v>
      </c>
      <c r="ARF15" s="325"/>
      <c r="ARG15" s="325" t="str">
        <f t="shared" ref="ARG15" ca="1" si="4942">INDEX(AQR3:AQR8,MATCH(3,ARE3:ARE8,0),0)</f>
        <v>Türkiye</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2</v>
      </c>
      <c r="AVJ15" s="322">
        <f ca="1">IF(OFFSET('Player Game Board'!Q22,0,AVI1)&lt;&gt;"",OFFSET('Player Game Board'!Q22,0,AVI1),0)</f>
        <v>3</v>
      </c>
      <c r="AVK15" s="319" t="str">
        <f t="shared" si="115"/>
        <v>Switzerland</v>
      </c>
      <c r="AVL15" s="319" t="str">
        <f ca="1">IF(AND(OFFSET('Player Game Board'!P22,0,AVI1)&lt;&gt;"",OFFSET('Player Game Board'!Q22,0,AVI1)&lt;&gt;""),IF(AVI15&gt;AVJ15,"W",IF(AVI15=AVJ15,"D","L")),"")</f>
        <v>L</v>
      </c>
      <c r="AVM15" s="319" t="str">
        <f t="shared" ca="1" si="116"/>
        <v>W</v>
      </c>
      <c r="AVN15" s="319"/>
      <c r="AVO15" s="319"/>
      <c r="AVP15" s="324" t="s">
        <v>105</v>
      </c>
      <c r="AVQ15" s="325" t="s">
        <v>106</v>
      </c>
      <c r="AVR15" s="325" t="s">
        <v>107</v>
      </c>
      <c r="AVS15" s="325" t="s">
        <v>110</v>
      </c>
      <c r="AVT15" s="324" t="s">
        <v>105</v>
      </c>
      <c r="AVU15" s="324" t="s">
        <v>110</v>
      </c>
      <c r="AVV15" s="324" t="s">
        <v>106</v>
      </c>
      <c r="AVW15" s="324" t="s">
        <v>107</v>
      </c>
      <c r="AVX15" s="325"/>
      <c r="AVY15" s="326">
        <f t="shared" ref="AVY15" ca="1" si="4943">IFERROR(MATCH(AVY12,AVP15:AVS15,0),0)</f>
        <v>2</v>
      </c>
      <c r="AVZ15" s="326">
        <f t="shared" ref="AVZ15" ca="1" si="4944">IFERROR(MATCH(AVZ12,AVP15:AVS15,0),0)</f>
        <v>0</v>
      </c>
      <c r="AWA15" s="326">
        <f t="shared" ref="AWA15" ca="1" si="4945">IFERROR(MATCH(AWA12,AVP15:AVS15,0),0)</f>
        <v>1</v>
      </c>
      <c r="AWB15" s="326">
        <f t="shared" ref="AWB15" ca="1" si="4946">IFERROR(MATCH(AWB12,AVP15:AVS15,0),0)</f>
        <v>3</v>
      </c>
      <c r="AWC15" s="326">
        <f t="shared" ca="1" si="4036"/>
        <v>6</v>
      </c>
      <c r="AWD15" s="325"/>
      <c r="AWE15" s="325" t="str">
        <f t="shared" ref="AWE15" ca="1" si="4947">INDEX(AVP3:AVP8,MATCH(3,AWC3:AWC8,0),0)</f>
        <v>Scotland</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2</v>
      </c>
      <c r="BAH15" s="322">
        <f ca="1">IF(OFFSET('Player Game Board'!Q22,0,BAG1)&lt;&gt;"",OFFSET('Player Game Board'!Q22,0,BAG1),0)</f>
        <v>1</v>
      </c>
      <c r="BAI15" s="319" t="str">
        <f t="shared" si="131"/>
        <v>Switzerland</v>
      </c>
      <c r="BAJ15" s="319" t="str">
        <f ca="1">IF(AND(OFFSET('Player Game Board'!P22,0,BAG1)&lt;&gt;"",OFFSET('Player Game Board'!Q22,0,BAG1)&lt;&gt;""),IF(BAG15&gt;BAH15,"W",IF(BAG15=BAH15,"D","L")),"")</f>
        <v>W</v>
      </c>
      <c r="BAK15" s="319" t="str">
        <f t="shared" ca="1" si="132"/>
        <v>L</v>
      </c>
      <c r="BAL15" s="319"/>
      <c r="BAM15" s="319"/>
      <c r="BAN15" s="324" t="s">
        <v>105</v>
      </c>
      <c r="BAO15" s="325" t="s">
        <v>106</v>
      </c>
      <c r="BAP15" s="325" t="s">
        <v>107</v>
      </c>
      <c r="BAQ15" s="325" t="s">
        <v>110</v>
      </c>
      <c r="BAR15" s="324" t="s">
        <v>105</v>
      </c>
      <c r="BAS15" s="324" t="s">
        <v>110</v>
      </c>
      <c r="BAT15" s="324" t="s">
        <v>106</v>
      </c>
      <c r="BAU15" s="324" t="s">
        <v>107</v>
      </c>
      <c r="BAV15" s="325"/>
      <c r="BAW15" s="326">
        <f t="shared" ref="BAW15" ca="1" si="4948">IFERROR(MATCH(BAW12,BAN15:BAQ15,0),0)</f>
        <v>1</v>
      </c>
      <c r="BAX15" s="326">
        <f t="shared" ref="BAX15" ca="1" si="4949">IFERROR(MATCH(BAX12,BAN15:BAQ15,0),0)</f>
        <v>2</v>
      </c>
      <c r="BAY15" s="326">
        <f t="shared" ref="BAY15" ca="1" si="4950">IFERROR(MATCH(BAY12,BAN15:BAQ15,0),0)</f>
        <v>0</v>
      </c>
      <c r="BAZ15" s="326">
        <f t="shared" ref="BAZ15" ca="1" si="4951">IFERROR(MATCH(BAZ12,BAN15:BAQ15,0),0)</f>
        <v>4</v>
      </c>
      <c r="BBA15" s="326">
        <f t="shared" ca="1" si="4106"/>
        <v>7</v>
      </c>
      <c r="BBB15" s="325"/>
      <c r="BBC15" s="325" t="str">
        <f t="shared" ref="BBC15" ca="1" si="4952">INDEX(BAN3:BAN8,MATCH(3,BBA3:BBA8,0),0)</f>
        <v>Romania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105</v>
      </c>
      <c r="BFM15" s="325" t="s">
        <v>106</v>
      </c>
      <c r="BFN15" s="325" t="s">
        <v>107</v>
      </c>
      <c r="BFO15" s="325" t="s">
        <v>110</v>
      </c>
      <c r="BFP15" s="324" t="s">
        <v>105</v>
      </c>
      <c r="BFQ15" s="324" t="s">
        <v>110</v>
      </c>
      <c r="BFR15" s="324" t="s">
        <v>106</v>
      </c>
      <c r="BFS15" s="324" t="s">
        <v>107</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361</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105</v>
      </c>
      <c r="DI16" s="325" t="s">
        <v>106</v>
      </c>
      <c r="DJ16" s="325" t="s">
        <v>108</v>
      </c>
      <c r="DK16" s="325" t="s">
        <v>109</v>
      </c>
      <c r="DL16" s="324" t="s">
        <v>108</v>
      </c>
      <c r="DM16" s="324" t="s">
        <v>109</v>
      </c>
      <c r="DN16" s="324" t="s">
        <v>105</v>
      </c>
      <c r="DO16" s="324" t="s">
        <v>106</v>
      </c>
      <c r="DP16" s="325"/>
      <c r="DQ16" s="326">
        <f>IFERROR(MATCH(DQ12,DH16:DK16,0),0)</f>
        <v>0</v>
      </c>
      <c r="DR16" s="326">
        <f>IFERROR(MATCH(DR12,DH16:DK16,0),0)</f>
        <v>2</v>
      </c>
      <c r="DS16" s="326">
        <f>IFERROR(MATCH(DS12,DH16:DK16,0),0)</f>
        <v>1</v>
      </c>
      <c r="DT16" s="326">
        <f>IFERROR(MATCH(DT12,DH16:DK16,0),0)</f>
        <v>0</v>
      </c>
      <c r="DU16" s="326">
        <f t="shared" si="3541"/>
        <v>3</v>
      </c>
      <c r="DV16" s="325"/>
      <c r="DW16" s="325" t="str">
        <f>INDEX(DH3:DH8,MATCH(4,DU3:DU8,0),0)</f>
        <v>Czechia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1</v>
      </c>
      <c r="IA16" s="319" t="str">
        <f t="shared" si="165"/>
        <v>Hungary</v>
      </c>
      <c r="IB16" s="319" t="str">
        <f ca="1">IF(AND(OFFSET('Player Game Board'!P23,0,HY1)&lt;&gt;"",OFFSET('Player Game Board'!Q23,0,HY1)&lt;&gt;""),IF(HY16&gt;HZ16,"W",IF(HY16=HZ16,"D","L")),"")</f>
        <v>W</v>
      </c>
      <c r="IC16" s="319" t="str">
        <f t="shared" ca="1" si="166"/>
        <v>L</v>
      </c>
      <c r="ID16" s="319"/>
      <c r="IE16" s="319"/>
      <c r="IF16" s="324" t="s">
        <v>105</v>
      </c>
      <c r="IG16" s="325" t="s">
        <v>106</v>
      </c>
      <c r="IH16" s="325" t="s">
        <v>108</v>
      </c>
      <c r="II16" s="325" t="s">
        <v>109</v>
      </c>
      <c r="IJ16" s="324" t="s">
        <v>108</v>
      </c>
      <c r="IK16" s="324" t="s">
        <v>109</v>
      </c>
      <c r="IL16" s="324" t="s">
        <v>105</v>
      </c>
      <c r="IM16" s="324" t="s">
        <v>106</v>
      </c>
      <c r="IN16" s="325"/>
      <c r="IO16" s="326">
        <f ca="1">IFERROR(MATCH(IO12,IF16:II16,0),0)</f>
        <v>2</v>
      </c>
      <c r="IP16" s="326">
        <f ca="1">IFERROR(MATCH(IP12,IF16:II16,0),0)</f>
        <v>0</v>
      </c>
      <c r="IQ16" s="326">
        <f ca="1">IFERROR(MATCH(IQ12,IF16:II16,0),0)</f>
        <v>1</v>
      </c>
      <c r="IR16" s="326">
        <f ca="1">IFERROR(MATCH(IR12,IF16:II16,0),0)</f>
        <v>0</v>
      </c>
      <c r="IS16" s="326">
        <f t="shared" ca="1" si="3544"/>
        <v>3</v>
      </c>
      <c r="IT16" s="325"/>
      <c r="IU16" s="325" t="str">
        <f ca="1">INDEX(IF3:IF8,MATCH(4,IS3:IS8,0),0)</f>
        <v>Serbia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3</v>
      </c>
      <c r="MX16" s="322">
        <f ca="1">IF(OFFSET('Player Game Board'!Q23,0,MW1)&lt;&gt;"",OFFSET('Player Game Board'!Q23,0,MW1),0)</f>
        <v>1</v>
      </c>
      <c r="MY16" s="319" t="str">
        <f t="shared" si="171"/>
        <v>Hungary</v>
      </c>
      <c r="MZ16" s="319" t="str">
        <f ca="1">IF(AND(OFFSET('Player Game Board'!P23,0,MW1)&lt;&gt;"",OFFSET('Player Game Board'!Q23,0,MW1)&lt;&gt;""),IF(MW16&gt;MX16,"W",IF(MW16=MX16,"D","L")),"")</f>
        <v>W</v>
      </c>
      <c r="NA16" s="319" t="str">
        <f t="shared" ca="1" si="172"/>
        <v>L</v>
      </c>
      <c r="NB16" s="319"/>
      <c r="NC16" s="319"/>
      <c r="ND16" s="324" t="s">
        <v>105</v>
      </c>
      <c r="NE16" s="325" t="s">
        <v>106</v>
      </c>
      <c r="NF16" s="325" t="s">
        <v>108</v>
      </c>
      <c r="NG16" s="325" t="s">
        <v>109</v>
      </c>
      <c r="NH16" s="324" t="s">
        <v>108</v>
      </c>
      <c r="NI16" s="324" t="s">
        <v>109</v>
      </c>
      <c r="NJ16" s="324" t="s">
        <v>105</v>
      </c>
      <c r="NK16" s="324" t="s">
        <v>106</v>
      </c>
      <c r="NL16" s="325"/>
      <c r="NM16" s="326">
        <f ca="1">IFERROR(MATCH(NM12,ND16:NG16,0),0)</f>
        <v>2</v>
      </c>
      <c r="NN16" s="326">
        <f ca="1">IFERROR(MATCH(NN12,ND16:NG16,0),0)</f>
        <v>4</v>
      </c>
      <c r="NO16" s="326">
        <f ca="1">IFERROR(MATCH(NO12,ND16:NG16,0),0)</f>
        <v>1</v>
      </c>
      <c r="NP16" s="326">
        <f ca="1">IFERROR(MATCH(NP12,ND16:NG16,0),0)</f>
        <v>3</v>
      </c>
      <c r="NQ16" s="326">
        <f t="shared" ca="1" si="3547"/>
        <v>10</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105</v>
      </c>
      <c r="SC16" s="325" t="s">
        <v>106</v>
      </c>
      <c r="SD16" s="325" t="s">
        <v>108</v>
      </c>
      <c r="SE16" s="325" t="s">
        <v>109</v>
      </c>
      <c r="SF16" s="324" t="s">
        <v>108</v>
      </c>
      <c r="SG16" s="324" t="s">
        <v>109</v>
      </c>
      <c r="SH16" s="324" t="s">
        <v>105</v>
      </c>
      <c r="SI16" s="324" t="s">
        <v>106</v>
      </c>
      <c r="SJ16" s="325"/>
      <c r="SK16" s="326">
        <f t="shared" ref="SK16" ca="1" si="4958">IFERROR(MATCH(SK12,SB16:SE16,0),0)</f>
        <v>2</v>
      </c>
      <c r="SL16" s="326">
        <f t="shared" ref="SL16" ca="1" si="4959">IFERROR(MATCH(SL12,SB16:SE16,0),0)</f>
        <v>3</v>
      </c>
      <c r="SM16" s="326">
        <f t="shared" ref="SM16" ca="1" si="4960">IFERROR(MATCH(SM12,SB16:SE16,0),0)</f>
        <v>0</v>
      </c>
      <c r="SN16" s="326">
        <f t="shared" ref="SN16" ca="1" si="4961">IFERROR(MATCH(SN12,SB16:SE16,0),0)</f>
        <v>4</v>
      </c>
      <c r="SO16" s="326">
        <f t="shared" ca="1" si="3616"/>
        <v>9</v>
      </c>
      <c r="SP16" s="325"/>
      <c r="SQ16" s="325" t="str">
        <f t="shared" ref="SQ16" ca="1" si="4962">INDEX(SB3:SB8,MATCH(4,SO3:SO8,0),0)</f>
        <v>Slovakia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2</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105</v>
      </c>
      <c r="XA16" s="325" t="s">
        <v>106</v>
      </c>
      <c r="XB16" s="325" t="s">
        <v>108</v>
      </c>
      <c r="XC16" s="325" t="s">
        <v>109</v>
      </c>
      <c r="XD16" s="324" t="s">
        <v>108</v>
      </c>
      <c r="XE16" s="324" t="s">
        <v>109</v>
      </c>
      <c r="XF16" s="324" t="s">
        <v>105</v>
      </c>
      <c r="XG16" s="324" t="s">
        <v>106</v>
      </c>
      <c r="XH16" s="325"/>
      <c r="XI16" s="326">
        <f t="shared" ref="XI16" ca="1" si="4963">IFERROR(MATCH(XI12,WZ16:XC16,0),0)</f>
        <v>2</v>
      </c>
      <c r="XJ16" s="326">
        <f t="shared" ref="XJ16" ca="1" si="4964">IFERROR(MATCH(XJ12,WZ16:XC16,0),0)</f>
        <v>0</v>
      </c>
      <c r="XK16" s="326">
        <f t="shared" ref="XK16" ca="1" si="4965">IFERROR(MATCH(XK12,WZ16:XC16,0),0)</f>
        <v>0</v>
      </c>
      <c r="XL16" s="326">
        <f t="shared" ref="XL16" ca="1" si="4966">IFERROR(MATCH(XL12,WZ16:XC16,0),0)</f>
        <v>3</v>
      </c>
      <c r="XM16" s="326">
        <f t="shared" ca="1" si="3686"/>
        <v>5</v>
      </c>
      <c r="XN16" s="325"/>
      <c r="XO16" s="325" t="str">
        <f t="shared" ref="XO16" ca="1" si="4967">INDEX(WZ3:WZ8,MATCH(4,XM3:XM8,0),0)</f>
        <v>Poland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105</v>
      </c>
      <c r="ABY16" s="325" t="s">
        <v>106</v>
      </c>
      <c r="ABZ16" s="325" t="s">
        <v>108</v>
      </c>
      <c r="ACA16" s="325" t="s">
        <v>109</v>
      </c>
      <c r="ACB16" s="324" t="s">
        <v>108</v>
      </c>
      <c r="ACC16" s="324" t="s">
        <v>109</v>
      </c>
      <c r="ACD16" s="324" t="s">
        <v>105</v>
      </c>
      <c r="ACE16" s="324" t="s">
        <v>106</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1</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105</v>
      </c>
      <c r="AGW16" s="325" t="s">
        <v>106</v>
      </c>
      <c r="AGX16" s="325" t="s">
        <v>108</v>
      </c>
      <c r="AGY16" s="325" t="s">
        <v>109</v>
      </c>
      <c r="AGZ16" s="324" t="s">
        <v>108</v>
      </c>
      <c r="AHA16" s="324" t="s">
        <v>109</v>
      </c>
      <c r="AHB16" s="324" t="s">
        <v>105</v>
      </c>
      <c r="AHC16" s="324" t="s">
        <v>106</v>
      </c>
      <c r="AHD16" s="325"/>
      <c r="AHE16" s="326">
        <f t="shared" ref="AHE16" ca="1" si="4973">IFERROR(MATCH(AHE12,AGV16:AGY16,0),0)</f>
        <v>2</v>
      </c>
      <c r="AHF16" s="326">
        <f t="shared" ref="AHF16" ca="1" si="4974">IFERROR(MATCH(AHF12,AGV16:AGY16,0),0)</f>
        <v>0</v>
      </c>
      <c r="AHG16" s="326">
        <f t="shared" ref="AHG16" ca="1" si="4975">IFERROR(MATCH(AHG12,AGV16:AGY16,0),0)</f>
        <v>3</v>
      </c>
      <c r="AHH16" s="326">
        <f t="shared" ref="AHH16" ca="1" si="4976">IFERROR(MATCH(AHH12,AGV16:AGY16,0),0)</f>
        <v>0</v>
      </c>
      <c r="AHI16" s="326">
        <f t="shared" ca="1" si="3826"/>
        <v>5</v>
      </c>
      <c r="AHJ16" s="325"/>
      <c r="AHK16" s="325" t="str">
        <f t="shared" ref="AHK16" ca="1" si="4977">INDEX(AGV3:AGV8,MATCH(4,AHI3:AHI8,0),0)</f>
        <v>Portugal</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1</v>
      </c>
      <c r="ALO16" s="319" t="str">
        <f t="shared" si="83"/>
        <v>Hungary</v>
      </c>
      <c r="ALP16" s="319" t="str">
        <f ca="1">IF(AND(OFFSET('Player Game Board'!P23,0,ALM1)&lt;&gt;"",OFFSET('Player Game Board'!Q23,0,ALM1)&lt;&gt;""),IF(ALM16&gt;ALN16,"W",IF(ALM16=ALN16,"D","L")),"")</f>
        <v>W</v>
      </c>
      <c r="ALQ16" s="319" t="str">
        <f t="shared" ca="1" si="84"/>
        <v>L</v>
      </c>
      <c r="ALR16" s="319"/>
      <c r="ALS16" s="319"/>
      <c r="ALT16" s="324" t="s">
        <v>105</v>
      </c>
      <c r="ALU16" s="325" t="s">
        <v>106</v>
      </c>
      <c r="ALV16" s="325" t="s">
        <v>108</v>
      </c>
      <c r="ALW16" s="325" t="s">
        <v>109</v>
      </c>
      <c r="ALX16" s="324" t="s">
        <v>108</v>
      </c>
      <c r="ALY16" s="324" t="s">
        <v>109</v>
      </c>
      <c r="ALZ16" s="324" t="s">
        <v>105</v>
      </c>
      <c r="AMA16" s="324" t="s">
        <v>106</v>
      </c>
      <c r="AMB16" s="325"/>
      <c r="AMC16" s="326">
        <f t="shared" ref="AMC16" ca="1" si="4978">IFERROR(MATCH(AMC12,ALT16:ALW16,0),0)</f>
        <v>4</v>
      </c>
      <c r="AMD16" s="326">
        <f t="shared" ref="AMD16" ca="1" si="4979">IFERROR(MATCH(AMD12,ALT16:ALW16,0),0)</f>
        <v>2</v>
      </c>
      <c r="AME16" s="326">
        <f t="shared" ref="AME16" ca="1" si="4980">IFERROR(MATCH(AME12,ALT16:ALW16,0),0)</f>
        <v>3</v>
      </c>
      <c r="AMF16" s="326">
        <f t="shared" ref="AMF16" ca="1" si="4981">IFERROR(MATCH(AMF12,ALT16:ALW16,0),0)</f>
        <v>0</v>
      </c>
      <c r="AMG16" s="326">
        <f t="shared" ca="1" si="3896"/>
        <v>9</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1</v>
      </c>
      <c r="AQL16" s="322">
        <f ca="1">IF(OFFSET('Player Game Board'!Q23,0,AQK1)&lt;&gt;"",OFFSET('Player Game Board'!Q23,0,AQK1),0)</f>
        <v>0</v>
      </c>
      <c r="AQM16" s="319" t="str">
        <f t="shared" si="99"/>
        <v>Hungary</v>
      </c>
      <c r="AQN16" s="319" t="str">
        <f ca="1">IF(AND(OFFSET('Player Game Board'!P23,0,AQK1)&lt;&gt;"",OFFSET('Player Game Board'!Q23,0,AQK1)&lt;&gt;""),IF(AQK16&gt;AQL16,"W",IF(AQK16=AQL16,"D","L")),"")</f>
        <v>W</v>
      </c>
      <c r="AQO16" s="319" t="str">
        <f t="shared" ca="1" si="100"/>
        <v>L</v>
      </c>
      <c r="AQP16" s="319"/>
      <c r="AQQ16" s="319"/>
      <c r="AQR16" s="324" t="s">
        <v>105</v>
      </c>
      <c r="AQS16" s="325" t="s">
        <v>106</v>
      </c>
      <c r="AQT16" s="325" t="s">
        <v>108</v>
      </c>
      <c r="AQU16" s="325" t="s">
        <v>109</v>
      </c>
      <c r="AQV16" s="324" t="s">
        <v>108</v>
      </c>
      <c r="AQW16" s="324" t="s">
        <v>109</v>
      </c>
      <c r="AQX16" s="324" t="s">
        <v>105</v>
      </c>
      <c r="AQY16" s="324" t="s">
        <v>106</v>
      </c>
      <c r="AQZ16" s="325"/>
      <c r="ARA16" s="326">
        <f t="shared" ref="ARA16" ca="1" si="4983">IFERROR(MATCH(ARA12,AQR16:AQU16,0),0)</f>
        <v>2</v>
      </c>
      <c r="ARB16" s="326">
        <f t="shared" ref="ARB16" ca="1" si="4984">IFERROR(MATCH(ARB12,AQR16:AQU16,0),0)</f>
        <v>1</v>
      </c>
      <c r="ARC16" s="326">
        <f t="shared" ref="ARC16" ca="1" si="4985">IFERROR(MATCH(ARC12,AQR16:AQU16,0),0)</f>
        <v>0</v>
      </c>
      <c r="ARD16" s="326">
        <f t="shared" ref="ARD16" ca="1" si="4986">IFERROR(MATCH(ARD12,AQR16:AQU16,0),0)</f>
        <v>4</v>
      </c>
      <c r="ARE16" s="326">
        <f t="shared" ca="1" si="3966"/>
        <v>7</v>
      </c>
      <c r="ARF16" s="325"/>
      <c r="ARG16" s="325" t="str">
        <f t="shared" ref="ARG16" ca="1" si="4987">INDEX(AQR3:AQR8,MATCH(4,ARE3:ARE8,0),0)</f>
        <v>Ukraine</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1</v>
      </c>
      <c r="AVJ16" s="322">
        <f ca="1">IF(OFFSET('Player Game Board'!Q23,0,AVI1)&lt;&gt;"",OFFSET('Player Game Board'!Q23,0,AVI1),0)</f>
        <v>1</v>
      </c>
      <c r="AVK16" s="319" t="str">
        <f t="shared" si="115"/>
        <v>Hungary</v>
      </c>
      <c r="AVL16" s="319" t="str">
        <f ca="1">IF(AND(OFFSET('Player Game Board'!P23,0,AVI1)&lt;&gt;"",OFFSET('Player Game Board'!Q23,0,AVI1)&lt;&gt;""),IF(AVI16&gt;AVJ16,"W",IF(AVI16=AVJ16,"D","L")),"")</f>
        <v>D</v>
      </c>
      <c r="AVM16" s="319" t="str">
        <f t="shared" ca="1" si="116"/>
        <v>D</v>
      </c>
      <c r="AVN16" s="319"/>
      <c r="AVO16" s="319"/>
      <c r="AVP16" s="324" t="s">
        <v>105</v>
      </c>
      <c r="AVQ16" s="325" t="s">
        <v>106</v>
      </c>
      <c r="AVR16" s="325" t="s">
        <v>108</v>
      </c>
      <c r="AVS16" s="325" t="s">
        <v>109</v>
      </c>
      <c r="AVT16" s="324" t="s">
        <v>108</v>
      </c>
      <c r="AVU16" s="324" t="s">
        <v>109</v>
      </c>
      <c r="AVV16" s="324" t="s">
        <v>105</v>
      </c>
      <c r="AVW16" s="324" t="s">
        <v>106</v>
      </c>
      <c r="AVX16" s="325"/>
      <c r="AVY16" s="326">
        <f t="shared" ref="AVY16" ca="1" si="4988">IFERROR(MATCH(AVY12,AVP16:AVS16,0),0)</f>
        <v>2</v>
      </c>
      <c r="AVZ16" s="326">
        <f t="shared" ref="AVZ16" ca="1" si="4989">IFERROR(MATCH(AVZ12,AVP16:AVS16,0),0)</f>
        <v>4</v>
      </c>
      <c r="AWA16" s="326">
        <f t="shared" ref="AWA16" ca="1" si="4990">IFERROR(MATCH(AWA12,AVP16:AVS16,0),0)</f>
        <v>1</v>
      </c>
      <c r="AWB16" s="326">
        <f t="shared" ref="AWB16" ca="1" si="4991">IFERROR(MATCH(AWB12,AVP16:AVS16,0),0)</f>
        <v>0</v>
      </c>
      <c r="AWC16" s="326">
        <f t="shared" ca="1" si="4036"/>
        <v>7</v>
      </c>
      <c r="AWD16" s="325"/>
      <c r="AWE16" s="325" t="str">
        <f t="shared" ref="AWE16" ca="1" si="4992">INDEX(AVP3:AVP8,MATCH(4,AWC3:AWC8,0),0)</f>
        <v>England</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3</v>
      </c>
      <c r="BAH16" s="322">
        <f ca="1">IF(OFFSET('Player Game Board'!Q23,0,BAG1)&lt;&gt;"",OFFSET('Player Game Board'!Q23,0,BAG1),0)</f>
        <v>2</v>
      </c>
      <c r="BAI16" s="319" t="str">
        <f t="shared" si="131"/>
        <v>Hungary</v>
      </c>
      <c r="BAJ16" s="319" t="str">
        <f ca="1">IF(AND(OFFSET('Player Game Board'!P23,0,BAG1)&lt;&gt;"",OFFSET('Player Game Board'!Q23,0,BAG1)&lt;&gt;""),IF(BAG16&gt;BAH16,"W",IF(BAG16=BAH16,"D","L")),"")</f>
        <v>W</v>
      </c>
      <c r="BAK16" s="319" t="str">
        <f t="shared" ca="1" si="132"/>
        <v>L</v>
      </c>
      <c r="BAL16" s="319"/>
      <c r="BAM16" s="319"/>
      <c r="BAN16" s="324" t="s">
        <v>105</v>
      </c>
      <c r="BAO16" s="325" t="s">
        <v>106</v>
      </c>
      <c r="BAP16" s="325" t="s">
        <v>108</v>
      </c>
      <c r="BAQ16" s="325" t="s">
        <v>109</v>
      </c>
      <c r="BAR16" s="324" t="s">
        <v>108</v>
      </c>
      <c r="BAS16" s="324" t="s">
        <v>109</v>
      </c>
      <c r="BAT16" s="324" t="s">
        <v>105</v>
      </c>
      <c r="BAU16" s="324" t="s">
        <v>106</v>
      </c>
      <c r="BAV16" s="325"/>
      <c r="BAW16" s="326">
        <f t="shared" ref="BAW16" ca="1" si="4993">IFERROR(MATCH(BAW12,BAN16:BAQ16,0),0)</f>
        <v>1</v>
      </c>
      <c r="BAX16" s="326">
        <f t="shared" ref="BAX16" ca="1" si="4994">IFERROR(MATCH(BAX12,BAN16:BAQ16,0),0)</f>
        <v>2</v>
      </c>
      <c r="BAY16" s="326">
        <f t="shared" ref="BAY16" ca="1" si="4995">IFERROR(MATCH(BAY12,BAN16:BAQ16,0),0)</f>
        <v>4</v>
      </c>
      <c r="BAZ16" s="326">
        <f t="shared" ref="BAZ16" ca="1" si="4996">IFERROR(MATCH(BAZ12,BAN16:BAQ16,0),0)</f>
        <v>0</v>
      </c>
      <c r="BBA16" s="326">
        <f t="shared" ca="1" si="4106"/>
        <v>7</v>
      </c>
      <c r="BBB16" s="325"/>
      <c r="BBC16" s="325" t="str">
        <f t="shared" ref="BBC16" ca="1" si="4997">INDEX(BAN3:BAN8,MATCH(4,BBA3:BBA8,0),0)</f>
        <v>Georgia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105</v>
      </c>
      <c r="BFM16" s="325" t="s">
        <v>106</v>
      </c>
      <c r="BFN16" s="325" t="s">
        <v>108</v>
      </c>
      <c r="BFO16" s="325" t="s">
        <v>109</v>
      </c>
      <c r="BFP16" s="324" t="s">
        <v>108</v>
      </c>
      <c r="BFQ16" s="324" t="s">
        <v>109</v>
      </c>
      <c r="BFR16" s="324" t="s">
        <v>105</v>
      </c>
      <c r="BFS16" s="324" t="s">
        <v>106</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105</v>
      </c>
      <c r="DI17" s="325" t="s">
        <v>106</v>
      </c>
      <c r="DJ17" s="325" t="s">
        <v>108</v>
      </c>
      <c r="DK17" s="325" t="s">
        <v>110</v>
      </c>
      <c r="DL17" s="324" t="s">
        <v>108</v>
      </c>
      <c r="DM17" s="324" t="s">
        <v>110</v>
      </c>
      <c r="DN17" s="324" t="s">
        <v>105</v>
      </c>
      <c r="DO17" s="324" t="s">
        <v>106</v>
      </c>
      <c r="DP17" s="325"/>
      <c r="DQ17" s="326">
        <f>IFERROR(MATCH(DQ12,DH17:DK17,0),0)</f>
        <v>0</v>
      </c>
      <c r="DR17" s="326">
        <f>IFERROR(MATCH(DR12,DH17:DK17,0),0)</f>
        <v>2</v>
      </c>
      <c r="DS17" s="326">
        <f>IFERROR(MATCH(DS12,DH17:DK17,0),0)</f>
        <v>1</v>
      </c>
      <c r="DT17" s="326">
        <f>IFERROR(MATCH(DT12,DH17:DK17,0),0)</f>
        <v>4</v>
      </c>
      <c r="DU17" s="326">
        <f t="shared" si="3541"/>
        <v>7</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105</v>
      </c>
      <c r="IG17" s="325" t="s">
        <v>106</v>
      </c>
      <c r="IH17" s="325" t="s">
        <v>108</v>
      </c>
      <c r="II17" s="325" t="s">
        <v>110</v>
      </c>
      <c r="IJ17" s="324" t="s">
        <v>108</v>
      </c>
      <c r="IK17" s="324" t="s">
        <v>110</v>
      </c>
      <c r="IL17" s="324" t="s">
        <v>105</v>
      </c>
      <c r="IM17" s="324" t="s">
        <v>106</v>
      </c>
      <c r="IN17" s="325"/>
      <c r="IO17" s="326">
        <f ca="1">IFERROR(MATCH(IO12,IF17:II17,0),0)</f>
        <v>2</v>
      </c>
      <c r="IP17" s="326">
        <f ca="1">IFERROR(MATCH(IP12,IF17:II17,0),0)</f>
        <v>4</v>
      </c>
      <c r="IQ17" s="326">
        <f ca="1">IFERROR(MATCH(IQ12,IF17:II17,0),0)</f>
        <v>1</v>
      </c>
      <c r="IR17" s="326">
        <f ca="1">IFERROR(MATCH(IR12,IF17:II17,0),0)</f>
        <v>0</v>
      </c>
      <c r="IS17" s="326">
        <f t="shared" ca="1" si="3544"/>
        <v>7</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105</v>
      </c>
      <c r="NE17" s="325" t="s">
        <v>106</v>
      </c>
      <c r="NF17" s="325" t="s">
        <v>108</v>
      </c>
      <c r="NG17" s="325" t="s">
        <v>110</v>
      </c>
      <c r="NH17" s="324" t="s">
        <v>108</v>
      </c>
      <c r="NI17" s="324" t="s">
        <v>110</v>
      </c>
      <c r="NJ17" s="324" t="s">
        <v>105</v>
      </c>
      <c r="NK17" s="324" t="s">
        <v>106</v>
      </c>
      <c r="NL17" s="325"/>
      <c r="NM17" s="326">
        <f ca="1">IFERROR(MATCH(NM12,ND17:NG17,0),0)</f>
        <v>2</v>
      </c>
      <c r="NN17" s="326">
        <f ca="1">IFERROR(MATCH(NN12,ND17:NG17,0),0)</f>
        <v>0</v>
      </c>
      <c r="NO17" s="326">
        <f ca="1">IFERROR(MATCH(NO12,ND17:NG17,0),0)</f>
        <v>1</v>
      </c>
      <c r="NP17" s="326">
        <f ca="1">IFERROR(MATCH(NP12,ND17:NG17,0),0)</f>
        <v>3</v>
      </c>
      <c r="NQ17" s="326">
        <f t="shared" ca="1" si="3547"/>
        <v>6</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105</v>
      </c>
      <c r="SC17" s="325" t="s">
        <v>106</v>
      </c>
      <c r="SD17" s="325" t="s">
        <v>108</v>
      </c>
      <c r="SE17" s="325" t="s">
        <v>110</v>
      </c>
      <c r="SF17" s="324" t="s">
        <v>108</v>
      </c>
      <c r="SG17" s="324" t="s">
        <v>110</v>
      </c>
      <c r="SH17" s="324" t="s">
        <v>105</v>
      </c>
      <c r="SI17" s="324" t="s">
        <v>106</v>
      </c>
      <c r="SJ17" s="325"/>
      <c r="SK17" s="326">
        <f t="shared" ref="SK17" ca="1" si="5003">IFERROR(MATCH(SK12,SB17:SE17,0),0)</f>
        <v>2</v>
      </c>
      <c r="SL17" s="326">
        <f t="shared" ref="SL17" ca="1" si="5004">IFERROR(MATCH(SL12,SB17:SE17,0),0)</f>
        <v>3</v>
      </c>
      <c r="SM17" s="326">
        <f t="shared" ref="SM17" ca="1" si="5005">IFERROR(MATCH(SM12,SB17:SE17,0),0)</f>
        <v>0</v>
      </c>
      <c r="SN17" s="326">
        <f t="shared" ref="SN17" ca="1" si="5006">IFERROR(MATCH(SN12,SB17:SE17,0),0)</f>
        <v>0</v>
      </c>
      <c r="SO17" s="326">
        <f t="shared" ca="1" si="3616"/>
        <v>5</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1</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105</v>
      </c>
      <c r="XA17" s="325" t="s">
        <v>106</v>
      </c>
      <c r="XB17" s="325" t="s">
        <v>108</v>
      </c>
      <c r="XC17" s="325" t="s">
        <v>110</v>
      </c>
      <c r="XD17" s="324" t="s">
        <v>108</v>
      </c>
      <c r="XE17" s="324" t="s">
        <v>110</v>
      </c>
      <c r="XF17" s="324" t="s">
        <v>105</v>
      </c>
      <c r="XG17" s="324" t="s">
        <v>106</v>
      </c>
      <c r="XH17" s="325"/>
      <c r="XI17" s="326">
        <f t="shared" ref="XI17" ca="1" si="5007">IFERROR(MATCH(XI12,WZ17:XC17,0),0)</f>
        <v>2</v>
      </c>
      <c r="XJ17" s="326">
        <f t="shared" ref="XJ17" ca="1" si="5008">IFERROR(MATCH(XJ12,WZ17:XC17,0),0)</f>
        <v>4</v>
      </c>
      <c r="XK17" s="326">
        <f t="shared" ref="XK17" ca="1" si="5009">IFERROR(MATCH(XK12,WZ17:XC17,0),0)</f>
        <v>0</v>
      </c>
      <c r="XL17" s="326">
        <f t="shared" ref="XL17" ca="1" si="5010">IFERROR(MATCH(XL12,WZ17:XC17,0),0)</f>
        <v>3</v>
      </c>
      <c r="XM17" s="326">
        <f t="shared" ca="1" si="3686"/>
        <v>9</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105</v>
      </c>
      <c r="ABY17" s="325" t="s">
        <v>106</v>
      </c>
      <c r="ABZ17" s="325" t="s">
        <v>108</v>
      </c>
      <c r="ACA17" s="325" t="s">
        <v>110</v>
      </c>
      <c r="ACB17" s="324" t="s">
        <v>108</v>
      </c>
      <c r="ACC17" s="324" t="s">
        <v>110</v>
      </c>
      <c r="ACD17" s="324" t="s">
        <v>105</v>
      </c>
      <c r="ACE17" s="324" t="s">
        <v>106</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4</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105</v>
      </c>
      <c r="AGW17" s="325" t="s">
        <v>106</v>
      </c>
      <c r="AGX17" s="325" t="s">
        <v>108</v>
      </c>
      <c r="AGY17" s="325" t="s">
        <v>110</v>
      </c>
      <c r="AGZ17" s="324" t="s">
        <v>108</v>
      </c>
      <c r="AHA17" s="324" t="s">
        <v>110</v>
      </c>
      <c r="AHB17" s="324" t="s">
        <v>105</v>
      </c>
      <c r="AHC17" s="324" t="s">
        <v>106</v>
      </c>
      <c r="AHD17" s="325"/>
      <c r="AHE17" s="326">
        <f t="shared" ref="AHE17" ca="1" si="5015">IFERROR(MATCH(AHE12,AGV17:AGY17,0),0)</f>
        <v>2</v>
      </c>
      <c r="AHF17" s="326">
        <f t="shared" ref="AHF17" ca="1" si="5016">IFERROR(MATCH(AHF12,AGV17:AGY17,0),0)</f>
        <v>0</v>
      </c>
      <c r="AHG17" s="326">
        <f t="shared" ref="AHG17" ca="1" si="5017">IFERROR(MATCH(AHG12,AGV17:AGY17,0),0)</f>
        <v>3</v>
      </c>
      <c r="AHH17" s="326">
        <f t="shared" ref="AHH17" ca="1" si="5018">IFERROR(MATCH(AHH12,AGV17:AGY17,0),0)</f>
        <v>4</v>
      </c>
      <c r="AHI17" s="326">
        <f t="shared" ca="1" si="3826"/>
        <v>9</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2</v>
      </c>
      <c r="ALN17" s="322">
        <f ca="1">IF(OFFSET('Player Game Board'!Q24,0,ALM1)&lt;&gt;"",OFFSET('Player Game Board'!Q24,0,ALM1),0)</f>
        <v>1</v>
      </c>
      <c r="ALO17" s="319" t="str">
        <f t="shared" si="83"/>
        <v>Albania</v>
      </c>
      <c r="ALP17" s="319" t="str">
        <f ca="1">IF(AND(OFFSET('Player Game Board'!P24,0,ALM1)&lt;&gt;"",OFFSET('Player Game Board'!Q24,0,ALM1)&lt;&gt;""),IF(ALM17&gt;ALN17,"W",IF(ALM17=ALN17,"D","L")),"")</f>
        <v>W</v>
      </c>
      <c r="ALQ17" s="319" t="str">
        <f t="shared" ca="1" si="84"/>
        <v>L</v>
      </c>
      <c r="ALR17" s="319"/>
      <c r="ALS17" s="319"/>
      <c r="ALT17" s="324" t="s">
        <v>105</v>
      </c>
      <c r="ALU17" s="325" t="s">
        <v>106</v>
      </c>
      <c r="ALV17" s="325" t="s">
        <v>108</v>
      </c>
      <c r="ALW17" s="325" t="s">
        <v>110</v>
      </c>
      <c r="ALX17" s="324" t="s">
        <v>108</v>
      </c>
      <c r="ALY17" s="324" t="s">
        <v>110</v>
      </c>
      <c r="ALZ17" s="324" t="s">
        <v>105</v>
      </c>
      <c r="AMA17" s="324" t="s">
        <v>106</v>
      </c>
      <c r="AMB17" s="325"/>
      <c r="AMC17" s="326">
        <f t="shared" ref="AMC17" ca="1" si="5019">IFERROR(MATCH(AMC12,ALT17:ALW17,0),0)</f>
        <v>0</v>
      </c>
      <c r="AMD17" s="326">
        <f t="shared" ref="AMD17" ca="1" si="5020">IFERROR(MATCH(AMD12,ALT17:ALW17,0),0)</f>
        <v>2</v>
      </c>
      <c r="AME17" s="326">
        <f t="shared" ref="AME17" ca="1" si="5021">IFERROR(MATCH(AME12,ALT17:ALW17,0),0)</f>
        <v>3</v>
      </c>
      <c r="AMF17" s="326">
        <f t="shared" ref="AMF17" ca="1" si="5022">IFERROR(MATCH(AMF12,ALT17:ALW17,0),0)</f>
        <v>0</v>
      </c>
      <c r="AMG17" s="326">
        <f t="shared" ca="1" si="3896"/>
        <v>5</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1</v>
      </c>
      <c r="AQL17" s="322">
        <f ca="1">IF(OFFSET('Player Game Board'!Q24,0,AQK1)&lt;&gt;"",OFFSET('Player Game Board'!Q24,0,AQK1),0)</f>
        <v>0</v>
      </c>
      <c r="AQM17" s="319" t="str">
        <f t="shared" si="99"/>
        <v>Albania</v>
      </c>
      <c r="AQN17" s="319" t="str">
        <f ca="1">IF(AND(OFFSET('Player Game Board'!P24,0,AQK1)&lt;&gt;"",OFFSET('Player Game Board'!Q24,0,AQK1)&lt;&gt;""),IF(AQK17&gt;AQL17,"W",IF(AQK17=AQL17,"D","L")),"")</f>
        <v>W</v>
      </c>
      <c r="AQO17" s="319" t="str">
        <f t="shared" ca="1" si="100"/>
        <v>L</v>
      </c>
      <c r="AQP17" s="319"/>
      <c r="AQQ17" s="319"/>
      <c r="AQR17" s="324" t="s">
        <v>105</v>
      </c>
      <c r="AQS17" s="325" t="s">
        <v>106</v>
      </c>
      <c r="AQT17" s="325" t="s">
        <v>108</v>
      </c>
      <c r="AQU17" s="325" t="s">
        <v>110</v>
      </c>
      <c r="AQV17" s="324" t="s">
        <v>108</v>
      </c>
      <c r="AQW17" s="324" t="s">
        <v>110</v>
      </c>
      <c r="AQX17" s="324" t="s">
        <v>105</v>
      </c>
      <c r="AQY17" s="324" t="s">
        <v>106</v>
      </c>
      <c r="AQZ17" s="325"/>
      <c r="ARA17" s="326">
        <f t="shared" ref="ARA17" ca="1" si="5023">IFERROR(MATCH(ARA12,AQR17:AQU17,0),0)</f>
        <v>2</v>
      </c>
      <c r="ARB17" s="326">
        <f t="shared" ref="ARB17" ca="1" si="5024">IFERROR(MATCH(ARB12,AQR17:AQU17,0),0)</f>
        <v>1</v>
      </c>
      <c r="ARC17" s="326">
        <f t="shared" ref="ARC17" ca="1" si="5025">IFERROR(MATCH(ARC12,AQR17:AQU17,0),0)</f>
        <v>4</v>
      </c>
      <c r="ARD17" s="326">
        <f t="shared" ref="ARD17" ca="1" si="5026">IFERROR(MATCH(ARD12,AQR17:AQU17,0),0)</f>
        <v>0</v>
      </c>
      <c r="ARE17" s="326">
        <f t="shared" ca="1" si="3966"/>
        <v>7</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4</v>
      </c>
      <c r="AVJ17" s="322">
        <f ca="1">IF(OFFSET('Player Game Board'!Q24,0,AVI1)&lt;&gt;"",OFFSET('Player Game Board'!Q24,0,AVI1),0)</f>
        <v>0</v>
      </c>
      <c r="AVK17" s="319" t="str">
        <f t="shared" si="115"/>
        <v>Albania</v>
      </c>
      <c r="AVL17" s="319" t="str">
        <f ca="1">IF(AND(OFFSET('Player Game Board'!P24,0,AVI1)&lt;&gt;"",OFFSET('Player Game Board'!Q24,0,AVI1)&lt;&gt;""),IF(AVI17&gt;AVJ17,"W",IF(AVI17=AVJ17,"D","L")),"")</f>
        <v>W</v>
      </c>
      <c r="AVM17" s="319" t="str">
        <f t="shared" ca="1" si="116"/>
        <v>L</v>
      </c>
      <c r="AVN17" s="319"/>
      <c r="AVO17" s="319"/>
      <c r="AVP17" s="324" t="s">
        <v>105</v>
      </c>
      <c r="AVQ17" s="325" t="s">
        <v>106</v>
      </c>
      <c r="AVR17" s="325" t="s">
        <v>108</v>
      </c>
      <c r="AVS17" s="325" t="s">
        <v>110</v>
      </c>
      <c r="AVT17" s="324" t="s">
        <v>108</v>
      </c>
      <c r="AVU17" s="324" t="s">
        <v>110</v>
      </c>
      <c r="AVV17" s="324" t="s">
        <v>105</v>
      </c>
      <c r="AVW17" s="324" t="s">
        <v>106</v>
      </c>
      <c r="AVX17" s="325"/>
      <c r="AVY17" s="326">
        <f t="shared" ref="AVY17" ca="1" si="5027">IFERROR(MATCH(AVY12,AVP17:AVS17,0),0)</f>
        <v>2</v>
      </c>
      <c r="AVZ17" s="326">
        <f t="shared" ref="AVZ17" ca="1" si="5028">IFERROR(MATCH(AVZ12,AVP17:AVS17,0),0)</f>
        <v>0</v>
      </c>
      <c r="AWA17" s="326">
        <f t="shared" ref="AWA17" ca="1" si="5029">IFERROR(MATCH(AWA12,AVP17:AVS17,0),0)</f>
        <v>1</v>
      </c>
      <c r="AWB17" s="326">
        <f t="shared" ref="AWB17" ca="1" si="5030">IFERROR(MATCH(AWB12,AVP17:AVS17,0),0)</f>
        <v>0</v>
      </c>
      <c r="AWC17" s="326">
        <f t="shared" ca="1" si="4036"/>
        <v>3</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3</v>
      </c>
      <c r="BAH17" s="322">
        <f ca="1">IF(OFFSET('Player Game Board'!Q24,0,BAG1)&lt;&gt;"",OFFSET('Player Game Board'!Q24,0,BAG1),0)</f>
        <v>1</v>
      </c>
      <c r="BAI17" s="319" t="str">
        <f t="shared" si="131"/>
        <v>Albania</v>
      </c>
      <c r="BAJ17" s="319" t="str">
        <f ca="1">IF(AND(OFFSET('Player Game Board'!P24,0,BAG1)&lt;&gt;"",OFFSET('Player Game Board'!Q24,0,BAG1)&lt;&gt;""),IF(BAG17&gt;BAH17,"W",IF(BAG17=BAH17,"D","L")),"")</f>
        <v>W</v>
      </c>
      <c r="BAK17" s="319" t="str">
        <f t="shared" ca="1" si="132"/>
        <v>L</v>
      </c>
      <c r="BAL17" s="319"/>
      <c r="BAM17" s="319"/>
      <c r="BAN17" s="324" t="s">
        <v>105</v>
      </c>
      <c r="BAO17" s="325" t="s">
        <v>106</v>
      </c>
      <c r="BAP17" s="325" t="s">
        <v>108</v>
      </c>
      <c r="BAQ17" s="325" t="s">
        <v>110</v>
      </c>
      <c r="BAR17" s="324" t="s">
        <v>108</v>
      </c>
      <c r="BAS17" s="324" t="s">
        <v>110</v>
      </c>
      <c r="BAT17" s="324" t="s">
        <v>105</v>
      </c>
      <c r="BAU17" s="324" t="s">
        <v>106</v>
      </c>
      <c r="BAV17" s="325"/>
      <c r="BAW17" s="326">
        <f t="shared" ref="BAW17" ca="1" si="5031">IFERROR(MATCH(BAW12,BAN17:BAQ17,0),0)</f>
        <v>1</v>
      </c>
      <c r="BAX17" s="326">
        <f t="shared" ref="BAX17" ca="1" si="5032">IFERROR(MATCH(BAX12,BAN17:BAQ17,0),0)</f>
        <v>2</v>
      </c>
      <c r="BAY17" s="326">
        <f t="shared" ref="BAY17" ca="1" si="5033">IFERROR(MATCH(BAY12,BAN17:BAQ17,0),0)</f>
        <v>0</v>
      </c>
      <c r="BAZ17" s="326">
        <f t="shared" ref="BAZ17" ca="1" si="5034">IFERROR(MATCH(BAZ12,BAN17:BAQ17,0),0)</f>
        <v>4</v>
      </c>
      <c r="BBA17" s="326">
        <f t="shared" ca="1" si="4106"/>
        <v>7</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105</v>
      </c>
      <c r="BFM17" s="325" t="s">
        <v>106</v>
      </c>
      <c r="BFN17" s="325" t="s">
        <v>108</v>
      </c>
      <c r="BFO17" s="325" t="s">
        <v>110</v>
      </c>
      <c r="BFP17" s="324" t="s">
        <v>108</v>
      </c>
      <c r="BFQ17" s="324" t="s">
        <v>110</v>
      </c>
      <c r="BFR17" s="324" t="s">
        <v>105</v>
      </c>
      <c r="BFS17" s="324" t="s">
        <v>106</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105</v>
      </c>
      <c r="DI18" s="325" t="s">
        <v>106</v>
      </c>
      <c r="DJ18" s="325" t="s">
        <v>109</v>
      </c>
      <c r="DK18" s="325" t="s">
        <v>110</v>
      </c>
      <c r="DL18" s="324" t="s">
        <v>109</v>
      </c>
      <c r="DM18" s="324" t="s">
        <v>110</v>
      </c>
      <c r="DN18" s="324" t="s">
        <v>106</v>
      </c>
      <c r="DO18" s="324" t="s">
        <v>105</v>
      </c>
      <c r="DP18" s="325"/>
      <c r="DQ18" s="326">
        <f>IFERROR(MATCH(DQ12,DH18:DK18,0),0)</f>
        <v>0</v>
      </c>
      <c r="DR18" s="326">
        <f>IFERROR(MATCH(DR12,DH18:DK18,0),0)</f>
        <v>2</v>
      </c>
      <c r="DS18" s="326">
        <f>IFERROR(MATCH(DS12,DH18:DK18,0),0)</f>
        <v>1</v>
      </c>
      <c r="DT18" s="326">
        <f>IFERROR(MATCH(DT12,DH18:DK18,0),0)</f>
        <v>4</v>
      </c>
      <c r="DU18" s="326">
        <f t="shared" si="3541"/>
        <v>7</v>
      </c>
      <c r="DV18" s="325" t="s">
        <v>362</v>
      </c>
      <c r="DW18" s="325" t="str">
        <f>INDEX(DH3:DH8,MATCH(INDEX(DL13:DL27,MATCH(10,DU13:DU27,0),0),DV3:DV8,0),0)</f>
        <v>Scotland</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3</v>
      </c>
      <c r="EE18" s="319">
        <f ca="1">SUMIF(IA3:IA60,DZ18,HY3:HY60)+SUMIF(HX3:HX60,DZ18,HZ3:HZ60)</f>
        <v>4</v>
      </c>
      <c r="EF18" s="319">
        <f t="shared" ref="EF18:EF21" ca="1" si="5043">ED18-EE18+1000</f>
        <v>999</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1</v>
      </c>
      <c r="HZ18" s="322">
        <f ca="1">IF(OFFSET('Player Game Board'!Q25,0,HY1)&lt;&gt;"",OFFSET('Player Game Board'!Q25,0,HY1),0)</f>
        <v>1</v>
      </c>
      <c r="IA18" s="319" t="str">
        <f t="shared" si="165"/>
        <v>Italy</v>
      </c>
      <c r="IB18" s="319" t="str">
        <f ca="1">IF(AND(OFFSET('Player Game Board'!P25,0,HY1)&lt;&gt;"",OFFSET('Player Game Board'!Q25,0,HY1)&lt;&gt;""),IF(HY18&gt;HZ18,"W",IF(HY18=HZ18,"D","L")),"")</f>
        <v>D</v>
      </c>
      <c r="IC18" s="319" t="str">
        <f t="shared" ca="1" si="166"/>
        <v>D</v>
      </c>
      <c r="ID18" s="319"/>
      <c r="IE18" s="319"/>
      <c r="IF18" s="324" t="s">
        <v>105</v>
      </c>
      <c r="IG18" s="325" t="s">
        <v>106</v>
      </c>
      <c r="IH18" s="325" t="s">
        <v>109</v>
      </c>
      <c r="II18" s="325" t="s">
        <v>110</v>
      </c>
      <c r="IJ18" s="324" t="s">
        <v>109</v>
      </c>
      <c r="IK18" s="324" t="s">
        <v>110</v>
      </c>
      <c r="IL18" s="324" t="s">
        <v>106</v>
      </c>
      <c r="IM18" s="324" t="s">
        <v>105</v>
      </c>
      <c r="IN18" s="325"/>
      <c r="IO18" s="326">
        <f ca="1">IFERROR(MATCH(IO12,IF18:II18,0),0)</f>
        <v>2</v>
      </c>
      <c r="IP18" s="326">
        <f ca="1">IFERROR(MATCH(IP12,IF18:II18,0),0)</f>
        <v>4</v>
      </c>
      <c r="IQ18" s="326">
        <f ca="1">IFERROR(MATCH(IQ12,IF18:II18,0),0)</f>
        <v>1</v>
      </c>
      <c r="IR18" s="326">
        <f ca="1">IFERROR(MATCH(IR12,IF18:II18,0),0)</f>
        <v>0</v>
      </c>
      <c r="IS18" s="326">
        <f t="shared" ca="1" si="3544"/>
        <v>7</v>
      </c>
      <c r="IT18" s="325" t="s">
        <v>362</v>
      </c>
      <c r="IU18" s="325" t="str">
        <f ca="1">INDEX(IF3:IF8,MATCH(INDEX(IJ13:IJ27,MATCH(10,IS13:IS27,0),0),IT3:IT8,0),0)</f>
        <v>Scotland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4</v>
      </c>
      <c r="JC18" s="319">
        <f ca="1">SUMIF(MY3:MY60,IX18,MW3:MW60)+SUMIF(MV3:MV60,IX18,MX3:MX60)</f>
        <v>7</v>
      </c>
      <c r="JD18" s="319">
        <f t="shared" ref="JD18:JD21" ca="1" si="5048">JB18-JC18+1000</f>
        <v>997</v>
      </c>
      <c r="JE18" s="319">
        <f t="shared" ref="JE18:JE21" ca="1" si="5049">IY18*3+IZ18*1</f>
        <v>1</v>
      </c>
      <c r="JF18" s="319">
        <f t="shared" si="618"/>
        <v>35</v>
      </c>
      <c r="JG18" s="319">
        <f ca="1">IF(COUNTIF(JE18:JE22,4)&lt;&gt;4,RANK(JE18,JE18:JE22),JE58)</f>
        <v>4</v>
      </c>
      <c r="JH18" s="319"/>
      <c r="JI18" s="319">
        <f ca="1">SUMPRODUCT((JG18:JG21=JG18)*(JF18:JF21&lt;JF18))+JG18</f>
        <v>4</v>
      </c>
      <c r="JJ18" s="319" t="str">
        <f ca="1">INDEX(IX18:IX22,MATCH(1,JI18:JI22,0),0)</f>
        <v>England</v>
      </c>
      <c r="JK18" s="319">
        <f ca="1">INDEX(JG18:JG22,MATCH(JJ18,IX18:IX22,0),0)</f>
        <v>1</v>
      </c>
      <c r="JL18" s="319" t="str">
        <f ca="1">IF(JK19=1,JJ18,"")</f>
        <v/>
      </c>
      <c r="JM18" s="319" t="str">
        <f ca="1">IF(JK20=2,JJ19,"")</f>
        <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2</v>
      </c>
      <c r="MX18" s="322">
        <f ca="1">IF(OFFSET('Player Game Board'!Q25,0,MW1)&lt;&gt;"",OFFSET('Player Game Board'!Q25,0,MW1),0)</f>
        <v>2</v>
      </c>
      <c r="MY18" s="319" t="str">
        <f t="shared" si="171"/>
        <v>Italy</v>
      </c>
      <c r="MZ18" s="319" t="str">
        <f ca="1">IF(AND(OFFSET('Player Game Board'!P25,0,MW1)&lt;&gt;"",OFFSET('Player Game Board'!Q25,0,MW1)&lt;&gt;""),IF(MW18&gt;MX18,"W",IF(MW18=MX18,"D","L")),"")</f>
        <v>D</v>
      </c>
      <c r="NA18" s="319" t="str">
        <f t="shared" ca="1" si="172"/>
        <v>D</v>
      </c>
      <c r="NB18" s="319"/>
      <c r="NC18" s="319"/>
      <c r="ND18" s="324" t="s">
        <v>105</v>
      </c>
      <c r="NE18" s="325" t="s">
        <v>106</v>
      </c>
      <c r="NF18" s="325" t="s">
        <v>109</v>
      </c>
      <c r="NG18" s="325" t="s">
        <v>110</v>
      </c>
      <c r="NH18" s="324" t="s">
        <v>109</v>
      </c>
      <c r="NI18" s="324" t="s">
        <v>110</v>
      </c>
      <c r="NJ18" s="324" t="s">
        <v>106</v>
      </c>
      <c r="NK18" s="324" t="s">
        <v>105</v>
      </c>
      <c r="NL18" s="325"/>
      <c r="NM18" s="326">
        <f ca="1">IFERROR(MATCH(NM12,ND18:NG18,0),0)</f>
        <v>2</v>
      </c>
      <c r="NN18" s="326">
        <f ca="1">IFERROR(MATCH(NN12,ND18:NG18,0),0)</f>
        <v>3</v>
      </c>
      <c r="NO18" s="326">
        <f ca="1">IFERROR(MATCH(NO12,ND18:NG18,0),0)</f>
        <v>1</v>
      </c>
      <c r="NP18" s="326">
        <f ca="1">IFERROR(MATCH(NP12,ND18:NG18,0),0)</f>
        <v>0</v>
      </c>
      <c r="NQ18" s="326">
        <f t="shared" ca="1" si="3547"/>
        <v>6</v>
      </c>
      <c r="NR18" s="325" t="s">
        <v>362</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3</v>
      </c>
      <c r="NZ18" s="319">
        <f t="shared" ref="NZ18" ca="1" si="5058">SUMIF(RT3:RT60,NV18,RU3:RU60)+SUMIF(RW3:RW60,NV18,RV3:RV60)</f>
        <v>1</v>
      </c>
      <c r="OA18" s="319">
        <f t="shared" ref="OA18" ca="1" si="5059">SUMIF(RW3:RW60,NV18,RU3:RU60)+SUMIF(RT3:RT60,NV18,RV3:RV60)</f>
        <v>5</v>
      </c>
      <c r="OB18" s="319">
        <f t="shared" ref="OB18:OB21" ca="1" si="5060">NZ18-OA18+1000</f>
        <v>996</v>
      </c>
      <c r="OC18" s="319">
        <f t="shared" ref="OC18:OC21" ca="1" si="5061">NW18*3+NX18*1</f>
        <v>0</v>
      </c>
      <c r="OD18" s="319">
        <f t="shared" si="630"/>
        <v>35</v>
      </c>
      <c r="OE18" s="319">
        <f t="shared" ref="OE18" ca="1" si="5062">IF(COUNTIF(OC18:OC22,4)&lt;&gt;4,RANK(OC18,OC18:OC22),OC58)</f>
        <v>4</v>
      </c>
      <c r="OF18" s="319"/>
      <c r="OG18" s="319">
        <f t="shared" ref="OG18" ca="1" si="5063">SUMPRODUCT((OE18:OE21=OE18)*(OD18:OD21&lt;OD18))+OE18</f>
        <v>4</v>
      </c>
      <c r="OH18" s="319" t="str">
        <f t="shared" ref="OH18" ca="1" si="5064">INDEX(NV18:NV22,MATCH(1,OG18:OG22,0),0)</f>
        <v>Denmark</v>
      </c>
      <c r="OI18" s="319">
        <f t="shared" ref="OI18" ca="1" si="5065">INDEX(OE18:OE22,MATCH(OH18,NV18:NV22,0),0)</f>
        <v>1</v>
      </c>
      <c r="OJ18" s="319" t="str">
        <f t="shared" ref="OJ18" ca="1" si="5066">IF(OI19=1,OH18,"")</f>
        <v/>
      </c>
      <c r="OK18" s="319" t="str">
        <f t="shared" ref="OK18" ca="1" si="5067">IF(OI20=2,OH19,"")</f>
        <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Denmark</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105</v>
      </c>
      <c r="SC18" s="325" t="s">
        <v>106</v>
      </c>
      <c r="SD18" s="325" t="s">
        <v>109</v>
      </c>
      <c r="SE18" s="325" t="s">
        <v>110</v>
      </c>
      <c r="SF18" s="324" t="s">
        <v>109</v>
      </c>
      <c r="SG18" s="324" t="s">
        <v>110</v>
      </c>
      <c r="SH18" s="324" t="s">
        <v>106</v>
      </c>
      <c r="SI18" s="324" t="s">
        <v>105</v>
      </c>
      <c r="SJ18" s="325"/>
      <c r="SK18" s="326">
        <f t="shared" ref="SK18" ca="1" si="5090">IFERROR(MATCH(SK12,SB18:SE18,0),0)</f>
        <v>2</v>
      </c>
      <c r="SL18" s="326">
        <f t="shared" ref="SL18" ca="1" si="5091">IFERROR(MATCH(SL12,SB18:SE18,0),0)</f>
        <v>0</v>
      </c>
      <c r="SM18" s="326">
        <f t="shared" ref="SM18" ca="1" si="5092">IFERROR(MATCH(SM12,SB18:SE18,0),0)</f>
        <v>0</v>
      </c>
      <c r="SN18" s="326">
        <f t="shared" ref="SN18" ca="1" si="5093">IFERROR(MATCH(SN12,SB18:SE18,0),0)</f>
        <v>3</v>
      </c>
      <c r="SO18" s="326">
        <f t="shared" ca="1" si="3616"/>
        <v>5</v>
      </c>
      <c r="SP18" s="325" t="s">
        <v>362</v>
      </c>
      <c r="SQ18" s="325" t="str">
        <f t="shared" ref="SQ18" ca="1" si="5094">INDEX(SB3:SB8,MATCH(INDEX(SF13:SF27,MATCH(10,SO13:SO27,0),0),SP3:SP8,0),0)</f>
        <v>Slovakia</v>
      </c>
      <c r="SR18" s="325">
        <f t="shared" ref="SR18:SR33" ca="1" si="5095">IFERROR(IF(MATCH(SQ18,QualifiedCountries,0),1,0),0)</f>
        <v>1</v>
      </c>
      <c r="SS18" s="319">
        <f t="shared" ref="SS18" ca="1" si="5096">VLOOKUP(ST18,WO18:WP22,2,FALSE)</f>
        <v>3</v>
      </c>
      <c r="ST18" s="319" t="str">
        <f t="shared" ref="ST18:ST21" si="5097">NV18</f>
        <v>Serbia</v>
      </c>
      <c r="SU18" s="319">
        <f t="shared" ref="SU18" ca="1" si="5098">SUMPRODUCT((WR3:WR42=ST18)*(WV3:WV42="W"))+SUMPRODUCT((WU3:WU42=ST18)*(WW3:WW42="W"))</f>
        <v>1</v>
      </c>
      <c r="SV18" s="319">
        <f t="shared" ref="SV18" ca="1" si="5099">SUMPRODUCT((WR3:WR42=ST18)*(WV3:WV42="D"))+SUMPRODUCT((WU3:WU42=ST18)*(WW3:WW42="D"))</f>
        <v>0</v>
      </c>
      <c r="SW18" s="319">
        <f t="shared" ref="SW18" ca="1" si="5100">SUMPRODUCT((WR3:WR42=ST18)*(WV3:WV42="L"))+SUMPRODUCT((WU3:WU42=ST18)*(WW3:WW42="L"))</f>
        <v>2</v>
      </c>
      <c r="SX18" s="319">
        <f t="shared" ref="SX18" ca="1" si="5101">SUMIF(WR3:WR60,ST18,WS3:WS60)+SUMIF(WU3:WU60,ST18,WT3:WT60)</f>
        <v>3</v>
      </c>
      <c r="SY18" s="319">
        <f t="shared" ref="SY18" ca="1" si="5102">SUMIF(WU3:WU60,ST18,WS3:WS60)+SUMIF(WR3:WR60,ST18,WT3:WT60)</f>
        <v>5</v>
      </c>
      <c r="SZ18" s="319">
        <f t="shared" ref="SZ18:SZ21" ca="1" si="5103">SX18-SY18+1000</f>
        <v>998</v>
      </c>
      <c r="TA18" s="319">
        <f t="shared" ref="TA18:TA21" ca="1" si="5104">SU18*3+SV18*1</f>
        <v>3</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Denmark</v>
      </c>
      <c r="TG18" s="319">
        <f t="shared" ref="TG18" ca="1" si="5108">INDEX(TC18:TC22,MATCH(TF18,ST18:ST22,0),0)</f>
        <v>1</v>
      </c>
      <c r="TH18" s="319" t="str">
        <f t="shared" ref="TH18" ca="1" si="5109">IF(TG19=1,TF18,"")</f>
        <v>Denmark</v>
      </c>
      <c r="TI18" s="319" t="str">
        <f t="shared" ref="TI18" ca="1" si="5110">IF(TG20=2,TF19,"")</f>
        <v/>
      </c>
      <c r="TJ18" s="319" t="str">
        <f t="shared" ref="TJ18" ca="1" si="5111">IF(TG21=3,TF20,"")</f>
        <v/>
      </c>
      <c r="TK18" s="319" t="str">
        <f t="shared" ref="TK18" si="5112">IF(TG22=4,TF21,"")</f>
        <v/>
      </c>
      <c r="TL18" s="319"/>
      <c r="TM18" s="319" t="str">
        <f t="shared" ref="TM18:TM21" ca="1" si="5113">IF(TH18&lt;&gt;"",TH18,"")</f>
        <v>Denmark</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19">
        <f t="shared" ref="TS18:TS21" ca="1" si="5119">TQ18-TR18+1000</f>
        <v>1000</v>
      </c>
      <c r="TT18" s="319">
        <f t="shared" ref="TT18:TT21" ca="1" si="5120">IF(TM18&lt;&gt;"",TN18*3+TO18*1,"")</f>
        <v>1</v>
      </c>
      <c r="TU18" s="319">
        <f t="shared" ref="TU18" ca="1" si="5121">IF(TM18&lt;&gt;"",VLOOKUP(TM18,ST4:SZ40,7,FALSE),"")</f>
        <v>1002</v>
      </c>
      <c r="TV18" s="319">
        <f t="shared" ref="TV18" ca="1" si="5122">IF(TM18&lt;&gt;"",VLOOKUP(TM18,ST4:SZ40,5,FALSE),"")</f>
        <v>6</v>
      </c>
      <c r="TW18" s="319">
        <f t="shared" ref="TW18" ca="1" si="5123">IF(TM18&lt;&gt;"",VLOOKUP(TM18,ST4:TB40,9,FALSE),"")</f>
        <v>45</v>
      </c>
      <c r="TX18" s="319">
        <f t="shared" ref="TX18:TX21" ca="1" si="5124">TT18</f>
        <v>1</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1</v>
      </c>
      <c r="UC18" s="319">
        <f t="shared" ref="UC18" ca="1" si="5129">IF(TM18&lt;&gt;"",SUMPRODUCT((TX18:TX22=TX18)*(TS18:TS22=TS18)*(TQ18:TQ22=TQ18)*(TU18:TU22=TU18)*(TV18:TV22&gt;TV18)),"")</f>
        <v>0</v>
      </c>
      <c r="UD18" s="319">
        <f t="shared" ref="UD18" ca="1" si="5130">IF(TM18&lt;&gt;"",SUMPRODUCT((TX18:TX22=TX18)*(TS18:TS22=TS18)*(TQ18:TQ22=TQ18)*(TU18:TU22=TU18)*(TV18:TV22=TV18)*(TW18:TW22&gt;TW18)),"")</f>
        <v>0</v>
      </c>
      <c r="UE18" s="319">
        <f ca="1">IF(TM18&lt;&gt;"",IF(UE58&lt;&gt;"",IF(TL57=3,UE58,UE58+TL57),SUM(TY18:UD18)),"")</f>
        <v>2</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2</v>
      </c>
      <c r="WT18" s="322">
        <f ca="1">IF(OFFSET('Player Game Board'!Q25,0,WS1)&lt;&gt;"",OFFSET('Player Game Board'!Q25,0,WS1),0)</f>
        <v>0</v>
      </c>
      <c r="WU18" s="319" t="str">
        <f t="shared" si="35"/>
        <v>Italy</v>
      </c>
      <c r="WV18" s="319" t="str">
        <f ca="1">IF(AND(OFFSET('Player Game Board'!P25,0,WS1)&lt;&gt;"",OFFSET('Player Game Board'!Q25,0,WS1)&lt;&gt;""),IF(WS18&gt;WT18,"W",IF(WS18=WT18,"D","L")),"")</f>
        <v>W</v>
      </c>
      <c r="WW18" s="319" t="str">
        <f t="shared" ca="1" si="36"/>
        <v>L</v>
      </c>
      <c r="WX18" s="319"/>
      <c r="WY18" s="319"/>
      <c r="WZ18" s="324" t="s">
        <v>105</v>
      </c>
      <c r="XA18" s="325" t="s">
        <v>106</v>
      </c>
      <c r="XB18" s="325" t="s">
        <v>109</v>
      </c>
      <c r="XC18" s="325" t="s">
        <v>110</v>
      </c>
      <c r="XD18" s="324" t="s">
        <v>109</v>
      </c>
      <c r="XE18" s="324" t="s">
        <v>110</v>
      </c>
      <c r="XF18" s="324" t="s">
        <v>106</v>
      </c>
      <c r="XG18" s="324" t="s">
        <v>105</v>
      </c>
      <c r="XH18" s="325"/>
      <c r="XI18" s="326">
        <f t="shared" ref="XI18" ca="1" si="5133">IFERROR(MATCH(XI12,WZ18:XC18,0),0)</f>
        <v>2</v>
      </c>
      <c r="XJ18" s="326">
        <f t="shared" ref="XJ18" ca="1" si="5134">IFERROR(MATCH(XJ12,WZ18:XC18,0),0)</f>
        <v>4</v>
      </c>
      <c r="XK18" s="326">
        <f t="shared" ref="XK18" ca="1" si="5135">IFERROR(MATCH(XK12,WZ18:XC18,0),0)</f>
        <v>0</v>
      </c>
      <c r="XL18" s="326">
        <f t="shared" ref="XL18" ca="1" si="5136">IFERROR(MATCH(XL12,WZ18:XC18,0),0)</f>
        <v>0</v>
      </c>
      <c r="XM18" s="326">
        <f t="shared" ca="1" si="3686"/>
        <v>6</v>
      </c>
      <c r="XN18" s="325" t="s">
        <v>362</v>
      </c>
      <c r="XO18" s="325" t="str">
        <f t="shared" ref="XO18" ca="1" si="5137">INDEX(WZ3:WZ8,MATCH(INDEX(XD13:XD27,MATCH(10,XM13:XM27,0),0),XN3:XN8,0),0)</f>
        <v>Türkiye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105</v>
      </c>
      <c r="ABY18" s="325" t="s">
        <v>106</v>
      </c>
      <c r="ABZ18" s="325" t="s">
        <v>109</v>
      </c>
      <c r="ACA18" s="325" t="s">
        <v>110</v>
      </c>
      <c r="ACB18" s="324" t="s">
        <v>109</v>
      </c>
      <c r="ACC18" s="324" t="s">
        <v>110</v>
      </c>
      <c r="ACD18" s="324" t="s">
        <v>106</v>
      </c>
      <c r="ACE18" s="324" t="s">
        <v>105</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362</v>
      </c>
      <c r="ACM18" s="325" t="str">
        <f t="shared" ref="ACM18" ca="1" si="5180">INDEX(ABX3:ABX8,MATCH(INDEX(ACB13:ACB27,MATCH(10,ACK13:ACK27,0),0),ACL3:ACL8,0),0)</f>
        <v>Czechia</v>
      </c>
      <c r="ACN18" s="325">
        <f t="shared" ref="ACN18:ACN33" ca="1" si="5181">IFERROR(IF(MATCH(ACM18,QualifiedCountries,0),1,0),0)</f>
        <v>1</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2</v>
      </c>
      <c r="ACS18" s="319">
        <f t="shared" ref="ACS18" ca="1" si="5186">SUMPRODUCT((AGN3:AGN42=ACP18)*(AGR3:AGR42="L"))+SUMPRODUCT((AGQ3:AGQ42=ACP18)*(AGS3:AGS42="L"))</f>
        <v>1</v>
      </c>
      <c r="ACT18" s="319">
        <f t="shared" ref="ACT18" ca="1" si="5187">SUMIF(AGN3:AGN60,ACP18,AGO3:AGO60)+SUMIF(AGQ3:AGQ60,ACP18,AGP3:AGP60)</f>
        <v>2</v>
      </c>
      <c r="ACU18" s="319">
        <f t="shared" ref="ACU18" ca="1" si="5188">SUMIF(AGQ3:AGQ60,ACP18,AGO3:AGO60)+SUMIF(AGN3:AGN60,ACP18,AGP3:AGP60)</f>
        <v>3</v>
      </c>
      <c r="ACV18" s="319">
        <f t="shared" ref="ACV18:ACV21" ca="1" si="5189">ACT18-ACU18+1000</f>
        <v>999</v>
      </c>
      <c r="ACW18" s="319">
        <f t="shared" ref="ACW18:ACW21" ca="1" si="5190">ACQ18*3+ACR18*1</f>
        <v>2</v>
      </c>
      <c r="ACX18" s="319">
        <f t="shared" si="810"/>
        <v>35</v>
      </c>
      <c r="ACY18" s="319">
        <f t="shared" ref="ACY18" ca="1" si="5191">IF(COUNTIF(ACW18:ACW22,4)&lt;&gt;4,RANK(ACW18,ACW18:ACW22),ACW58)</f>
        <v>4</v>
      </c>
      <c r="ACZ18" s="319"/>
      <c r="ADA18" s="319">
        <f t="shared" ref="ADA18" ca="1" si="5192">SUMPRODUCT((ACY18:ACY21=ACY18)*(ACX18:ACX21&lt;ACX18))+ACY18</f>
        <v>4</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2</v>
      </c>
      <c r="AGP18" s="322">
        <f ca="1">IF(OFFSET('Player Game Board'!Q25,0,AGO1)&lt;&gt;"",OFFSET('Player Game Board'!Q25,0,AGO1),0)</f>
        <v>1</v>
      </c>
      <c r="AGQ18" s="319" t="str">
        <f t="shared" si="67"/>
        <v>Italy</v>
      </c>
      <c r="AGR18" s="319" t="str">
        <f ca="1">IF(AND(OFFSET('Player Game Board'!P25,0,AGO1)&lt;&gt;"",OFFSET('Player Game Board'!Q25,0,AGO1)&lt;&gt;""),IF(AGO18&gt;AGP18,"W",IF(AGO18=AGP18,"D","L")),"")</f>
        <v>W</v>
      </c>
      <c r="AGS18" s="319" t="str">
        <f t="shared" ca="1" si="68"/>
        <v>L</v>
      </c>
      <c r="AGT18" s="319"/>
      <c r="AGU18" s="319"/>
      <c r="AGV18" s="324" t="s">
        <v>105</v>
      </c>
      <c r="AGW18" s="325" t="s">
        <v>106</v>
      </c>
      <c r="AGX18" s="325" t="s">
        <v>109</v>
      </c>
      <c r="AGY18" s="325" t="s">
        <v>110</v>
      </c>
      <c r="AGZ18" s="324" t="s">
        <v>109</v>
      </c>
      <c r="AHA18" s="324" t="s">
        <v>110</v>
      </c>
      <c r="AHB18" s="324" t="s">
        <v>106</v>
      </c>
      <c r="AHC18" s="324" t="s">
        <v>105</v>
      </c>
      <c r="AHD18" s="325"/>
      <c r="AHE18" s="326">
        <f t="shared" ref="AHE18" ca="1" si="5219">IFERROR(MATCH(AHE12,AGV18:AGY18,0),0)</f>
        <v>2</v>
      </c>
      <c r="AHF18" s="326">
        <f t="shared" ref="AHF18" ca="1" si="5220">IFERROR(MATCH(AHF12,AGV18:AGY18,0),0)</f>
        <v>0</v>
      </c>
      <c r="AHG18" s="326">
        <f t="shared" ref="AHG18" ca="1" si="5221">IFERROR(MATCH(AHG12,AGV18:AGY18,0),0)</f>
        <v>0</v>
      </c>
      <c r="AHH18" s="326">
        <f t="shared" ref="AHH18" ca="1" si="5222">IFERROR(MATCH(AHH12,AGV18:AGY18,0),0)</f>
        <v>4</v>
      </c>
      <c r="AHI18" s="326">
        <f t="shared" ca="1" si="3826"/>
        <v>6</v>
      </c>
      <c r="AHJ18" s="325" t="s">
        <v>362</v>
      </c>
      <c r="AHK18" s="325" t="str">
        <f t="shared" ref="AHK18" ca="1" si="5223">INDEX(AGV3:AGV8,MATCH(INDEX(AGZ13:AGZ27,MATCH(10,AHI13:AHI27,0),0),AHJ3:AHJ8,0),0)</f>
        <v>Portugal</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1</v>
      </c>
      <c r="AHQ18" s="319">
        <f t="shared" ref="AHQ18" ca="1" si="5229">SUMPRODUCT((ALL3:ALL42=AHN18)*(ALP3:ALP42="L"))+SUMPRODUCT((ALO3:ALO42=AHN18)*(ALQ3:ALQ42="L"))</f>
        <v>2</v>
      </c>
      <c r="AHR18" s="319">
        <f t="shared" ref="AHR18" ca="1" si="5230">SUMIF(ALL3:ALL60,AHN18,ALM3:ALM60)+SUMIF(ALO3:ALO60,AHN18,ALN3:ALN60)</f>
        <v>0</v>
      </c>
      <c r="AHS18" s="319">
        <f t="shared" ref="AHS18" ca="1" si="5231">SUMIF(ALO3:ALO60,AHN18,ALM3:ALM60)+SUMIF(ALL3:ALL60,AHN18,ALN3:ALN60)</f>
        <v>2</v>
      </c>
      <c r="AHT18" s="319">
        <f t="shared" ref="AHT18:AHT21" ca="1" si="5232">AHR18-AHS18+1000</f>
        <v>998</v>
      </c>
      <c r="AHU18" s="319">
        <f t="shared" ref="AHU18:AHU21" ca="1" si="5233">AHO18*3+AHP18*1</f>
        <v>1</v>
      </c>
      <c r="AHV18" s="319">
        <f t="shared" si="870"/>
        <v>35</v>
      </c>
      <c r="AHW18" s="319">
        <f t="shared" ref="AHW18" ca="1" si="5234">IF(COUNTIF(AHU18:AHU22,4)&lt;&gt;4,RANK(AHU18,AHU18:AHU22),AHU58)</f>
        <v>4</v>
      </c>
      <c r="AHX18" s="319"/>
      <c r="AHY18" s="319">
        <f t="shared" ref="AHY18" ca="1" si="5235">SUMPRODUCT((AHW18:AHW21=AHW18)*(AHV18:AHV21&lt;AHV18))+AHW18</f>
        <v>4</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2</v>
      </c>
      <c r="ALN18" s="322">
        <f ca="1">IF(OFFSET('Player Game Board'!Q25,0,ALM1)&lt;&gt;"",OFFSET('Player Game Board'!Q25,0,ALM1),0)</f>
        <v>2</v>
      </c>
      <c r="ALO18" s="319" t="str">
        <f t="shared" si="83"/>
        <v>Italy</v>
      </c>
      <c r="ALP18" s="319" t="str">
        <f ca="1">IF(AND(OFFSET('Player Game Board'!P25,0,ALM1)&lt;&gt;"",OFFSET('Player Game Board'!Q25,0,ALM1)&lt;&gt;""),IF(ALM18&gt;ALN18,"W",IF(ALM18=ALN18,"D","L")),"")</f>
        <v>D</v>
      </c>
      <c r="ALQ18" s="319" t="str">
        <f t="shared" ca="1" si="84"/>
        <v>D</v>
      </c>
      <c r="ALR18" s="319"/>
      <c r="ALS18" s="319"/>
      <c r="ALT18" s="324" t="s">
        <v>105</v>
      </c>
      <c r="ALU18" s="325" t="s">
        <v>106</v>
      </c>
      <c r="ALV18" s="325" t="s">
        <v>109</v>
      </c>
      <c r="ALW18" s="325" t="s">
        <v>110</v>
      </c>
      <c r="ALX18" s="324" t="s">
        <v>109</v>
      </c>
      <c r="ALY18" s="324" t="s">
        <v>110</v>
      </c>
      <c r="ALZ18" s="324" t="s">
        <v>106</v>
      </c>
      <c r="AMA18" s="324" t="s">
        <v>105</v>
      </c>
      <c r="AMB18" s="325"/>
      <c r="AMC18" s="326">
        <f t="shared" ref="AMC18" ca="1" si="5262">IFERROR(MATCH(AMC12,ALT18:ALW18,0),0)</f>
        <v>3</v>
      </c>
      <c r="AMD18" s="326">
        <f t="shared" ref="AMD18" ca="1" si="5263">IFERROR(MATCH(AMD12,ALT18:ALW18,0),0)</f>
        <v>2</v>
      </c>
      <c r="AME18" s="326">
        <f t="shared" ref="AME18" ca="1" si="5264">IFERROR(MATCH(AME12,ALT18:ALW18,0),0)</f>
        <v>0</v>
      </c>
      <c r="AMF18" s="326">
        <f t="shared" ref="AMF18" ca="1" si="5265">IFERROR(MATCH(AMF12,ALT18:ALW18,0),0)</f>
        <v>0</v>
      </c>
      <c r="AMG18" s="326">
        <f t="shared" ca="1" si="3896"/>
        <v>5</v>
      </c>
      <c r="AMH18" s="325" t="s">
        <v>362</v>
      </c>
      <c r="AMI18" s="325" t="str">
        <f t="shared" ref="AMI18" ca="1" si="5266">INDEX(ALT3:ALT8,MATCH(INDEX(ALX13:ALX27,MATCH(10,AMG13:AMG27,0),0),AMH3:AMH8,0),0)</f>
        <v>Slovakia</v>
      </c>
      <c r="AMJ18" s="325">
        <f t="shared" ref="AMJ18:AMJ33" ca="1" si="5267">IFERROR(IF(MATCH(AMI18,QualifiedCountries,0),1,0),0)</f>
        <v>1</v>
      </c>
      <c r="AMK18" s="319">
        <f t="shared" ref="AMK18" ca="1" si="5268">VLOOKUP(AML18,AQG18:AQH22,2,FALSE)</f>
        <v>3</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1</v>
      </c>
      <c r="AMO18" s="319">
        <f t="shared" ref="AMO18" ca="1" si="5272">SUMPRODUCT((AQJ3:AQJ42=AML18)*(AQN3:AQN42="L"))+SUMPRODUCT((AQM3:AQM42=AML18)*(AQO3:AQO42="L"))</f>
        <v>2</v>
      </c>
      <c r="AMP18" s="319">
        <f t="shared" ref="AMP18" ca="1" si="5273">SUMIF(AQJ3:AQJ60,AML18,AQK3:AQK60)+SUMIF(AQM3:AQM60,AML18,AQL3:AQL60)</f>
        <v>1</v>
      </c>
      <c r="AMQ18" s="319">
        <f t="shared" ref="AMQ18" ca="1" si="5274">SUMIF(AQM3:AQM60,AML18,AQK3:AQK60)+SUMIF(AQJ3:AQJ60,AML18,AQL3:AQL60)</f>
        <v>3</v>
      </c>
      <c r="AMR18" s="319">
        <f t="shared" ref="AMR18:AMR21" ca="1" si="5275">AMP18-AMQ18+1000</f>
        <v>998</v>
      </c>
      <c r="AMS18" s="319">
        <f t="shared" ref="AMS18:AMS21" ca="1" si="5276">AMM18*3+AMN18*1</f>
        <v>1</v>
      </c>
      <c r="AMT18" s="319">
        <f t="shared" si="930"/>
        <v>35</v>
      </c>
      <c r="AMU18" s="319">
        <f t="shared" ref="AMU18" ca="1" si="5277">IF(COUNTIF(AMS18:AMS22,4)&lt;&gt;4,RANK(AMS18,AMS18:AMS22),AMS58)</f>
        <v>3</v>
      </c>
      <c r="AMV18" s="319"/>
      <c r="AMW18" s="319">
        <f t="shared" ref="AMW18" ca="1" si="5278">SUMPRODUCT((AMU18:AMU21=AMU18)*(AMT18:AMT21&lt;AMT18))+AMU18</f>
        <v>3</v>
      </c>
      <c r="AMX18" s="319" t="str">
        <f t="shared" ref="AMX18" ca="1" si="5279">INDEX(AML18:AML22,MATCH(1,AMW18:AMW22,0),0)</f>
        <v>Denmark</v>
      </c>
      <c r="AMY18" s="319">
        <f t="shared" ref="AMY18" ca="1" si="5280">INDEX(AMU18:AMU22,MATCH(AMX18,AML18:AML22,0),0)</f>
        <v>1</v>
      </c>
      <c r="AMZ18" s="319" t="str">
        <f t="shared" ref="AMZ18" ca="1" si="5281">IF(AMY19=1,AMX18,"")</f>
        <v>Denmark</v>
      </c>
      <c r="ANA18" s="319" t="str">
        <f t="shared" ref="ANA18" ca="1" si="5282">IF(AMY20=2,AMX19,"")</f>
        <v/>
      </c>
      <c r="ANB18" s="319" t="str">
        <f t="shared" ref="ANB18" ca="1" si="5283">IF(AMY21=3,AMX20,"")</f>
        <v>Serbia</v>
      </c>
      <c r="ANC18" s="319" t="str">
        <f t="shared" ref="ANC18" si="5284">IF(AMY22=4,AMX21,"")</f>
        <v/>
      </c>
      <c r="AND18" s="319"/>
      <c r="ANE18" s="319" t="str">
        <f t="shared" ref="ANE18:ANE21" ca="1" si="5285">IF(AMZ18&lt;&gt;"",AMZ18,"")</f>
        <v>Denmark</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19">
        <f t="shared" ref="ANK18:ANK21" ca="1" si="5291">ANI18-ANJ18+1000</f>
        <v>1000</v>
      </c>
      <c r="ANL18" s="319">
        <f t="shared" ref="ANL18:ANL21" ca="1" si="5292">IF(ANE18&lt;&gt;"",ANF18*3+ANG18*1,"")</f>
        <v>1</v>
      </c>
      <c r="ANM18" s="319">
        <f t="shared" ref="ANM18" ca="1" si="5293">IF(ANE18&lt;&gt;"",VLOOKUP(ANE18,AML4:AMR40,7,FALSE),"")</f>
        <v>1002</v>
      </c>
      <c r="ANN18" s="319">
        <f t="shared" ref="ANN18" ca="1" si="5294">IF(ANE18&lt;&gt;"",VLOOKUP(ANE18,AML4:AMR40,5,FALSE),"")</f>
        <v>4</v>
      </c>
      <c r="ANO18" s="319">
        <f t="shared" ref="ANO18" ca="1" si="5295">IF(ANE18&lt;&gt;"",VLOOKUP(ANE18,AML4:AMT40,9,FALSE),"")</f>
        <v>45</v>
      </c>
      <c r="ANP18" s="319">
        <f t="shared" ref="ANP18:ANP21" ca="1" si="5296">ANL18</f>
        <v>1</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1</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0</v>
      </c>
      <c r="ANW18" s="319">
        <f ca="1">IF(ANE18&lt;&gt;"",IF(ANW58&lt;&gt;"",IF(AND57=3,ANW58,ANW58+AND57),SUM(ANQ18:ANV18)),"")</f>
        <v>2</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2</v>
      </c>
      <c r="AQL18" s="322">
        <f ca="1">IF(OFFSET('Player Game Board'!Q25,0,AQK1)&lt;&gt;"",OFFSET('Player Game Board'!Q25,0,AQK1),0)</f>
        <v>1</v>
      </c>
      <c r="AQM18" s="319" t="str">
        <f t="shared" si="99"/>
        <v>Italy</v>
      </c>
      <c r="AQN18" s="319" t="str">
        <f ca="1">IF(AND(OFFSET('Player Game Board'!P25,0,AQK1)&lt;&gt;"",OFFSET('Player Game Board'!Q25,0,AQK1)&lt;&gt;""),IF(AQK18&gt;AQL18,"W",IF(AQK18=AQL18,"D","L")),"")</f>
        <v>W</v>
      </c>
      <c r="AQO18" s="319" t="str">
        <f t="shared" ca="1" si="100"/>
        <v>L</v>
      </c>
      <c r="AQP18" s="319"/>
      <c r="AQQ18" s="319"/>
      <c r="AQR18" s="324" t="s">
        <v>105</v>
      </c>
      <c r="AQS18" s="325" t="s">
        <v>106</v>
      </c>
      <c r="AQT18" s="325" t="s">
        <v>109</v>
      </c>
      <c r="AQU18" s="325" t="s">
        <v>110</v>
      </c>
      <c r="AQV18" s="324" t="s">
        <v>109</v>
      </c>
      <c r="AQW18" s="324" t="s">
        <v>110</v>
      </c>
      <c r="AQX18" s="324" t="s">
        <v>106</v>
      </c>
      <c r="AQY18" s="324" t="s">
        <v>105</v>
      </c>
      <c r="AQZ18" s="325"/>
      <c r="ARA18" s="326">
        <f t="shared" ref="ARA18" ca="1" si="5305">IFERROR(MATCH(ARA12,AQR18:AQU18,0),0)</f>
        <v>2</v>
      </c>
      <c r="ARB18" s="326">
        <f t="shared" ref="ARB18" ca="1" si="5306">IFERROR(MATCH(ARB12,AQR18:AQU18,0),0)</f>
        <v>1</v>
      </c>
      <c r="ARC18" s="326">
        <f t="shared" ref="ARC18" ca="1" si="5307">IFERROR(MATCH(ARC12,AQR18:AQU18,0),0)</f>
        <v>4</v>
      </c>
      <c r="ARD18" s="326">
        <f t="shared" ref="ARD18" ca="1" si="5308">IFERROR(MATCH(ARD12,AQR18:AQU18,0),0)</f>
        <v>3</v>
      </c>
      <c r="ARE18" s="326">
        <f t="shared" ca="1" si="3966"/>
        <v>10</v>
      </c>
      <c r="ARF18" s="325" t="s">
        <v>362</v>
      </c>
      <c r="ARG18" s="325" t="str">
        <f t="shared" ref="ARG18" ca="1" si="5309">INDEX(AQR3:AQR8,MATCH(INDEX(AQV13:AQV27,MATCH(10,ARE13:ARE27,0),0),ARF3:ARF8,0),0)</f>
        <v>Ukraine</v>
      </c>
      <c r="ARH18" s="325">
        <f t="shared" ref="ARH18:ARH33" ca="1" si="5310">IFERROR(IF(MATCH(ARG18,QualifiedCountries,0),1,0),0)</f>
        <v>0</v>
      </c>
      <c r="ARI18" s="319">
        <f t="shared" ref="ARI18" ca="1" si="5311">VLOOKUP(ARJ18,AVE18:AVF22,2,FALSE)</f>
        <v>2</v>
      </c>
      <c r="ARJ18" s="319" t="str">
        <f t="shared" ref="ARJ18:ARJ21" si="5312">AML18</f>
        <v>Serbia</v>
      </c>
      <c r="ARK18" s="319">
        <f t="shared" ref="ARK18" ca="1" si="5313">SUMPRODUCT((AVH3:AVH42=ARJ18)*(AVL3:AVL42="W"))+SUMPRODUCT((AVK3:AVK42=ARJ18)*(AVM3:AVM42="W"))</f>
        <v>1</v>
      </c>
      <c r="ARL18" s="319">
        <f t="shared" ref="ARL18" ca="1" si="5314">SUMPRODUCT((AVH3:AVH42=ARJ18)*(AVL3:AVL42="D"))+SUMPRODUCT((AVK3:AVK42=ARJ18)*(AVM3:AVM42="D"))</f>
        <v>1</v>
      </c>
      <c r="ARM18" s="319">
        <f t="shared" ref="ARM18" ca="1" si="5315">SUMPRODUCT((AVH3:AVH42=ARJ18)*(AVL3:AVL42="L"))+SUMPRODUCT((AVK3:AVK42=ARJ18)*(AVM3:AVM42="L"))</f>
        <v>1</v>
      </c>
      <c r="ARN18" s="319">
        <f t="shared" ref="ARN18" ca="1" si="5316">SUMIF(AVH3:AVH60,ARJ18,AVI3:AVI60)+SUMIF(AVK3:AVK60,ARJ18,AVJ3:AVJ60)</f>
        <v>5</v>
      </c>
      <c r="ARO18" s="319">
        <f t="shared" ref="ARO18" ca="1" si="5317">SUMIF(AVK3:AVK60,ARJ18,AVI3:AVI60)+SUMIF(AVH3:AVH60,ARJ18,AVJ3:AVJ60)</f>
        <v>4</v>
      </c>
      <c r="ARP18" s="319">
        <f t="shared" ref="ARP18:ARP21" ca="1" si="5318">ARN18-ARO18+1000</f>
        <v>1001</v>
      </c>
      <c r="ARQ18" s="319">
        <f t="shared" ref="ARQ18:ARQ21" ca="1" si="5319">ARK18*3+ARL18*1</f>
        <v>4</v>
      </c>
      <c r="ARR18" s="319">
        <f t="shared" si="990"/>
        <v>35</v>
      </c>
      <c r="ARS18" s="319">
        <f t="shared" ref="ARS18" ca="1" si="5320">IF(COUNTIF(ARQ18:ARQ22,4)&lt;&gt;4,RANK(ARQ18,ARQ18:ARQ22),ARQ58)</f>
        <v>2</v>
      </c>
      <c r="ART18" s="319"/>
      <c r="ARU18" s="319">
        <f t="shared" ref="ARU18" ca="1" si="5321">SUMPRODUCT((ARS18:ARS21=ARS18)*(ARR18:ARR21&lt;ARR18))+ARS18</f>
        <v>2</v>
      </c>
      <c r="ARV18" s="319" t="str">
        <f t="shared" ref="ARV18" ca="1" si="5322">INDEX(ARJ18:ARJ22,MATCH(1,ARU18:ARU22,0),0)</f>
        <v>Slovenia</v>
      </c>
      <c r="ARW18" s="319">
        <f t="shared" ref="ARW18" ca="1" si="5323">INDEX(ARS18:ARS22,MATCH(ARV18,ARJ18:ARJ22,0),0)</f>
        <v>1</v>
      </c>
      <c r="ARX18" s="319" t="str">
        <f t="shared" ref="ARX18" ca="1" si="5324">IF(ARW19=1,ARV18,"")</f>
        <v/>
      </c>
      <c r="ARY18" s="319" t="str">
        <f t="shared" ref="ARY18" ca="1" si="5325">IF(ARW20=2,ARV19,"")</f>
        <v/>
      </c>
      <c r="ARZ18" s="319" t="str">
        <f t="shared" ref="ARZ18" ca="1" si="5326">IF(ARW21=3,ARV20,"")</f>
        <v>Denmark</v>
      </c>
      <c r="ASA18" s="319" t="str">
        <f t="shared" ref="ASA18" si="5327">IF(ARW22=4,ARV21,"")</f>
        <v/>
      </c>
      <c r="ASB18" s="319"/>
      <c r="ASC18" s="319" t="str">
        <f t="shared" ref="ASC18:ASC21" ca="1" si="5328">IF(ARX18&lt;&gt;"",ARX18,"")</f>
        <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t="str">
        <f t="shared" ref="ASJ18:ASJ21" ca="1" si="5335">IF(ASC18&lt;&gt;"",ASD18*3+ASE18*1,"")</f>
        <v/>
      </c>
      <c r="ASK18" s="319" t="str">
        <f t="shared" ref="ASK18" ca="1" si="5336">IF(ASC18&lt;&gt;"",VLOOKUP(ASC18,ARJ4:ARP40,7,FALSE),"")</f>
        <v/>
      </c>
      <c r="ASL18" s="319" t="str">
        <f t="shared" ref="ASL18" ca="1" si="5337">IF(ASC18&lt;&gt;"",VLOOKUP(ASC18,ARJ4:ARP40,5,FALSE),"")</f>
        <v/>
      </c>
      <c r="ASM18" s="319" t="str">
        <f t="shared" ref="ASM18" ca="1" si="5338">IF(ASC18&lt;&gt;"",VLOOKUP(ASC18,ARJ4:ARR40,9,FALSE),"")</f>
        <v/>
      </c>
      <c r="ASN18" s="319" t="str">
        <f t="shared" ref="ASN18:ASN21" ca="1" si="5339">ASJ18</f>
        <v/>
      </c>
      <c r="ASO18" s="319" t="str">
        <f t="shared" ref="ASO18" ca="1" si="5340">IF(ASC18&lt;&gt;"",RANK(ASN18,ASN18:ASN22),"")</f>
        <v/>
      </c>
      <c r="ASP18" s="319" t="str">
        <f t="shared" ref="ASP18" ca="1" si="5341">IF(ASC18&lt;&gt;"",SUMPRODUCT((ASN18:ASN22=ASN18)*(ASI18:ASI22&gt;ASI18)),"")</f>
        <v/>
      </c>
      <c r="ASQ18" s="319" t="str">
        <f t="shared" ref="ASQ18" ca="1" si="5342">IF(ASC18&lt;&gt;"",SUMPRODUCT((ASN18:ASN22=ASN18)*(ASI18:ASI22=ASI18)*(ASG18:ASG22&gt;ASG18)),"")</f>
        <v/>
      </c>
      <c r="ASR18" s="319" t="str">
        <f t="shared" ref="ASR18" ca="1" si="5343">IF(ASC18&lt;&gt;"",SUMPRODUCT((ASN18:ASN22=ASN18)*(ASI18:ASI22=ASI18)*(ASG18:ASG22=ASG18)*(ASK18:ASK22&gt;ASK18)),"")</f>
        <v/>
      </c>
      <c r="ASS18" s="319" t="str">
        <f t="shared" ref="ASS18" ca="1" si="5344">IF(ASC18&lt;&gt;"",SUMPRODUCT((ASN18:ASN22=ASN18)*(ASI18:ASI22=ASI18)*(ASG18:ASG22=ASG18)*(ASK18:ASK22=ASK18)*(ASL18:ASL22&gt;ASL18)),"")</f>
        <v/>
      </c>
      <c r="AST18" s="319" t="str">
        <f t="shared" ref="AST18" ca="1" si="5345">IF(ASC18&lt;&gt;"",SUMPRODUCT((ASN18:ASN22=ASN18)*(ASI18:ASI22=ASI18)*(ASG18:ASG22=ASG18)*(ASK18:ASK22=ASK18)*(ASL18:ASL22=ASL18)*(ASM18:ASM22&gt;ASM18)),"")</f>
        <v/>
      </c>
      <c r="ASU18" s="319" t="str">
        <f ca="1">IF(ASC18&lt;&gt;"",IF(ASU58&lt;&gt;"",IF(ASB57=3,ASU58,ASU58+ASB57),SUM(ASO18:AST18)),"")</f>
        <v/>
      </c>
      <c r="ASV18" s="319" t="str">
        <f t="shared" ref="ASV18" ca="1" si="5346">IF(ASC18&lt;&gt;"",INDEX(ASC18:ASC22,MATCH(1,ASU18:ASU22,0),0),"")</f>
        <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Slovenia</v>
      </c>
      <c r="AVF18" s="319">
        <v>1</v>
      </c>
      <c r="AVG18" s="319">
        <v>16</v>
      </c>
      <c r="AVH18" s="319" t="str">
        <f t="shared" si="114"/>
        <v>Spain</v>
      </c>
      <c r="AVI18" s="322">
        <f ca="1">IF(OFFSET('Player Game Board'!P25,0,AVI1)&lt;&gt;"",OFFSET('Player Game Board'!P25,0,AVI1),0)</f>
        <v>3</v>
      </c>
      <c r="AVJ18" s="322">
        <f ca="1">IF(OFFSET('Player Game Board'!Q25,0,AVI1)&lt;&gt;"",OFFSET('Player Game Board'!Q25,0,AVI1),0)</f>
        <v>3</v>
      </c>
      <c r="AVK18" s="319" t="str">
        <f t="shared" si="115"/>
        <v>Italy</v>
      </c>
      <c r="AVL18" s="319" t="str">
        <f ca="1">IF(AND(OFFSET('Player Game Board'!P25,0,AVI1)&lt;&gt;"",OFFSET('Player Game Board'!Q25,0,AVI1)&lt;&gt;""),IF(AVI18&gt;AVJ18,"W",IF(AVI18=AVJ18,"D","L")),"")</f>
        <v>D</v>
      </c>
      <c r="AVM18" s="319" t="str">
        <f t="shared" ca="1" si="116"/>
        <v>D</v>
      </c>
      <c r="AVN18" s="319"/>
      <c r="AVO18" s="319"/>
      <c r="AVP18" s="324" t="s">
        <v>105</v>
      </c>
      <c r="AVQ18" s="325" t="s">
        <v>106</v>
      </c>
      <c r="AVR18" s="325" t="s">
        <v>109</v>
      </c>
      <c r="AVS18" s="325" t="s">
        <v>110</v>
      </c>
      <c r="AVT18" s="324" t="s">
        <v>109</v>
      </c>
      <c r="AVU18" s="324" t="s">
        <v>110</v>
      </c>
      <c r="AVV18" s="324" t="s">
        <v>106</v>
      </c>
      <c r="AVW18" s="324" t="s">
        <v>105</v>
      </c>
      <c r="AVX18" s="325"/>
      <c r="AVY18" s="326">
        <f t="shared" ref="AVY18" ca="1" si="5348">IFERROR(MATCH(AVY12,AVP18:AVS18,0),0)</f>
        <v>2</v>
      </c>
      <c r="AVZ18" s="326">
        <f t="shared" ref="AVZ18" ca="1" si="5349">IFERROR(MATCH(AVZ12,AVP18:AVS18,0),0)</f>
        <v>3</v>
      </c>
      <c r="AWA18" s="326">
        <f t="shared" ref="AWA18" ca="1" si="5350">IFERROR(MATCH(AWA12,AVP18:AVS18,0),0)</f>
        <v>1</v>
      </c>
      <c r="AWB18" s="326">
        <f t="shared" ref="AWB18" ca="1" si="5351">IFERROR(MATCH(AWB12,AVP18:AVS18,0),0)</f>
        <v>0</v>
      </c>
      <c r="AWC18" s="326">
        <f t="shared" ca="1" si="4036"/>
        <v>6</v>
      </c>
      <c r="AWD18" s="325" t="s">
        <v>362</v>
      </c>
      <c r="AWE18" s="325" t="str">
        <f t="shared" ref="AWE18" ca="1" si="5352">INDEX(AVP3:AVP8,MATCH(INDEX(AVT13:AVT27,MATCH(10,AWC13:AWC27,0),0),AWD3:AWD8,0),0)</f>
        <v>Scotland</v>
      </c>
      <c r="AWF18" s="325">
        <f t="shared" ref="AWF18:AWF33" ca="1" si="5353">IFERROR(IF(MATCH(AWE18,QualifiedCountries,0),1,0),0)</f>
        <v>1</v>
      </c>
      <c r="AWG18" s="319">
        <f t="shared" ref="AWG18" ca="1" si="5354">VLOOKUP(AWH18,BAC18:BAD22,2,FALSE)</f>
        <v>3</v>
      </c>
      <c r="AWH18" s="319" t="str">
        <f t="shared" ref="AWH18:AWH21" si="5355">ARJ18</f>
        <v>Serbia</v>
      </c>
      <c r="AWI18" s="319">
        <f t="shared" ref="AWI18" ca="1" si="5356">SUMPRODUCT((BAF3:BAF42=AWH18)*(BAJ3:BAJ42="W"))+SUMPRODUCT((BAI3:BAI42=AWH18)*(BAK3:BAK42="W"))</f>
        <v>1</v>
      </c>
      <c r="AWJ18" s="319">
        <f t="shared" ref="AWJ18" ca="1" si="5357">SUMPRODUCT((BAF3:BAF42=AWH18)*(BAJ3:BAJ42="D"))+SUMPRODUCT((BAI3:BAI42=AWH18)*(BAK3:BAK42="D"))</f>
        <v>0</v>
      </c>
      <c r="AWK18" s="319">
        <f t="shared" ref="AWK18" ca="1" si="5358">SUMPRODUCT((BAF3:BAF42=AWH18)*(BAJ3:BAJ42="L"))+SUMPRODUCT((BAI3:BAI42=AWH18)*(BAK3:BAK42="L"))</f>
        <v>2</v>
      </c>
      <c r="AWL18" s="319">
        <f t="shared" ref="AWL18" ca="1" si="5359">SUMIF(BAF3:BAF60,AWH18,BAG3:BAG60)+SUMIF(BAI3:BAI60,AWH18,BAH3:BAH60)</f>
        <v>4</v>
      </c>
      <c r="AWM18" s="319">
        <f t="shared" ref="AWM18" ca="1" si="5360">SUMIF(BAI3:BAI60,AWH18,BAG3:BAG60)+SUMIF(BAF3:BAF60,AWH18,BAH3:BAH60)</f>
        <v>8</v>
      </c>
      <c r="AWN18" s="319">
        <f t="shared" ref="AWN18:AWN21" ca="1" si="5361">AWL18-AWM18+1000</f>
        <v>996</v>
      </c>
      <c r="AWO18" s="319">
        <f t="shared" ref="AWO18:AWO21" ca="1" si="5362">AWI18*3+AWJ18*1</f>
        <v>3</v>
      </c>
      <c r="AWP18" s="319">
        <f t="shared" si="1050"/>
        <v>35</v>
      </c>
      <c r="AWQ18" s="319">
        <f t="shared" ref="AWQ18" ca="1" si="5363">IF(COUNTIF(AWO18:AWO22,4)&lt;&gt;4,RANK(AWO18,AWO18:AWO22),AWO58)</f>
        <v>3</v>
      </c>
      <c r="AWR18" s="319"/>
      <c r="AWS18" s="319">
        <f t="shared" ref="AWS18" ca="1" si="5364">SUMPRODUCT((AWQ18:AWQ21=AWQ18)*(AWP18:AWP21&lt;AWP18))+AWQ18</f>
        <v>3</v>
      </c>
      <c r="AWT18" s="319" t="str">
        <f t="shared" ref="AWT18" ca="1" si="5365">INDEX(AWH18:AWH22,MATCH(1,AWS18:AWS22,0),0)</f>
        <v>England</v>
      </c>
      <c r="AWU18" s="319">
        <f t="shared" ref="AWU18" ca="1" si="5366">INDEX(AWQ18:AWQ22,MATCH(AWT18,AWH18:AWH22,0),0)</f>
        <v>1</v>
      </c>
      <c r="AWV18" s="319" t="str">
        <f t="shared" ref="AWV18" ca="1" si="5367">IF(AWU19=1,AWT18,"")</f>
        <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t="str">
        <f t="shared" ref="AXH18:AXH21" ca="1" si="5378">IF(AXA18&lt;&gt;"",AXB18*3+AXC18*1,"")</f>
        <v/>
      </c>
      <c r="AXI18" s="319" t="str">
        <f t="shared" ref="AXI18" ca="1" si="5379">IF(AXA18&lt;&gt;"",VLOOKUP(AXA18,AWH4:AWN40,7,FALSE),"")</f>
        <v/>
      </c>
      <c r="AXJ18" s="319" t="str">
        <f t="shared" ref="AXJ18" ca="1" si="5380">IF(AXA18&lt;&gt;"",VLOOKUP(AXA18,AWH4:AWN40,5,FALSE),"")</f>
        <v/>
      </c>
      <c r="AXK18" s="319" t="str">
        <f t="shared" ref="AXK18" ca="1" si="5381">IF(AXA18&lt;&gt;"",VLOOKUP(AXA18,AWH4:AWP40,9,FALSE),"")</f>
        <v/>
      </c>
      <c r="AXL18" s="319" t="str">
        <f t="shared" ref="AXL18:AXL21" ca="1" si="5382">AXH18</f>
        <v/>
      </c>
      <c r="AXM18" s="319" t="str">
        <f t="shared" ref="AXM18" ca="1" si="5383">IF(AXA18&lt;&gt;"",RANK(AXL18,AXL18:AXL22),"")</f>
        <v/>
      </c>
      <c r="AXN18" s="319" t="str">
        <f t="shared" ref="AXN18" ca="1" si="5384">IF(AXA18&lt;&gt;"",SUMPRODUCT((AXL18:AXL22=AXL18)*(AXG18:AXG22&gt;AXG18)),"")</f>
        <v/>
      </c>
      <c r="AXO18" s="319" t="str">
        <f t="shared" ref="AXO18" ca="1" si="5385">IF(AXA18&lt;&gt;"",SUMPRODUCT((AXL18:AXL22=AXL18)*(AXG18:AXG22=AXG18)*(AXE18:AXE22&gt;AXE18)),"")</f>
        <v/>
      </c>
      <c r="AXP18" s="319" t="str">
        <f t="shared" ref="AXP18" ca="1" si="5386">IF(AXA18&lt;&gt;"",SUMPRODUCT((AXL18:AXL22=AXL18)*(AXG18:AXG22=AXG18)*(AXE18:AXE22=AXE18)*(AXI18:AXI22&gt;AXI18)),"")</f>
        <v/>
      </c>
      <c r="AXQ18" s="319" t="str">
        <f t="shared" ref="AXQ18" ca="1" si="5387">IF(AXA18&lt;&gt;"",SUMPRODUCT((AXL18:AXL22=AXL18)*(AXG18:AXG22=AXG18)*(AXE18:AXE22=AXE18)*(AXI18:AXI22=AXI18)*(AXJ18:AXJ22&gt;AXJ18)),"")</f>
        <v/>
      </c>
      <c r="AXR18" s="319" t="str">
        <f t="shared" ref="AXR18" ca="1" si="5388">IF(AXA18&lt;&gt;"",SUMPRODUCT((AXL18:AXL22=AXL18)*(AXG18:AXG22=AXG18)*(AXE18:AXE22=AXE18)*(AXI18:AXI22=AXI18)*(AXJ18:AXJ22=AXJ18)*(AXK18:AXK22&gt;AXK18)),"")</f>
        <v/>
      </c>
      <c r="AXS18" s="319" t="str">
        <f ca="1">IF(AXA18&lt;&gt;"",IF(AXS58&lt;&gt;"",IF(AWZ57=3,AXS58,AXS58+AWZ57),SUM(AXM18:AXR18)),"")</f>
        <v/>
      </c>
      <c r="AXT18" s="319" t="str">
        <f t="shared" ref="AXT18" ca="1" si="5389">IF(AXA18&lt;&gt;"",INDEX(AXA18:AXA22,MATCH(1,AXS18:AXS22,0),0),"")</f>
        <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1</v>
      </c>
      <c r="BAH18" s="322">
        <f ca="1">IF(OFFSET('Player Game Board'!Q25,0,BAG1)&lt;&gt;"",OFFSET('Player Game Board'!Q25,0,BAG1),0)</f>
        <v>3</v>
      </c>
      <c r="BAI18" s="319" t="str">
        <f t="shared" si="131"/>
        <v>Italy</v>
      </c>
      <c r="BAJ18" s="319" t="str">
        <f ca="1">IF(AND(OFFSET('Player Game Board'!P25,0,BAG1)&lt;&gt;"",OFFSET('Player Game Board'!Q25,0,BAG1)&lt;&gt;""),IF(BAG18&gt;BAH18,"W",IF(BAG18=BAH18,"D","L")),"")</f>
        <v>L</v>
      </c>
      <c r="BAK18" s="319" t="str">
        <f t="shared" ca="1" si="132"/>
        <v>W</v>
      </c>
      <c r="BAL18" s="319"/>
      <c r="BAM18" s="319"/>
      <c r="BAN18" s="324" t="s">
        <v>105</v>
      </c>
      <c r="BAO18" s="325" t="s">
        <v>106</v>
      </c>
      <c r="BAP18" s="325" t="s">
        <v>109</v>
      </c>
      <c r="BAQ18" s="325" t="s">
        <v>110</v>
      </c>
      <c r="BAR18" s="324" t="s">
        <v>109</v>
      </c>
      <c r="BAS18" s="324" t="s">
        <v>110</v>
      </c>
      <c r="BAT18" s="324" t="s">
        <v>106</v>
      </c>
      <c r="BAU18" s="324" t="s">
        <v>105</v>
      </c>
      <c r="BAV18" s="325"/>
      <c r="BAW18" s="326">
        <f t="shared" ref="BAW18" ca="1" si="5391">IFERROR(MATCH(BAW12,BAN18:BAQ18,0),0)</f>
        <v>1</v>
      </c>
      <c r="BAX18" s="326">
        <f t="shared" ref="BAX18" ca="1" si="5392">IFERROR(MATCH(BAX12,BAN18:BAQ18,0),0)</f>
        <v>2</v>
      </c>
      <c r="BAY18" s="326">
        <f t="shared" ref="BAY18" ca="1" si="5393">IFERROR(MATCH(BAY12,BAN18:BAQ18,0),0)</f>
        <v>3</v>
      </c>
      <c r="BAZ18" s="326">
        <f t="shared" ref="BAZ18" ca="1" si="5394">IFERROR(MATCH(BAZ12,BAN18:BAQ18,0),0)</f>
        <v>4</v>
      </c>
      <c r="BBA18" s="326">
        <f t="shared" ca="1" si="4106"/>
        <v>10</v>
      </c>
      <c r="BBB18" s="325" t="s">
        <v>362</v>
      </c>
      <c r="BBC18" s="325" t="str">
        <f t="shared" ref="BBC18" ca="1" si="5395">INDEX(BAN3:BAN8,MATCH(INDEX(BAR13:BAR27,MATCH(10,BBA13:BBA27,0),0),BBB3:BBB8,0),0)</f>
        <v>Romania</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105</v>
      </c>
      <c r="BFM18" s="325" t="s">
        <v>106</v>
      </c>
      <c r="BFN18" s="325" t="s">
        <v>109</v>
      </c>
      <c r="BFO18" s="325" t="s">
        <v>110</v>
      </c>
      <c r="BFP18" s="324" t="s">
        <v>109</v>
      </c>
      <c r="BFQ18" s="324" t="s">
        <v>110</v>
      </c>
      <c r="BFR18" s="324" t="s">
        <v>106</v>
      </c>
      <c r="BFS18" s="324" t="s">
        <v>105</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362</v>
      </c>
      <c r="BGA18" s="325" t="str">
        <f t="shared" ref="BGA18" ca="1" si="5438">INDEX(BFL3:BFL8,MATCH(INDEX(BFP13:BFP27,MATCH(10,BFY13:BFY27,0),0),BFZ3:BFZ8,0),0)</f>
        <v>Scotland</v>
      </c>
      <c r="BGB18" s="325">
        <f t="shared" ref="BGB18:BGB33" ca="1" si="5439">IFERROR(IF(MATCH(BGA18,QualifiedCountries,0),1,0),0)</f>
        <v>1</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105</v>
      </c>
      <c r="DI19" s="325" t="s">
        <v>107</v>
      </c>
      <c r="DJ19" s="325" t="s">
        <v>108</v>
      </c>
      <c r="DK19" s="325" t="s">
        <v>109</v>
      </c>
      <c r="DL19" s="324" t="s">
        <v>109</v>
      </c>
      <c r="DM19" s="324" t="s">
        <v>108</v>
      </c>
      <c r="DN19" s="324" t="s">
        <v>107</v>
      </c>
      <c r="DO19" s="324" t="s">
        <v>105</v>
      </c>
      <c r="DP19" s="325"/>
      <c r="DQ19" s="326">
        <f>IFERROR(MATCH(DQ12,DH19:DK19,0),0)</f>
        <v>2</v>
      </c>
      <c r="DR19" s="326">
        <f>IFERROR(MATCH(DR12,DH19:DK19,0),0)</f>
        <v>0</v>
      </c>
      <c r="DS19" s="326">
        <f>IFERROR(MATCH(DS12,DH19:DK19,0),0)</f>
        <v>1</v>
      </c>
      <c r="DT19" s="326">
        <f>IFERROR(MATCH(DT12,DH19:DK19,0),0)</f>
        <v>0</v>
      </c>
      <c r="DU19" s="326">
        <f t="shared" si="3541"/>
        <v>3</v>
      </c>
      <c r="DV19" s="325" t="s">
        <v>357</v>
      </c>
      <c r="DW19" s="325" t="str">
        <f>INDEX(DH3:DH8,MATCH(INDEX(DM13:DM27,MATCH(10,DU13:DU27,0),0),DV3:DV8,0),0)</f>
        <v>Czechia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7</v>
      </c>
      <c r="EE19" s="319">
        <f ca="1">SUMIF(IA3:IA60,DZ19,HY3:HY60)+SUMIF(HX3:HX60,DZ19,HZ3:HZ60)</f>
        <v>2</v>
      </c>
      <c r="EF19" s="319">
        <f t="shared" ca="1" si="5043"/>
        <v>1005</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105</v>
      </c>
      <c r="IG19" s="325" t="s">
        <v>107</v>
      </c>
      <c r="IH19" s="325" t="s">
        <v>108</v>
      </c>
      <c r="II19" s="325" t="s">
        <v>109</v>
      </c>
      <c r="IJ19" s="324" t="s">
        <v>109</v>
      </c>
      <c r="IK19" s="324" t="s">
        <v>108</v>
      </c>
      <c r="IL19" s="324" t="s">
        <v>107</v>
      </c>
      <c r="IM19" s="324" t="s">
        <v>105</v>
      </c>
      <c r="IN19" s="325"/>
      <c r="IO19" s="326">
        <f ca="1">IFERROR(MATCH(IO12,IF19:II19,0),0)</f>
        <v>0</v>
      </c>
      <c r="IP19" s="326">
        <f ca="1">IFERROR(MATCH(IP12,IF19:II19,0),0)</f>
        <v>0</v>
      </c>
      <c r="IQ19" s="326">
        <f ca="1">IFERROR(MATCH(IQ12,IF19:II19,0),0)</f>
        <v>1</v>
      </c>
      <c r="IR19" s="326">
        <f ca="1">IFERROR(MATCH(IR12,IF19:II19,0),0)</f>
        <v>2</v>
      </c>
      <c r="IS19" s="326">
        <f t="shared" ca="1" si="3544"/>
        <v>3</v>
      </c>
      <c r="IT19" s="325" t="s">
        <v>357</v>
      </c>
      <c r="IU19" s="325" t="str">
        <f ca="1">INDEX(IF3:IF8,MATCH(INDEX(IK13:IK27,MATCH(10,IS13:IS27,0),0),IT3:IT8,0),0)</f>
        <v>Czechia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8</v>
      </c>
      <c r="JC19" s="319">
        <f ca="1">SUMIF(MY3:MY60,IX19,MW3:MW60)+SUMIF(MV3:MV60,IX19,MX3:MX60)</f>
        <v>2</v>
      </c>
      <c r="JD19" s="319">
        <f t="shared" ca="1" si="5048"/>
        <v>1006</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3</v>
      </c>
      <c r="MY19" s="319" t="str">
        <f t="shared" si="171"/>
        <v>England</v>
      </c>
      <c r="MZ19" s="319" t="str">
        <f ca="1">IF(AND(OFFSET('Player Game Board'!P26,0,MW1)&lt;&gt;"",OFFSET('Player Game Board'!Q26,0,MW1)&lt;&gt;""),IF(MW19&gt;MX19,"W",IF(MW19=MX19,"D","L")),"")</f>
        <v>L</v>
      </c>
      <c r="NA19" s="319" t="str">
        <f t="shared" ca="1" si="172"/>
        <v>W</v>
      </c>
      <c r="NB19" s="319"/>
      <c r="NC19" s="319"/>
      <c r="ND19" s="324" t="s">
        <v>105</v>
      </c>
      <c r="NE19" s="325" t="s">
        <v>107</v>
      </c>
      <c r="NF19" s="325" t="s">
        <v>108</v>
      </c>
      <c r="NG19" s="325" t="s">
        <v>109</v>
      </c>
      <c r="NH19" s="324" t="s">
        <v>109</v>
      </c>
      <c r="NI19" s="324" t="s">
        <v>108</v>
      </c>
      <c r="NJ19" s="324" t="s">
        <v>107</v>
      </c>
      <c r="NK19" s="324" t="s">
        <v>105</v>
      </c>
      <c r="NL19" s="325"/>
      <c r="NM19" s="326">
        <f ca="1">IFERROR(MATCH(NM12,ND19:NG19,0),0)</f>
        <v>0</v>
      </c>
      <c r="NN19" s="326">
        <f ca="1">IFERROR(MATCH(NN12,ND19:NG19,0),0)</f>
        <v>4</v>
      </c>
      <c r="NO19" s="326">
        <f ca="1">IFERROR(MATCH(NO12,ND19:NG19,0),0)</f>
        <v>1</v>
      </c>
      <c r="NP19" s="326">
        <f ca="1">IFERROR(MATCH(NP12,ND19:NG19,0),0)</f>
        <v>3</v>
      </c>
      <c r="NQ19" s="326">
        <f t="shared" ca="1" si="3547"/>
        <v>8</v>
      </c>
      <c r="NR19" s="325" t="s">
        <v>357</v>
      </c>
      <c r="NS19" s="325" t="str">
        <f ca="1">INDEX(ND3:ND8,MATCH(INDEX(NI13:NI27,MATCH(10,NQ13:NQ27,0),0),NR3:NR8,0),0)</f>
        <v>Slovakia</v>
      </c>
      <c r="NT19" s="325">
        <f t="shared" ca="1" si="5052"/>
        <v>1</v>
      </c>
      <c r="NU19" s="319">
        <f t="shared" ref="NU19" ca="1" si="5451">VLOOKUP(NV19,RQ18:RR22,2,FALSE)</f>
        <v>2</v>
      </c>
      <c r="NV19" s="319" t="str">
        <f t="shared" si="5054"/>
        <v>England</v>
      </c>
      <c r="NW19" s="319">
        <f t="shared" ref="NW19" ca="1" si="5452">SUMPRODUCT((RT3:RT42=NV19)*(RX3:RX42="W"))+SUMPRODUCT((RW3:RW42=NV19)*(RY3:RY42="W"))</f>
        <v>2</v>
      </c>
      <c r="NX19" s="319">
        <f t="shared" ref="NX19" ca="1" si="5453">SUMPRODUCT((RT3:RT42=NV19)*(RX3:RX42="D"))+SUMPRODUCT((RW3:RW42=NV19)*(RY3:RY42="D"))</f>
        <v>0</v>
      </c>
      <c r="NY19" s="319">
        <f t="shared" ref="NY19" ca="1" si="5454">SUMPRODUCT((RT3:RT42=NV19)*(RX3:RX42="L"))+SUMPRODUCT((RW3:RW42=NV19)*(RY3:RY42="L"))</f>
        <v>1</v>
      </c>
      <c r="NZ19" s="319">
        <f t="shared" ref="NZ19" ca="1" si="5455">SUMIF(RT3:RT60,NV19,RU3:RU60)+SUMIF(RW3:RW60,NV19,RV3:RV60)</f>
        <v>5</v>
      </c>
      <c r="OA19" s="319">
        <f t="shared" ref="OA19" ca="1" si="5456">SUMIF(RW3:RW60,NV19,RU3:RU60)+SUMIF(RT3:RT60,NV19,RV3:RV60)</f>
        <v>4</v>
      </c>
      <c r="OB19" s="319">
        <f t="shared" ca="1" si="5060"/>
        <v>1001</v>
      </c>
      <c r="OC19" s="319">
        <f t="shared" ca="1" si="5061"/>
        <v>6</v>
      </c>
      <c r="OD19" s="319">
        <f t="shared" si="630"/>
        <v>49</v>
      </c>
      <c r="OE19" s="319">
        <f t="shared" ref="OE19" ca="1" si="5457">IF(COUNTIF(OC18:OC22,4)&lt;&gt;4,RANK(OC19,OC18:OC22),OC59)</f>
        <v>2</v>
      </c>
      <c r="OF19" s="319"/>
      <c r="OG19" s="319">
        <f t="shared" ref="OG19" ca="1" si="5458">SUMPRODUCT((OE18:OE21=OE19)*(OD18:OD21&lt;OD19))+OE19</f>
        <v>2</v>
      </c>
      <c r="OH19" s="319" t="str">
        <f t="shared" ref="OH19" ca="1" si="5459">INDEX(NV18:NV22,MATCH(2,OG18:OG22,0),0)</f>
        <v>England</v>
      </c>
      <c r="OI19" s="319">
        <f t="shared" ref="OI19" ca="1" si="5460">INDEX(OE18:OE22,MATCH(OH19,NV18:NV22,0),0)</f>
        <v>2</v>
      </c>
      <c r="OJ19" s="319" t="str">
        <f t="shared" ref="OJ19" ca="1" si="5461">IF(OJ18&lt;&gt;"",OH19,"")</f>
        <v/>
      </c>
      <c r="OK19" s="319" t="str">
        <f t="shared" ref="OK19" ca="1" si="5462">IF(OK18&lt;&gt;"",OH20,"")</f>
        <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England</v>
      </c>
      <c r="RR19" s="319">
        <v>2</v>
      </c>
      <c r="RS19" s="319">
        <v>17</v>
      </c>
      <c r="RT19" s="319" t="str">
        <f t="shared" si="18"/>
        <v>Denmark</v>
      </c>
      <c r="RU19" s="322">
        <f ca="1">IF(OFFSET('Player Game Board'!P26,0,RU1)&lt;&gt;"",OFFSET('Player Game Board'!P26,0,RU1),0)</f>
        <v>2</v>
      </c>
      <c r="RV19" s="322">
        <f ca="1">IF(OFFSET('Player Game Board'!Q26,0,RU1)&lt;&gt;"",OFFSET('Player Game Board'!Q26,0,RU1),0)</f>
        <v>1</v>
      </c>
      <c r="RW19" s="319" t="str">
        <f t="shared" si="19"/>
        <v>England</v>
      </c>
      <c r="RX19" s="319" t="str">
        <f ca="1">IF(AND(OFFSET('Player Game Board'!P26,0,RU1)&lt;&gt;"",OFFSET('Player Game Board'!Q26,0,RU1)&lt;&gt;""),IF(RU19&gt;RV19,"W",IF(RU19=RV19,"D","L")),"")</f>
        <v>W</v>
      </c>
      <c r="RY19" s="319" t="str">
        <f t="shared" ref="RY19:RY38" ca="1" si="5500">IF(RX19&lt;&gt;"",IF(RX19="W","L",IF(RX19="L","W","D")),"")</f>
        <v>L</v>
      </c>
      <c r="RZ19" s="319"/>
      <c r="SA19" s="319"/>
      <c r="SB19" s="324" t="s">
        <v>105</v>
      </c>
      <c r="SC19" s="325" t="s">
        <v>107</v>
      </c>
      <c r="SD19" s="325" t="s">
        <v>108</v>
      </c>
      <c r="SE19" s="325" t="s">
        <v>109</v>
      </c>
      <c r="SF19" s="324" t="s">
        <v>109</v>
      </c>
      <c r="SG19" s="324" t="s">
        <v>108</v>
      </c>
      <c r="SH19" s="324" t="s">
        <v>107</v>
      </c>
      <c r="SI19" s="324" t="s">
        <v>105</v>
      </c>
      <c r="SJ19" s="325"/>
      <c r="SK19" s="326">
        <f t="shared" ref="SK19" ca="1" si="5501">IFERROR(MATCH(SK12,SB19:SE19,0),0)</f>
        <v>0</v>
      </c>
      <c r="SL19" s="326">
        <f t="shared" ref="SL19" ca="1" si="5502">IFERROR(MATCH(SL12,SB19:SE19,0),0)</f>
        <v>3</v>
      </c>
      <c r="SM19" s="326">
        <f t="shared" ref="SM19" ca="1" si="5503">IFERROR(MATCH(SM12,SB19:SE19,0),0)</f>
        <v>2</v>
      </c>
      <c r="SN19" s="326">
        <f t="shared" ref="SN19" ca="1" si="5504">IFERROR(MATCH(SN12,SB19:SE19,0),0)</f>
        <v>4</v>
      </c>
      <c r="SO19" s="326">
        <f t="shared" ca="1" si="3616"/>
        <v>9</v>
      </c>
      <c r="SP19" s="325" t="s">
        <v>357</v>
      </c>
      <c r="SQ19" s="325" t="str">
        <f t="shared" ref="SQ19" ca="1" si="5505">INDEX(SB3:SB8,MATCH(INDEX(SG13:SG27,MATCH(10,SO13:SO27,0),0),SP3:SP8,0),0)</f>
        <v>Austria</v>
      </c>
      <c r="SR19" s="325">
        <f t="shared" ca="1" si="5095"/>
        <v>0</v>
      </c>
      <c r="SS19" s="319">
        <f t="shared" ref="SS19" ca="1" si="5506">VLOOKUP(ST19,WO18:WP22,2,FALSE)</f>
        <v>1</v>
      </c>
      <c r="ST19" s="319" t="str">
        <f t="shared" si="5097"/>
        <v>England</v>
      </c>
      <c r="SU19" s="319">
        <f t="shared" ref="SU19" ca="1" si="5507">SUMPRODUCT((WR3:WR42=ST19)*(WV3:WV42="W"))+SUMPRODUCT((WU3:WU42=ST19)*(WW3:WW42="W"))</f>
        <v>2</v>
      </c>
      <c r="SV19" s="319">
        <f t="shared" ref="SV19" ca="1" si="5508">SUMPRODUCT((WR3:WR42=ST19)*(WV3:WV42="D"))+SUMPRODUCT((WU3:WU42=ST19)*(WW3:WW42="D"))</f>
        <v>1</v>
      </c>
      <c r="SW19" s="319">
        <f t="shared" ref="SW19" ca="1" si="5509">SUMPRODUCT((WR3:WR42=ST19)*(WV3:WV42="L"))+SUMPRODUCT((WU3:WU42=ST19)*(WW3:WW42="L"))</f>
        <v>0</v>
      </c>
      <c r="SX19" s="319">
        <f t="shared" ref="SX19" ca="1" si="5510">SUMIF(WR3:WR60,ST19,WS3:WS60)+SUMIF(WU3:WU60,ST19,WT3:WT60)</f>
        <v>4</v>
      </c>
      <c r="SY19" s="319">
        <f t="shared" ref="SY19" ca="1" si="5511">SUMIF(WU3:WU60,ST19,WS3:WS60)+SUMIF(WR3:WR60,ST19,WT3:WT60)</f>
        <v>1</v>
      </c>
      <c r="SZ19" s="319">
        <f t="shared" ca="1" si="5103"/>
        <v>1003</v>
      </c>
      <c r="TA19" s="319">
        <f t="shared" ca="1" si="5104"/>
        <v>7</v>
      </c>
      <c r="TB19" s="319">
        <f t="shared" si="690"/>
        <v>49</v>
      </c>
      <c r="TC19" s="319">
        <f t="shared" ref="TC19" ca="1" si="5512">IF(COUNTIF(TA18:TA22,4)&lt;&gt;4,RANK(TA19,TA18:TA22),TA59)</f>
        <v>1</v>
      </c>
      <c r="TD19" s="319"/>
      <c r="TE19" s="319">
        <f t="shared" ref="TE19" ca="1" si="5513">SUMPRODUCT((TC18:TC21=TC19)*(TB18:TB21&lt;TB19))+TC19</f>
        <v>2</v>
      </c>
      <c r="TF19" s="319" t="str">
        <f t="shared" ref="TF19" ca="1" si="5514">INDEX(ST18:ST22,MATCH(2,TE18:TE22,0),0)</f>
        <v>England</v>
      </c>
      <c r="TG19" s="319">
        <f t="shared" ref="TG19" ca="1" si="5515">INDEX(TC18:TC22,MATCH(TF19,ST18:ST22,0),0)</f>
        <v>1</v>
      </c>
      <c r="TH19" s="319" t="str">
        <f t="shared" ref="TH19" ca="1" si="5516">IF(TH18&lt;&gt;"",TF19,"")</f>
        <v>England</v>
      </c>
      <c r="TI19" s="319" t="str">
        <f t="shared" ref="TI19" ca="1" si="5517">IF(TI18&lt;&gt;"",TF20,"")</f>
        <v/>
      </c>
      <c r="TJ19" s="319" t="str">
        <f t="shared" ref="TJ19" ca="1" si="5518">IF(TJ18&lt;&gt;"",TF21,"")</f>
        <v/>
      </c>
      <c r="TK19" s="319" t="str">
        <f t="shared" ref="TK19" si="5519">IF(TK18&lt;&gt;"",TF22,"")</f>
        <v/>
      </c>
      <c r="TL19" s="319"/>
      <c r="TM19" s="319" t="str">
        <f t="shared" ca="1" si="5113"/>
        <v>England</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19">
        <f t="shared" ca="1" si="5119"/>
        <v>1000</v>
      </c>
      <c r="TT19" s="319">
        <f t="shared" ca="1" si="5120"/>
        <v>1</v>
      </c>
      <c r="TU19" s="319">
        <f t="shared" ref="TU19" ca="1" si="5525">IF(TM19&lt;&gt;"",VLOOKUP(TM19,ST4:SZ40,7,FALSE),"")</f>
        <v>1003</v>
      </c>
      <c r="TV19" s="319">
        <f t="shared" ref="TV19" ca="1" si="5526">IF(TM19&lt;&gt;"",VLOOKUP(TM19,ST4:SZ40,5,FALSE),"")</f>
        <v>4</v>
      </c>
      <c r="TW19" s="319">
        <f t="shared" ref="TW19" ca="1" si="5527">IF(TM19&lt;&gt;"",VLOOKUP(TM19,ST4:TB40,9,FALSE),"")</f>
        <v>49</v>
      </c>
      <c r="TX19" s="319">
        <f t="shared" ca="1" si="5124"/>
        <v>1</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0</v>
      </c>
      <c r="UE19" s="319">
        <f ca="1">IF(TM19&lt;&gt;"",IF(UE59&lt;&gt;"",IF(TL57=3,UE59,UE59+TL57),SUM(TY19:UD19)),"")</f>
        <v>1</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1</v>
      </c>
      <c r="WU19" s="319" t="str">
        <f t="shared" si="35"/>
        <v>England</v>
      </c>
      <c r="WV19" s="319" t="str">
        <f ca="1">IF(AND(OFFSET('Player Game Board'!P26,0,WS1)&lt;&gt;"",OFFSET('Player Game Board'!Q26,0,WS1)&lt;&gt;""),IF(WS19&gt;WT19,"W",IF(WS19=WT19,"D","L")),"")</f>
        <v>D</v>
      </c>
      <c r="WW19" s="319" t="str">
        <f t="shared" ref="WW19:WW38" ca="1" si="5555">IF(WV19&lt;&gt;"",IF(WV19="W","L",IF(WV19="L","W","D")),"")</f>
        <v>D</v>
      </c>
      <c r="WX19" s="319"/>
      <c r="WY19" s="319"/>
      <c r="WZ19" s="324" t="s">
        <v>105</v>
      </c>
      <c r="XA19" s="325" t="s">
        <v>107</v>
      </c>
      <c r="XB19" s="325" t="s">
        <v>108</v>
      </c>
      <c r="XC19" s="325" t="s">
        <v>109</v>
      </c>
      <c r="XD19" s="324" t="s">
        <v>109</v>
      </c>
      <c r="XE19" s="324" t="s">
        <v>108</v>
      </c>
      <c r="XF19" s="324" t="s">
        <v>107</v>
      </c>
      <c r="XG19" s="324" t="s">
        <v>105</v>
      </c>
      <c r="XH19" s="325"/>
      <c r="XI19" s="326">
        <f t="shared" ref="XI19" ca="1" si="5556">IFERROR(MATCH(XI12,WZ19:XC19,0),0)</f>
        <v>0</v>
      </c>
      <c r="XJ19" s="326">
        <f t="shared" ref="XJ19" ca="1" si="5557">IFERROR(MATCH(XJ12,WZ19:XC19,0),0)</f>
        <v>0</v>
      </c>
      <c r="XK19" s="326">
        <f t="shared" ref="XK19" ca="1" si="5558">IFERROR(MATCH(XK12,WZ19:XC19,0),0)</f>
        <v>2</v>
      </c>
      <c r="XL19" s="326">
        <f t="shared" ref="XL19" ca="1" si="5559">IFERROR(MATCH(XL12,WZ19:XC19,0),0)</f>
        <v>3</v>
      </c>
      <c r="XM19" s="326">
        <f t="shared" ca="1" si="3686"/>
        <v>5</v>
      </c>
      <c r="XN19" s="325" t="s">
        <v>357</v>
      </c>
      <c r="XO19" s="325" t="str">
        <f t="shared" ref="XO19" ca="1" si="5560">INDEX(WZ3:WZ8,MATCH(INDEX(XE13:XE27,MATCH(10,XM13:XM27,0),0),XN3:XN8,0),0)</f>
        <v>Poland</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105</v>
      </c>
      <c r="ABY19" s="325" t="s">
        <v>107</v>
      </c>
      <c r="ABZ19" s="325" t="s">
        <v>108</v>
      </c>
      <c r="ACA19" s="325" t="s">
        <v>109</v>
      </c>
      <c r="ACB19" s="324" t="s">
        <v>109</v>
      </c>
      <c r="ACC19" s="324" t="s">
        <v>108</v>
      </c>
      <c r="ACD19" s="324" t="s">
        <v>107</v>
      </c>
      <c r="ACE19" s="324" t="s">
        <v>105</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357</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1</v>
      </c>
      <c r="ACR19" s="319">
        <f t="shared" ref="ACR19" ca="1" si="5618">SUMPRODUCT((AGN3:AGN42=ACP19)*(AGR3:AGR42="D"))+SUMPRODUCT((AGQ3:AGQ42=ACP19)*(AGS3:AGS42="D"))</f>
        <v>2</v>
      </c>
      <c r="ACS19" s="319">
        <f t="shared" ref="ACS19" ca="1" si="5619">SUMPRODUCT((AGN3:AGN42=ACP19)*(AGR3:AGR42="L"))+SUMPRODUCT((AGQ3:AGQ42=ACP19)*(AGS3:AGS42="L"))</f>
        <v>0</v>
      </c>
      <c r="ACT19" s="319">
        <f t="shared" ref="ACT19" ca="1" si="5620">SUMIF(AGN3:AGN60,ACP19,AGO3:AGO60)+SUMIF(AGQ3:AGQ60,ACP19,AGP3:AGP60)</f>
        <v>2</v>
      </c>
      <c r="ACU19" s="319">
        <f t="shared" ref="ACU19" ca="1" si="5621">SUMIF(AGQ3:AGQ60,ACP19,AGO3:AGO60)+SUMIF(AGN3:AGN60,ACP19,AGP3:AGP60)</f>
        <v>0</v>
      </c>
      <c r="ACV19" s="319">
        <f t="shared" ca="1" si="5189"/>
        <v>1002</v>
      </c>
      <c r="ACW19" s="319">
        <f t="shared" ca="1" si="5190"/>
        <v>5</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105</v>
      </c>
      <c r="AGW19" s="325" t="s">
        <v>107</v>
      </c>
      <c r="AGX19" s="325" t="s">
        <v>108</v>
      </c>
      <c r="AGY19" s="325" t="s">
        <v>109</v>
      </c>
      <c r="AGZ19" s="324" t="s">
        <v>109</v>
      </c>
      <c r="AHA19" s="324" t="s">
        <v>108</v>
      </c>
      <c r="AHB19" s="324" t="s">
        <v>107</v>
      </c>
      <c r="AHC19" s="324" t="s">
        <v>105</v>
      </c>
      <c r="AHD19" s="325"/>
      <c r="AHE19" s="326">
        <f t="shared" ref="AHE19" ca="1" si="5666">IFERROR(MATCH(AHE12,AGV19:AGY19,0),0)</f>
        <v>0</v>
      </c>
      <c r="AHF19" s="326">
        <f t="shared" ref="AHF19" ca="1" si="5667">IFERROR(MATCH(AHF12,AGV19:AGY19,0),0)</f>
        <v>2</v>
      </c>
      <c r="AHG19" s="326">
        <f t="shared" ref="AHG19" ca="1" si="5668">IFERROR(MATCH(AHG12,AGV19:AGY19,0),0)</f>
        <v>3</v>
      </c>
      <c r="AHH19" s="326">
        <f t="shared" ref="AHH19" ca="1" si="5669">IFERROR(MATCH(AHH12,AGV19:AGY19,0),0)</f>
        <v>0</v>
      </c>
      <c r="AHI19" s="326">
        <f t="shared" ca="1" si="3826"/>
        <v>5</v>
      </c>
      <c r="AHJ19" s="325" t="s">
        <v>357</v>
      </c>
      <c r="AHK19" s="325" t="str">
        <f t="shared" ref="AHK19" ca="1" si="5670">INDEX(AGV3:AGV8,MATCH(INDEX(AHA13:AHA27,MATCH(10,AHI13:AHI27,0),0),AHJ3:AHJ8,0),0)</f>
        <v>Poland</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5</v>
      </c>
      <c r="AHS19" s="319">
        <f t="shared" ref="AHS19" ca="1" si="5676">SUMIF(ALO3:ALO60,AHN19,ALM3:ALM60)+SUMIF(ALL3:ALL60,AHN19,ALN3:ALN60)</f>
        <v>2</v>
      </c>
      <c r="AHT19" s="319">
        <f t="shared" ca="1" si="5232"/>
        <v>1003</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Denmark</v>
      </c>
      <c r="AIA19" s="319">
        <f t="shared" ref="AIA19" ca="1" si="5680">INDEX(AHW18:AHW22,MATCH(AHZ19,AHN18:AHN22,0),0)</f>
        <v>2</v>
      </c>
      <c r="AIB19" s="319" t="str">
        <f t="shared" ref="AIB19" ca="1" si="5681">IF(AIB18&lt;&gt;"",AHZ19,"")</f>
        <v/>
      </c>
      <c r="AIC19" s="319" t="str">
        <f t="shared" ref="AIC19" ca="1" si="5682">IF(AIC18&lt;&gt;"",AHZ20,"")</f>
        <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105</v>
      </c>
      <c r="ALU19" s="325" t="s">
        <v>107</v>
      </c>
      <c r="ALV19" s="325" t="s">
        <v>108</v>
      </c>
      <c r="ALW19" s="325" t="s">
        <v>109</v>
      </c>
      <c r="ALX19" s="324" t="s">
        <v>109</v>
      </c>
      <c r="ALY19" s="324" t="s">
        <v>108</v>
      </c>
      <c r="ALZ19" s="324" t="s">
        <v>107</v>
      </c>
      <c r="AMA19" s="324" t="s">
        <v>105</v>
      </c>
      <c r="AMB19" s="325"/>
      <c r="AMC19" s="326">
        <f t="shared" ref="AMC19" ca="1" si="5721">IFERROR(MATCH(AMC12,ALT19:ALW19,0),0)</f>
        <v>4</v>
      </c>
      <c r="AMD19" s="326">
        <f t="shared" ref="AMD19" ca="1" si="5722">IFERROR(MATCH(AMD12,ALT19:ALW19,0),0)</f>
        <v>0</v>
      </c>
      <c r="AME19" s="326">
        <f t="shared" ref="AME19" ca="1" si="5723">IFERROR(MATCH(AME12,ALT19:ALW19,0),0)</f>
        <v>3</v>
      </c>
      <c r="AMF19" s="326">
        <f t="shared" ref="AMF19" ca="1" si="5724">IFERROR(MATCH(AMF12,ALT19:ALW19,0),0)</f>
        <v>2</v>
      </c>
      <c r="AMG19" s="326">
        <f t="shared" ca="1" si="3896"/>
        <v>9</v>
      </c>
      <c r="AMH19" s="325" t="s">
        <v>357</v>
      </c>
      <c r="AMI19" s="325" t="str">
        <f t="shared" ref="AMI19" ca="1" si="5725">INDEX(ALT3:ALT8,MATCH(INDEX(ALY13:ALY27,MATCH(10,AMG13:AMG27,0),0),AMH3:AMH8,0),0)</f>
        <v>Austria</v>
      </c>
      <c r="AMJ19" s="325">
        <f t="shared" ca="1" si="5267"/>
        <v>0</v>
      </c>
      <c r="AMK19" s="319">
        <f t="shared" ref="AMK19" ca="1" si="5726">VLOOKUP(AML19,AQG18:AQH22,2,FALSE)</f>
        <v>1</v>
      </c>
      <c r="AML19" s="319" t="str">
        <f t="shared" si="5269"/>
        <v>England</v>
      </c>
      <c r="AMM19" s="319">
        <f t="shared" ref="AMM19" ca="1" si="5727">SUMPRODUCT((AQJ3:AQJ42=AML19)*(AQN3:AQN42="W"))+SUMPRODUCT((AQM3:AQM42=AML19)*(AQO3:AQO42="W"))</f>
        <v>2</v>
      </c>
      <c r="AMN19" s="319">
        <f t="shared" ref="AMN19" ca="1" si="5728">SUMPRODUCT((AQJ3:AQJ42=AML19)*(AQN3:AQN42="D"))+SUMPRODUCT((AQM3:AQM42=AML19)*(AQO3:AQO42="D"))</f>
        <v>1</v>
      </c>
      <c r="AMO19" s="319">
        <f t="shared" ref="AMO19" ca="1" si="5729">SUMPRODUCT((AQJ3:AQJ42=AML19)*(AQN3:AQN42="L"))+SUMPRODUCT((AQM3:AQM42=AML19)*(AQO3:AQO42="L"))</f>
        <v>0</v>
      </c>
      <c r="AMP19" s="319">
        <f t="shared" ref="AMP19" ca="1" si="5730">SUMIF(AQJ3:AQJ60,AML19,AQK3:AQK60)+SUMIF(AQM3:AQM60,AML19,AQL3:AQL60)</f>
        <v>5</v>
      </c>
      <c r="AMQ19" s="319">
        <f t="shared" ref="AMQ19" ca="1" si="5731">SUMIF(AQM3:AQM60,AML19,AQK3:AQK60)+SUMIF(AQJ3:AQJ60,AML19,AQL3:AQL60)</f>
        <v>2</v>
      </c>
      <c r="AMR19" s="319">
        <f t="shared" ca="1" si="5275"/>
        <v>1003</v>
      </c>
      <c r="AMS19" s="319">
        <f t="shared" ca="1" si="5276"/>
        <v>7</v>
      </c>
      <c r="AMT19" s="319">
        <f t="shared" si="930"/>
        <v>49</v>
      </c>
      <c r="AMU19" s="319">
        <f t="shared" ref="AMU19" ca="1" si="5732">IF(COUNTIF(AMS18:AMS22,4)&lt;&gt;4,RANK(AMS19,AMS18:AMS22),AMS59)</f>
        <v>1</v>
      </c>
      <c r="AMV19" s="319"/>
      <c r="AMW19" s="319">
        <f t="shared" ref="AMW19" ca="1" si="5733">SUMPRODUCT((AMU18:AMU21=AMU19)*(AMT18:AMT21&lt;AMT19))+AMU19</f>
        <v>2</v>
      </c>
      <c r="AMX19" s="319" t="str">
        <f t="shared" ref="AMX19" ca="1" si="5734">INDEX(AML18:AML22,MATCH(2,AMW18:AMW22,0),0)</f>
        <v>England</v>
      </c>
      <c r="AMY19" s="319">
        <f t="shared" ref="AMY19" ca="1" si="5735">INDEX(AMU18:AMU22,MATCH(AMX19,AML18:AML22,0),0)</f>
        <v>1</v>
      </c>
      <c r="AMZ19" s="319" t="str">
        <f t="shared" ref="AMZ19" ca="1" si="5736">IF(AMZ18&lt;&gt;"",AMX19,"")</f>
        <v>England</v>
      </c>
      <c r="ANA19" s="319" t="str">
        <f t="shared" ref="ANA19" ca="1" si="5737">IF(ANA18&lt;&gt;"",AMX20,"")</f>
        <v/>
      </c>
      <c r="ANB19" s="319" t="str">
        <f t="shared" ref="ANB19" ca="1" si="5738">IF(ANB18&lt;&gt;"",AMX21,"")</f>
        <v>Slovenia</v>
      </c>
      <c r="ANC19" s="319" t="str">
        <f t="shared" ref="ANC19" si="5739">IF(ANC18&lt;&gt;"",AMX22,"")</f>
        <v/>
      </c>
      <c r="AND19" s="319"/>
      <c r="ANE19" s="319" t="str">
        <f t="shared" ca="1" si="5285"/>
        <v>England</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19">
        <f t="shared" ca="1" si="5291"/>
        <v>1000</v>
      </c>
      <c r="ANL19" s="319">
        <f t="shared" ca="1" si="5292"/>
        <v>1</v>
      </c>
      <c r="ANM19" s="319">
        <f t="shared" ref="ANM19" ca="1" si="5745">IF(ANE19&lt;&gt;"",VLOOKUP(ANE19,AML4:AMR40,7,FALSE),"")</f>
        <v>1003</v>
      </c>
      <c r="ANN19" s="319">
        <f t="shared" ref="ANN19" ca="1" si="5746">IF(ANE19&lt;&gt;"",VLOOKUP(ANE19,AML4:AMR40,5,FALSE),"")</f>
        <v>5</v>
      </c>
      <c r="ANO19" s="319">
        <f t="shared" ref="ANO19" ca="1" si="5747">IF(ANE19&lt;&gt;"",VLOOKUP(ANE19,AML4:AMT40,9,FALSE),"")</f>
        <v>49</v>
      </c>
      <c r="ANP19" s="319">
        <f t="shared" ca="1" si="5296"/>
        <v>1</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0</v>
      </c>
      <c r="ANW19" s="319">
        <f ca="1">IF(ANE19&lt;&gt;"",IF(ANW59&lt;&gt;"",IF(AND57=3,ANW59,ANW59+AND57),SUM(ANQ19:ANV19)),"")</f>
        <v>1</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1</v>
      </c>
      <c r="AQL19" s="322">
        <f ca="1">IF(OFFSET('Player Game Board'!Q26,0,AQK1)&lt;&gt;"",OFFSET('Player Game Board'!Q26,0,AQK1),0)</f>
        <v>1</v>
      </c>
      <c r="AQM19" s="319" t="str">
        <f t="shared" si="99"/>
        <v>England</v>
      </c>
      <c r="AQN19" s="319" t="str">
        <f ca="1">IF(AND(OFFSET('Player Game Board'!P26,0,AQK1)&lt;&gt;"",OFFSET('Player Game Board'!Q26,0,AQK1)&lt;&gt;""),IF(AQK19&gt;AQL19,"W",IF(AQK19=AQL19,"D","L")),"")</f>
        <v>D</v>
      </c>
      <c r="AQO19" s="319" t="str">
        <f t="shared" ref="AQO19:AQO38" ca="1" si="5775">IF(AQN19&lt;&gt;"",IF(AQN19="W","L",IF(AQN19="L","W","D")),"")</f>
        <v>D</v>
      </c>
      <c r="AQP19" s="319"/>
      <c r="AQQ19" s="319"/>
      <c r="AQR19" s="324" t="s">
        <v>105</v>
      </c>
      <c r="AQS19" s="325" t="s">
        <v>107</v>
      </c>
      <c r="AQT19" s="325" t="s">
        <v>108</v>
      </c>
      <c r="AQU19" s="325" t="s">
        <v>109</v>
      </c>
      <c r="AQV19" s="324" t="s">
        <v>109</v>
      </c>
      <c r="AQW19" s="324" t="s">
        <v>108</v>
      </c>
      <c r="AQX19" s="324" t="s">
        <v>107</v>
      </c>
      <c r="AQY19" s="324" t="s">
        <v>105</v>
      </c>
      <c r="AQZ19" s="325"/>
      <c r="ARA19" s="326">
        <f t="shared" ref="ARA19" ca="1" si="5776">IFERROR(MATCH(ARA12,AQR19:AQU19,0),0)</f>
        <v>0</v>
      </c>
      <c r="ARB19" s="326">
        <f t="shared" ref="ARB19" ca="1" si="5777">IFERROR(MATCH(ARB12,AQR19:AQU19,0),0)</f>
        <v>1</v>
      </c>
      <c r="ARC19" s="326">
        <f t="shared" ref="ARC19" ca="1" si="5778">IFERROR(MATCH(ARC12,AQR19:AQU19,0),0)</f>
        <v>0</v>
      </c>
      <c r="ARD19" s="326">
        <f t="shared" ref="ARD19" ca="1" si="5779">IFERROR(MATCH(ARD12,AQR19:AQU19,0),0)</f>
        <v>4</v>
      </c>
      <c r="ARE19" s="326">
        <f t="shared" ca="1" si="3966"/>
        <v>5</v>
      </c>
      <c r="ARF19" s="325" t="s">
        <v>357</v>
      </c>
      <c r="ARG19" s="325" t="str">
        <f t="shared" ref="ARG19" ca="1" si="5780">INDEX(AQR3:AQR8,MATCH(INDEX(AQW13:AQW27,MATCH(10,ARE13:ARE27,0),0),ARF3:ARF8,0),0)</f>
        <v>Türkiye</v>
      </c>
      <c r="ARH19" s="325">
        <f t="shared" ca="1" si="5310"/>
        <v>1</v>
      </c>
      <c r="ARI19" s="319">
        <f t="shared" ref="ARI19" ca="1" si="5781">VLOOKUP(ARJ19,AVE18:AVF22,2,FALSE)</f>
        <v>3</v>
      </c>
      <c r="ARJ19" s="319" t="str">
        <f t="shared" si="5312"/>
        <v>England</v>
      </c>
      <c r="ARK19" s="319">
        <f t="shared" ref="ARK19" ca="1" si="5782">SUMPRODUCT((AVH3:AVH42=ARJ19)*(AVL3:AVL42="W"))+SUMPRODUCT((AVK3:AVK42=ARJ19)*(AVM3:AVM42="W"))</f>
        <v>1</v>
      </c>
      <c r="ARL19" s="319">
        <f t="shared" ref="ARL19" ca="1" si="5783">SUMPRODUCT((AVH3:AVH42=ARJ19)*(AVL3:AVL42="D"))+SUMPRODUCT((AVK3:AVK42=ARJ19)*(AVM3:AVM42="D"))</f>
        <v>0</v>
      </c>
      <c r="ARM19" s="319">
        <f t="shared" ref="ARM19" ca="1" si="5784">SUMPRODUCT((AVH3:AVH42=ARJ19)*(AVL3:AVL42="L"))+SUMPRODUCT((AVK3:AVK42=ARJ19)*(AVM3:AVM42="L"))</f>
        <v>2</v>
      </c>
      <c r="ARN19" s="319">
        <f t="shared" ref="ARN19" ca="1" si="5785">SUMIF(AVH3:AVH60,ARJ19,AVI3:AVI60)+SUMIF(AVK3:AVK60,ARJ19,AVJ3:AVJ60)</f>
        <v>3</v>
      </c>
      <c r="ARO19" s="319">
        <f t="shared" ref="ARO19" ca="1" si="5786">SUMIF(AVK3:AVK60,ARJ19,AVI3:AVI60)+SUMIF(AVH3:AVH60,ARJ19,AVJ3:AVJ60)</f>
        <v>6</v>
      </c>
      <c r="ARP19" s="319">
        <f t="shared" ca="1" si="5318"/>
        <v>997</v>
      </c>
      <c r="ARQ19" s="319">
        <f t="shared" ca="1" si="5319"/>
        <v>3</v>
      </c>
      <c r="ARR19" s="319">
        <f t="shared" si="990"/>
        <v>49</v>
      </c>
      <c r="ARS19" s="319">
        <f t="shared" ref="ARS19" ca="1" si="5787">IF(COUNTIF(ARQ18:ARQ22,4)&lt;&gt;4,RANK(ARQ19,ARQ18:ARQ22),ARQ59)</f>
        <v>3</v>
      </c>
      <c r="ART19" s="319"/>
      <c r="ARU19" s="319">
        <f t="shared" ref="ARU19" ca="1" si="5788">SUMPRODUCT((ARS18:ARS21=ARS19)*(ARR18:ARR21&lt;ARR19))+ARS19</f>
        <v>4</v>
      </c>
      <c r="ARV19" s="319" t="str">
        <f t="shared" ref="ARV19" ca="1" si="5789">INDEX(ARJ18:ARJ22,MATCH(2,ARU18:ARU22,0),0)</f>
        <v>Serbia</v>
      </c>
      <c r="ARW19" s="319">
        <f t="shared" ref="ARW19" ca="1" si="5790">INDEX(ARS18:ARS22,MATCH(ARV19,ARJ18:ARJ22,0),0)</f>
        <v>2</v>
      </c>
      <c r="ARX19" s="319" t="str">
        <f t="shared" ref="ARX19" ca="1" si="5791">IF(ARX18&lt;&gt;"",ARV19,"")</f>
        <v/>
      </c>
      <c r="ARY19" s="319" t="str">
        <f t="shared" ref="ARY19" ca="1" si="5792">IF(ARY18&lt;&gt;"",ARV20,"")</f>
        <v/>
      </c>
      <c r="ARZ19" s="319" t="str">
        <f t="shared" ref="ARZ19" ca="1" si="5793">IF(ARZ18&lt;&gt;"",ARV21,"")</f>
        <v>England</v>
      </c>
      <c r="ASA19" s="319" t="str">
        <f t="shared" ref="ASA19" si="5794">IF(ASA18&lt;&gt;"",ARV22,"")</f>
        <v/>
      </c>
      <c r="ASB19" s="319"/>
      <c r="ASC19" s="319" t="str">
        <f t="shared" ca="1" si="5328"/>
        <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t="str">
        <f t="shared" ca="1" si="5335"/>
        <v/>
      </c>
      <c r="ASK19" s="319" t="str">
        <f t="shared" ref="ASK19" ca="1" si="5800">IF(ASC19&lt;&gt;"",VLOOKUP(ASC19,ARJ4:ARP40,7,FALSE),"")</f>
        <v/>
      </c>
      <c r="ASL19" s="319" t="str">
        <f t="shared" ref="ASL19" ca="1" si="5801">IF(ASC19&lt;&gt;"",VLOOKUP(ASC19,ARJ4:ARP40,5,FALSE),"")</f>
        <v/>
      </c>
      <c r="ASM19" s="319" t="str">
        <f t="shared" ref="ASM19" ca="1" si="5802">IF(ASC19&lt;&gt;"",VLOOKUP(ASC19,ARJ4:ARR40,9,FALSE),"")</f>
        <v/>
      </c>
      <c r="ASN19" s="319" t="str">
        <f t="shared" ca="1" si="5339"/>
        <v/>
      </c>
      <c r="ASO19" s="319" t="str">
        <f t="shared" ref="ASO19" ca="1" si="5803">IF(ASC19&lt;&gt;"",RANK(ASN19,ASN18:ASN22),"")</f>
        <v/>
      </c>
      <c r="ASP19" s="319" t="str">
        <f t="shared" ref="ASP19" ca="1" si="5804">IF(ASC19&lt;&gt;"",SUMPRODUCT((ASN18:ASN22=ASN19)*(ASI18:ASI22&gt;ASI19)),"")</f>
        <v/>
      </c>
      <c r="ASQ19" s="319" t="str">
        <f t="shared" ref="ASQ19" ca="1" si="5805">IF(ASC19&lt;&gt;"",SUMPRODUCT((ASN18:ASN22=ASN19)*(ASI18:ASI22=ASI19)*(ASG18:ASG22&gt;ASG19)),"")</f>
        <v/>
      </c>
      <c r="ASR19" s="319" t="str">
        <f t="shared" ref="ASR19" ca="1" si="5806">IF(ASC19&lt;&gt;"",SUMPRODUCT((ASN18:ASN22=ASN19)*(ASI18:ASI22=ASI19)*(ASG18:ASG22=ASG19)*(ASK18:ASK22&gt;ASK19)),"")</f>
        <v/>
      </c>
      <c r="ASS19" s="319" t="str">
        <f t="shared" ref="ASS19" ca="1" si="5807">IF(ASC19&lt;&gt;"",SUMPRODUCT((ASN18:ASN22=ASN19)*(ASI18:ASI22=ASI19)*(ASG18:ASG22=ASG19)*(ASK18:ASK22=ASK19)*(ASL18:ASL22&gt;ASL19)),"")</f>
        <v/>
      </c>
      <c r="AST19" s="319" t="str">
        <f t="shared" ref="AST19" ca="1" si="5808">IF(ASC19&lt;&gt;"",SUMPRODUCT((ASN18:ASN22=ASN19)*(ASI18:ASI22=ASI19)*(ASG18:ASG22=ASG19)*(ASK18:ASK22=ASK19)*(ASL18:ASL22=ASL19)*(ASM18:ASM22&gt;ASM19)),"")</f>
        <v/>
      </c>
      <c r="ASU19" s="319" t="str">
        <f ca="1">IF(ASC19&lt;&gt;"",IF(ASU59&lt;&gt;"",IF(ASB57=3,ASU59,ASU59+ASB57),SUM(ASO19:AST19)),"")</f>
        <v/>
      </c>
      <c r="ASV19" s="319" t="str">
        <f t="shared" ref="ASV19" ca="1" si="5809">IF(ASC19&lt;&gt;"",INDEX(ASC18:ASC22,MATCH(2,ASU18:ASU22,0),0),"")</f>
        <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Serbia</v>
      </c>
      <c r="AVF19" s="319">
        <v>2</v>
      </c>
      <c r="AVG19" s="319">
        <v>17</v>
      </c>
      <c r="AVH19" s="319" t="str">
        <f t="shared" si="114"/>
        <v>Denmark</v>
      </c>
      <c r="AVI19" s="322">
        <f ca="1">IF(OFFSET('Player Game Board'!P26,0,AVI1)&lt;&gt;"",OFFSET('Player Game Board'!P26,0,AVI1),0)</f>
        <v>1</v>
      </c>
      <c r="AVJ19" s="322">
        <f ca="1">IF(OFFSET('Player Game Board'!Q26,0,AVI1)&lt;&gt;"",OFFSET('Player Game Board'!Q26,0,AVI1),0)</f>
        <v>2</v>
      </c>
      <c r="AVK19" s="319" t="str">
        <f t="shared" si="115"/>
        <v>England</v>
      </c>
      <c r="AVL19" s="319" t="str">
        <f ca="1">IF(AND(OFFSET('Player Game Board'!P26,0,AVI1)&lt;&gt;"",OFFSET('Player Game Board'!Q26,0,AVI1)&lt;&gt;""),IF(AVI19&gt;AVJ19,"W",IF(AVI19=AVJ19,"D","L")),"")</f>
        <v>L</v>
      </c>
      <c r="AVM19" s="319" t="str">
        <f t="shared" ref="AVM19:AVM38" ca="1" si="5830">IF(AVL19&lt;&gt;"",IF(AVL19="W","L",IF(AVL19="L","W","D")),"")</f>
        <v>W</v>
      </c>
      <c r="AVN19" s="319"/>
      <c r="AVO19" s="319"/>
      <c r="AVP19" s="324" t="s">
        <v>105</v>
      </c>
      <c r="AVQ19" s="325" t="s">
        <v>107</v>
      </c>
      <c r="AVR19" s="325" t="s">
        <v>108</v>
      </c>
      <c r="AVS19" s="325" t="s">
        <v>109</v>
      </c>
      <c r="AVT19" s="324" t="s">
        <v>109</v>
      </c>
      <c r="AVU19" s="324" t="s">
        <v>108</v>
      </c>
      <c r="AVV19" s="324" t="s">
        <v>107</v>
      </c>
      <c r="AVW19" s="324" t="s">
        <v>105</v>
      </c>
      <c r="AVX19" s="325"/>
      <c r="AVY19" s="326">
        <f t="shared" ref="AVY19" ca="1" si="5831">IFERROR(MATCH(AVY12,AVP19:AVS19,0),0)</f>
        <v>0</v>
      </c>
      <c r="AVZ19" s="326">
        <f t="shared" ref="AVZ19" ca="1" si="5832">IFERROR(MATCH(AVZ12,AVP19:AVS19,0),0)</f>
        <v>4</v>
      </c>
      <c r="AWA19" s="326">
        <f t="shared" ref="AWA19" ca="1" si="5833">IFERROR(MATCH(AWA12,AVP19:AVS19,0),0)</f>
        <v>1</v>
      </c>
      <c r="AWB19" s="326">
        <f t="shared" ref="AWB19" ca="1" si="5834">IFERROR(MATCH(AWB12,AVP19:AVS19,0),0)</f>
        <v>2</v>
      </c>
      <c r="AWC19" s="326">
        <f t="shared" ca="1" si="4036"/>
        <v>7</v>
      </c>
      <c r="AWD19" s="325" t="s">
        <v>357</v>
      </c>
      <c r="AWE19" s="325" t="str">
        <f t="shared" ref="AWE19" ca="1" si="5835">INDEX(AVP3:AVP8,MATCH(INDEX(AVU13:AVU27,MATCH(10,AWC13:AWC27,0),0),AWD3:AWD8,0),0)</f>
        <v>Romania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3</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10</v>
      </c>
      <c r="AWM19" s="319">
        <f t="shared" ref="AWM19" ca="1" si="5841">SUMIF(BAI3:BAI60,AWH19,BAG3:BAG60)+SUMIF(BAF3:BAF60,AWH19,BAH3:BAH60)</f>
        <v>2</v>
      </c>
      <c r="AWN19" s="319">
        <f t="shared" ca="1" si="5361"/>
        <v>1008</v>
      </c>
      <c r="AWO19" s="319">
        <f t="shared" ca="1" si="5362"/>
        <v>9</v>
      </c>
      <c r="AWP19" s="319">
        <f t="shared" si="1050"/>
        <v>49</v>
      </c>
      <c r="AWQ19" s="319">
        <f t="shared" ref="AWQ19" ca="1" si="5842">IF(COUNTIF(AWO18:AWO22,4)&lt;&gt;4,RANK(AWO19,AWO18:AWO22),AWO59)</f>
        <v>1</v>
      </c>
      <c r="AWR19" s="319"/>
      <c r="AWS19" s="319">
        <f t="shared" ref="AWS19" ca="1" si="5843">SUMPRODUCT((AWQ18:AWQ21=AWQ19)*(AWP18:AWP21&lt;AWP19))+AWQ19</f>
        <v>1</v>
      </c>
      <c r="AWT19" s="319" t="str">
        <f t="shared" ref="AWT19" ca="1" si="5844">INDEX(AWH18:AWH22,MATCH(2,AWS18:AWS22,0),0)</f>
        <v>Denmark</v>
      </c>
      <c r="AWU19" s="319">
        <f t="shared" ref="AWU19" ca="1" si="5845">INDEX(AWQ18:AWQ22,MATCH(AWT19,AWH18:AWH22,0),0)</f>
        <v>2</v>
      </c>
      <c r="AWV19" s="319" t="str">
        <f t="shared" ref="AWV19" ca="1" si="5846">IF(AWV18&lt;&gt;"",AWT19,"")</f>
        <v/>
      </c>
      <c r="AWW19" s="319" t="str">
        <f t="shared" ref="AWW19" ca="1" si="5847">IF(AWW18&lt;&gt;"",AWT20,"")</f>
        <v/>
      </c>
      <c r="AWX19" s="319" t="str">
        <f t="shared" ref="AWX19" ca="1" si="5848">IF(AWX18&lt;&gt;"",AWT21,"")</f>
        <v/>
      </c>
      <c r="AWY19" s="319" t="str">
        <f t="shared" ref="AWY19" si="5849">IF(AWY18&lt;&gt;"",AWT22,"")</f>
        <v/>
      </c>
      <c r="AWZ19" s="319"/>
      <c r="AXA19" s="319" t="str">
        <f t="shared" ca="1" si="5371"/>
        <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t="str">
        <f t="shared" ca="1" si="5378"/>
        <v/>
      </c>
      <c r="AXI19" s="319" t="str">
        <f t="shared" ref="AXI19" ca="1" si="5855">IF(AXA19&lt;&gt;"",VLOOKUP(AXA19,AWH4:AWN40,7,FALSE),"")</f>
        <v/>
      </c>
      <c r="AXJ19" s="319" t="str">
        <f t="shared" ref="AXJ19" ca="1" si="5856">IF(AXA19&lt;&gt;"",VLOOKUP(AXA19,AWH4:AWN40,5,FALSE),"")</f>
        <v/>
      </c>
      <c r="AXK19" s="319" t="str">
        <f t="shared" ref="AXK19" ca="1" si="5857">IF(AXA19&lt;&gt;"",VLOOKUP(AXA19,AWH4:AWP40,9,FALSE),"")</f>
        <v/>
      </c>
      <c r="AXL19" s="319" t="str">
        <f t="shared" ca="1" si="5382"/>
        <v/>
      </c>
      <c r="AXM19" s="319" t="str">
        <f t="shared" ref="AXM19" ca="1" si="5858">IF(AXA19&lt;&gt;"",RANK(AXL19,AXL18:AXL22),"")</f>
        <v/>
      </c>
      <c r="AXN19" s="319" t="str">
        <f t="shared" ref="AXN19" ca="1" si="5859">IF(AXA19&lt;&gt;"",SUMPRODUCT((AXL18:AXL22=AXL19)*(AXG18:AXG22&gt;AXG19)),"")</f>
        <v/>
      </c>
      <c r="AXO19" s="319" t="str">
        <f t="shared" ref="AXO19" ca="1" si="5860">IF(AXA19&lt;&gt;"",SUMPRODUCT((AXL18:AXL22=AXL19)*(AXG18:AXG22=AXG19)*(AXE18:AXE22&gt;AXE19)),"")</f>
        <v/>
      </c>
      <c r="AXP19" s="319" t="str">
        <f t="shared" ref="AXP19" ca="1" si="5861">IF(AXA19&lt;&gt;"",SUMPRODUCT((AXL18:AXL22=AXL19)*(AXG18:AXG22=AXG19)*(AXE18:AXE22=AXE19)*(AXI18:AXI22&gt;AXI19)),"")</f>
        <v/>
      </c>
      <c r="AXQ19" s="319" t="str">
        <f t="shared" ref="AXQ19" ca="1" si="5862">IF(AXA19&lt;&gt;"",SUMPRODUCT((AXL18:AXL22=AXL19)*(AXG18:AXG22=AXG19)*(AXE18:AXE22=AXE19)*(AXI18:AXI22=AXI19)*(AXJ18:AXJ22&gt;AXJ19)),"")</f>
        <v/>
      </c>
      <c r="AXR19" s="319" t="str">
        <f t="shared" ref="AXR19" ca="1" si="5863">IF(AXA19&lt;&gt;"",SUMPRODUCT((AXL18:AXL22=AXL19)*(AXG18:AXG22=AXG19)*(AXE18:AXE22=AXE19)*(AXI18:AXI22=AXI19)*(AXJ18:AXJ22=AXJ19)*(AXK18:AXK22&gt;AXK19)),"")</f>
        <v/>
      </c>
      <c r="AXS19" s="319" t="str">
        <f ca="1">IF(AXA19&lt;&gt;"",IF(AXS59&lt;&gt;"",IF(AWZ57=3,AXS59,AXS59+AWZ57),SUM(AXM19:AXR19)),"")</f>
        <v/>
      </c>
      <c r="AXT19" s="319" t="str">
        <f t="shared" ref="AXT19" ca="1" si="5864">IF(AXA19&lt;&gt;"",INDEX(AXA18:AXA22,MATCH(2,AXS18:AXS22,0),0),"")</f>
        <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1</v>
      </c>
      <c r="BAH19" s="322">
        <f ca="1">IF(OFFSET('Player Game Board'!Q26,0,BAG1)&lt;&gt;"",OFFSET('Player Game Board'!Q26,0,BAG1),0)</f>
        <v>2</v>
      </c>
      <c r="BAI19" s="319" t="str">
        <f t="shared" si="131"/>
        <v>England</v>
      </c>
      <c r="BAJ19" s="319" t="str">
        <f ca="1">IF(AND(OFFSET('Player Game Board'!P26,0,BAG1)&lt;&gt;"",OFFSET('Player Game Board'!Q26,0,BAG1)&lt;&gt;""),IF(BAG19&gt;BAH19,"W",IF(BAG19=BAH19,"D","L")),"")</f>
        <v>L</v>
      </c>
      <c r="BAK19" s="319" t="str">
        <f t="shared" ref="BAK19:BAK38" ca="1" si="5885">IF(BAJ19&lt;&gt;"",IF(BAJ19="W","L",IF(BAJ19="L","W","D")),"")</f>
        <v>W</v>
      </c>
      <c r="BAL19" s="319"/>
      <c r="BAM19" s="319"/>
      <c r="BAN19" s="324" t="s">
        <v>105</v>
      </c>
      <c r="BAO19" s="325" t="s">
        <v>107</v>
      </c>
      <c r="BAP19" s="325" t="s">
        <v>108</v>
      </c>
      <c r="BAQ19" s="325" t="s">
        <v>109</v>
      </c>
      <c r="BAR19" s="324" t="s">
        <v>109</v>
      </c>
      <c r="BAS19" s="324" t="s">
        <v>108</v>
      </c>
      <c r="BAT19" s="324" t="s">
        <v>107</v>
      </c>
      <c r="BAU19" s="324" t="s">
        <v>105</v>
      </c>
      <c r="BAV19" s="325"/>
      <c r="BAW19" s="326">
        <f t="shared" ref="BAW19" ca="1" si="5886">IFERROR(MATCH(BAW12,BAN19:BAQ19,0),0)</f>
        <v>1</v>
      </c>
      <c r="BAX19" s="326">
        <f t="shared" ref="BAX19" ca="1" si="5887">IFERROR(MATCH(BAX12,BAN19:BAQ19,0),0)</f>
        <v>0</v>
      </c>
      <c r="BAY19" s="326">
        <f t="shared" ref="BAY19" ca="1" si="5888">IFERROR(MATCH(BAY12,BAN19:BAQ19,0),0)</f>
        <v>4</v>
      </c>
      <c r="BAZ19" s="326">
        <f t="shared" ref="BAZ19" ca="1" si="5889">IFERROR(MATCH(BAZ12,BAN19:BAQ19,0),0)</f>
        <v>0</v>
      </c>
      <c r="BBA19" s="326">
        <f t="shared" ca="1" si="4106"/>
        <v>5</v>
      </c>
      <c r="BBB19" s="325" t="s">
        <v>357</v>
      </c>
      <c r="BBC19" s="325" t="str">
        <f t="shared" ref="BBC19" ca="1" si="5890">INDEX(BAN3:BAN8,MATCH(INDEX(BAS13:BAS27,MATCH(10,BBA13:BBA27,0),0),BBB3:BBB8,0),0)</f>
        <v>Georgia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105</v>
      </c>
      <c r="BFM19" s="325" t="s">
        <v>107</v>
      </c>
      <c r="BFN19" s="325" t="s">
        <v>108</v>
      </c>
      <c r="BFO19" s="325" t="s">
        <v>109</v>
      </c>
      <c r="BFP19" s="324" t="s">
        <v>109</v>
      </c>
      <c r="BFQ19" s="324" t="s">
        <v>108</v>
      </c>
      <c r="BFR19" s="324" t="s">
        <v>107</v>
      </c>
      <c r="BFS19" s="324" t="s">
        <v>105</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357</v>
      </c>
      <c r="BGA19" s="325" t="str">
        <f t="shared" ref="BGA19" ca="1" si="5945">INDEX(BFL3:BFL8,MATCH(INDEX(BFQ13:BFQ27,MATCH(10,BFY13:BFY27,0),0),BFZ3:BFZ8,0),0)</f>
        <v>Austria</v>
      </c>
      <c r="BGB19" s="325">
        <f t="shared" ca="1" si="5439"/>
        <v>0</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105</v>
      </c>
      <c r="DI20" s="325" t="s">
        <v>107</v>
      </c>
      <c r="DJ20" s="325" t="s">
        <v>108</v>
      </c>
      <c r="DK20" s="325" t="s">
        <v>110</v>
      </c>
      <c r="DL20" s="324" t="s">
        <v>110</v>
      </c>
      <c r="DM20" s="324" t="s">
        <v>108</v>
      </c>
      <c r="DN20" s="324" t="s">
        <v>107</v>
      </c>
      <c r="DO20" s="324" t="s">
        <v>105</v>
      </c>
      <c r="DP20" s="325"/>
      <c r="DQ20" s="326">
        <f>IFERROR(MATCH(DQ12,DH20:DK20,0),0)</f>
        <v>2</v>
      </c>
      <c r="DR20" s="326">
        <f>IFERROR(MATCH(DR12,DH20:DK20,0),0)</f>
        <v>0</v>
      </c>
      <c r="DS20" s="326">
        <f>IFERROR(MATCH(DS12,DH20:DK20,0),0)</f>
        <v>1</v>
      </c>
      <c r="DT20" s="326">
        <f>IFERROR(MATCH(DT12,DH20:DK20,0),0)</f>
        <v>4</v>
      </c>
      <c r="DU20" s="326">
        <f t="shared" si="3541"/>
        <v>7</v>
      </c>
      <c r="DV20" s="325" t="s">
        <v>358</v>
      </c>
      <c r="DW20" s="325" t="str">
        <f>INDEX(DH3:DH8,MATCH(INDEX(DN13:DN27,MATCH(10,DU13:DU27,0),0),DV3:DV8,0),0)</f>
        <v>Albania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0</v>
      </c>
      <c r="EE20" s="319">
        <f ca="1">SUMIF(IA3:IA60,DZ20,HY3:HY60)+SUMIF(HX3:HX60,DZ20,HZ3:HZ60)</f>
        <v>6</v>
      </c>
      <c r="EF20" s="319">
        <f t="shared" ca="1" si="5043"/>
        <v>994</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0</v>
      </c>
      <c r="HZ20" s="322">
        <f ca="1">IF(OFFSET('Player Game Board'!Q27,0,HY1)&lt;&gt;"",OFFSET('Player Game Board'!Q27,0,HY1),0)</f>
        <v>1</v>
      </c>
      <c r="IA20" s="319" t="str">
        <f t="shared" si="165"/>
        <v>Serbia</v>
      </c>
      <c r="IB20" s="319" t="str">
        <f ca="1">IF(AND(OFFSET('Player Game Board'!P27,0,HY1)&lt;&gt;"",OFFSET('Player Game Board'!Q27,0,HY1)&lt;&gt;""),IF(HY20&gt;HZ20,"W",IF(HY20=HZ20,"D","L")),"")</f>
        <v>L</v>
      </c>
      <c r="IC20" s="319" t="str">
        <f t="shared" ca="1" si="166"/>
        <v>W</v>
      </c>
      <c r="ID20" s="319"/>
      <c r="IE20" s="319"/>
      <c r="IF20" s="324" t="s">
        <v>105</v>
      </c>
      <c r="IG20" s="325" t="s">
        <v>107</v>
      </c>
      <c r="IH20" s="325" t="s">
        <v>108</v>
      </c>
      <c r="II20" s="325" t="s">
        <v>110</v>
      </c>
      <c r="IJ20" s="324" t="s">
        <v>110</v>
      </c>
      <c r="IK20" s="324" t="s">
        <v>108</v>
      </c>
      <c r="IL20" s="324" t="s">
        <v>107</v>
      </c>
      <c r="IM20" s="324" t="s">
        <v>105</v>
      </c>
      <c r="IN20" s="325"/>
      <c r="IO20" s="326">
        <f ca="1">IFERROR(MATCH(IO12,IF20:II20,0),0)</f>
        <v>0</v>
      </c>
      <c r="IP20" s="326">
        <f ca="1">IFERROR(MATCH(IP12,IF20:II20,0),0)</f>
        <v>4</v>
      </c>
      <c r="IQ20" s="326">
        <f ca="1">IFERROR(MATCH(IQ12,IF20:II20,0),0)</f>
        <v>1</v>
      </c>
      <c r="IR20" s="326">
        <f ca="1">IFERROR(MATCH(IR12,IF20:II20,0),0)</f>
        <v>2</v>
      </c>
      <c r="IS20" s="326">
        <f t="shared" ca="1" si="3544"/>
        <v>7</v>
      </c>
      <c r="IT20" s="325" t="s">
        <v>358</v>
      </c>
      <c r="IU20" s="325" t="str">
        <f ca="1">INDEX(IF3:IF8,MATCH(INDEX(IL13:IL27,MATCH(10,IS13:IS27,0),0),IT3:IT8,0),0)</f>
        <v>Croatia</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3</v>
      </c>
      <c r="JC20" s="319">
        <f ca="1">SUMIF(MY3:MY60,IX20,MW3:MW60)+SUMIF(MV3:MV60,IX20,MX3:MX60)</f>
        <v>5</v>
      </c>
      <c r="JD20" s="319">
        <f t="shared" ca="1" si="5048"/>
        <v>998</v>
      </c>
      <c r="JE20" s="319">
        <f t="shared" ca="1" si="5049"/>
        <v>2</v>
      </c>
      <c r="JF20" s="319">
        <f t="shared" si="618"/>
        <v>39</v>
      </c>
      <c r="JG20" s="319">
        <f ca="1">IF(COUNTIF(JE18:JE22,4)&lt;&gt;4,RANK(JE20,JE18:JE22),JE60)</f>
        <v>3</v>
      </c>
      <c r="JH20" s="319"/>
      <c r="JI20" s="319">
        <f ca="1">SUMPRODUCT((JG18:JG21=JG20)*(JF18:JF21&lt;JF20))+JG20</f>
        <v>3</v>
      </c>
      <c r="JJ20" s="319" t="str">
        <f ca="1">INDEX(IX18:IX22,MATCH(3,JI18:JI22,0),0)</f>
        <v>Slovenia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2</v>
      </c>
      <c r="MX20" s="322">
        <f ca="1">IF(OFFSET('Player Game Board'!Q27,0,MW1)&lt;&gt;"",OFFSET('Player Game Board'!Q27,0,MW1),0)</f>
        <v>2</v>
      </c>
      <c r="MY20" s="319" t="str">
        <f t="shared" si="171"/>
        <v>Serbia</v>
      </c>
      <c r="MZ20" s="319" t="str">
        <f ca="1">IF(AND(OFFSET('Player Game Board'!P27,0,MW1)&lt;&gt;"",OFFSET('Player Game Board'!Q27,0,MW1)&lt;&gt;""),IF(MW20&gt;MX20,"W",IF(MW20=MX20,"D","L")),"")</f>
        <v>D</v>
      </c>
      <c r="NA20" s="319" t="str">
        <f t="shared" ca="1" si="172"/>
        <v>D</v>
      </c>
      <c r="NB20" s="319"/>
      <c r="NC20" s="319"/>
      <c r="ND20" s="324" t="s">
        <v>105</v>
      </c>
      <c r="NE20" s="325" t="s">
        <v>107</v>
      </c>
      <c r="NF20" s="325" t="s">
        <v>108</v>
      </c>
      <c r="NG20" s="325" t="s">
        <v>110</v>
      </c>
      <c r="NH20" s="324" t="s">
        <v>110</v>
      </c>
      <c r="NI20" s="324" t="s">
        <v>108</v>
      </c>
      <c r="NJ20" s="324" t="s">
        <v>107</v>
      </c>
      <c r="NK20" s="324" t="s">
        <v>105</v>
      </c>
      <c r="NL20" s="325"/>
      <c r="NM20" s="326">
        <f ca="1">IFERROR(MATCH(NM12,ND20:NG20,0),0)</f>
        <v>0</v>
      </c>
      <c r="NN20" s="326">
        <f ca="1">IFERROR(MATCH(NN12,ND20:NG20,0),0)</f>
        <v>0</v>
      </c>
      <c r="NO20" s="326">
        <f ca="1">IFERROR(MATCH(NO12,ND20:NG20,0),0)</f>
        <v>1</v>
      </c>
      <c r="NP20" s="326">
        <f ca="1">IFERROR(MATCH(NP12,ND20:NG20,0),0)</f>
        <v>3</v>
      </c>
      <c r="NQ20" s="326">
        <f t="shared" ca="1" si="3547"/>
        <v>4</v>
      </c>
      <c r="NR20" s="325" t="s">
        <v>358</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1</v>
      </c>
      <c r="NX20" s="319">
        <f t="shared" ref="NX20" ca="1" si="5954">SUMPRODUCT((RT3:RT42=NV20)*(RX3:RX42="D"))+SUMPRODUCT((RW3:RW42=NV20)*(RY3:RY42="D"))</f>
        <v>0</v>
      </c>
      <c r="NY20" s="319">
        <f t="shared" ref="NY20" ca="1" si="5955">SUMPRODUCT((RT3:RT42=NV20)*(RX3:RX42="L"))+SUMPRODUCT((RW3:RW42=NV20)*(RY3:RY42="L"))</f>
        <v>2</v>
      </c>
      <c r="NZ20" s="319">
        <f t="shared" ref="NZ20" ca="1" si="5956">SUMIF(RT3:RT60,NV20,RU3:RU60)+SUMIF(RW3:RW60,NV20,RV3:RV60)</f>
        <v>3</v>
      </c>
      <c r="OA20" s="319">
        <f t="shared" ref="OA20" ca="1" si="5957">SUMIF(RW3:RW60,NV20,RU3:RU60)+SUMIF(RT3:RT60,NV20,RV3:RV60)</f>
        <v>4</v>
      </c>
      <c r="OB20" s="319">
        <f t="shared" ca="1" si="5060"/>
        <v>999</v>
      </c>
      <c r="OC20" s="319">
        <f t="shared" ca="1" si="5061"/>
        <v>3</v>
      </c>
      <c r="OD20" s="319">
        <f t="shared" si="630"/>
        <v>39</v>
      </c>
      <c r="OE20" s="319">
        <f t="shared" ref="OE20" ca="1" si="5958">IF(COUNTIF(OC18:OC22,4)&lt;&gt;4,RANK(OC20,OC18:OC22),OC60)</f>
        <v>3</v>
      </c>
      <c r="OF20" s="319"/>
      <c r="OG20" s="319">
        <f t="shared" ref="OG20" ca="1" si="5959">SUMPRODUCT((OE18:OE21=OE20)*(OD18:OD21&lt;OD20))+OE20</f>
        <v>3</v>
      </c>
      <c r="OH20" s="319" t="str">
        <f t="shared" ref="OH20" ca="1" si="5960">INDEX(NV18:NV22,MATCH(3,OG18:OG22,0),0)</f>
        <v>Slovenia</v>
      </c>
      <c r="OI20" s="319">
        <f t="shared" ref="OI20" ca="1" si="5961">INDEX(OE18:OE22,MATCH(OH20,NV18:NV22,0),0)</f>
        <v>3</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1</v>
      </c>
      <c r="RV20" s="322">
        <f ca="1">IF(OFFSET('Player Game Board'!Q27,0,RU1)&lt;&gt;"",OFFSET('Player Game Board'!Q27,0,RU1),0)</f>
        <v>0</v>
      </c>
      <c r="RW20" s="319" t="str">
        <f t="shared" si="19"/>
        <v>Serbia</v>
      </c>
      <c r="RX20" s="319" t="str">
        <f ca="1">IF(AND(OFFSET('Player Game Board'!P27,0,RU1)&lt;&gt;"",OFFSET('Player Game Board'!Q27,0,RU1)&lt;&gt;""),IF(RU20&gt;RV20,"W",IF(RU20=RV20,"D","L")),"")</f>
        <v>W</v>
      </c>
      <c r="RY20" s="319" t="str">
        <f t="shared" ca="1" si="5500"/>
        <v>L</v>
      </c>
      <c r="RZ20" s="319"/>
      <c r="SA20" s="319"/>
      <c r="SB20" s="324" t="s">
        <v>105</v>
      </c>
      <c r="SC20" s="325" t="s">
        <v>107</v>
      </c>
      <c r="SD20" s="325" t="s">
        <v>108</v>
      </c>
      <c r="SE20" s="325" t="s">
        <v>110</v>
      </c>
      <c r="SF20" s="324" t="s">
        <v>110</v>
      </c>
      <c r="SG20" s="324" t="s">
        <v>108</v>
      </c>
      <c r="SH20" s="324" t="s">
        <v>107</v>
      </c>
      <c r="SI20" s="324" t="s">
        <v>105</v>
      </c>
      <c r="SJ20" s="325"/>
      <c r="SK20" s="326">
        <f t="shared" ref="SK20" ca="1" si="6016">IFERROR(MATCH(SK12,SB20:SE20,0),0)</f>
        <v>0</v>
      </c>
      <c r="SL20" s="326">
        <f t="shared" ref="SL20" ca="1" si="6017">IFERROR(MATCH(SL12,SB20:SE20,0),0)</f>
        <v>3</v>
      </c>
      <c r="SM20" s="326">
        <f t="shared" ref="SM20" ca="1" si="6018">IFERROR(MATCH(SM12,SB20:SE20,0),0)</f>
        <v>2</v>
      </c>
      <c r="SN20" s="326">
        <f t="shared" ref="SN20" ca="1" si="6019">IFERROR(MATCH(SN12,SB20:SE20,0),0)</f>
        <v>0</v>
      </c>
      <c r="SO20" s="326">
        <f t="shared" ca="1" si="3616"/>
        <v>5</v>
      </c>
      <c r="SP20" s="325" t="s">
        <v>358</v>
      </c>
      <c r="SQ20" s="325" t="str">
        <f t="shared" ref="SQ20" ca="1" si="6020">INDEX(SB3:SB8,MATCH(INDEX(SH13:SH27,MATCH(10,SO13:SO27,0),0),SP3:SP8,0),0)</f>
        <v>Croatia</v>
      </c>
      <c r="SR20" s="325">
        <f t="shared" ca="1" si="5095"/>
        <v>0</v>
      </c>
      <c r="SS20" s="319">
        <f t="shared" ref="SS20" ca="1" si="6021">VLOOKUP(ST20,WO18:WP22,2,FALSE)</f>
        <v>4</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3</v>
      </c>
      <c r="SX20" s="319">
        <f t="shared" ref="SX20" ca="1" si="6025">SUMIF(WR3:WR60,ST20,WS3:WS60)+SUMIF(WU3:WU60,ST20,WT3:WT60)</f>
        <v>3</v>
      </c>
      <c r="SY20" s="319">
        <f t="shared" ref="SY20" ca="1" si="6026">SUMIF(WU3:WU60,ST20,WS3:WS60)+SUMIF(WR3:WR60,ST20,WT3:WT60)</f>
        <v>6</v>
      </c>
      <c r="SZ20" s="319">
        <f t="shared" ca="1" si="5103"/>
        <v>997</v>
      </c>
      <c r="TA20" s="319">
        <f t="shared" ca="1" si="5104"/>
        <v>0</v>
      </c>
      <c r="TB20" s="319">
        <f t="shared" si="690"/>
        <v>39</v>
      </c>
      <c r="TC20" s="319">
        <f t="shared" ref="TC20" ca="1" si="6027">IF(COUNTIF(TA18:TA22,4)&lt;&gt;4,RANK(TA20,TA18:TA22),TA60)</f>
        <v>4</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Serbia</v>
      </c>
      <c r="WP20" s="319">
        <v>3</v>
      </c>
      <c r="WQ20" s="319">
        <v>18</v>
      </c>
      <c r="WR20" s="319" t="str">
        <f t="shared" si="34"/>
        <v>Slovenia</v>
      </c>
      <c r="WS20" s="322">
        <f ca="1">IF(OFFSET('Player Game Board'!P27,0,WS1)&lt;&gt;"",OFFSET('Player Game Board'!P27,0,WS1),0)</f>
        <v>1</v>
      </c>
      <c r="WT20" s="322">
        <f ca="1">IF(OFFSET('Player Game Board'!Q27,0,WS1)&lt;&gt;"",OFFSET('Player Game Board'!Q27,0,WS1),0)</f>
        <v>2</v>
      </c>
      <c r="WU20" s="319" t="str">
        <f t="shared" si="35"/>
        <v>Serbia</v>
      </c>
      <c r="WV20" s="319" t="str">
        <f ca="1">IF(AND(OFFSET('Player Game Board'!P27,0,WS1)&lt;&gt;"",OFFSET('Player Game Board'!Q27,0,WS1)&lt;&gt;""),IF(WS20&gt;WT20,"W",IF(WS20=WT20,"D","L")),"")</f>
        <v>L</v>
      </c>
      <c r="WW20" s="319" t="str">
        <f t="shared" ca="1" si="5555"/>
        <v>W</v>
      </c>
      <c r="WX20" s="319"/>
      <c r="WY20" s="319"/>
      <c r="WZ20" s="324" t="s">
        <v>105</v>
      </c>
      <c r="XA20" s="325" t="s">
        <v>107</v>
      </c>
      <c r="XB20" s="325" t="s">
        <v>108</v>
      </c>
      <c r="XC20" s="325" t="s">
        <v>110</v>
      </c>
      <c r="XD20" s="324" t="s">
        <v>110</v>
      </c>
      <c r="XE20" s="324" t="s">
        <v>108</v>
      </c>
      <c r="XF20" s="324" t="s">
        <v>107</v>
      </c>
      <c r="XG20" s="324" t="s">
        <v>105</v>
      </c>
      <c r="XH20" s="325"/>
      <c r="XI20" s="326">
        <f t="shared" ref="XI20" ca="1" si="6085">IFERROR(MATCH(XI12,WZ20:XC20,0),0)</f>
        <v>0</v>
      </c>
      <c r="XJ20" s="326">
        <f t="shared" ref="XJ20" ca="1" si="6086">IFERROR(MATCH(XJ12,WZ20:XC20,0),0)</f>
        <v>4</v>
      </c>
      <c r="XK20" s="326">
        <f t="shared" ref="XK20" ca="1" si="6087">IFERROR(MATCH(XK12,WZ20:XC20,0),0)</f>
        <v>2</v>
      </c>
      <c r="XL20" s="326">
        <f t="shared" ref="XL20" ca="1" si="6088">IFERROR(MATCH(XL12,WZ20:XC20,0),0)</f>
        <v>3</v>
      </c>
      <c r="XM20" s="326">
        <f t="shared" ca="1" si="3686"/>
        <v>9</v>
      </c>
      <c r="XN20" s="325" t="s">
        <v>358</v>
      </c>
      <c r="XO20" s="325" t="str">
        <f t="shared" ref="XO20" ca="1" si="6089">INDEX(WZ3:WZ8,MATCH(INDEX(XF13:XF27,MATCH(10,XM13:XM27,0),0),XN3:XN8,0),0)</f>
        <v>Serbia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105</v>
      </c>
      <c r="ABY20" s="325" t="s">
        <v>107</v>
      </c>
      <c r="ABZ20" s="325" t="s">
        <v>108</v>
      </c>
      <c r="ACA20" s="325" t="s">
        <v>110</v>
      </c>
      <c r="ACB20" s="324" t="s">
        <v>110</v>
      </c>
      <c r="ACC20" s="324" t="s">
        <v>108</v>
      </c>
      <c r="ACD20" s="324" t="s">
        <v>107</v>
      </c>
      <c r="ACE20" s="324" t="s">
        <v>105</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358</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3</v>
      </c>
      <c r="ACS20" s="319">
        <f t="shared" ref="ACS20" ca="1" si="6162">SUMPRODUCT((AGN3:AGN42=ACP20)*(AGR3:AGR42="L"))+SUMPRODUCT((AGQ3:AGQ42=ACP20)*(AGS3:AGS42="L"))</f>
        <v>0</v>
      </c>
      <c r="ACT20" s="319">
        <f t="shared" ref="ACT20" ca="1" si="6163">SUMIF(AGN3:AGN60,ACP20,AGO3:AGO60)+SUMIF(AGQ3:AGQ60,ACP20,AGP3:AGP60)</f>
        <v>3</v>
      </c>
      <c r="ACU20" s="319">
        <f t="shared" ref="ACU20" ca="1" si="6164">SUMIF(AGQ3:AGQ60,ACP20,AGO3:AGO60)+SUMIF(AGN3:AGN60,ACP20,AGP3:AGP60)</f>
        <v>3</v>
      </c>
      <c r="ACV20" s="319">
        <f t="shared" ca="1" si="5189"/>
        <v>1000</v>
      </c>
      <c r="ACW20" s="319">
        <f t="shared" ca="1" si="5190"/>
        <v>3</v>
      </c>
      <c r="ACX20" s="319">
        <f t="shared" si="810"/>
        <v>39</v>
      </c>
      <c r="ACY20" s="319">
        <f t="shared" ref="ACY20" ca="1" si="6165">IF(COUNTIF(ACW18:ACW22,4)&lt;&gt;4,RANK(ACW20,ACW18:ACW22),ACW60)</f>
        <v>3</v>
      </c>
      <c r="ACZ20" s="319"/>
      <c r="ADA20" s="319">
        <f t="shared" ref="ADA20" ca="1" si="6166">SUMPRODUCT((ACY18:ACY21=ACY20)*(ACX18:ACX21&lt;ACX20))+ACY20</f>
        <v>3</v>
      </c>
      <c r="ADB20" s="319" t="str">
        <f t="shared" ref="ADB20" ca="1" si="6167">INDEX(ACP18:ACP22,MATCH(3,ADA18:ADA22,0),0)</f>
        <v>Slovenia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2</v>
      </c>
      <c r="AGP20" s="322">
        <f ca="1">IF(OFFSET('Player Game Board'!Q27,0,AGO1)&lt;&gt;"",OFFSET('Player Game Board'!Q27,0,AGO1),0)</f>
        <v>2</v>
      </c>
      <c r="AGQ20" s="319" t="str">
        <f t="shared" si="67"/>
        <v>Serbia</v>
      </c>
      <c r="AGR20" s="319" t="str">
        <f ca="1">IF(AND(OFFSET('Player Game Board'!P27,0,AGO1)&lt;&gt;"",OFFSET('Player Game Board'!Q27,0,AGO1)&lt;&gt;""),IF(AGO20&gt;AGP20,"W",IF(AGO20=AGP20,"D","L")),"")</f>
        <v>D</v>
      </c>
      <c r="AGS20" s="319" t="str">
        <f t="shared" ca="1" si="5665"/>
        <v>D</v>
      </c>
      <c r="AGT20" s="319"/>
      <c r="AGU20" s="319"/>
      <c r="AGV20" s="324" t="s">
        <v>105</v>
      </c>
      <c r="AGW20" s="325" t="s">
        <v>107</v>
      </c>
      <c r="AGX20" s="325" t="s">
        <v>108</v>
      </c>
      <c r="AGY20" s="325" t="s">
        <v>110</v>
      </c>
      <c r="AGZ20" s="324" t="s">
        <v>110</v>
      </c>
      <c r="AHA20" s="324" t="s">
        <v>108</v>
      </c>
      <c r="AHB20" s="324" t="s">
        <v>107</v>
      </c>
      <c r="AHC20" s="324" t="s">
        <v>105</v>
      </c>
      <c r="AHD20" s="325"/>
      <c r="AHE20" s="326">
        <f t="shared" ref="AHE20" ca="1" si="6223">IFERROR(MATCH(AHE12,AGV20:AGY20,0),0)</f>
        <v>0</v>
      </c>
      <c r="AHF20" s="326">
        <f t="shared" ref="AHF20" ca="1" si="6224">IFERROR(MATCH(AHF12,AGV20:AGY20,0),0)</f>
        <v>2</v>
      </c>
      <c r="AHG20" s="326">
        <f t="shared" ref="AHG20" ca="1" si="6225">IFERROR(MATCH(AHG12,AGV20:AGY20,0),0)</f>
        <v>3</v>
      </c>
      <c r="AHH20" s="326">
        <f t="shared" ref="AHH20" ca="1" si="6226">IFERROR(MATCH(AHH12,AGV20:AGY20,0),0)</f>
        <v>4</v>
      </c>
      <c r="AHI20" s="326">
        <f t="shared" ca="1" si="3826"/>
        <v>9</v>
      </c>
      <c r="AHJ20" s="325" t="s">
        <v>358</v>
      </c>
      <c r="AHK20" s="325" t="str">
        <f t="shared" ref="AHK20" ca="1" si="6227">INDEX(AGV3:AGV8,MATCH(INDEX(AHB13:AHB27,MATCH(10,AHI13:AHI27,0),0),AHJ3:AHJ8,0),0)</f>
        <v>Slovenia</v>
      </c>
      <c r="AHL20" s="325">
        <f t="shared" ca="1" si="5224"/>
        <v>1</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2</v>
      </c>
      <c r="AHQ20" s="319">
        <f t="shared" ref="AHQ20" ca="1" si="6231">SUMPRODUCT((ALL3:ALL42=AHN20)*(ALP3:ALP42="L"))+SUMPRODUCT((ALO3:ALO42=AHN20)*(ALQ3:ALQ42="L"))</f>
        <v>1</v>
      </c>
      <c r="AHR20" s="319">
        <f t="shared" ref="AHR20" ca="1" si="6232">SUMIF(ALL3:ALL60,AHN20,ALM3:ALM60)+SUMIF(ALO3:ALO60,AHN20,ALN3:ALN60)</f>
        <v>1</v>
      </c>
      <c r="AHS20" s="319">
        <f t="shared" ref="AHS20" ca="1" si="6233">SUMIF(ALO3:ALO60,AHN20,ALM3:ALM60)+SUMIF(ALL3:ALL60,AHN20,ALN3:ALN60)</f>
        <v>2</v>
      </c>
      <c r="AHT20" s="319">
        <f t="shared" ca="1" si="5232"/>
        <v>999</v>
      </c>
      <c r="AHU20" s="319">
        <f t="shared" ca="1" si="5233"/>
        <v>2</v>
      </c>
      <c r="AHV20" s="319">
        <f t="shared" si="870"/>
        <v>39</v>
      </c>
      <c r="AHW20" s="319">
        <f t="shared" ref="AHW20" ca="1" si="6234">IF(COUNTIF(AHU18:AHU22,4)&lt;&gt;4,RANK(AHU20,AHU18:AHU22),AHU60)</f>
        <v>3</v>
      </c>
      <c r="AHX20" s="319"/>
      <c r="AHY20" s="319">
        <f t="shared" ref="AHY20" ca="1" si="6235">SUMPRODUCT((AHW18:AHW21=AHW20)*(AHV18:AHV21&lt;AHV20))+AHW20</f>
        <v>3</v>
      </c>
      <c r="AHZ20" s="319" t="str">
        <f t="shared" ref="AHZ20" ca="1" si="6236">INDEX(AHN18:AHN22,MATCH(3,AHY18:AHY22,0),0)</f>
        <v>Slovenia</v>
      </c>
      <c r="AIA20" s="319">
        <f t="shared" ref="AIA20" ca="1" si="6237">INDEX(AHW18:AHW22,MATCH(AHZ20,AHN18:AHN22,0),0)</f>
        <v>3</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D</v>
      </c>
      <c r="ALQ20" s="319" t="str">
        <f t="shared" ca="1" si="5720"/>
        <v>D</v>
      </c>
      <c r="ALR20" s="319"/>
      <c r="ALS20" s="319"/>
      <c r="ALT20" s="324" t="s">
        <v>105</v>
      </c>
      <c r="ALU20" s="325" t="s">
        <v>107</v>
      </c>
      <c r="ALV20" s="325" t="s">
        <v>108</v>
      </c>
      <c r="ALW20" s="325" t="s">
        <v>110</v>
      </c>
      <c r="ALX20" s="324" t="s">
        <v>110</v>
      </c>
      <c r="ALY20" s="324" t="s">
        <v>108</v>
      </c>
      <c r="ALZ20" s="324" t="s">
        <v>107</v>
      </c>
      <c r="AMA20" s="324" t="s">
        <v>105</v>
      </c>
      <c r="AMB20" s="325"/>
      <c r="AMC20" s="326">
        <f t="shared" ref="AMC20" ca="1" si="6292">IFERROR(MATCH(AMC12,ALT20:ALW20,0),0)</f>
        <v>0</v>
      </c>
      <c r="AMD20" s="326">
        <f t="shared" ref="AMD20" ca="1" si="6293">IFERROR(MATCH(AMD12,ALT20:ALW20,0),0)</f>
        <v>0</v>
      </c>
      <c r="AME20" s="326">
        <f t="shared" ref="AME20" ca="1" si="6294">IFERROR(MATCH(AME12,ALT20:ALW20,0),0)</f>
        <v>3</v>
      </c>
      <c r="AMF20" s="326">
        <f t="shared" ref="AMF20" ca="1" si="6295">IFERROR(MATCH(AMF12,ALT20:ALW20,0),0)</f>
        <v>2</v>
      </c>
      <c r="AMG20" s="326">
        <f t="shared" ca="1" si="3896"/>
        <v>5</v>
      </c>
      <c r="AMH20" s="325" t="s">
        <v>358</v>
      </c>
      <c r="AMI20" s="325" t="str">
        <f t="shared" ref="AMI20" ca="1" si="6296">INDEX(ALT3:ALT8,MATCH(INDEX(ALZ13:ALZ27,MATCH(10,AMG13:AMG27,0),0),AMH3:AMH8,0),0)</f>
        <v>Croatia</v>
      </c>
      <c r="AMJ20" s="325">
        <f t="shared" ca="1" si="5267"/>
        <v>0</v>
      </c>
      <c r="AMK20" s="319">
        <f t="shared" ref="AMK20" ca="1" si="6297">VLOOKUP(AML20,AQG18:AQH22,2,FALSE)</f>
        <v>4</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1</v>
      </c>
      <c r="AMO20" s="319">
        <f t="shared" ref="AMO20" ca="1" si="6300">SUMPRODUCT((AQJ3:AQJ42=AML20)*(AQN3:AQN42="L"))+SUMPRODUCT((AQM3:AQM42=AML20)*(AQO3:AQO42="L"))</f>
        <v>2</v>
      </c>
      <c r="AMP20" s="319">
        <f t="shared" ref="AMP20" ca="1" si="6301">SUMIF(AQJ3:AQJ60,AML20,AQK3:AQK60)+SUMIF(AQM3:AQM60,AML20,AQL3:AQL60)</f>
        <v>1</v>
      </c>
      <c r="AMQ20" s="319">
        <f t="shared" ref="AMQ20" ca="1" si="6302">SUMIF(AQM3:AQM60,AML20,AQK3:AQK60)+SUMIF(AQJ3:AQJ60,AML20,AQL3:AQL60)</f>
        <v>4</v>
      </c>
      <c r="AMR20" s="319">
        <f t="shared" ca="1" si="5275"/>
        <v>997</v>
      </c>
      <c r="AMS20" s="319">
        <f t="shared" ca="1" si="5276"/>
        <v>1</v>
      </c>
      <c r="AMT20" s="319">
        <f t="shared" si="930"/>
        <v>39</v>
      </c>
      <c r="AMU20" s="319">
        <f t="shared" ref="AMU20" ca="1" si="6303">IF(COUNTIF(AMS18:AMS22,4)&lt;&gt;4,RANK(AMS20,AMS18:AMS22),AMS60)</f>
        <v>3</v>
      </c>
      <c r="AMV20" s="319"/>
      <c r="AMW20" s="319">
        <f t="shared" ref="AMW20" ca="1" si="6304">SUMPRODUCT((AMU18:AMU21=AMU20)*(AMT18:AMT21&lt;AMT20))+AMU20</f>
        <v>4</v>
      </c>
      <c r="AMX20" s="319" t="str">
        <f t="shared" ref="AMX20" ca="1" si="6305">INDEX(AML18:AML22,MATCH(3,AMW18:AMW22,0),0)</f>
        <v>Serbia</v>
      </c>
      <c r="AMY20" s="319">
        <f t="shared" ref="AMY20" ca="1" si="6306">INDEX(AMU18:AMU22,MATCH(AMX20,AML18:AML22,0),0)</f>
        <v>3</v>
      </c>
      <c r="AMZ20" s="319" t="str">
        <f t="shared" ref="AMZ20:AMZ21" ca="1" si="6307">IF(AND(AMZ19&lt;&gt;"",AMY20=1),AMX20,"")</f>
        <v/>
      </c>
      <c r="ANA20" s="319" t="str">
        <f t="shared" ref="ANA20:ANA21" ca="1" si="6308">IF(AND(ANA19&lt;&gt;"",AMY21=2),AMX21,"")</f>
        <v/>
      </c>
      <c r="ANB20" s="319" t="str">
        <f t="shared" ref="ANB20" ca="1" si="6309">IF(AND(ANB19&lt;&gt;"",AMY22=3),AMX22,"")</f>
        <v/>
      </c>
      <c r="ANC20" s="319"/>
      <c r="AND20" s="319"/>
      <c r="ANE20" s="319" t="str">
        <f t="shared" ca="1" si="5285"/>
        <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t="str">
        <f t="shared" ca="1" si="5292"/>
        <v/>
      </c>
      <c r="ANM20" s="319" t="str">
        <f t="shared" ref="ANM20" ca="1" si="6315">IF(ANE20&lt;&gt;"",VLOOKUP(ANE20,AML4:AMR40,7,FALSE),"")</f>
        <v/>
      </c>
      <c r="ANN20" s="319" t="str">
        <f t="shared" ref="ANN20" ca="1" si="6316">IF(ANE20&lt;&gt;"",VLOOKUP(ANE20,AML4:AMR40,5,FALSE),"")</f>
        <v/>
      </c>
      <c r="ANO20" s="319" t="str">
        <f t="shared" ref="ANO20" ca="1" si="6317">IF(ANE20&lt;&gt;"",VLOOKUP(ANE20,AML4:AMT40,9,FALSE),"")</f>
        <v/>
      </c>
      <c r="ANP20" s="319" t="str">
        <f t="shared" ca="1" si="5296"/>
        <v/>
      </c>
      <c r="ANQ20" s="319" t="str">
        <f t="shared" ref="ANQ20" ca="1" si="6318">IF(ANE20&lt;&gt;"",RANK(ANP20,ANP18:ANP22),"")</f>
        <v/>
      </c>
      <c r="ANR20" s="319" t="str">
        <f t="shared" ref="ANR20" ca="1" si="6319">IF(ANE20&lt;&gt;"",SUMPRODUCT((ANP18:ANP22=ANP20)*(ANK18:ANK22&gt;ANK20)),"")</f>
        <v/>
      </c>
      <c r="ANS20" s="319" t="str">
        <f t="shared" ref="ANS20" ca="1" si="6320">IF(ANE20&lt;&gt;"",SUMPRODUCT((ANP18:ANP22=ANP20)*(ANK18:ANK22=ANK20)*(ANI18:ANI22&gt;ANI20)),"")</f>
        <v/>
      </c>
      <c r="ANT20" s="319" t="str">
        <f t="shared" ref="ANT20" ca="1" si="6321">IF(ANE20&lt;&gt;"",SUMPRODUCT((ANP18:ANP22=ANP20)*(ANK18:ANK22=ANK20)*(ANI18:ANI22=ANI20)*(ANM18:ANM22&gt;ANM20)),"")</f>
        <v/>
      </c>
      <c r="ANU20" s="319" t="str">
        <f t="shared" ref="ANU20" ca="1" si="6322">IF(ANE20&lt;&gt;"",SUMPRODUCT((ANP18:ANP22=ANP20)*(ANK18:ANK22=ANK20)*(ANI18:ANI22=ANI20)*(ANM18:ANM22=ANM20)*(ANN18:ANN22&gt;ANN20)),"")</f>
        <v/>
      </c>
      <c r="ANV20" s="319" t="str">
        <f t="shared" ref="ANV20" ca="1" si="6323">IF(ANE20&lt;&gt;"",SUMPRODUCT((ANP18:ANP22=ANP20)*(ANK18:ANK22=ANK20)*(ANI18:ANI22=ANI20)*(ANM18:ANM22=ANM20)*(ANN18:ANN22=ANN20)*(ANO18:ANO22&gt;ANO20)),"")</f>
        <v/>
      </c>
      <c r="ANW20" s="319" t="str">
        <f ca="1">IF(ANE20&lt;&gt;"",IF(ANW60&lt;&gt;"",IF(AND57=3,ANW60,ANW60+AND57),SUM(ANQ20:ANV20)),"")</f>
        <v/>
      </c>
      <c r="ANX20" s="319" t="str">
        <f t="shared" ref="ANX20" ca="1" si="6324">IF(ANE20&lt;&gt;"",INDEX(ANE18:ANE22,MATCH(3,ANW18:ANW22,0),0),"")</f>
        <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Serbia</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f t="shared" ref="AOZ20:AOZ21" ca="1" si="6347">IF(AOS20&lt;&gt;"",AOT20*3+AOU20*1,"")</f>
        <v>1</v>
      </c>
      <c r="APA20" s="319">
        <f t="shared" ref="APA20" ca="1" si="6348">IF(AOS20&lt;&gt;"",VLOOKUP(AOS20,AML4:AMR40,7,FALSE),"")</f>
        <v>998</v>
      </c>
      <c r="APB20" s="319">
        <f t="shared" ref="APB20" ca="1" si="6349">IF(AOS20&lt;&gt;"",VLOOKUP(AOS20,AML4:AMR40,5,FALSE),"")</f>
        <v>1</v>
      </c>
      <c r="APC20" s="319">
        <f t="shared" ref="APC20" ca="1" si="6350">IF(AOS20&lt;&gt;"",VLOOKUP(AOS20,AML4:AMT40,9,FALSE),"")</f>
        <v>35</v>
      </c>
      <c r="APD20" s="319">
        <f t="shared" ref="APD20:APD21" ca="1" si="6351">AOZ20</f>
        <v>1</v>
      </c>
      <c r="APE20" s="319">
        <f t="shared" ref="APE20" ca="1" si="6352">IF(AOS20&lt;&gt;"",RANK(APD20,APD18:APD22),"")</f>
        <v>1</v>
      </c>
      <c r="APF20" s="319">
        <f t="shared" ref="APF20" ca="1" si="6353">IF(AOS20&lt;&gt;"",SUMPRODUCT((APD18:APD22=APD20)*(AOY18:AOY22&gt;AOY20)),"")</f>
        <v>0</v>
      </c>
      <c r="APG20" s="319">
        <f t="shared" ref="APG20" ca="1" si="6354">IF(AOS20&lt;&gt;"",SUMPRODUCT((APD18:APD22=APD20)*(AOY18:AOY22=AOY20)*(AOW18:AOW22&gt;AOW20)),"")</f>
        <v>0</v>
      </c>
      <c r="APH20" s="319">
        <f t="shared" ref="APH20" ca="1" si="6355">IF(AOS20&lt;&gt;"",SUMPRODUCT((APD18:APD22=APD20)*(AOY18:AOY22=AOY20)*(AOW18:AOW22=AOW20)*(APA18:APA22&gt;APA20)),"")</f>
        <v>0</v>
      </c>
      <c r="API20" s="319">
        <f t="shared" ref="API20" ca="1" si="6356">IF(AOS20&lt;&gt;"",SUMPRODUCT((APD18:APD22=APD20)*(AOY18:AOY22=AOY20)*(AOW18:AOW22=AOW20)*(APA18:APA22=APA20)*(APB18:APB22&gt;APB20)),"")</f>
        <v>0</v>
      </c>
      <c r="APJ20" s="319">
        <f t="shared" ref="APJ20" ca="1" si="6357">IF(AOS20&lt;&gt;"",SUMPRODUCT((APD18:APD22=APD20)*(AOY18:AOY22=AOY20)*(AOW18:AOW22=AOW20)*(APA18:APA22=APA20)*(APB18:APB22=APB20)*(APC18:APC22&gt;APC20)),"")</f>
        <v>0</v>
      </c>
      <c r="APK20" s="319">
        <f t="shared" ref="APK20:APK21" ca="1" si="6358">IF(AOS20&lt;&gt;"",SUM(APE20:APJ20)+2,"")</f>
        <v>3</v>
      </c>
      <c r="APL20" s="319" t="str">
        <f t="shared" ref="APL20" ca="1" si="6359">IF(AOS20&lt;&gt;"",INDEX(AOS20:AOS22,MATCH(3,APK20:APK22,0),0),"")</f>
        <v>Serbia</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Serbia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D</v>
      </c>
      <c r="AQO20" s="319" t="str">
        <f t="shared" ca="1" si="5775"/>
        <v>D</v>
      </c>
      <c r="AQP20" s="319"/>
      <c r="AQQ20" s="319"/>
      <c r="AQR20" s="324" t="s">
        <v>105</v>
      </c>
      <c r="AQS20" s="325" t="s">
        <v>107</v>
      </c>
      <c r="AQT20" s="325" t="s">
        <v>108</v>
      </c>
      <c r="AQU20" s="325" t="s">
        <v>110</v>
      </c>
      <c r="AQV20" s="324" t="s">
        <v>110</v>
      </c>
      <c r="AQW20" s="324" t="s">
        <v>108</v>
      </c>
      <c r="AQX20" s="324" t="s">
        <v>107</v>
      </c>
      <c r="AQY20" s="324" t="s">
        <v>105</v>
      </c>
      <c r="AQZ20" s="325"/>
      <c r="ARA20" s="326">
        <f t="shared" ref="ARA20" ca="1" si="6361">IFERROR(MATCH(ARA12,AQR20:AQU20,0),0)</f>
        <v>0</v>
      </c>
      <c r="ARB20" s="326">
        <f t="shared" ref="ARB20" ca="1" si="6362">IFERROR(MATCH(ARB12,AQR20:AQU20,0),0)</f>
        <v>1</v>
      </c>
      <c r="ARC20" s="326">
        <f t="shared" ref="ARC20" ca="1" si="6363">IFERROR(MATCH(ARC12,AQR20:AQU20,0),0)</f>
        <v>4</v>
      </c>
      <c r="ARD20" s="326">
        <f t="shared" ref="ARD20" ca="1" si="6364">IFERROR(MATCH(ARD12,AQR20:AQU20,0),0)</f>
        <v>0</v>
      </c>
      <c r="ARE20" s="326">
        <f t="shared" ca="1" si="3966"/>
        <v>5</v>
      </c>
      <c r="ARF20" s="325" t="s">
        <v>358</v>
      </c>
      <c r="ARG20" s="325" t="str">
        <f t="shared" ref="ARG20" ca="1" si="6365">INDEX(AQR3:AQR8,MATCH(INDEX(AQX13:AQX27,MATCH(10,ARE13:ARE27,0),0),ARF3:ARF8,0),0)</f>
        <v>Croatia</v>
      </c>
      <c r="ARH20" s="325">
        <f t="shared" ca="1" si="5310"/>
        <v>0</v>
      </c>
      <c r="ARI20" s="319">
        <f t="shared" ref="ARI20" ca="1" si="6366">VLOOKUP(ARJ20,AVE18:AVF22,2,FALSE)</f>
        <v>1</v>
      </c>
      <c r="ARJ20" s="319" t="str">
        <f t="shared" si="5312"/>
        <v>Slovenia</v>
      </c>
      <c r="ARK20" s="319">
        <f t="shared" ref="ARK20" ca="1" si="6367">SUMPRODUCT((AVH3:AVH42=ARJ20)*(AVL3:AVL42="W"))+SUMPRODUCT((AVK3:AVK42=ARJ20)*(AVM3:AVM42="W"))</f>
        <v>2</v>
      </c>
      <c r="ARL20" s="319">
        <f t="shared" ref="ARL20" ca="1" si="6368">SUMPRODUCT((AVH3:AVH42=ARJ20)*(AVL3:AVL42="D"))+SUMPRODUCT((AVK3:AVK42=ARJ20)*(AVM3:AVM42="D"))</f>
        <v>1</v>
      </c>
      <c r="ARM20" s="319">
        <f t="shared" ref="ARM20" ca="1" si="6369">SUMPRODUCT((AVH3:AVH42=ARJ20)*(AVL3:AVL42="L"))+SUMPRODUCT((AVK3:AVK42=ARJ20)*(AVM3:AVM42="L"))</f>
        <v>0</v>
      </c>
      <c r="ARN20" s="319">
        <f t="shared" ref="ARN20" ca="1" si="6370">SUMIF(AVH3:AVH60,ARJ20,AVI3:AVI60)+SUMIF(AVK3:AVK60,ARJ20,AVJ3:AVJ60)</f>
        <v>5</v>
      </c>
      <c r="ARO20" s="319">
        <f t="shared" ref="ARO20" ca="1" si="6371">SUMIF(AVK3:AVK60,ARJ20,AVI3:AVI60)+SUMIF(AVH3:AVH60,ARJ20,AVJ3:AVJ60)</f>
        <v>2</v>
      </c>
      <c r="ARP20" s="319">
        <f t="shared" ca="1" si="5318"/>
        <v>1003</v>
      </c>
      <c r="ARQ20" s="319">
        <f t="shared" ca="1" si="5319"/>
        <v>7</v>
      </c>
      <c r="ARR20" s="319">
        <f t="shared" si="990"/>
        <v>39</v>
      </c>
      <c r="ARS20" s="319">
        <f t="shared" ref="ARS20" ca="1" si="6372">IF(COUNTIF(ARQ18:ARQ22,4)&lt;&gt;4,RANK(ARQ20,ARQ18:ARQ22),ARQ60)</f>
        <v>1</v>
      </c>
      <c r="ART20" s="319"/>
      <c r="ARU20" s="319">
        <f t="shared" ref="ARU20" ca="1" si="6373">SUMPRODUCT((ARS18:ARS21=ARS20)*(ARR18:ARR21&lt;ARR20))+ARS20</f>
        <v>1</v>
      </c>
      <c r="ARV20" s="319" t="str">
        <f t="shared" ref="ARV20" ca="1" si="6374">INDEX(ARJ18:ARJ22,MATCH(3,ARU18:ARU22,0),0)</f>
        <v>Denmark</v>
      </c>
      <c r="ARW20" s="319">
        <f t="shared" ref="ARW20" ca="1" si="6375">INDEX(ARS18:ARS22,MATCH(ARV20,ARJ18:ARJ22,0),0)</f>
        <v>3</v>
      </c>
      <c r="ARX20" s="319" t="str">
        <f t="shared" ref="ARX20:ARX21" ca="1" si="6376">IF(AND(ARX19&lt;&gt;"",ARW20=1),ARV20,"")</f>
        <v/>
      </c>
      <c r="ARY20" s="319" t="str">
        <f t="shared" ref="ARY20:ARY21" ca="1" si="6377">IF(AND(ARY19&lt;&gt;"",ARW21=2),ARV21,"")</f>
        <v/>
      </c>
      <c r="ARZ20" s="319" t="str">
        <f t="shared" ref="ARZ20" ca="1" si="6378">IF(AND(ARZ19&lt;&gt;"",ARW22=3),ARV22,"")</f>
        <v/>
      </c>
      <c r="ASA20" s="319"/>
      <c r="ASB20" s="319"/>
      <c r="ASC20" s="319" t="str">
        <f t="shared" ca="1" si="5328"/>
        <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t="str">
        <f t="shared" ca="1" si="5335"/>
        <v/>
      </c>
      <c r="ASK20" s="319" t="str">
        <f t="shared" ref="ASK20" ca="1" si="6384">IF(ASC20&lt;&gt;"",VLOOKUP(ASC20,ARJ4:ARP40,7,FALSE),"")</f>
        <v/>
      </c>
      <c r="ASL20" s="319" t="str">
        <f t="shared" ref="ASL20" ca="1" si="6385">IF(ASC20&lt;&gt;"",VLOOKUP(ASC20,ARJ4:ARP40,5,FALSE),"")</f>
        <v/>
      </c>
      <c r="ASM20" s="319" t="str">
        <f t="shared" ref="ASM20" ca="1" si="6386">IF(ASC20&lt;&gt;"",VLOOKUP(ASC20,ARJ4:ARR40,9,FALSE),"")</f>
        <v/>
      </c>
      <c r="ASN20" s="319" t="str">
        <f t="shared" ca="1" si="5339"/>
        <v/>
      </c>
      <c r="ASO20" s="319" t="str">
        <f t="shared" ref="ASO20" ca="1" si="6387">IF(ASC20&lt;&gt;"",RANK(ASN20,ASN18:ASN22),"")</f>
        <v/>
      </c>
      <c r="ASP20" s="319" t="str">
        <f t="shared" ref="ASP20" ca="1" si="6388">IF(ASC20&lt;&gt;"",SUMPRODUCT((ASN18:ASN22=ASN20)*(ASI18:ASI22&gt;ASI20)),"")</f>
        <v/>
      </c>
      <c r="ASQ20" s="319" t="str">
        <f t="shared" ref="ASQ20" ca="1" si="6389">IF(ASC20&lt;&gt;"",SUMPRODUCT((ASN18:ASN22=ASN20)*(ASI18:ASI22=ASI20)*(ASG18:ASG22&gt;ASG20)),"")</f>
        <v/>
      </c>
      <c r="ASR20" s="319" t="str">
        <f t="shared" ref="ASR20" ca="1" si="6390">IF(ASC20&lt;&gt;"",SUMPRODUCT((ASN18:ASN22=ASN20)*(ASI18:ASI22=ASI20)*(ASG18:ASG22=ASG20)*(ASK18:ASK22&gt;ASK20)),"")</f>
        <v/>
      </c>
      <c r="ASS20" s="319" t="str">
        <f t="shared" ref="ASS20" ca="1" si="6391">IF(ASC20&lt;&gt;"",SUMPRODUCT((ASN18:ASN22=ASN20)*(ASI18:ASI22=ASI20)*(ASG18:ASG22=ASG20)*(ASK18:ASK22=ASK20)*(ASL18:ASL22&gt;ASL20)),"")</f>
        <v/>
      </c>
      <c r="AST20" s="319" t="str">
        <f t="shared" ref="AST20" ca="1" si="6392">IF(ASC20&lt;&gt;"",SUMPRODUCT((ASN18:ASN22=ASN20)*(ASI18:ASI22=ASI20)*(ASG18:ASG22=ASG20)*(ASK18:ASK22=ASK20)*(ASL18:ASL22=ASL20)*(ASM18:ASM22&gt;ASM20)),"")</f>
        <v/>
      </c>
      <c r="ASU20" s="319" t="str">
        <f ca="1">IF(ASC20&lt;&gt;"",IF(ASU60&lt;&gt;"",IF(ASB57=3,ASU60,ASU60+ASB57),SUM(ASO20:AST20)),"")</f>
        <v/>
      </c>
      <c r="ASV20" s="319" t="str">
        <f t="shared" ref="ASV20" ca="1" si="6393">IF(ASC20&lt;&gt;"",INDEX(ASC18:ASC22,MATCH(3,ASU18:ASU22,0),0),"")</f>
        <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Denmark</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19">
        <f t="shared" ref="ATW20:ATW21" ca="1" si="6415">ATU20-ATV20+1000</f>
        <v>999</v>
      </c>
      <c r="ATX20" s="319">
        <f t="shared" ref="ATX20:ATX21" ca="1" si="6416">IF(ATQ20&lt;&gt;"",ATR20*3+ATS20*1,"")</f>
        <v>0</v>
      </c>
      <c r="ATY20" s="319">
        <f t="shared" ref="ATY20" ca="1" si="6417">IF(ATQ20&lt;&gt;"",VLOOKUP(ATQ20,ARJ4:ARP40,7,FALSE),"")</f>
        <v>999</v>
      </c>
      <c r="ATZ20" s="319">
        <f t="shared" ref="ATZ20" ca="1" si="6418">IF(ATQ20&lt;&gt;"",VLOOKUP(ATQ20,ARJ4:ARP40,5,FALSE),"")</f>
        <v>4</v>
      </c>
      <c r="AUA20" s="319">
        <f t="shared" ref="AUA20" ca="1" si="6419">IF(ATQ20&lt;&gt;"",VLOOKUP(ATQ20,ARJ4:ARR40,9,FALSE),"")</f>
        <v>45</v>
      </c>
      <c r="AUB20" s="319">
        <f t="shared" ref="AUB20:AUB21" ca="1" si="6420">ATX20</f>
        <v>0</v>
      </c>
      <c r="AUC20" s="319">
        <f t="shared" ref="AUC20" ca="1" si="6421">IF(ATQ20&lt;&gt;"",RANK(AUB20,AUB18:AUB22),"")</f>
        <v>2</v>
      </c>
      <c r="AUD20" s="319">
        <f t="shared" ref="AUD20" ca="1" si="6422">IF(ATQ20&lt;&gt;"",SUMPRODUCT((AUB18:AUB22=AUB20)*(ATW18:ATW22&gt;ATW20)),"")</f>
        <v>0</v>
      </c>
      <c r="AUE20" s="319">
        <f t="shared" ref="AUE20" ca="1" si="6423">IF(ATQ20&lt;&gt;"",SUMPRODUCT((AUB18:AUB22=AUB20)*(ATW18:ATW22=ATW20)*(ATU18:ATU22&gt;ATU20)),"")</f>
        <v>0</v>
      </c>
      <c r="AUF20" s="319">
        <f t="shared" ref="AUF20" ca="1" si="6424">IF(ATQ20&lt;&gt;"",SUMPRODUCT((AUB18:AUB22=AUB20)*(ATW18:ATW22=ATW20)*(ATU18:ATU22=ATU20)*(ATY18:ATY22&gt;ATY20)),"")</f>
        <v>0</v>
      </c>
      <c r="AUG20" s="319">
        <f t="shared" ref="AUG20" ca="1" si="6425">IF(ATQ20&lt;&gt;"",SUMPRODUCT((AUB18:AUB22=AUB20)*(ATW18:ATW22=ATW20)*(ATU18:ATU22=ATU20)*(ATY18:ATY22=ATY20)*(ATZ18:ATZ22&gt;ATZ20)),"")</f>
        <v>0</v>
      </c>
      <c r="AUH20" s="319">
        <f t="shared" ref="AUH20" ca="1" si="6426">IF(ATQ20&lt;&gt;"",SUMPRODUCT((AUB18:AUB22=AUB20)*(ATW18:ATW22=ATW20)*(ATU18:ATU22=ATU20)*(ATY18:ATY22=ATY20)*(ATZ18:ATZ22=ATZ20)*(AUA18:AUA22&gt;AUA20)),"")</f>
        <v>0</v>
      </c>
      <c r="AUI20" s="319">
        <f t="shared" ref="AUI20:AUI21" ca="1" si="6427">IF(ATQ20&lt;&gt;"",SUM(AUC20:AUH20)+2,"")</f>
        <v>4</v>
      </c>
      <c r="AUJ20" s="319" t="str">
        <f t="shared" ref="AUJ20" ca="1" si="6428">IF(ATQ20&lt;&gt;"",INDEX(ATQ20:ATQ22,MATCH(3,AUI20:AUI22,0),0),"")</f>
        <v>England</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England</v>
      </c>
      <c r="AVF20" s="319">
        <v>3</v>
      </c>
      <c r="AVG20" s="319">
        <v>18</v>
      </c>
      <c r="AVH20" s="319" t="str">
        <f t="shared" si="114"/>
        <v>Slovenia</v>
      </c>
      <c r="AVI20" s="322">
        <f ca="1">IF(OFFSET('Player Game Board'!P27,0,AVI1)&lt;&gt;"",OFFSET('Player Game Board'!P27,0,AVI1),0)</f>
        <v>1</v>
      </c>
      <c r="AVJ20" s="322">
        <f ca="1">IF(OFFSET('Player Game Board'!Q27,0,AVI1)&lt;&gt;"",OFFSET('Player Game Board'!Q27,0,AVI1),0)</f>
        <v>1</v>
      </c>
      <c r="AVK20" s="319" t="str">
        <f t="shared" si="115"/>
        <v>Serbia</v>
      </c>
      <c r="AVL20" s="319" t="str">
        <f ca="1">IF(AND(OFFSET('Player Game Board'!P27,0,AVI1)&lt;&gt;"",OFFSET('Player Game Board'!Q27,0,AVI1)&lt;&gt;""),IF(AVI20&gt;AVJ20,"W",IF(AVI20=AVJ20,"D","L")),"")</f>
        <v>D</v>
      </c>
      <c r="AVM20" s="319" t="str">
        <f t="shared" ca="1" si="5830"/>
        <v>D</v>
      </c>
      <c r="AVN20" s="319"/>
      <c r="AVO20" s="319"/>
      <c r="AVP20" s="324" t="s">
        <v>105</v>
      </c>
      <c r="AVQ20" s="325" t="s">
        <v>107</v>
      </c>
      <c r="AVR20" s="325" t="s">
        <v>108</v>
      </c>
      <c r="AVS20" s="325" t="s">
        <v>110</v>
      </c>
      <c r="AVT20" s="324" t="s">
        <v>110</v>
      </c>
      <c r="AVU20" s="324" t="s">
        <v>108</v>
      </c>
      <c r="AVV20" s="324" t="s">
        <v>107</v>
      </c>
      <c r="AVW20" s="324" t="s">
        <v>105</v>
      </c>
      <c r="AVX20" s="325"/>
      <c r="AVY20" s="326">
        <f t="shared" ref="AVY20" ca="1" si="6430">IFERROR(MATCH(AVY12,AVP20:AVS20,0),0)</f>
        <v>0</v>
      </c>
      <c r="AVZ20" s="326">
        <f t="shared" ref="AVZ20" ca="1" si="6431">IFERROR(MATCH(AVZ12,AVP20:AVS20,0),0)</f>
        <v>0</v>
      </c>
      <c r="AWA20" s="326">
        <f t="shared" ref="AWA20" ca="1" si="6432">IFERROR(MATCH(AWA12,AVP20:AVS20,0),0)</f>
        <v>1</v>
      </c>
      <c r="AWB20" s="326">
        <f t="shared" ref="AWB20" ca="1" si="6433">IFERROR(MATCH(AWB12,AVP20:AVS20,0),0)</f>
        <v>2</v>
      </c>
      <c r="AWC20" s="326">
        <f t="shared" ca="1" si="4036"/>
        <v>3</v>
      </c>
      <c r="AWD20" s="325" t="s">
        <v>358</v>
      </c>
      <c r="AWE20" s="325" t="str">
        <f t="shared" ref="AWE20" ca="1" si="6434">INDEX(AVP3:AVP8,MATCH(INDEX(AVV13:AVV27,MATCH(10,AWC13:AWC27,0),0),AWD3:AWD8,0),0)</f>
        <v>Croatia</v>
      </c>
      <c r="AWF20" s="325">
        <f t="shared" ca="1" si="5353"/>
        <v>0</v>
      </c>
      <c r="AWG20" s="319">
        <f t="shared" ref="AWG20" ca="1" si="6435">VLOOKUP(AWH20,BAC18:BAD22,2,FALSE)</f>
        <v>4</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3</v>
      </c>
      <c r="AWL20" s="319">
        <f t="shared" ref="AWL20" ca="1" si="6439">SUMIF(BAF3:BAF60,AWH20,BAG3:BAG60)+SUMIF(BAI3:BAI60,AWH20,BAH3:BAH60)</f>
        <v>3</v>
      </c>
      <c r="AWM20" s="319">
        <f t="shared" ref="AWM20" ca="1" si="6440">SUMIF(BAI3:BAI60,AWH20,BAG3:BAG60)+SUMIF(BAF3:BAF60,AWH20,BAH3:BAH60)</f>
        <v>10</v>
      </c>
      <c r="AWN20" s="319">
        <f t="shared" ca="1" si="5361"/>
        <v>993</v>
      </c>
      <c r="AWO20" s="319">
        <f t="shared" ca="1" si="5362"/>
        <v>0</v>
      </c>
      <c r="AWP20" s="319">
        <f t="shared" si="1050"/>
        <v>39</v>
      </c>
      <c r="AWQ20" s="319">
        <f t="shared" ref="AWQ20" ca="1" si="6441">IF(COUNTIF(AWO18:AWO22,4)&lt;&gt;4,RANK(AWO20,AWO18:AWO22),AWO60)</f>
        <v>4</v>
      </c>
      <c r="AWR20" s="319"/>
      <c r="AWS20" s="319">
        <f t="shared" ref="AWS20" ca="1" si="6442">SUMPRODUCT((AWQ18:AWQ21=AWQ20)*(AWP18:AWP21&lt;AWP20))+AWQ20</f>
        <v>4</v>
      </c>
      <c r="AWT20" s="319" t="str">
        <f t="shared" ref="AWT20" ca="1" si="6443">INDEX(AWH18:AWH22,MATCH(3,AWS18:AWS22,0),0)</f>
        <v>Serbia</v>
      </c>
      <c r="AWU20" s="319">
        <f t="shared" ref="AWU20" ca="1" si="6444">INDEX(AWQ18:AWQ22,MATCH(AWT20,AWH18:AWH22,0),0)</f>
        <v>3</v>
      </c>
      <c r="AWV20" s="319" t="str">
        <f t="shared" ref="AWV20:AWV21" ca="1" si="6445">IF(AND(AWV19&lt;&gt;"",AWU20=1),AWT20,"")</f>
        <v/>
      </c>
      <c r="AWW20" s="319" t="str">
        <f t="shared" ref="AWW20:AWW21" ca="1" si="6446">IF(AND(AWW19&lt;&gt;"",AWU21=2),AWT21,"")</f>
        <v/>
      </c>
      <c r="AWX20" s="319" t="str">
        <f t="shared" ref="AWX20" ca="1" si="6447">IF(AND(AWX19&lt;&gt;"",AWU22=3),AWT22,"")</f>
        <v/>
      </c>
      <c r="AWY20" s="319"/>
      <c r="AWZ20" s="319"/>
      <c r="AXA20" s="319" t="str">
        <f t="shared" ca="1" si="5371"/>
        <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t="str">
        <f t="shared" ca="1" si="5378"/>
        <v/>
      </c>
      <c r="AXI20" s="319" t="str">
        <f t="shared" ref="AXI20" ca="1" si="6453">IF(AXA20&lt;&gt;"",VLOOKUP(AXA20,AWH4:AWN40,7,FALSE),"")</f>
        <v/>
      </c>
      <c r="AXJ20" s="319" t="str">
        <f t="shared" ref="AXJ20" ca="1" si="6454">IF(AXA20&lt;&gt;"",VLOOKUP(AXA20,AWH4:AWN40,5,FALSE),"")</f>
        <v/>
      </c>
      <c r="AXK20" s="319" t="str">
        <f t="shared" ref="AXK20" ca="1" si="6455">IF(AXA20&lt;&gt;"",VLOOKUP(AXA20,AWH4:AWP40,9,FALSE),"")</f>
        <v/>
      </c>
      <c r="AXL20" s="319" t="str">
        <f t="shared" ca="1" si="5382"/>
        <v/>
      </c>
      <c r="AXM20" s="319" t="str">
        <f t="shared" ref="AXM20" ca="1" si="6456">IF(AXA20&lt;&gt;"",RANK(AXL20,AXL18:AXL22),"")</f>
        <v/>
      </c>
      <c r="AXN20" s="319" t="str">
        <f t="shared" ref="AXN20" ca="1" si="6457">IF(AXA20&lt;&gt;"",SUMPRODUCT((AXL18:AXL22=AXL20)*(AXG18:AXG22&gt;AXG20)),"")</f>
        <v/>
      </c>
      <c r="AXO20" s="319" t="str">
        <f t="shared" ref="AXO20" ca="1" si="6458">IF(AXA20&lt;&gt;"",SUMPRODUCT((AXL18:AXL22=AXL20)*(AXG18:AXG22=AXG20)*(AXE18:AXE22&gt;AXE20)),"")</f>
        <v/>
      </c>
      <c r="AXP20" s="319" t="str">
        <f t="shared" ref="AXP20" ca="1" si="6459">IF(AXA20&lt;&gt;"",SUMPRODUCT((AXL18:AXL22=AXL20)*(AXG18:AXG22=AXG20)*(AXE18:AXE22=AXE20)*(AXI18:AXI22&gt;AXI20)),"")</f>
        <v/>
      </c>
      <c r="AXQ20" s="319" t="str">
        <f t="shared" ref="AXQ20" ca="1" si="6460">IF(AXA20&lt;&gt;"",SUMPRODUCT((AXL18:AXL22=AXL20)*(AXG18:AXG22=AXG20)*(AXE18:AXE22=AXE20)*(AXI18:AXI22=AXI20)*(AXJ18:AXJ22&gt;AXJ20)),"")</f>
        <v/>
      </c>
      <c r="AXR20" s="319" t="str">
        <f t="shared" ref="AXR20" ca="1" si="6461">IF(AXA20&lt;&gt;"",SUMPRODUCT((AXL18:AXL22=AXL20)*(AXG18:AXG22=AXG20)*(AXE18:AXE22=AXE20)*(AXI18:AXI22=AXI20)*(AXJ18:AXJ22=AXJ20)*(AXK18:AXK22&gt;AXK20)),"")</f>
        <v/>
      </c>
      <c r="AXS20" s="319" t="str">
        <f ca="1">IF(AXA20&lt;&gt;"",IF(AXS60&lt;&gt;"",IF(AWZ57=3,AXS60,AXS60+AWZ57),SUM(AXM20:AXR20)),"")</f>
        <v/>
      </c>
      <c r="AXT20" s="319" t="str">
        <f t="shared" ref="AXT20" ca="1" si="6462">IF(AXA20&lt;&gt;"",INDEX(AXA18:AXA22,MATCH(3,AXS18:AXS22,0),0),"")</f>
        <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Serbia</v>
      </c>
      <c r="BAD20" s="319">
        <v>3</v>
      </c>
      <c r="BAE20" s="319">
        <v>18</v>
      </c>
      <c r="BAF20" s="319" t="str">
        <f t="shared" si="130"/>
        <v>Slovenia</v>
      </c>
      <c r="BAG20" s="322">
        <f ca="1">IF(OFFSET('Player Game Board'!P27,0,BAG1)&lt;&gt;"",OFFSET('Player Game Board'!P27,0,BAG1),0)</f>
        <v>1</v>
      </c>
      <c r="BAH20" s="322">
        <f ca="1">IF(OFFSET('Player Game Board'!Q27,0,BAG1)&lt;&gt;"",OFFSET('Player Game Board'!Q27,0,BAG1),0)</f>
        <v>2</v>
      </c>
      <c r="BAI20" s="319" t="str">
        <f t="shared" si="131"/>
        <v>Serbia</v>
      </c>
      <c r="BAJ20" s="319" t="str">
        <f ca="1">IF(AND(OFFSET('Player Game Board'!P27,0,BAG1)&lt;&gt;"",OFFSET('Player Game Board'!Q27,0,BAG1)&lt;&gt;""),IF(BAG20&gt;BAH20,"W",IF(BAG20=BAH20,"D","L")),"")</f>
        <v>L</v>
      </c>
      <c r="BAK20" s="319" t="str">
        <f t="shared" ca="1" si="5885"/>
        <v>W</v>
      </c>
      <c r="BAL20" s="319"/>
      <c r="BAM20" s="319"/>
      <c r="BAN20" s="324" t="s">
        <v>105</v>
      </c>
      <c r="BAO20" s="325" t="s">
        <v>107</v>
      </c>
      <c r="BAP20" s="325" t="s">
        <v>108</v>
      </c>
      <c r="BAQ20" s="325" t="s">
        <v>110</v>
      </c>
      <c r="BAR20" s="324" t="s">
        <v>110</v>
      </c>
      <c r="BAS20" s="324" t="s">
        <v>108</v>
      </c>
      <c r="BAT20" s="324" t="s">
        <v>107</v>
      </c>
      <c r="BAU20" s="324" t="s">
        <v>105</v>
      </c>
      <c r="BAV20" s="325"/>
      <c r="BAW20" s="326">
        <f t="shared" ref="BAW20" ca="1" si="6499">IFERROR(MATCH(BAW12,BAN20:BAQ20,0),0)</f>
        <v>1</v>
      </c>
      <c r="BAX20" s="326">
        <f t="shared" ref="BAX20" ca="1" si="6500">IFERROR(MATCH(BAX12,BAN20:BAQ20,0),0)</f>
        <v>0</v>
      </c>
      <c r="BAY20" s="326">
        <f t="shared" ref="BAY20" ca="1" si="6501">IFERROR(MATCH(BAY12,BAN20:BAQ20,0),0)</f>
        <v>0</v>
      </c>
      <c r="BAZ20" s="326">
        <f t="shared" ref="BAZ20" ca="1" si="6502">IFERROR(MATCH(BAZ12,BAN20:BAQ20,0),0)</f>
        <v>4</v>
      </c>
      <c r="BBA20" s="326">
        <f t="shared" ca="1" si="4106"/>
        <v>5</v>
      </c>
      <c r="BBB20" s="325" t="s">
        <v>358</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105</v>
      </c>
      <c r="BFM20" s="325" t="s">
        <v>107</v>
      </c>
      <c r="BFN20" s="325" t="s">
        <v>108</v>
      </c>
      <c r="BFO20" s="325" t="s">
        <v>110</v>
      </c>
      <c r="BFP20" s="324" t="s">
        <v>110</v>
      </c>
      <c r="BFQ20" s="324" t="s">
        <v>108</v>
      </c>
      <c r="BFR20" s="324" t="s">
        <v>107</v>
      </c>
      <c r="BFS20" s="324" t="s">
        <v>105</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358</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105</v>
      </c>
      <c r="DI21" s="325" t="s">
        <v>107</v>
      </c>
      <c r="DJ21" s="325" t="s">
        <v>109</v>
      </c>
      <c r="DK21" s="325" t="s">
        <v>110</v>
      </c>
      <c r="DL21" s="324" t="s">
        <v>109</v>
      </c>
      <c r="DM21" s="324" t="s">
        <v>110</v>
      </c>
      <c r="DN21" s="324" t="s">
        <v>107</v>
      </c>
      <c r="DO21" s="324" t="s">
        <v>105</v>
      </c>
      <c r="DP21" s="325"/>
      <c r="DQ21" s="326">
        <f>IFERROR(MATCH(DQ12,DH21:DK21,0),0)</f>
        <v>2</v>
      </c>
      <c r="DR21" s="326">
        <f>IFERROR(MATCH(DR12,DH21:DK21,0),0)</f>
        <v>0</v>
      </c>
      <c r="DS21" s="326">
        <f>IFERROR(MATCH(DS12,DH21:DK21,0),0)</f>
        <v>1</v>
      </c>
      <c r="DT21" s="326">
        <f>IFERROR(MATCH(DT12,DH21:DK21,0),0)</f>
        <v>4</v>
      </c>
      <c r="DU21" s="326">
        <f t="shared" si="3541"/>
        <v>7</v>
      </c>
      <c r="DV21" s="325" t="s">
        <v>363</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5</v>
      </c>
      <c r="EE21" s="319">
        <f ca="1">SUMIF(IA3:IA60,DZ21,HY3:HY60)+SUMIF(HX3:HX60,DZ21,HZ3:HZ60)</f>
        <v>3</v>
      </c>
      <c r="EF21" s="319">
        <f t="shared" ca="1" si="5043"/>
        <v>1002</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2</v>
      </c>
      <c r="HZ21" s="322">
        <f ca="1">IF(OFFSET('Player Game Board'!Q28,0,HY1)&lt;&gt;"",OFFSET('Player Game Board'!Q28,0,HY1),0)</f>
        <v>1</v>
      </c>
      <c r="IA21" s="319" t="str">
        <f t="shared" si="165"/>
        <v>Austria</v>
      </c>
      <c r="IB21" s="319" t="str">
        <f ca="1">IF(AND(OFFSET('Player Game Board'!P28,0,HY1)&lt;&gt;"",OFFSET('Player Game Board'!Q28,0,HY1)&lt;&gt;""),IF(HY21&gt;HZ21,"W",IF(HY21=HZ21,"D","L")),"")</f>
        <v>W</v>
      </c>
      <c r="IC21" s="319" t="str">
        <f t="shared" ca="1" si="166"/>
        <v>L</v>
      </c>
      <c r="ID21" s="319"/>
      <c r="IE21" s="319"/>
      <c r="IF21" s="324" t="s">
        <v>105</v>
      </c>
      <c r="IG21" s="325" t="s">
        <v>107</v>
      </c>
      <c r="IH21" s="325" t="s">
        <v>109</v>
      </c>
      <c r="II21" s="325" t="s">
        <v>110</v>
      </c>
      <c r="IJ21" s="324" t="s">
        <v>109</v>
      </c>
      <c r="IK21" s="324" t="s">
        <v>110</v>
      </c>
      <c r="IL21" s="324" t="s">
        <v>107</v>
      </c>
      <c r="IM21" s="324" t="s">
        <v>105</v>
      </c>
      <c r="IN21" s="325"/>
      <c r="IO21" s="326">
        <f ca="1">IFERROR(MATCH(IO12,IF21:II21,0),0)</f>
        <v>0</v>
      </c>
      <c r="IP21" s="326">
        <f ca="1">IFERROR(MATCH(IP12,IF21:II21,0),0)</f>
        <v>4</v>
      </c>
      <c r="IQ21" s="326">
        <f ca="1">IFERROR(MATCH(IQ12,IF21:II21,0),0)</f>
        <v>1</v>
      </c>
      <c r="IR21" s="326">
        <f ca="1">IFERROR(MATCH(IR12,IF21:II21,0),0)</f>
        <v>2</v>
      </c>
      <c r="IS21" s="326">
        <f t="shared" ca="1" si="3544"/>
        <v>7</v>
      </c>
      <c r="IT21" s="325" t="s">
        <v>363</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1</v>
      </c>
      <c r="IZ21" s="319">
        <f ca="1">SUMPRODUCT((MV3:MV42=IX21)*(MZ3:MZ42="D"))+SUMPRODUCT((MY3:MY42=IX21)*(NA3:NA42="D"))</f>
        <v>1</v>
      </c>
      <c r="JA21" s="319">
        <f ca="1">SUMPRODUCT((MV3:MV42=IX21)*(MZ3:MZ42="L"))+SUMPRODUCT((MY3:MY42=IX21)*(NA3:NA42="L"))</f>
        <v>1</v>
      </c>
      <c r="JB21" s="319">
        <f ca="1">SUMIF(MV3:MV60,IX21,MW3:MW60)+SUMIF(MY3:MY60,IX21,MX3:MX60)</f>
        <v>4</v>
      </c>
      <c r="JC21" s="319">
        <f ca="1">SUMIF(MY3:MY60,IX21,MW3:MW60)+SUMIF(MV3:MV60,IX21,MX3:MX60)</f>
        <v>5</v>
      </c>
      <c r="JD21" s="319">
        <f t="shared" ca="1" si="5048"/>
        <v>999</v>
      </c>
      <c r="JE21" s="319">
        <f t="shared" ca="1" si="5049"/>
        <v>4</v>
      </c>
      <c r="JF21" s="319">
        <f t="shared" si="618"/>
        <v>45</v>
      </c>
      <c r="JG21" s="319">
        <f ca="1">IF(COUNTIF(JE18:JE22,4)&lt;&gt;4,RANK(JE21,JE18:JE22),JE61)</f>
        <v>2</v>
      </c>
      <c r="JH21" s="319"/>
      <c r="JI21" s="319">
        <f ca="1">SUMPRODUCT((JG18:JG21=JG21)*(JF18:JF21&lt;JF21))+JG21</f>
        <v>2</v>
      </c>
      <c r="JJ21" s="319" t="str">
        <f ca="1">INDEX(IX18:IX22,MATCH(4,JI18:JI22,0),0)</f>
        <v>Serbia</v>
      </c>
      <c r="JK21" s="319">
        <f ca="1">INDEX(JG18:JG22,MATCH(JJ21,IX18:IX22,0),0)</f>
        <v>4</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105</v>
      </c>
      <c r="NE21" s="325" t="s">
        <v>107</v>
      </c>
      <c r="NF21" s="325" t="s">
        <v>109</v>
      </c>
      <c r="NG21" s="325" t="s">
        <v>110</v>
      </c>
      <c r="NH21" s="324" t="s">
        <v>109</v>
      </c>
      <c r="NI21" s="324" t="s">
        <v>110</v>
      </c>
      <c r="NJ21" s="324" t="s">
        <v>107</v>
      </c>
      <c r="NK21" s="324" t="s">
        <v>105</v>
      </c>
      <c r="NL21" s="325"/>
      <c r="NM21" s="326">
        <f ca="1">IFERROR(MATCH(NM12,ND21:NG21,0),0)</f>
        <v>0</v>
      </c>
      <c r="NN21" s="326">
        <f ca="1">IFERROR(MATCH(NN12,ND21:NG21,0),0)</f>
        <v>3</v>
      </c>
      <c r="NO21" s="326">
        <f ca="1">IFERROR(MATCH(NO12,ND21:NG21,0),0)</f>
        <v>1</v>
      </c>
      <c r="NP21" s="326">
        <f ca="1">IFERROR(MATCH(NP12,ND21:NG21,0),0)</f>
        <v>0</v>
      </c>
      <c r="NQ21" s="326">
        <f t="shared" ca="1" si="3547"/>
        <v>4</v>
      </c>
      <c r="NR21" s="325" t="s">
        <v>363</v>
      </c>
      <c r="NS21" s="325" t="str">
        <f ca="1">INDEX(ND3:ND8,MATCH(INDEX(NK13:NK27,MATCH(10,NQ13:NQ27,0),0),NR3:NR8,0),0)</f>
        <v>Italy</v>
      </c>
      <c r="NT21" s="325">
        <f t="shared" ca="1" si="5052"/>
        <v>1</v>
      </c>
      <c r="NU21" s="319">
        <f t="shared" ref="NU21" ca="1" si="6579">VLOOKUP(NV21,RQ18:RR22,2,FALSE)</f>
        <v>1</v>
      </c>
      <c r="NV21" s="319" t="str">
        <f t="shared" si="5054"/>
        <v>Denmark</v>
      </c>
      <c r="NW21" s="319">
        <f t="shared" ref="NW21" ca="1" si="6580">SUMPRODUCT((RT3:RT42=NV21)*(RX3:RX42="W"))+SUMPRODUCT((RW3:RW42=NV21)*(RY3:RY42="W"))</f>
        <v>3</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6</v>
      </c>
      <c r="OA21" s="319">
        <f t="shared" ref="OA21" ca="1" si="6584">SUMIF(RW3:RW60,NV21,RU3:RU60)+SUMIF(RT3:RT60,NV21,RV3:RV60)</f>
        <v>2</v>
      </c>
      <c r="OB21" s="319">
        <f t="shared" ca="1" si="5060"/>
        <v>1004</v>
      </c>
      <c r="OC21" s="319">
        <f t="shared" ca="1" si="5061"/>
        <v>9</v>
      </c>
      <c r="OD21" s="319">
        <f t="shared" si="630"/>
        <v>45</v>
      </c>
      <c r="OE21" s="319">
        <f t="shared" ref="OE21" ca="1" si="6585">IF(COUNTIF(OC18:OC22,4)&lt;&gt;4,RANK(OC21,OC18:OC22),OC61)</f>
        <v>1</v>
      </c>
      <c r="OF21" s="319"/>
      <c r="OG21" s="319">
        <f t="shared" ref="OG21" ca="1" si="6586">SUMPRODUCT((OE18:OE21=OE21)*(OD18:OD21&lt;OD21))+OE21</f>
        <v>1</v>
      </c>
      <c r="OH21" s="319" t="str">
        <f t="shared" ref="OH21" ca="1" si="6587">INDEX(NV18:NV22,MATCH(4,OG18:OG22,0),0)</f>
        <v>Serbia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1</v>
      </c>
      <c r="RW21" s="319" t="str">
        <f t="shared" si="19"/>
        <v>Austria</v>
      </c>
      <c r="RX21" s="319" t="str">
        <f ca="1">IF(AND(OFFSET('Player Game Board'!P28,0,RU1)&lt;&gt;"",OFFSET('Player Game Board'!Q28,0,RU1)&lt;&gt;""),IF(RU21&gt;RV21,"W",IF(RU21=RV21,"D","L")),"")</f>
        <v>L</v>
      </c>
      <c r="RY21" s="319" t="str">
        <f t="shared" ca="1" si="5500"/>
        <v>W</v>
      </c>
      <c r="RZ21" s="319"/>
      <c r="SA21" s="319"/>
      <c r="SB21" s="324" t="s">
        <v>105</v>
      </c>
      <c r="SC21" s="325" t="s">
        <v>107</v>
      </c>
      <c r="SD21" s="325" t="s">
        <v>109</v>
      </c>
      <c r="SE21" s="325" t="s">
        <v>110</v>
      </c>
      <c r="SF21" s="324" t="s">
        <v>109</v>
      </c>
      <c r="SG21" s="324" t="s">
        <v>110</v>
      </c>
      <c r="SH21" s="324" t="s">
        <v>107</v>
      </c>
      <c r="SI21" s="324" t="s">
        <v>105</v>
      </c>
      <c r="SJ21" s="325"/>
      <c r="SK21" s="326">
        <f t="shared" ref="SK21" ca="1" si="6655">IFERROR(MATCH(SK12,SB21:SE21,0),0)</f>
        <v>0</v>
      </c>
      <c r="SL21" s="326">
        <f t="shared" ref="SL21" ca="1" si="6656">IFERROR(MATCH(SL12,SB21:SE21,0),0)</f>
        <v>0</v>
      </c>
      <c r="SM21" s="326">
        <f t="shared" ref="SM21" ca="1" si="6657">IFERROR(MATCH(SM12,SB21:SE21,0),0)</f>
        <v>2</v>
      </c>
      <c r="SN21" s="326">
        <f t="shared" ref="SN21" ca="1" si="6658">IFERROR(MATCH(SN12,SB21:SE21,0),0)</f>
        <v>3</v>
      </c>
      <c r="SO21" s="326">
        <f t="shared" ca="1" si="3616"/>
        <v>5</v>
      </c>
      <c r="SP21" s="325" t="s">
        <v>363</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1</v>
      </c>
      <c r="SW21" s="319">
        <f t="shared" ref="SW21" ca="1" si="6663">SUMPRODUCT((WR3:WR42=ST21)*(WV3:WV42="L"))+SUMPRODUCT((WU3:WU42=ST21)*(WW3:WW42="L"))</f>
        <v>0</v>
      </c>
      <c r="SX21" s="319">
        <f t="shared" ref="SX21" ca="1" si="6664">SUMIF(WR3:WR60,ST21,WS3:WS60)+SUMIF(WU3:WU60,ST21,WT3:WT60)</f>
        <v>6</v>
      </c>
      <c r="SY21" s="319">
        <f t="shared" ref="SY21" ca="1" si="6665">SUMIF(WU3:WU60,ST21,WS3:WS60)+SUMIF(WR3:WR60,ST21,WT3:WT60)</f>
        <v>4</v>
      </c>
      <c r="SZ21" s="319">
        <f t="shared" ca="1" si="5103"/>
        <v>1002</v>
      </c>
      <c r="TA21" s="319">
        <f t="shared" ca="1" si="5104"/>
        <v>7</v>
      </c>
      <c r="TB21" s="319">
        <f t="shared" si="690"/>
        <v>45</v>
      </c>
      <c r="TC21" s="319">
        <f t="shared" ref="TC21" ca="1" si="6666">IF(COUNTIF(TA18:TA22,4)&lt;&gt;4,RANK(TA21,TA18:TA22),TA61)</f>
        <v>1</v>
      </c>
      <c r="TD21" s="319"/>
      <c r="TE21" s="319">
        <f t="shared" ref="TE21" ca="1" si="6667">SUMPRODUCT((TC18:TC21=TC21)*(TB18:TB21&lt;TB21))+TC21</f>
        <v>1</v>
      </c>
      <c r="TF21" s="319" t="str">
        <f t="shared" ref="TF21" ca="1" si="6668">INDEX(ST18:ST22,MATCH(4,TE18:TE22,0),0)</f>
        <v>Slovenia</v>
      </c>
      <c r="TG21" s="319">
        <f t="shared" ref="TG21" ca="1" si="6669">INDEX(TC18:TC22,MATCH(TF21,ST18:ST22,0),0)</f>
        <v>4</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Slovenia</v>
      </c>
      <c r="WP21" s="319">
        <v>4</v>
      </c>
      <c r="WQ21" s="319">
        <v>19</v>
      </c>
      <c r="WR21" s="319" t="str">
        <f t="shared" si="34"/>
        <v>Poland</v>
      </c>
      <c r="WS21" s="322">
        <f ca="1">IF(OFFSET('Player Game Board'!P28,0,WS1)&lt;&gt;"",OFFSET('Player Game Board'!P28,0,WS1),0)</f>
        <v>2</v>
      </c>
      <c r="WT21" s="322">
        <f ca="1">IF(OFFSET('Player Game Board'!Q28,0,WS1)&lt;&gt;"",OFFSET('Player Game Board'!Q28,0,WS1),0)</f>
        <v>1</v>
      </c>
      <c r="WU21" s="319" t="str">
        <f t="shared" si="35"/>
        <v>Austria</v>
      </c>
      <c r="WV21" s="319" t="str">
        <f ca="1">IF(AND(OFFSET('Player Game Board'!P28,0,WS1)&lt;&gt;"",OFFSET('Player Game Board'!Q28,0,WS1)&lt;&gt;""),IF(WS21&gt;WT21,"W",IF(WS21=WT21,"D","L")),"")</f>
        <v>W</v>
      </c>
      <c r="WW21" s="319" t="str">
        <f t="shared" ca="1" si="5555"/>
        <v>L</v>
      </c>
      <c r="WX21" s="319"/>
      <c r="WY21" s="319"/>
      <c r="WZ21" s="324" t="s">
        <v>105</v>
      </c>
      <c r="XA21" s="325" t="s">
        <v>107</v>
      </c>
      <c r="XB21" s="325" t="s">
        <v>109</v>
      </c>
      <c r="XC21" s="325" t="s">
        <v>110</v>
      </c>
      <c r="XD21" s="324" t="s">
        <v>109</v>
      </c>
      <c r="XE21" s="324" t="s">
        <v>110</v>
      </c>
      <c r="XF21" s="324" t="s">
        <v>107</v>
      </c>
      <c r="XG21" s="324" t="s">
        <v>105</v>
      </c>
      <c r="XH21" s="325"/>
      <c r="XI21" s="326">
        <f t="shared" ref="XI21" ca="1" si="6736">IFERROR(MATCH(XI12,WZ21:XC21,0),0)</f>
        <v>0</v>
      </c>
      <c r="XJ21" s="326">
        <f t="shared" ref="XJ21" ca="1" si="6737">IFERROR(MATCH(XJ12,WZ21:XC21,0),0)</f>
        <v>4</v>
      </c>
      <c r="XK21" s="326">
        <f t="shared" ref="XK21" ca="1" si="6738">IFERROR(MATCH(XK12,WZ21:XC21,0),0)</f>
        <v>2</v>
      </c>
      <c r="XL21" s="326">
        <f t="shared" ref="XL21" ca="1" si="6739">IFERROR(MATCH(XL12,WZ21:XC21,0),0)</f>
        <v>0</v>
      </c>
      <c r="XM21" s="326">
        <f t="shared" ca="1" si="3686"/>
        <v>6</v>
      </c>
      <c r="XN21" s="325" t="s">
        <v>363</v>
      </c>
      <c r="XO21" s="325" t="str">
        <f t="shared" ref="XO21" ca="1" si="6740">INDEX(WZ3:WZ8,MATCH(INDEX(XG13:XG27,MATCH(10,XM13:XM27,0),0),XN3:XN8,0),0)</f>
        <v>Italy</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105</v>
      </c>
      <c r="ABY21" s="325" t="s">
        <v>107</v>
      </c>
      <c r="ABZ21" s="325" t="s">
        <v>109</v>
      </c>
      <c r="ACA21" s="325" t="s">
        <v>110</v>
      </c>
      <c r="ACB21" s="324" t="s">
        <v>109</v>
      </c>
      <c r="ACC21" s="324" t="s">
        <v>110</v>
      </c>
      <c r="ACD21" s="324" t="s">
        <v>107</v>
      </c>
      <c r="ACE21" s="324" t="s">
        <v>105</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363</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1</v>
      </c>
      <c r="ACR21" s="319">
        <f t="shared" ref="ACR21" ca="1" si="6824">SUMPRODUCT((AGN3:AGN42=ACP21)*(AGR3:AGR42="D"))+SUMPRODUCT((AGQ3:AGQ42=ACP21)*(AGS3:AGS42="D"))</f>
        <v>1</v>
      </c>
      <c r="ACS21" s="319">
        <f t="shared" ref="ACS21" ca="1" si="6825">SUMPRODUCT((AGN3:AGN42=ACP21)*(AGR3:AGR42="L"))+SUMPRODUCT((AGQ3:AGQ42=ACP21)*(AGS3:AGS42="L"))</f>
        <v>1</v>
      </c>
      <c r="ACT21" s="319">
        <f t="shared" ref="ACT21" ca="1" si="6826">SUMIF(AGN3:AGN60,ACP21,AGO3:AGO60)+SUMIF(AGQ3:AGQ60,ACP21,AGP3:AGP60)</f>
        <v>2</v>
      </c>
      <c r="ACU21" s="319">
        <f t="shared" ref="ACU21" ca="1" si="6827">SUMIF(AGQ3:AGQ60,ACP21,AGO3:AGO60)+SUMIF(AGN3:AGN60,ACP21,AGP3:AGP60)</f>
        <v>3</v>
      </c>
      <c r="ACV21" s="319">
        <f t="shared" ca="1" si="5189"/>
        <v>999</v>
      </c>
      <c r="ACW21" s="319">
        <f t="shared" ca="1" si="5190"/>
        <v>4</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Serbia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3</v>
      </c>
      <c r="AGP21" s="322">
        <f ca="1">IF(OFFSET('Player Game Board'!Q28,0,AGO1)&lt;&gt;"",OFFSET('Player Game Board'!Q28,0,AGO1),0)</f>
        <v>2</v>
      </c>
      <c r="AGQ21" s="319" t="str">
        <f t="shared" si="67"/>
        <v>Austria</v>
      </c>
      <c r="AGR21" s="319" t="str">
        <f ca="1">IF(AND(OFFSET('Player Game Board'!P28,0,AGO1)&lt;&gt;"",OFFSET('Player Game Board'!Q28,0,AGO1)&lt;&gt;""),IF(AGO21&gt;AGP21,"W",IF(AGO21=AGP21,"D","L")),"")</f>
        <v>W</v>
      </c>
      <c r="AGS21" s="319" t="str">
        <f t="shared" ca="1" si="5665"/>
        <v>L</v>
      </c>
      <c r="AGT21" s="319"/>
      <c r="AGU21" s="319"/>
      <c r="AGV21" s="324" t="s">
        <v>105</v>
      </c>
      <c r="AGW21" s="325" t="s">
        <v>107</v>
      </c>
      <c r="AGX21" s="325" t="s">
        <v>109</v>
      </c>
      <c r="AGY21" s="325" t="s">
        <v>110</v>
      </c>
      <c r="AGZ21" s="324" t="s">
        <v>109</v>
      </c>
      <c r="AHA21" s="324" t="s">
        <v>110</v>
      </c>
      <c r="AHB21" s="324" t="s">
        <v>107</v>
      </c>
      <c r="AHC21" s="324" t="s">
        <v>105</v>
      </c>
      <c r="AHD21" s="325"/>
      <c r="AHE21" s="326">
        <f t="shared" ref="AHE21" ca="1" si="6898">IFERROR(MATCH(AHE12,AGV21:AGY21,0),0)</f>
        <v>0</v>
      </c>
      <c r="AHF21" s="326">
        <f t="shared" ref="AHF21" ca="1" si="6899">IFERROR(MATCH(AHF12,AGV21:AGY21,0),0)</f>
        <v>2</v>
      </c>
      <c r="AHG21" s="326">
        <f t="shared" ref="AHG21" ca="1" si="6900">IFERROR(MATCH(AHG12,AGV21:AGY21,0),0)</f>
        <v>0</v>
      </c>
      <c r="AHH21" s="326">
        <f t="shared" ref="AHH21" ca="1" si="6901">IFERROR(MATCH(AHH12,AGV21:AGY21,0),0)</f>
        <v>4</v>
      </c>
      <c r="AHI21" s="326">
        <f t="shared" ca="1" si="3826"/>
        <v>6</v>
      </c>
      <c r="AHJ21" s="325" t="s">
        <v>363</v>
      </c>
      <c r="AHK21" s="325" t="str">
        <f t="shared" ref="AHK21" ca="1" si="6902">INDEX(AGV3:AGV8,MATCH(INDEX(AHC13:AHC27,MATCH(10,AHI13:AHI27,0),0),AHJ3:AHJ8,0),0)</f>
        <v>Italy</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2</v>
      </c>
      <c r="AHS21" s="319">
        <f t="shared" ref="AHS21" ca="1" si="6908">SUMIF(ALO3:ALO60,AHN21,ALM3:ALM60)+SUMIF(ALL3:ALL60,AHN21,ALN3:ALN60)</f>
        <v>2</v>
      </c>
      <c r="AHT21" s="319">
        <f t="shared" ca="1" si="5232"/>
        <v>1000</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2</v>
      </c>
      <c r="AHZ21" s="319" t="str">
        <f t="shared" ref="AHZ21" ca="1" si="6911">INDEX(AHN18:AHN22,MATCH(4,AHY18:AHY22,0),0)</f>
        <v>Serbia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1</v>
      </c>
      <c r="ALO21" s="319" t="str">
        <f t="shared" si="83"/>
        <v>Austria</v>
      </c>
      <c r="ALP21" s="319" t="str">
        <f ca="1">IF(AND(OFFSET('Player Game Board'!P28,0,ALM1)&lt;&gt;"",OFFSET('Player Game Board'!Q28,0,ALM1)&lt;&gt;""),IF(ALM21&gt;ALN21,"W",IF(ALM21=ALN21,"D","L")),"")</f>
        <v>L</v>
      </c>
      <c r="ALQ21" s="319" t="str">
        <f t="shared" ca="1" si="5720"/>
        <v>W</v>
      </c>
      <c r="ALR21" s="319"/>
      <c r="ALS21" s="319"/>
      <c r="ALT21" s="324" t="s">
        <v>105</v>
      </c>
      <c r="ALU21" s="325" t="s">
        <v>107</v>
      </c>
      <c r="ALV21" s="325" t="s">
        <v>109</v>
      </c>
      <c r="ALW21" s="325" t="s">
        <v>110</v>
      </c>
      <c r="ALX21" s="324" t="s">
        <v>109</v>
      </c>
      <c r="ALY21" s="324" t="s">
        <v>110</v>
      </c>
      <c r="ALZ21" s="324" t="s">
        <v>107</v>
      </c>
      <c r="AMA21" s="324" t="s">
        <v>105</v>
      </c>
      <c r="AMB21" s="325"/>
      <c r="AMC21" s="326">
        <f t="shared" ref="AMC21" ca="1" si="6979">IFERROR(MATCH(AMC12,ALT21:ALW21,0),0)</f>
        <v>3</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5</v>
      </c>
      <c r="AMH21" s="325" t="s">
        <v>363</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2</v>
      </c>
      <c r="AMN21" s="319">
        <f t="shared" ref="AMN21" ca="1" si="6986">SUMPRODUCT((AQJ3:AQJ42=AML21)*(AQN3:AQN42="D"))+SUMPRODUCT((AQM3:AQM42=AML21)*(AQO3:AQO42="D"))</f>
        <v>1</v>
      </c>
      <c r="AMO21" s="319">
        <f t="shared" ref="AMO21" ca="1" si="6987">SUMPRODUCT((AQJ3:AQJ42=AML21)*(AQN3:AQN42="L"))+SUMPRODUCT((AQM3:AQM42=AML21)*(AQO3:AQO42="L"))</f>
        <v>0</v>
      </c>
      <c r="AMP21" s="319">
        <f t="shared" ref="AMP21" ca="1" si="6988">SUMIF(AQJ3:AQJ60,AML21,AQK3:AQK60)+SUMIF(AQM3:AQM60,AML21,AQL3:AQL60)</f>
        <v>4</v>
      </c>
      <c r="AMQ21" s="319">
        <f t="shared" ref="AMQ21" ca="1" si="6989">SUMIF(AQM3:AQM60,AML21,AQK3:AQK60)+SUMIF(AQJ3:AQJ60,AML21,AQL3:AQL60)</f>
        <v>2</v>
      </c>
      <c r="AMR21" s="319">
        <f t="shared" ca="1" si="5275"/>
        <v>1002</v>
      </c>
      <c r="AMS21" s="319">
        <f t="shared" ca="1" si="5276"/>
        <v>7</v>
      </c>
      <c r="AMT21" s="319">
        <f t="shared" si="930"/>
        <v>45</v>
      </c>
      <c r="AMU21" s="319">
        <f t="shared" ref="AMU21" ca="1" si="6990">IF(COUNTIF(AMS18:AMS22,4)&lt;&gt;4,RANK(AMS21,AMS18:AMS22),AMS61)</f>
        <v>1</v>
      </c>
      <c r="AMV21" s="319"/>
      <c r="AMW21" s="319">
        <f t="shared" ref="AMW21" ca="1" si="6991">SUMPRODUCT((AMU18:AMU21=AMU21)*(AMT18:AMT21&lt;AMT21))+AMU21</f>
        <v>1</v>
      </c>
      <c r="AMX21" s="319" t="str">
        <f t="shared" ref="AMX21" ca="1" si="6992">INDEX(AML18:AML22,MATCH(4,AMW18:AMW22,0),0)</f>
        <v>Slovenia</v>
      </c>
      <c r="AMY21" s="319">
        <f t="shared" ref="AMY21" ca="1" si="6993">INDEX(AMU18:AMU22,MATCH(AMX21,AML18:AML22,0),0)</f>
        <v>3</v>
      </c>
      <c r="AMZ21" s="319" t="str">
        <f t="shared" ca="1" si="6307"/>
        <v/>
      </c>
      <c r="ANA21" s="319" t="str">
        <f t="shared" ca="1" si="6308"/>
        <v/>
      </c>
      <c r="ANB21" s="319"/>
      <c r="ANC21" s="319"/>
      <c r="AND21" s="319"/>
      <c r="ANE21" s="319" t="str">
        <f t="shared" ca="1" si="5285"/>
        <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t="str">
        <f t="shared" ca="1" si="5292"/>
        <v/>
      </c>
      <c r="ANM21" s="319" t="str">
        <f t="shared" ref="ANM21" ca="1" si="6999">IF(ANE21&lt;&gt;"",VLOOKUP(ANE21,AML4:AMR40,7,FALSE),"")</f>
        <v/>
      </c>
      <c r="ANN21" s="319" t="str">
        <f t="shared" ref="ANN21" ca="1" si="7000">IF(ANE21&lt;&gt;"",VLOOKUP(ANE21,AML4:AMR40,5,FALSE),"")</f>
        <v/>
      </c>
      <c r="ANO21" s="319" t="str">
        <f t="shared" ref="ANO21" ca="1" si="7001">IF(ANE21&lt;&gt;"",VLOOKUP(ANE21,AML4:AMT40,9,FALSE),"")</f>
        <v/>
      </c>
      <c r="ANP21" s="319" t="str">
        <f t="shared" ca="1" si="5296"/>
        <v/>
      </c>
      <c r="ANQ21" s="319" t="str">
        <f t="shared" ref="ANQ21" ca="1" si="7002">IF(ANE21&lt;&gt;"",RANK(ANP21,ANP18:ANP22),"")</f>
        <v/>
      </c>
      <c r="ANR21" s="319" t="str">
        <f t="shared" ref="ANR21" ca="1" si="7003">IF(ANE21&lt;&gt;"",SUMPRODUCT((ANP18:ANP22=ANP21)*(ANK18:ANK22&gt;ANK21)),"")</f>
        <v/>
      </c>
      <c r="ANS21" s="319" t="str">
        <f t="shared" ref="ANS21" ca="1" si="7004">IF(ANE21&lt;&gt;"",SUMPRODUCT((ANP18:ANP22=ANP21)*(ANK18:ANK22=ANK21)*(ANI18:ANI22&gt;ANI21)),"")</f>
        <v/>
      </c>
      <c r="ANT21" s="319" t="str">
        <f t="shared" ref="ANT21" ca="1" si="7005">IF(ANE21&lt;&gt;"",SUMPRODUCT((ANP18:ANP22=ANP21)*(ANK18:ANK22=ANK21)*(ANI18:ANI22=ANI21)*(ANM18:ANM22&gt;ANM21)),"")</f>
        <v/>
      </c>
      <c r="ANU21" s="319" t="str">
        <f t="shared" ref="ANU21" ca="1" si="7006">IF(ANE21&lt;&gt;"",SUMPRODUCT((ANP18:ANP22=ANP21)*(ANK18:ANK22=ANK21)*(ANI18:ANI22=ANI21)*(ANM18:ANM22=ANM21)*(ANN18:ANN22&gt;ANN21)),"")</f>
        <v/>
      </c>
      <c r="ANV21" s="319" t="str">
        <f t="shared" ref="ANV21" ca="1" si="7007">IF(ANE21&lt;&gt;"",SUMPRODUCT((ANP18:ANP22=ANP21)*(ANK18:ANK22=ANK21)*(ANI18:ANI22=ANI21)*(ANM18:ANM22=ANM21)*(ANN18:ANN22=ANN21)*(ANO18:ANO22&gt;ANO21)),"")</f>
        <v/>
      </c>
      <c r="ANW21" s="319" t="str">
        <f ca="1">IF(ANE21&lt;&gt;"",IF(ANW61&lt;&gt;"",IF(AND57=3,ANW61,ANW61+AND57),SUM(ANQ21:ANV21)),"")</f>
        <v/>
      </c>
      <c r="ANX21" s="319" t="str">
        <f t="shared" ref="ANX21" ca="1" si="7008">IF(ANE21&lt;&gt;"",INDEX(ANE18:ANE22,MATCH(4,ANW18:ANW22,0),0),"")</f>
        <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Slovenia</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f t="shared" ca="1" si="6347"/>
        <v>1</v>
      </c>
      <c r="APA21" s="319">
        <f t="shared" ref="APA21" ca="1" si="7029">IF(AOS21&lt;&gt;"",VLOOKUP(AOS21,AML4:AMR40,7,FALSE),"")</f>
        <v>997</v>
      </c>
      <c r="APB21" s="319">
        <f t="shared" ref="APB21" ca="1" si="7030">IF(AOS21&lt;&gt;"",VLOOKUP(AOS21,AML4:AMR40,5,FALSE),"")</f>
        <v>1</v>
      </c>
      <c r="APC21" s="319">
        <f t="shared" ref="APC21" ca="1" si="7031">IF(AOS21&lt;&gt;"",VLOOKUP(AOS21,AML4:AMT40,9,FALSE),"")</f>
        <v>39</v>
      </c>
      <c r="APD21" s="319">
        <f t="shared" ca="1" si="6351"/>
        <v>1</v>
      </c>
      <c r="APE21" s="319">
        <f t="shared" ref="APE21" ca="1" si="7032">IF(AOS21&lt;&gt;"",RANK(APD21,APD18:APD22),"")</f>
        <v>1</v>
      </c>
      <c r="APF21" s="319">
        <f t="shared" ref="APF21" ca="1" si="7033">IF(AOS21&lt;&gt;"",SUMPRODUCT((APD18:APD22=APD21)*(AOY18:AOY22&gt;AOY21)),"")</f>
        <v>0</v>
      </c>
      <c r="APG21" s="319">
        <f t="shared" ref="APG21" ca="1" si="7034">IF(AOS21&lt;&gt;"",SUMPRODUCT((APD18:APD22=APD21)*(AOY18:AOY22=AOY21)*(AOW18:AOW22&gt;AOW21)),"")</f>
        <v>0</v>
      </c>
      <c r="APH21" s="319">
        <f t="shared" ref="APH21" ca="1" si="7035">IF(AOS21&lt;&gt;"",SUMPRODUCT((APD18:APD22=APD21)*(AOY18:AOY22=AOY21)*(AOW18:AOW22=AOW21)*(APA18:APA22&gt;APA21)),"")</f>
        <v>1</v>
      </c>
      <c r="API21" s="319">
        <f t="shared" ref="API21" ca="1" si="7036">IF(AOS21&lt;&gt;"",SUMPRODUCT((APD18:APD22=APD21)*(AOY18:AOY22=AOY21)*(AOW18:AOW22=AOW21)*(APA18:APA22=APA21)*(APB18:APB22&gt;APB21)),"")</f>
        <v>0</v>
      </c>
      <c r="APJ21" s="319">
        <f t="shared" ref="APJ21" ca="1" si="7037">IF(AOS21&lt;&gt;"",SUMPRODUCT((APD18:APD22=APD21)*(AOY18:AOY22=AOY21)*(AOW18:AOW22=AOW21)*(APA18:APA22=APA21)*(APB18:APB22=APB21)*(APC18:APC22&gt;APC21)),"")</f>
        <v>0</v>
      </c>
      <c r="APK21" s="319">
        <f t="shared" ca="1" si="6358"/>
        <v>4</v>
      </c>
      <c r="APL21" s="319" t="str">
        <f t="shared" ref="APL21" ca="1" si="7038">IF(AOS21&lt;&gt;"",INDEX(AOS20:AOS22,MATCH(4,APK20:APK22,0),0),"")</f>
        <v>Slovenia</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Slovenia</v>
      </c>
      <c r="AQH21" s="319">
        <v>4</v>
      </c>
      <c r="AQI21" s="319">
        <v>19</v>
      </c>
      <c r="AQJ21" s="319" t="str">
        <f t="shared" si="98"/>
        <v>Poland</v>
      </c>
      <c r="AQK21" s="322">
        <f ca="1">IF(OFFSET('Player Game Board'!P28,0,AQK1)&lt;&gt;"",OFFSET('Player Game Board'!P28,0,AQK1),0)</f>
        <v>1</v>
      </c>
      <c r="AQL21" s="322">
        <f ca="1">IF(OFFSET('Player Game Board'!Q28,0,AQK1)&lt;&gt;"",OFFSET('Player Game Board'!Q28,0,AQK1),0)</f>
        <v>1</v>
      </c>
      <c r="AQM21" s="319" t="str">
        <f t="shared" si="99"/>
        <v>Austria</v>
      </c>
      <c r="AQN21" s="319" t="str">
        <f ca="1">IF(AND(OFFSET('Player Game Board'!P28,0,AQK1)&lt;&gt;"",OFFSET('Player Game Board'!Q28,0,AQK1)&lt;&gt;""),IF(AQK21&gt;AQL21,"W",IF(AQK21=AQL21,"D","L")),"")</f>
        <v>D</v>
      </c>
      <c r="AQO21" s="319" t="str">
        <f t="shared" ca="1" si="5775"/>
        <v>D</v>
      </c>
      <c r="AQP21" s="319"/>
      <c r="AQQ21" s="319"/>
      <c r="AQR21" s="324" t="s">
        <v>105</v>
      </c>
      <c r="AQS21" s="325" t="s">
        <v>107</v>
      </c>
      <c r="AQT21" s="325" t="s">
        <v>109</v>
      </c>
      <c r="AQU21" s="325" t="s">
        <v>110</v>
      </c>
      <c r="AQV21" s="324" t="s">
        <v>109</v>
      </c>
      <c r="AQW21" s="324" t="s">
        <v>110</v>
      </c>
      <c r="AQX21" s="324" t="s">
        <v>107</v>
      </c>
      <c r="AQY21" s="324" t="s">
        <v>105</v>
      </c>
      <c r="AQZ21" s="325"/>
      <c r="ARA21" s="326">
        <f t="shared" ref="ARA21" ca="1" si="7060">IFERROR(MATCH(ARA12,AQR21:AQU21,0),0)</f>
        <v>0</v>
      </c>
      <c r="ARB21" s="326">
        <f t="shared" ref="ARB21" ca="1" si="7061">IFERROR(MATCH(ARB12,AQR21:AQU21,0),0)</f>
        <v>1</v>
      </c>
      <c r="ARC21" s="326">
        <f t="shared" ref="ARC21" ca="1" si="7062">IFERROR(MATCH(ARC12,AQR21:AQU21,0),0)</f>
        <v>4</v>
      </c>
      <c r="ARD21" s="326">
        <f t="shared" ref="ARD21" ca="1" si="7063">IFERROR(MATCH(ARD12,AQR21:AQU21,0),0)</f>
        <v>3</v>
      </c>
      <c r="ARE21" s="326">
        <f t="shared" ca="1" si="3966"/>
        <v>8</v>
      </c>
      <c r="ARF21" s="325" t="s">
        <v>363</v>
      </c>
      <c r="ARG21" s="325" t="str">
        <f t="shared" ref="ARG21" ca="1" si="7064">INDEX(AQR3:AQR8,MATCH(INDEX(AQY13:AQY27,MATCH(10,ARE13:ARE27,0),0),ARF3:ARF8,0),0)</f>
        <v>Switzerland</v>
      </c>
      <c r="ARH21" s="325">
        <f t="shared" ca="1" si="5310"/>
        <v>1</v>
      </c>
      <c r="ARI21" s="319">
        <f t="shared" ref="ARI21" ca="1" si="7065">VLOOKUP(ARJ21,AVE18:AVF22,2,FALSE)</f>
        <v>4</v>
      </c>
      <c r="ARJ21" s="319" t="str">
        <f t="shared" si="5312"/>
        <v>Denmark</v>
      </c>
      <c r="ARK21" s="319">
        <f t="shared" ref="ARK21" ca="1" si="7066">SUMPRODUCT((AVH3:AVH42=ARJ21)*(AVL3:AVL42="W"))+SUMPRODUCT((AVK3:AVK42=ARJ21)*(AVM3:AVM42="W"))</f>
        <v>1</v>
      </c>
      <c r="ARL21" s="319">
        <f t="shared" ref="ARL21" ca="1" si="7067">SUMPRODUCT((AVH3:AVH42=ARJ21)*(AVL3:AVL42="D"))+SUMPRODUCT((AVK3:AVK42=ARJ21)*(AVM3:AVM42="D"))</f>
        <v>0</v>
      </c>
      <c r="ARM21" s="319">
        <f t="shared" ref="ARM21" ca="1" si="7068">SUMPRODUCT((AVH3:AVH42=ARJ21)*(AVL3:AVL42="L"))+SUMPRODUCT((AVK3:AVK42=ARJ21)*(AVM3:AVM42="L"))</f>
        <v>2</v>
      </c>
      <c r="ARN21" s="319">
        <f t="shared" ref="ARN21" ca="1" si="7069">SUMIF(AVH3:AVH60,ARJ21,AVI3:AVI60)+SUMIF(AVK3:AVK60,ARJ21,AVJ3:AVJ60)</f>
        <v>4</v>
      </c>
      <c r="ARO21" s="319">
        <f t="shared" ref="ARO21" ca="1" si="7070">SUMIF(AVK3:AVK60,ARJ21,AVI3:AVI60)+SUMIF(AVH3:AVH60,ARJ21,AVJ3:AVJ60)</f>
        <v>5</v>
      </c>
      <c r="ARP21" s="319">
        <f t="shared" ca="1" si="5318"/>
        <v>999</v>
      </c>
      <c r="ARQ21" s="319">
        <f t="shared" ca="1" si="5319"/>
        <v>3</v>
      </c>
      <c r="ARR21" s="319">
        <f t="shared" si="990"/>
        <v>45</v>
      </c>
      <c r="ARS21" s="319">
        <f t="shared" ref="ARS21" ca="1" si="7071">IF(COUNTIF(ARQ18:ARQ22,4)&lt;&gt;4,RANK(ARQ21,ARQ18:ARQ22),ARQ61)</f>
        <v>3</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3</v>
      </c>
      <c r="ARX21" s="319" t="str">
        <f t="shared" ca="1" si="6376"/>
        <v/>
      </c>
      <c r="ARY21" s="319" t="str">
        <f t="shared" ca="1" si="6377"/>
        <v/>
      </c>
      <c r="ARZ21" s="319"/>
      <c r="ASA21" s="319"/>
      <c r="ASB21" s="319"/>
      <c r="ASC21" s="319" t="str">
        <f t="shared" ca="1" si="5328"/>
        <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t="str">
        <f t="shared" ca="1" si="5335"/>
        <v/>
      </c>
      <c r="ASK21" s="319" t="str">
        <f t="shared" ref="ASK21" ca="1" si="7080">IF(ASC21&lt;&gt;"",VLOOKUP(ASC21,ARJ4:ARP40,7,FALSE),"")</f>
        <v/>
      </c>
      <c r="ASL21" s="319" t="str">
        <f t="shared" ref="ASL21" ca="1" si="7081">IF(ASC21&lt;&gt;"",VLOOKUP(ASC21,ARJ4:ARP40,5,FALSE),"")</f>
        <v/>
      </c>
      <c r="ASM21" s="319" t="str">
        <f t="shared" ref="ASM21" ca="1" si="7082">IF(ASC21&lt;&gt;"",VLOOKUP(ASC21,ARJ4:ARR40,9,FALSE),"")</f>
        <v/>
      </c>
      <c r="ASN21" s="319" t="str">
        <f t="shared" ca="1" si="5339"/>
        <v/>
      </c>
      <c r="ASO21" s="319" t="str">
        <f t="shared" ref="ASO21" ca="1" si="7083">IF(ASC21&lt;&gt;"",RANK(ASN21,ASN18:ASN22),"")</f>
        <v/>
      </c>
      <c r="ASP21" s="319" t="str">
        <f t="shared" ref="ASP21" ca="1" si="7084">IF(ASC21&lt;&gt;"",SUMPRODUCT((ASN18:ASN22=ASN21)*(ASI18:ASI22&gt;ASI21)),"")</f>
        <v/>
      </c>
      <c r="ASQ21" s="319" t="str">
        <f t="shared" ref="ASQ21" ca="1" si="7085">IF(ASC21&lt;&gt;"",SUMPRODUCT((ASN18:ASN22=ASN21)*(ASI18:ASI22=ASI21)*(ASG18:ASG22&gt;ASG21)),"")</f>
        <v/>
      </c>
      <c r="ASR21" s="319" t="str">
        <f t="shared" ref="ASR21" ca="1" si="7086">IF(ASC21&lt;&gt;"",SUMPRODUCT((ASN18:ASN22=ASN21)*(ASI18:ASI22=ASI21)*(ASG18:ASG22=ASG21)*(ASK18:ASK22&gt;ASK21)),"")</f>
        <v/>
      </c>
      <c r="ASS21" s="319" t="str">
        <f t="shared" ref="ASS21" ca="1" si="7087">IF(ASC21&lt;&gt;"",SUMPRODUCT((ASN18:ASN22=ASN21)*(ASI18:ASI22=ASI21)*(ASG18:ASG22=ASG21)*(ASK18:ASK22=ASK21)*(ASL18:ASL22&gt;ASL21)),"")</f>
        <v/>
      </c>
      <c r="AST21" s="319" t="str">
        <f t="shared" ref="AST21" ca="1" si="7088">IF(ASC21&lt;&gt;"",SUMPRODUCT((ASN18:ASN22=ASN21)*(ASI18:ASI22=ASI21)*(ASG18:ASG22=ASG21)*(ASK18:ASK22=ASK21)*(ASL18:ASL22=ASL21)*(ASM18:ASM22&gt;ASM21)),"")</f>
        <v/>
      </c>
      <c r="ASU21" s="319" t="str">
        <f ca="1">IF(ASC21&lt;&gt;"",IF(ASU61&lt;&gt;"",IF(ASB57=3,ASU61,ASU61+ASB57),SUM(ASO21:AST21)),"")</f>
        <v/>
      </c>
      <c r="ASV21" s="319" t="str">
        <f t="shared" ref="ASV21" ca="1" si="7089">IF(ASC21&lt;&gt;"",INDEX(ASC18:ASC22,MATCH(4,ASU18:ASU22,0),0),"")</f>
        <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England</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19">
        <f t="shared" ca="1" si="6415"/>
        <v>1001</v>
      </c>
      <c r="ATX21" s="319">
        <f t="shared" ca="1" si="6416"/>
        <v>3</v>
      </c>
      <c r="ATY21" s="319">
        <f t="shared" ref="ATY21" ca="1" si="7110">IF(ATQ21&lt;&gt;"",VLOOKUP(ATQ21,ARJ4:ARP40,7,FALSE),"")</f>
        <v>997</v>
      </c>
      <c r="ATZ21" s="319">
        <f t="shared" ref="ATZ21" ca="1" si="7111">IF(ATQ21&lt;&gt;"",VLOOKUP(ATQ21,ARJ4:ARP40,5,FALSE),"")</f>
        <v>3</v>
      </c>
      <c r="AUA21" s="319">
        <f t="shared" ref="AUA21" ca="1" si="7112">IF(ATQ21&lt;&gt;"",VLOOKUP(ATQ21,ARJ4:ARR40,9,FALSE),"")</f>
        <v>49</v>
      </c>
      <c r="AUB21" s="319">
        <f t="shared" ca="1" si="6420"/>
        <v>3</v>
      </c>
      <c r="AUC21" s="319">
        <f t="shared" ref="AUC21" ca="1" si="7113">IF(ATQ21&lt;&gt;"",RANK(AUB21,AUB18:AUB22),"")</f>
        <v>1</v>
      </c>
      <c r="AUD21" s="319">
        <f t="shared" ref="AUD21" ca="1" si="7114">IF(ATQ21&lt;&gt;"",SUMPRODUCT((AUB18:AUB22=AUB21)*(ATW18:ATW22&gt;ATW21)),"")</f>
        <v>0</v>
      </c>
      <c r="AUE21" s="319">
        <f t="shared" ref="AUE21" ca="1" si="7115">IF(ATQ21&lt;&gt;"",SUMPRODUCT((AUB18:AUB22=AUB21)*(ATW18:ATW22=ATW21)*(ATU18:ATU22&gt;ATU21)),"")</f>
        <v>0</v>
      </c>
      <c r="AUF21" s="319">
        <f t="shared" ref="AUF21" ca="1" si="7116">IF(ATQ21&lt;&gt;"",SUMPRODUCT((AUB18:AUB22=AUB21)*(ATW18:ATW22=ATW21)*(ATU18:ATU22=ATU21)*(ATY18:ATY22&gt;ATY21)),"")</f>
        <v>0</v>
      </c>
      <c r="AUG21" s="319">
        <f t="shared" ref="AUG21" ca="1" si="7117">IF(ATQ21&lt;&gt;"",SUMPRODUCT((AUB18:AUB22=AUB21)*(ATW18:ATW22=ATW21)*(ATU18:ATU22=ATU21)*(ATY18:ATY22=ATY21)*(ATZ18:ATZ22&gt;ATZ21)),"")</f>
        <v>0</v>
      </c>
      <c r="AUH21" s="319">
        <f t="shared" ref="AUH21" ca="1" si="7118">IF(ATQ21&lt;&gt;"",SUMPRODUCT((AUB18:AUB22=AUB21)*(ATW18:ATW22=ATW21)*(ATU18:ATU22=ATU21)*(ATY18:ATY22=ATY21)*(ATZ18:ATZ22=ATZ21)*(AUA18:AUA22&gt;AUA21)),"")</f>
        <v>0</v>
      </c>
      <c r="AUI21" s="319">
        <f t="shared" ca="1" si="6427"/>
        <v>3</v>
      </c>
      <c r="AUJ21" s="319" t="str">
        <f t="shared" ref="AUJ21" ca="1" si="7119">IF(ATQ21&lt;&gt;"",INDEX(ATQ20:ATQ22,MATCH(4,AUI20:AUI22,0),0),"")</f>
        <v>Denmark</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Denmark</v>
      </c>
      <c r="AVF21" s="319">
        <v>4</v>
      </c>
      <c r="AVG21" s="319">
        <v>19</v>
      </c>
      <c r="AVH21" s="319" t="str">
        <f t="shared" si="114"/>
        <v>Poland</v>
      </c>
      <c r="AVI21" s="322">
        <f ca="1">IF(OFFSET('Player Game Board'!P28,0,AVI1)&lt;&gt;"",OFFSET('Player Game Board'!P28,0,AVI1),0)</f>
        <v>2</v>
      </c>
      <c r="AVJ21" s="322">
        <f ca="1">IF(OFFSET('Player Game Board'!Q28,0,AVI1)&lt;&gt;"",OFFSET('Player Game Board'!Q28,0,AVI1),0)</f>
        <v>1</v>
      </c>
      <c r="AVK21" s="319" t="str">
        <f t="shared" si="115"/>
        <v>Austria</v>
      </c>
      <c r="AVL21" s="319" t="str">
        <f ca="1">IF(AND(OFFSET('Player Game Board'!P28,0,AVI1)&lt;&gt;"",OFFSET('Player Game Board'!Q28,0,AVI1)&lt;&gt;""),IF(AVI21&gt;AVJ21,"W",IF(AVI21=AVJ21,"D","L")),"")</f>
        <v>W</v>
      </c>
      <c r="AVM21" s="319" t="str">
        <f t="shared" ca="1" si="5830"/>
        <v>L</v>
      </c>
      <c r="AVN21" s="319"/>
      <c r="AVO21" s="319"/>
      <c r="AVP21" s="324" t="s">
        <v>105</v>
      </c>
      <c r="AVQ21" s="325" t="s">
        <v>107</v>
      </c>
      <c r="AVR21" s="325" t="s">
        <v>109</v>
      </c>
      <c r="AVS21" s="325" t="s">
        <v>110</v>
      </c>
      <c r="AVT21" s="324" t="s">
        <v>109</v>
      </c>
      <c r="AVU21" s="324" t="s">
        <v>110</v>
      </c>
      <c r="AVV21" s="324" t="s">
        <v>107</v>
      </c>
      <c r="AVW21" s="324" t="s">
        <v>105</v>
      </c>
      <c r="AVX21" s="325"/>
      <c r="AVY21" s="326">
        <f t="shared" ref="AVY21" ca="1" si="7141">IFERROR(MATCH(AVY12,AVP21:AVS21,0),0)</f>
        <v>0</v>
      </c>
      <c r="AVZ21" s="326">
        <f t="shared" ref="AVZ21" ca="1" si="7142">IFERROR(MATCH(AVZ12,AVP21:AVS21,0),0)</f>
        <v>3</v>
      </c>
      <c r="AWA21" s="326">
        <f t="shared" ref="AWA21" ca="1" si="7143">IFERROR(MATCH(AWA12,AVP21:AVS21,0),0)</f>
        <v>1</v>
      </c>
      <c r="AWB21" s="326">
        <f t="shared" ref="AWB21" ca="1" si="7144">IFERROR(MATCH(AWB12,AVP21:AVS21,0),0)</f>
        <v>2</v>
      </c>
      <c r="AWC21" s="326">
        <f t="shared" ca="1" si="4036"/>
        <v>6</v>
      </c>
      <c r="AWD21" s="325" t="s">
        <v>363</v>
      </c>
      <c r="AWE21" s="325" t="str">
        <f t="shared" ref="AWE21" ca="1" si="7145">INDEX(AVP3:AVP8,MATCH(INDEX(AVW13:AVW27,MATCH(10,AWC13:AWC27,0),0),AWD3:AWD8,0),0)</f>
        <v>England</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2</v>
      </c>
      <c r="AWJ21" s="319">
        <f t="shared" ref="AWJ21" ca="1" si="7148">SUMPRODUCT((BAF3:BAF42=AWH21)*(BAJ3:BAJ42="D"))+SUMPRODUCT((BAI3:BAI42=AWH21)*(BAK3:BAK42="D"))</f>
        <v>0</v>
      </c>
      <c r="AWK21" s="319">
        <f t="shared" ref="AWK21" ca="1" si="7149">SUMPRODUCT((BAF3:BAF42=AWH21)*(BAJ3:BAJ42="L"))+SUMPRODUCT((BAI3:BAI42=AWH21)*(BAK3:BAK42="L"))</f>
        <v>1</v>
      </c>
      <c r="AWL21" s="319">
        <f t="shared" ref="AWL21" ca="1" si="7150">SUMIF(BAF3:BAF60,AWH21,BAG3:BAG60)+SUMIF(BAI3:BAI60,AWH21,BAH3:BAH60)</f>
        <v>8</v>
      </c>
      <c r="AWM21" s="319">
        <f t="shared" ref="AWM21" ca="1" si="7151">SUMIF(BAI3:BAI60,AWH21,BAG3:BAG60)+SUMIF(BAF3:BAF60,AWH21,BAH3:BAH60)</f>
        <v>5</v>
      </c>
      <c r="AWN21" s="319">
        <f t="shared" ca="1" si="5361"/>
        <v>1003</v>
      </c>
      <c r="AWO21" s="319">
        <f t="shared" ca="1" si="5362"/>
        <v>6</v>
      </c>
      <c r="AWP21" s="319">
        <f t="shared" si="1050"/>
        <v>45</v>
      </c>
      <c r="AWQ21" s="319">
        <f t="shared" ref="AWQ21" ca="1" si="7152">IF(COUNTIF(AWO18:AWO22,4)&lt;&gt;4,RANK(AWO21,AWO18:AWO22),AWO61)</f>
        <v>2</v>
      </c>
      <c r="AWR21" s="319"/>
      <c r="AWS21" s="319">
        <f t="shared" ref="AWS21" ca="1" si="7153">SUMPRODUCT((AWQ18:AWQ21=AWQ21)*(AWP18:AWP21&lt;AWP21))+AWQ21</f>
        <v>2</v>
      </c>
      <c r="AWT21" s="319" t="str">
        <f t="shared" ref="AWT21" ca="1" si="7154">INDEX(AWH18:AWH22,MATCH(4,AWS18:AWS22,0),0)</f>
        <v>Slovenia</v>
      </c>
      <c r="AWU21" s="319">
        <f t="shared" ref="AWU21" ca="1" si="7155">INDEX(AWQ18:AWQ22,MATCH(AWT21,AWH18:AWH22,0),0)</f>
        <v>4</v>
      </c>
      <c r="AWV21" s="319" t="str">
        <f t="shared" ca="1" si="6445"/>
        <v/>
      </c>
      <c r="AWW21" s="319" t="str">
        <f t="shared" ca="1" si="6446"/>
        <v/>
      </c>
      <c r="AWX21" s="319"/>
      <c r="AWY21" s="319"/>
      <c r="AWZ21" s="319"/>
      <c r="AXA21" s="319" t="str">
        <f t="shared" ca="1" si="5371"/>
        <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t="str">
        <f t="shared" ca="1" si="5378"/>
        <v/>
      </c>
      <c r="AXI21" s="319" t="str">
        <f t="shared" ref="AXI21" ca="1" si="7161">IF(AXA21&lt;&gt;"",VLOOKUP(AXA21,AWH4:AWN40,7,FALSE),"")</f>
        <v/>
      </c>
      <c r="AXJ21" s="319" t="str">
        <f t="shared" ref="AXJ21" ca="1" si="7162">IF(AXA21&lt;&gt;"",VLOOKUP(AXA21,AWH4:AWN40,5,FALSE),"")</f>
        <v/>
      </c>
      <c r="AXK21" s="319" t="str">
        <f t="shared" ref="AXK21" ca="1" si="7163">IF(AXA21&lt;&gt;"",VLOOKUP(AXA21,AWH4:AWP40,9,FALSE),"")</f>
        <v/>
      </c>
      <c r="AXL21" s="319" t="str">
        <f t="shared" ca="1" si="5382"/>
        <v/>
      </c>
      <c r="AXM21" s="319" t="str">
        <f t="shared" ref="AXM21" ca="1" si="7164">IF(AXA21&lt;&gt;"",RANK(AXL21,AXL18:AXL22),"")</f>
        <v/>
      </c>
      <c r="AXN21" s="319" t="str">
        <f t="shared" ref="AXN21" ca="1" si="7165">IF(AXA21&lt;&gt;"",SUMPRODUCT((AXL18:AXL22=AXL21)*(AXG18:AXG22&gt;AXG21)),"")</f>
        <v/>
      </c>
      <c r="AXO21" s="319" t="str">
        <f t="shared" ref="AXO21" ca="1" si="7166">IF(AXA21&lt;&gt;"",SUMPRODUCT((AXL18:AXL22=AXL21)*(AXG18:AXG22=AXG21)*(AXE18:AXE22&gt;AXE21)),"")</f>
        <v/>
      </c>
      <c r="AXP21" s="319" t="str">
        <f t="shared" ref="AXP21" ca="1" si="7167">IF(AXA21&lt;&gt;"",SUMPRODUCT((AXL18:AXL22=AXL21)*(AXG18:AXG22=AXG21)*(AXE18:AXE22=AXE21)*(AXI18:AXI22&gt;AXI21)),"")</f>
        <v/>
      </c>
      <c r="AXQ21" s="319" t="str">
        <f t="shared" ref="AXQ21" ca="1" si="7168">IF(AXA21&lt;&gt;"",SUMPRODUCT((AXL18:AXL22=AXL21)*(AXG18:AXG22=AXG21)*(AXE18:AXE22=AXE21)*(AXI18:AXI22=AXI21)*(AXJ18:AXJ22&gt;AXJ21)),"")</f>
        <v/>
      </c>
      <c r="AXR21" s="319" t="str">
        <f t="shared" ref="AXR21" ca="1" si="7169">IF(AXA21&lt;&gt;"",SUMPRODUCT((AXL18:AXL22=AXL21)*(AXG18:AXG22=AXG21)*(AXE18:AXE22=AXE21)*(AXI18:AXI22=AXI21)*(AXJ18:AXJ22=AXJ21)*(AXK18:AXK22&gt;AXK21)),"")</f>
        <v/>
      </c>
      <c r="AXS21" s="319" t="str">
        <f ca="1">IF(AXA21&lt;&gt;"",IF(AXS61&lt;&gt;"",IF(AWZ57=3,AXS61,AXS61+AWZ57),SUM(AXM21:AXR21)),"")</f>
        <v/>
      </c>
      <c r="AXT21" s="319" t="str">
        <f t="shared" ref="AXT21" ca="1" si="7170">IF(AXA21&lt;&gt;"",INDEX(AXA18:AXA22,MATCH(4,AXS18:AXS22,0),0),"")</f>
        <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Slovenia</v>
      </c>
      <c r="BAD21" s="319">
        <v>4</v>
      </c>
      <c r="BAE21" s="319">
        <v>19</v>
      </c>
      <c r="BAF21" s="319" t="str">
        <f t="shared" si="130"/>
        <v>Poland</v>
      </c>
      <c r="BAG21" s="322">
        <f ca="1">IF(OFFSET('Player Game Board'!P28,0,BAG1)&lt;&gt;"",OFFSET('Player Game Board'!P28,0,BAG1),0)</f>
        <v>2</v>
      </c>
      <c r="BAH21" s="322">
        <f ca="1">IF(OFFSET('Player Game Board'!Q28,0,BAG1)&lt;&gt;"",OFFSET('Player Game Board'!Q28,0,BAG1),0)</f>
        <v>1</v>
      </c>
      <c r="BAI21" s="319" t="str">
        <f t="shared" si="131"/>
        <v>Austria</v>
      </c>
      <c r="BAJ21" s="319" t="str">
        <f ca="1">IF(AND(OFFSET('Player Game Board'!P28,0,BAG1)&lt;&gt;"",OFFSET('Player Game Board'!Q28,0,BAG1)&lt;&gt;""),IF(BAG21&gt;BAH21,"W",IF(BAG21=BAH21,"D","L")),"")</f>
        <v>W</v>
      </c>
      <c r="BAK21" s="319" t="str">
        <f t="shared" ca="1" si="5885"/>
        <v>L</v>
      </c>
      <c r="BAL21" s="319"/>
      <c r="BAM21" s="319"/>
      <c r="BAN21" s="324" t="s">
        <v>105</v>
      </c>
      <c r="BAO21" s="325" t="s">
        <v>107</v>
      </c>
      <c r="BAP21" s="325" t="s">
        <v>109</v>
      </c>
      <c r="BAQ21" s="325" t="s">
        <v>110</v>
      </c>
      <c r="BAR21" s="324" t="s">
        <v>109</v>
      </c>
      <c r="BAS21" s="324" t="s">
        <v>110</v>
      </c>
      <c r="BAT21" s="324" t="s">
        <v>107</v>
      </c>
      <c r="BAU21" s="324" t="s">
        <v>105</v>
      </c>
      <c r="BAV21" s="325"/>
      <c r="BAW21" s="326">
        <f t="shared" ref="BAW21" ca="1" si="7222">IFERROR(MATCH(BAW12,BAN21:BAQ21,0),0)</f>
        <v>1</v>
      </c>
      <c r="BAX21" s="326">
        <f t="shared" ref="BAX21" ca="1" si="7223">IFERROR(MATCH(BAX12,BAN21:BAQ21,0),0)</f>
        <v>0</v>
      </c>
      <c r="BAY21" s="326">
        <f t="shared" ref="BAY21" ca="1" si="7224">IFERROR(MATCH(BAY12,BAN21:BAQ21,0),0)</f>
        <v>3</v>
      </c>
      <c r="BAZ21" s="326">
        <f t="shared" ref="BAZ21" ca="1" si="7225">IFERROR(MATCH(BAZ12,BAN21:BAQ21,0),0)</f>
        <v>4</v>
      </c>
      <c r="BBA21" s="326">
        <f t="shared" ca="1" si="4106"/>
        <v>8</v>
      </c>
      <c r="BBB21" s="325" t="s">
        <v>363</v>
      </c>
      <c r="BBC21" s="325" t="str">
        <f t="shared" ref="BBC21" ca="1" si="7226">INDEX(BAN3:BAN8,MATCH(INDEX(BAU13:BAU27,MATCH(10,BBA13:BBA27,0),0),BBB3:BBB8,0),0)</f>
        <v>Hungary</v>
      </c>
      <c r="BBD21" s="325">
        <f t="shared" ca="1" si="5396"/>
        <v>0</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105</v>
      </c>
      <c r="BFM21" s="325" t="s">
        <v>107</v>
      </c>
      <c r="BFN21" s="325" t="s">
        <v>109</v>
      </c>
      <c r="BFO21" s="325" t="s">
        <v>110</v>
      </c>
      <c r="BFP21" s="324" t="s">
        <v>109</v>
      </c>
      <c r="BFQ21" s="324" t="s">
        <v>110</v>
      </c>
      <c r="BFR21" s="324" t="s">
        <v>107</v>
      </c>
      <c r="BFS21" s="324" t="s">
        <v>105</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363</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105</v>
      </c>
      <c r="DI22" s="325" t="s">
        <v>108</v>
      </c>
      <c r="DJ22" s="325" t="s">
        <v>109</v>
      </c>
      <c r="DK22" s="325" t="s">
        <v>110</v>
      </c>
      <c r="DL22" s="324" t="s">
        <v>109</v>
      </c>
      <c r="DM22" s="324" t="s">
        <v>110</v>
      </c>
      <c r="DN22" s="324" t="s">
        <v>108</v>
      </c>
      <c r="DO22" s="324" t="s">
        <v>105</v>
      </c>
      <c r="DP22" s="325"/>
      <c r="DQ22" s="326">
        <f>IFERROR(MATCH(DQ12,DH22:DK22,0),0)</f>
        <v>0</v>
      </c>
      <c r="DR22" s="326">
        <f>IFERROR(MATCH(DR12,DH22:DK22,0),0)</f>
        <v>0</v>
      </c>
      <c r="DS22" s="326">
        <f>IFERROR(MATCH(DS12,DH22:DK22,0),0)</f>
        <v>1</v>
      </c>
      <c r="DT22" s="326">
        <f>IFERROR(MATCH(DT12,DH22:DK22,0),0)</f>
        <v>4</v>
      </c>
      <c r="DU22" s="326">
        <f t="shared" si="3541"/>
        <v>5</v>
      </c>
      <c r="DV22" s="325" t="s">
        <v>105</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105</v>
      </c>
      <c r="IG22" s="325" t="s">
        <v>108</v>
      </c>
      <c r="IH22" s="325" t="s">
        <v>109</v>
      </c>
      <c r="II22" s="325" t="s">
        <v>110</v>
      </c>
      <c r="IJ22" s="324" t="s">
        <v>109</v>
      </c>
      <c r="IK22" s="324" t="s">
        <v>110</v>
      </c>
      <c r="IL22" s="324" t="s">
        <v>108</v>
      </c>
      <c r="IM22" s="324" t="s">
        <v>105</v>
      </c>
      <c r="IN22" s="325"/>
      <c r="IO22" s="326">
        <f ca="1">IFERROR(MATCH(IO12,IF22:II22,0),0)</f>
        <v>0</v>
      </c>
      <c r="IP22" s="326">
        <f ca="1">IFERROR(MATCH(IP12,IF22:II22,0),0)</f>
        <v>4</v>
      </c>
      <c r="IQ22" s="326">
        <f ca="1">IFERROR(MATCH(IQ12,IF22:II22,0),0)</f>
        <v>1</v>
      </c>
      <c r="IR22" s="326">
        <f ca="1">IFERROR(MATCH(IR12,IF22:II22,0),0)</f>
        <v>0</v>
      </c>
      <c r="IS22" s="326">
        <f t="shared" ca="1" si="3544"/>
        <v>5</v>
      </c>
      <c r="IT22" s="325" t="s">
        <v>105</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105</v>
      </c>
      <c r="NE22" s="325" t="s">
        <v>108</v>
      </c>
      <c r="NF22" s="325" t="s">
        <v>109</v>
      </c>
      <c r="NG22" s="325" t="s">
        <v>110</v>
      </c>
      <c r="NH22" s="324" t="s">
        <v>109</v>
      </c>
      <c r="NI22" s="324" t="s">
        <v>110</v>
      </c>
      <c r="NJ22" s="324" t="s">
        <v>108</v>
      </c>
      <c r="NK22" s="324" t="s">
        <v>105</v>
      </c>
      <c r="NL22" s="325"/>
      <c r="NM22" s="326">
        <f ca="1">IFERROR(MATCH(NM12,ND22:NG22,0),0)</f>
        <v>0</v>
      </c>
      <c r="NN22" s="326">
        <f ca="1">IFERROR(MATCH(NN12,ND22:NG22,0),0)</f>
        <v>3</v>
      </c>
      <c r="NO22" s="326">
        <f ca="1">IFERROR(MATCH(NO12,ND22:NG22,0),0)</f>
        <v>1</v>
      </c>
      <c r="NP22" s="326">
        <f ca="1">IFERROR(MATCH(NP12,ND22:NG22,0),0)</f>
        <v>2</v>
      </c>
      <c r="NQ22" s="326">
        <f t="shared" ca="1" si="3547"/>
        <v>6</v>
      </c>
      <c r="NR22" s="325" t="s">
        <v>105</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2</v>
      </c>
      <c r="RV22" s="322">
        <f ca="1">IF(OFFSET('Player Game Board'!Q29,0,RU1)&lt;&gt;"",OFFSET('Player Game Board'!Q29,0,RU1),0)</f>
        <v>2</v>
      </c>
      <c r="RW22" s="319" t="str">
        <f t="shared" si="19"/>
        <v>France</v>
      </c>
      <c r="RX22" s="319" t="str">
        <f ca="1">IF(AND(OFFSET('Player Game Board'!P29,0,RU1)&lt;&gt;"",OFFSET('Player Game Board'!Q29,0,RU1)&lt;&gt;""),IF(RU22&gt;RV22,"W",IF(RU22=RV22,"D","L")),"")</f>
        <v>D</v>
      </c>
      <c r="RY22" s="319" t="str">
        <f t="shared" ca="1" si="5500"/>
        <v>D</v>
      </c>
      <c r="RZ22" s="319"/>
      <c r="SA22" s="319"/>
      <c r="SB22" s="324" t="s">
        <v>105</v>
      </c>
      <c r="SC22" s="325" t="s">
        <v>108</v>
      </c>
      <c r="SD22" s="325" t="s">
        <v>109</v>
      </c>
      <c r="SE22" s="325" t="s">
        <v>110</v>
      </c>
      <c r="SF22" s="324" t="s">
        <v>109</v>
      </c>
      <c r="SG22" s="324" t="s">
        <v>110</v>
      </c>
      <c r="SH22" s="324" t="s">
        <v>108</v>
      </c>
      <c r="SI22" s="324" t="s">
        <v>105</v>
      </c>
      <c r="SJ22" s="325"/>
      <c r="SK22" s="326">
        <f t="shared" ref="SK22" ca="1" si="7308">IFERROR(MATCH(SK12,SB22:SE22,0),0)</f>
        <v>0</v>
      </c>
      <c r="SL22" s="326">
        <f t="shared" ref="SL22" ca="1" si="7309">IFERROR(MATCH(SL12,SB22:SE22,0),0)</f>
        <v>2</v>
      </c>
      <c r="SM22" s="326">
        <f t="shared" ref="SM22" ca="1" si="7310">IFERROR(MATCH(SM12,SB22:SE22,0),0)</f>
        <v>0</v>
      </c>
      <c r="SN22" s="326">
        <f t="shared" ref="SN22" ca="1" si="7311">IFERROR(MATCH(SN12,SB22:SE22,0),0)</f>
        <v>3</v>
      </c>
      <c r="SO22" s="326">
        <f t="shared" ca="1" si="3616"/>
        <v>5</v>
      </c>
      <c r="SP22" s="325" t="s">
        <v>105</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2</v>
      </c>
      <c r="WT22" s="322">
        <f ca="1">IF(OFFSET('Player Game Board'!Q29,0,WS1)&lt;&gt;"",OFFSET('Player Game Board'!Q29,0,WS1),0)</f>
        <v>3</v>
      </c>
      <c r="WU22" s="319" t="str">
        <f t="shared" si="35"/>
        <v>France</v>
      </c>
      <c r="WV22" s="319" t="str">
        <f ca="1">IF(AND(OFFSET('Player Game Board'!P29,0,WS1)&lt;&gt;"",OFFSET('Player Game Board'!Q29,0,WS1)&lt;&gt;""),IF(WS22&gt;WT22,"W",IF(WS22=WT22,"D","L")),"")</f>
        <v>L</v>
      </c>
      <c r="WW22" s="319" t="str">
        <f t="shared" ca="1" si="5555"/>
        <v>W</v>
      </c>
      <c r="WX22" s="319"/>
      <c r="WY22" s="319"/>
      <c r="WZ22" s="324" t="s">
        <v>105</v>
      </c>
      <c r="XA22" s="325" t="s">
        <v>108</v>
      </c>
      <c r="XB22" s="325" t="s">
        <v>109</v>
      </c>
      <c r="XC22" s="325" t="s">
        <v>110</v>
      </c>
      <c r="XD22" s="324" t="s">
        <v>109</v>
      </c>
      <c r="XE22" s="324" t="s">
        <v>110</v>
      </c>
      <c r="XF22" s="324" t="s">
        <v>108</v>
      </c>
      <c r="XG22" s="324" t="s">
        <v>105</v>
      </c>
      <c r="XH22" s="325"/>
      <c r="XI22" s="326">
        <f t="shared" ref="XI22" ca="1" si="7313">IFERROR(MATCH(XI12,WZ22:XC22,0),0)</f>
        <v>0</v>
      </c>
      <c r="XJ22" s="326">
        <f t="shared" ref="XJ22" ca="1" si="7314">IFERROR(MATCH(XJ12,WZ22:XC22,0),0)</f>
        <v>4</v>
      </c>
      <c r="XK22" s="326">
        <f t="shared" ref="XK22" ca="1" si="7315">IFERROR(MATCH(XK12,WZ22:XC22,0),0)</f>
        <v>0</v>
      </c>
      <c r="XL22" s="326">
        <f t="shared" ref="XL22" ca="1" si="7316">IFERROR(MATCH(XL12,WZ22:XC22,0),0)</f>
        <v>2</v>
      </c>
      <c r="XM22" s="326">
        <f t="shared" ca="1" si="3686"/>
        <v>6</v>
      </c>
      <c r="XN22" s="325" t="s">
        <v>105</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105</v>
      </c>
      <c r="ABY22" s="325" t="s">
        <v>108</v>
      </c>
      <c r="ABZ22" s="325" t="s">
        <v>109</v>
      </c>
      <c r="ACA22" s="325" t="s">
        <v>110</v>
      </c>
      <c r="ACB22" s="324" t="s">
        <v>109</v>
      </c>
      <c r="ACC22" s="324" t="s">
        <v>110</v>
      </c>
      <c r="ACD22" s="324" t="s">
        <v>108</v>
      </c>
      <c r="ACE22" s="324" t="s">
        <v>105</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105</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1</v>
      </c>
      <c r="AGP22" s="322">
        <f ca="1">IF(OFFSET('Player Game Board'!Q29,0,AGO1)&lt;&gt;"",OFFSET('Player Game Board'!Q29,0,AGO1),0)</f>
        <v>1</v>
      </c>
      <c r="AGQ22" s="319" t="str">
        <f t="shared" si="67"/>
        <v>France</v>
      </c>
      <c r="AGR22" s="319" t="str">
        <f ca="1">IF(AND(OFFSET('Player Game Board'!P29,0,AGO1)&lt;&gt;"",OFFSET('Player Game Board'!Q29,0,AGO1)&lt;&gt;""),IF(AGO22&gt;AGP22,"W",IF(AGO22=AGP22,"D","L")),"")</f>
        <v>D</v>
      </c>
      <c r="AGS22" s="319" t="str">
        <f t="shared" ca="1" si="5665"/>
        <v>D</v>
      </c>
      <c r="AGT22" s="319"/>
      <c r="AGU22" s="319"/>
      <c r="AGV22" s="324" t="s">
        <v>105</v>
      </c>
      <c r="AGW22" s="325" t="s">
        <v>108</v>
      </c>
      <c r="AGX22" s="325" t="s">
        <v>109</v>
      </c>
      <c r="AGY22" s="325" t="s">
        <v>110</v>
      </c>
      <c r="AGZ22" s="324" t="s">
        <v>109</v>
      </c>
      <c r="AHA22" s="324" t="s">
        <v>110</v>
      </c>
      <c r="AHB22" s="324" t="s">
        <v>108</v>
      </c>
      <c r="AHC22" s="324" t="s">
        <v>105</v>
      </c>
      <c r="AHD22" s="325"/>
      <c r="AHE22" s="326">
        <f t="shared" ref="AHE22" ca="1" si="7323">IFERROR(MATCH(AHE12,AGV22:AGY22,0),0)</f>
        <v>0</v>
      </c>
      <c r="AHF22" s="326">
        <f t="shared" ref="AHF22" ca="1" si="7324">IFERROR(MATCH(AHF12,AGV22:AGY22,0),0)</f>
        <v>0</v>
      </c>
      <c r="AHG22" s="326">
        <f t="shared" ref="AHG22" ca="1" si="7325">IFERROR(MATCH(AHG12,AGV22:AGY22,0),0)</f>
        <v>2</v>
      </c>
      <c r="AHH22" s="326">
        <f t="shared" ref="AHH22" ca="1" si="7326">IFERROR(MATCH(AHH12,AGV22:AGY22,0),0)</f>
        <v>4</v>
      </c>
      <c r="AHI22" s="326">
        <f t="shared" ca="1" si="3826"/>
        <v>6</v>
      </c>
      <c r="AHJ22" s="325" t="s">
        <v>105</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2</v>
      </c>
      <c r="ALN22" s="322">
        <f ca="1">IF(OFFSET('Player Game Board'!Q29,0,ALM1)&lt;&gt;"",OFFSET('Player Game Board'!Q29,0,ALM1),0)</f>
        <v>2</v>
      </c>
      <c r="ALO22" s="319" t="str">
        <f t="shared" si="83"/>
        <v>France</v>
      </c>
      <c r="ALP22" s="319" t="str">
        <f ca="1">IF(AND(OFFSET('Player Game Board'!P29,0,ALM1)&lt;&gt;"",OFFSET('Player Game Board'!Q29,0,ALM1)&lt;&gt;""),IF(ALM22&gt;ALN22,"W",IF(ALM22=ALN22,"D","L")),"")</f>
        <v>D</v>
      </c>
      <c r="ALQ22" s="319" t="str">
        <f t="shared" ca="1" si="5720"/>
        <v>D</v>
      </c>
      <c r="ALR22" s="319"/>
      <c r="ALS22" s="319"/>
      <c r="ALT22" s="324" t="s">
        <v>105</v>
      </c>
      <c r="ALU22" s="325" t="s">
        <v>108</v>
      </c>
      <c r="ALV22" s="325" t="s">
        <v>109</v>
      </c>
      <c r="ALW22" s="325" t="s">
        <v>110</v>
      </c>
      <c r="ALX22" s="324" t="s">
        <v>109</v>
      </c>
      <c r="ALY22" s="324" t="s">
        <v>110</v>
      </c>
      <c r="ALZ22" s="324" t="s">
        <v>108</v>
      </c>
      <c r="AMA22" s="324" t="s">
        <v>105</v>
      </c>
      <c r="AMB22" s="325"/>
      <c r="AMC22" s="326">
        <f t="shared" ref="AMC22" ca="1" si="7328">IFERROR(MATCH(AMC12,ALT22:ALW22,0),0)</f>
        <v>3</v>
      </c>
      <c r="AMD22" s="326">
        <f t="shared" ref="AMD22" ca="1" si="7329">IFERROR(MATCH(AMD12,ALT22:ALW22,0),0)</f>
        <v>0</v>
      </c>
      <c r="AME22" s="326">
        <f t="shared" ref="AME22" ca="1" si="7330">IFERROR(MATCH(AME12,ALT22:ALW22,0),0)</f>
        <v>2</v>
      </c>
      <c r="AMF22" s="326">
        <f t="shared" ref="AMF22" ca="1" si="7331">IFERROR(MATCH(AMF12,ALT22:ALW22,0),0)</f>
        <v>0</v>
      </c>
      <c r="AMG22" s="326">
        <f t="shared" ca="1" si="3896"/>
        <v>5</v>
      </c>
      <c r="AMH22" s="325" t="s">
        <v>105</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2</v>
      </c>
      <c r="AQL22" s="322">
        <f ca="1">IF(OFFSET('Player Game Board'!Q29,0,AQK1)&lt;&gt;"",OFFSET('Player Game Board'!Q29,0,AQK1),0)</f>
        <v>3</v>
      </c>
      <c r="AQM22" s="319" t="str">
        <f t="shared" si="99"/>
        <v>France</v>
      </c>
      <c r="AQN22" s="319" t="str">
        <f ca="1">IF(AND(OFFSET('Player Game Board'!P29,0,AQK1)&lt;&gt;"",OFFSET('Player Game Board'!Q29,0,AQK1)&lt;&gt;""),IF(AQK22&gt;AQL22,"W",IF(AQK22=AQL22,"D","L")),"")</f>
        <v>L</v>
      </c>
      <c r="AQO22" s="319" t="str">
        <f t="shared" ca="1" si="5775"/>
        <v>W</v>
      </c>
      <c r="AQP22" s="319"/>
      <c r="AQQ22" s="319"/>
      <c r="AQR22" s="324" t="s">
        <v>105</v>
      </c>
      <c r="AQS22" s="325" t="s">
        <v>108</v>
      </c>
      <c r="AQT22" s="325" t="s">
        <v>109</v>
      </c>
      <c r="AQU22" s="325" t="s">
        <v>110</v>
      </c>
      <c r="AQV22" s="324" t="s">
        <v>109</v>
      </c>
      <c r="AQW22" s="324" t="s">
        <v>110</v>
      </c>
      <c r="AQX22" s="324" t="s">
        <v>108</v>
      </c>
      <c r="AQY22" s="324" t="s">
        <v>105</v>
      </c>
      <c r="AQZ22" s="325"/>
      <c r="ARA22" s="326">
        <f t="shared" ref="ARA22" ca="1" si="7333">IFERROR(MATCH(ARA12,AQR22:AQU22,0),0)</f>
        <v>0</v>
      </c>
      <c r="ARB22" s="326">
        <f t="shared" ref="ARB22" ca="1" si="7334">IFERROR(MATCH(ARB12,AQR22:AQU22,0),0)</f>
        <v>1</v>
      </c>
      <c r="ARC22" s="326">
        <f t="shared" ref="ARC22" ca="1" si="7335">IFERROR(MATCH(ARC12,AQR22:AQU22,0),0)</f>
        <v>4</v>
      </c>
      <c r="ARD22" s="326">
        <f t="shared" ref="ARD22" ca="1" si="7336">IFERROR(MATCH(ARD12,AQR22:AQU22,0),0)</f>
        <v>3</v>
      </c>
      <c r="ARE22" s="326">
        <f t="shared" ca="1" si="3966"/>
        <v>8</v>
      </c>
      <c r="ARF22" s="325" t="s">
        <v>105</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1</v>
      </c>
      <c r="AVK22" s="319" t="str">
        <f t="shared" si="115"/>
        <v>France</v>
      </c>
      <c r="AVL22" s="319" t="str">
        <f ca="1">IF(AND(OFFSET('Player Game Board'!P29,0,AVI1)&lt;&gt;"",OFFSET('Player Game Board'!Q29,0,AVI1)&lt;&gt;""),IF(AVI22&gt;AVJ22,"W",IF(AVI22=AVJ22,"D","L")),"")</f>
        <v>L</v>
      </c>
      <c r="AVM22" s="319" t="str">
        <f t="shared" ca="1" si="5830"/>
        <v>W</v>
      </c>
      <c r="AVN22" s="319"/>
      <c r="AVO22" s="319"/>
      <c r="AVP22" s="324" t="s">
        <v>105</v>
      </c>
      <c r="AVQ22" s="325" t="s">
        <v>108</v>
      </c>
      <c r="AVR22" s="325" t="s">
        <v>109</v>
      </c>
      <c r="AVS22" s="325" t="s">
        <v>110</v>
      </c>
      <c r="AVT22" s="324" t="s">
        <v>109</v>
      </c>
      <c r="AVU22" s="324" t="s">
        <v>110</v>
      </c>
      <c r="AVV22" s="324" t="s">
        <v>108</v>
      </c>
      <c r="AVW22" s="324" t="s">
        <v>105</v>
      </c>
      <c r="AVX22" s="325"/>
      <c r="AVY22" s="326">
        <f t="shared" ref="AVY22" ca="1" si="7338">IFERROR(MATCH(AVY12,AVP22:AVS22,0),0)</f>
        <v>0</v>
      </c>
      <c r="AVZ22" s="326">
        <f t="shared" ref="AVZ22" ca="1" si="7339">IFERROR(MATCH(AVZ12,AVP22:AVS22,0),0)</f>
        <v>3</v>
      </c>
      <c r="AWA22" s="326">
        <f t="shared" ref="AWA22" ca="1" si="7340">IFERROR(MATCH(AWA12,AVP22:AVS22,0),0)</f>
        <v>1</v>
      </c>
      <c r="AWB22" s="326">
        <f t="shared" ref="AWB22" ca="1" si="7341">IFERROR(MATCH(AWB12,AVP22:AVS22,0),0)</f>
        <v>0</v>
      </c>
      <c r="AWC22" s="326">
        <f t="shared" ca="1" si="4036"/>
        <v>4</v>
      </c>
      <c r="AWD22" s="325" t="s">
        <v>105</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1</v>
      </c>
      <c r="BAH22" s="322">
        <f ca="1">IF(OFFSET('Player Game Board'!Q29,0,BAG1)&lt;&gt;"",OFFSET('Player Game Board'!Q29,0,BAG1),0)</f>
        <v>2</v>
      </c>
      <c r="BAI22" s="319" t="str">
        <f t="shared" si="131"/>
        <v>France</v>
      </c>
      <c r="BAJ22" s="319" t="str">
        <f ca="1">IF(AND(OFFSET('Player Game Board'!P29,0,BAG1)&lt;&gt;"",OFFSET('Player Game Board'!Q29,0,BAG1)&lt;&gt;""),IF(BAG22&gt;BAH22,"W",IF(BAG22=BAH22,"D","L")),"")</f>
        <v>L</v>
      </c>
      <c r="BAK22" s="319" t="str">
        <f t="shared" ca="1" si="5885"/>
        <v>W</v>
      </c>
      <c r="BAL22" s="319"/>
      <c r="BAM22" s="319"/>
      <c r="BAN22" s="324" t="s">
        <v>105</v>
      </c>
      <c r="BAO22" s="325" t="s">
        <v>108</v>
      </c>
      <c r="BAP22" s="325" t="s">
        <v>109</v>
      </c>
      <c r="BAQ22" s="325" t="s">
        <v>110</v>
      </c>
      <c r="BAR22" s="324" t="s">
        <v>109</v>
      </c>
      <c r="BAS22" s="324" t="s">
        <v>110</v>
      </c>
      <c r="BAT22" s="324" t="s">
        <v>108</v>
      </c>
      <c r="BAU22" s="324" t="s">
        <v>105</v>
      </c>
      <c r="BAV22" s="325"/>
      <c r="BAW22" s="326">
        <f t="shared" ref="BAW22" ca="1" si="7343">IFERROR(MATCH(BAW12,BAN22:BAQ22,0),0)</f>
        <v>1</v>
      </c>
      <c r="BAX22" s="326">
        <f t="shared" ref="BAX22" ca="1" si="7344">IFERROR(MATCH(BAX12,BAN22:BAQ22,0),0)</f>
        <v>0</v>
      </c>
      <c r="BAY22" s="326">
        <f t="shared" ref="BAY22" ca="1" si="7345">IFERROR(MATCH(BAY12,BAN22:BAQ22,0),0)</f>
        <v>3</v>
      </c>
      <c r="BAZ22" s="326">
        <f t="shared" ref="BAZ22" ca="1" si="7346">IFERROR(MATCH(BAZ12,BAN22:BAQ22,0),0)</f>
        <v>4</v>
      </c>
      <c r="BBA22" s="326">
        <f t="shared" ca="1" si="4106"/>
        <v>8</v>
      </c>
      <c r="BBB22" s="325" t="s">
        <v>105</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105</v>
      </c>
      <c r="BFM22" s="325" t="s">
        <v>108</v>
      </c>
      <c r="BFN22" s="325" t="s">
        <v>109</v>
      </c>
      <c r="BFO22" s="325" t="s">
        <v>110</v>
      </c>
      <c r="BFP22" s="324" t="s">
        <v>109</v>
      </c>
      <c r="BFQ22" s="324" t="s">
        <v>110</v>
      </c>
      <c r="BFR22" s="324" t="s">
        <v>108</v>
      </c>
      <c r="BFS22" s="324" t="s">
        <v>105</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105</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0</v>
      </c>
      <c r="DB23" s="319">
        <f>IF(AND(Matches!I28&lt;&gt;"",Matches!H28&lt;&gt;""),Matches!I28,0)</f>
        <v>0</v>
      </c>
      <c r="DC23" s="319" t="str">
        <f>Matches!J28</f>
        <v>Ukraine</v>
      </c>
      <c r="DD23" s="319" t="str">
        <f>IF(AND(Matches!H28&lt;&gt;"",Matches!I28&lt;&gt;""),IF(DA23&gt;DB23,"W",IF(DA23=DB23,"D","L")),"")</f>
        <v/>
      </c>
      <c r="DE23" s="319" t="str">
        <f t="shared" si="162"/>
        <v/>
      </c>
      <c r="DF23" s="319"/>
      <c r="DG23" s="319"/>
      <c r="DH23" s="324" t="s">
        <v>106</v>
      </c>
      <c r="DI23" s="325" t="s">
        <v>107</v>
      </c>
      <c r="DJ23" s="325" t="s">
        <v>108</v>
      </c>
      <c r="DK23" s="325" t="s">
        <v>109</v>
      </c>
      <c r="DL23" s="324" t="s">
        <v>109</v>
      </c>
      <c r="DM23" s="324" t="s">
        <v>108</v>
      </c>
      <c r="DN23" s="324" t="s">
        <v>106</v>
      </c>
      <c r="DO23" s="324" t="s">
        <v>107</v>
      </c>
      <c r="DP23" s="325"/>
      <c r="DQ23" s="326">
        <f>IFERROR(MATCH(DQ12,DH23:DK23,0),0)</f>
        <v>2</v>
      </c>
      <c r="DR23" s="326">
        <f>IFERROR(MATCH(DR12,DH23:DK23,0),0)</f>
        <v>1</v>
      </c>
      <c r="DS23" s="326">
        <f>IFERROR(MATCH(DS12,DH23:DK23,0),0)</f>
        <v>0</v>
      </c>
      <c r="DT23" s="326">
        <f>IFERROR(MATCH(DT12,DH23:DK23,0),0)</f>
        <v>0</v>
      </c>
      <c r="DU23" s="326">
        <f t="shared" si="3541"/>
        <v>3</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106</v>
      </c>
      <c r="IG23" s="325" t="s">
        <v>107</v>
      </c>
      <c r="IH23" s="325" t="s">
        <v>108</v>
      </c>
      <c r="II23" s="325" t="s">
        <v>109</v>
      </c>
      <c r="IJ23" s="324" t="s">
        <v>109</v>
      </c>
      <c r="IK23" s="324" t="s">
        <v>108</v>
      </c>
      <c r="IL23" s="324" t="s">
        <v>106</v>
      </c>
      <c r="IM23" s="324" t="s">
        <v>107</v>
      </c>
      <c r="IN23" s="325"/>
      <c r="IO23" s="326">
        <f ca="1">IFERROR(MATCH(IO12,IF23:II23,0),0)</f>
        <v>1</v>
      </c>
      <c r="IP23" s="326">
        <f ca="1">IFERROR(MATCH(IP12,IF23:II23,0),0)</f>
        <v>0</v>
      </c>
      <c r="IQ23" s="326">
        <f ca="1">IFERROR(MATCH(IQ12,IF23:II23,0),0)</f>
        <v>0</v>
      </c>
      <c r="IR23" s="326">
        <f ca="1">IFERROR(MATCH(IR12,IF23:II23,0),0)</f>
        <v>2</v>
      </c>
      <c r="IS23" s="326">
        <f t="shared" ca="1" si="3544"/>
        <v>3</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1</v>
      </c>
      <c r="MY23" s="319" t="str">
        <f t="shared" si="171"/>
        <v>Ukraine</v>
      </c>
      <c r="MZ23" s="319" t="str">
        <f ca="1">IF(AND(OFFSET('Player Game Board'!P30,0,MW1)&lt;&gt;"",OFFSET('Player Game Board'!Q30,0,MW1)&lt;&gt;""),IF(MW23&gt;MX23,"W",IF(MW23=MX23,"D","L")),"")</f>
        <v>D</v>
      </c>
      <c r="NA23" s="319" t="str">
        <f t="shared" ca="1" si="172"/>
        <v>D</v>
      </c>
      <c r="NB23" s="319"/>
      <c r="NC23" s="319"/>
      <c r="ND23" s="324" t="s">
        <v>106</v>
      </c>
      <c r="NE23" s="325" t="s">
        <v>107</v>
      </c>
      <c r="NF23" s="325" t="s">
        <v>108</v>
      </c>
      <c r="NG23" s="325" t="s">
        <v>109</v>
      </c>
      <c r="NH23" s="324" t="s">
        <v>109</v>
      </c>
      <c r="NI23" s="324" t="s">
        <v>108</v>
      </c>
      <c r="NJ23" s="324" t="s">
        <v>106</v>
      </c>
      <c r="NK23" s="324" t="s">
        <v>107</v>
      </c>
      <c r="NL23" s="325"/>
      <c r="NM23" s="326">
        <f ca="1">IFERROR(MATCH(NM12,ND23:NG23,0),0)</f>
        <v>1</v>
      </c>
      <c r="NN23" s="326">
        <f ca="1">IFERROR(MATCH(NN12,ND23:NG23,0),0)</f>
        <v>4</v>
      </c>
      <c r="NO23" s="326">
        <f ca="1">IFERROR(MATCH(NO12,ND23:NG23,0),0)</f>
        <v>0</v>
      </c>
      <c r="NP23" s="326">
        <f ca="1">IFERROR(MATCH(NP12,ND23:NG23,0),0)</f>
        <v>3</v>
      </c>
      <c r="NQ23" s="326">
        <f t="shared" ca="1" si="3547"/>
        <v>8</v>
      </c>
      <c r="NR23" s="325"/>
      <c r="NS23" s="325" t="str">
        <f ca="1">VLOOKUP(2,IW4:IX7,2,FALSE)</f>
        <v>Scotland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106</v>
      </c>
      <c r="SC23" s="325" t="s">
        <v>107</v>
      </c>
      <c r="SD23" s="325" t="s">
        <v>108</v>
      </c>
      <c r="SE23" s="325" t="s">
        <v>109</v>
      </c>
      <c r="SF23" s="324" t="s">
        <v>109</v>
      </c>
      <c r="SG23" s="324" t="s">
        <v>108</v>
      </c>
      <c r="SH23" s="324" t="s">
        <v>106</v>
      </c>
      <c r="SI23" s="324" t="s">
        <v>107</v>
      </c>
      <c r="SJ23" s="325"/>
      <c r="SK23" s="326">
        <f t="shared" ref="SK23" ca="1" si="7353">IFERROR(MATCH(SK12,SB23:SE23,0),0)</f>
        <v>1</v>
      </c>
      <c r="SL23" s="326">
        <f t="shared" ref="SL23" ca="1" si="7354">IFERROR(MATCH(SL12,SB23:SE23,0),0)</f>
        <v>3</v>
      </c>
      <c r="SM23" s="326">
        <f t="shared" ref="SM23" ca="1" si="7355">IFERROR(MATCH(SM12,SB23:SE23,0),0)</f>
        <v>2</v>
      </c>
      <c r="SN23" s="326">
        <f t="shared" ref="SN23" ca="1" si="7356">IFERROR(MATCH(SN12,SB23:SE23,0),0)</f>
        <v>4</v>
      </c>
      <c r="SO23" s="326">
        <f t="shared" ca="1" si="3616"/>
        <v>10</v>
      </c>
      <c r="SP23" s="325"/>
      <c r="SQ23" s="325" t="str">
        <f t="shared" ref="SQ23" ca="1" si="7357">VLOOKUP(2,NU4:NV7,2,FALSE)</f>
        <v>Scotland</v>
      </c>
      <c r="SR23" s="325">
        <f t="shared" ca="1" si="5095"/>
        <v>1</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2</v>
      </c>
      <c r="WT23" s="322">
        <f ca="1">IF(OFFSET('Player Game Board'!Q30,0,WS1)&lt;&gt;"",OFFSET('Player Game Board'!Q30,0,WS1),0)</f>
        <v>3</v>
      </c>
      <c r="WU23" s="319" t="str">
        <f t="shared" si="35"/>
        <v>Ukraine</v>
      </c>
      <c r="WV23" s="319" t="str">
        <f ca="1">IF(AND(OFFSET('Player Game Board'!P30,0,WS1)&lt;&gt;"",OFFSET('Player Game Board'!Q30,0,WS1)&lt;&gt;""),IF(WS23&gt;WT23,"W",IF(WS23=WT23,"D","L")),"")</f>
        <v>L</v>
      </c>
      <c r="WW23" s="319" t="str">
        <f t="shared" ca="1" si="5555"/>
        <v>W</v>
      </c>
      <c r="WX23" s="319"/>
      <c r="WY23" s="319"/>
      <c r="WZ23" s="324" t="s">
        <v>106</v>
      </c>
      <c r="XA23" s="325" t="s">
        <v>107</v>
      </c>
      <c r="XB23" s="325" t="s">
        <v>108</v>
      </c>
      <c r="XC23" s="325" t="s">
        <v>109</v>
      </c>
      <c r="XD23" s="324" t="s">
        <v>109</v>
      </c>
      <c r="XE23" s="324" t="s">
        <v>108</v>
      </c>
      <c r="XF23" s="324" t="s">
        <v>106</v>
      </c>
      <c r="XG23" s="324" t="s">
        <v>107</v>
      </c>
      <c r="XH23" s="325"/>
      <c r="XI23" s="326">
        <f t="shared" ref="XI23" ca="1" si="7358">IFERROR(MATCH(XI12,WZ23:XC23,0),0)</f>
        <v>1</v>
      </c>
      <c r="XJ23" s="326">
        <f t="shared" ref="XJ23" ca="1" si="7359">IFERROR(MATCH(XJ12,WZ23:XC23,0),0)</f>
        <v>0</v>
      </c>
      <c r="XK23" s="326">
        <f t="shared" ref="XK23" ca="1" si="7360">IFERROR(MATCH(XK12,WZ23:XC23,0),0)</f>
        <v>2</v>
      </c>
      <c r="XL23" s="326">
        <f t="shared" ref="XL23" ca="1" si="7361">IFERROR(MATCH(XL12,WZ23:XC23,0),0)</f>
        <v>3</v>
      </c>
      <c r="XM23" s="326">
        <f t="shared" ca="1" si="3686"/>
        <v>6</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106</v>
      </c>
      <c r="ABY23" s="325" t="s">
        <v>107</v>
      </c>
      <c r="ABZ23" s="325" t="s">
        <v>108</v>
      </c>
      <c r="ACA23" s="325" t="s">
        <v>109</v>
      </c>
      <c r="ACB23" s="324" t="s">
        <v>109</v>
      </c>
      <c r="ACC23" s="324" t="s">
        <v>108</v>
      </c>
      <c r="ACD23" s="324" t="s">
        <v>106</v>
      </c>
      <c r="ACE23" s="324" t="s">
        <v>107</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2</v>
      </c>
      <c r="AGP23" s="322">
        <f ca="1">IF(OFFSET('Player Game Board'!Q30,0,AGO1)&lt;&gt;"",OFFSET('Player Game Board'!Q30,0,AGO1),0)</f>
        <v>1</v>
      </c>
      <c r="AGQ23" s="319" t="str">
        <f t="shared" si="67"/>
        <v>Ukraine</v>
      </c>
      <c r="AGR23" s="319" t="str">
        <f ca="1">IF(AND(OFFSET('Player Game Board'!P30,0,AGO1)&lt;&gt;"",OFFSET('Player Game Board'!Q30,0,AGO1)&lt;&gt;""),IF(AGO23&gt;AGP23,"W",IF(AGO23=AGP23,"D","L")),"")</f>
        <v>W</v>
      </c>
      <c r="AGS23" s="319" t="str">
        <f t="shared" ca="1" si="5665"/>
        <v>L</v>
      </c>
      <c r="AGT23" s="319"/>
      <c r="AGU23" s="319"/>
      <c r="AGV23" s="324" t="s">
        <v>106</v>
      </c>
      <c r="AGW23" s="325" t="s">
        <v>107</v>
      </c>
      <c r="AGX23" s="325" t="s">
        <v>108</v>
      </c>
      <c r="AGY23" s="325" t="s">
        <v>109</v>
      </c>
      <c r="AGZ23" s="324" t="s">
        <v>109</v>
      </c>
      <c r="AHA23" s="324" t="s">
        <v>108</v>
      </c>
      <c r="AHB23" s="324" t="s">
        <v>106</v>
      </c>
      <c r="AHC23" s="324" t="s">
        <v>107</v>
      </c>
      <c r="AHD23" s="325"/>
      <c r="AHE23" s="326">
        <f t="shared" ref="AHE23" ca="1" si="7368">IFERROR(MATCH(AHE12,AGV23:AGY23,0),0)</f>
        <v>1</v>
      </c>
      <c r="AHF23" s="326">
        <f t="shared" ref="AHF23" ca="1" si="7369">IFERROR(MATCH(AHF12,AGV23:AGY23,0),0)</f>
        <v>2</v>
      </c>
      <c r="AHG23" s="326">
        <f t="shared" ref="AHG23" ca="1" si="7370">IFERROR(MATCH(AHG12,AGV23:AGY23,0),0)</f>
        <v>3</v>
      </c>
      <c r="AHH23" s="326">
        <f t="shared" ref="AHH23" ca="1" si="7371">IFERROR(MATCH(AHH12,AGV23:AGY23,0),0)</f>
        <v>0</v>
      </c>
      <c r="AHI23" s="326">
        <f t="shared" ca="1" si="3826"/>
        <v>6</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D</v>
      </c>
      <c r="ALQ23" s="319" t="str">
        <f t="shared" ca="1" si="5720"/>
        <v>D</v>
      </c>
      <c r="ALR23" s="319"/>
      <c r="ALS23" s="319"/>
      <c r="ALT23" s="324" t="s">
        <v>106</v>
      </c>
      <c r="ALU23" s="325" t="s">
        <v>107</v>
      </c>
      <c r="ALV23" s="325" t="s">
        <v>108</v>
      </c>
      <c r="ALW23" s="325" t="s">
        <v>109</v>
      </c>
      <c r="ALX23" s="324" t="s">
        <v>109</v>
      </c>
      <c r="ALY23" s="324" t="s">
        <v>108</v>
      </c>
      <c r="ALZ23" s="324" t="s">
        <v>106</v>
      </c>
      <c r="AMA23" s="324" t="s">
        <v>107</v>
      </c>
      <c r="AMB23" s="325"/>
      <c r="AMC23" s="326">
        <f t="shared" ref="AMC23" ca="1" si="7373">IFERROR(MATCH(AMC12,ALT23:ALW23,0),0)</f>
        <v>4</v>
      </c>
      <c r="AMD23" s="326">
        <f t="shared" ref="AMD23" ca="1" si="7374">IFERROR(MATCH(AMD12,ALT23:ALW23,0),0)</f>
        <v>1</v>
      </c>
      <c r="AME23" s="326">
        <f t="shared" ref="AME23" ca="1" si="7375">IFERROR(MATCH(AME12,ALT23:ALW23,0),0)</f>
        <v>3</v>
      </c>
      <c r="AMF23" s="326">
        <f t="shared" ref="AMF23" ca="1" si="7376">IFERROR(MATCH(AMF12,ALT23:ALW23,0),0)</f>
        <v>2</v>
      </c>
      <c r="AMG23" s="326">
        <f t="shared" ca="1" si="3896"/>
        <v>10</v>
      </c>
      <c r="AMH23" s="325"/>
      <c r="AMI23" s="325" t="str">
        <f t="shared" ref="AMI23" ca="1" si="7377">VLOOKUP(2,AHM4:AHN7,2,FALSE)</f>
        <v>Scotland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1</v>
      </c>
      <c r="AQL23" s="322">
        <f ca="1">IF(OFFSET('Player Game Board'!Q30,0,AQK1)&lt;&gt;"",OFFSET('Player Game Board'!Q30,0,AQK1),0)</f>
        <v>1</v>
      </c>
      <c r="AQM23" s="319" t="str">
        <f t="shared" si="99"/>
        <v>Ukraine</v>
      </c>
      <c r="AQN23" s="319" t="str">
        <f ca="1">IF(AND(OFFSET('Player Game Board'!P30,0,AQK1)&lt;&gt;"",OFFSET('Player Game Board'!Q30,0,AQK1)&lt;&gt;""),IF(AQK23&gt;AQL23,"W",IF(AQK23=AQL23,"D","L")),"")</f>
        <v>D</v>
      </c>
      <c r="AQO23" s="319" t="str">
        <f t="shared" ca="1" si="5775"/>
        <v>D</v>
      </c>
      <c r="AQP23" s="319"/>
      <c r="AQQ23" s="319"/>
      <c r="AQR23" s="324" t="s">
        <v>106</v>
      </c>
      <c r="AQS23" s="325" t="s">
        <v>107</v>
      </c>
      <c r="AQT23" s="325" t="s">
        <v>108</v>
      </c>
      <c r="AQU23" s="325" t="s">
        <v>109</v>
      </c>
      <c r="AQV23" s="324" t="s">
        <v>109</v>
      </c>
      <c r="AQW23" s="324" t="s">
        <v>108</v>
      </c>
      <c r="AQX23" s="324" t="s">
        <v>106</v>
      </c>
      <c r="AQY23" s="324" t="s">
        <v>107</v>
      </c>
      <c r="AQZ23" s="325"/>
      <c r="ARA23" s="326">
        <f t="shared" ref="ARA23" ca="1" si="7378">IFERROR(MATCH(ARA12,AQR23:AQU23,0),0)</f>
        <v>1</v>
      </c>
      <c r="ARB23" s="326">
        <f t="shared" ref="ARB23" ca="1" si="7379">IFERROR(MATCH(ARB12,AQR23:AQU23,0),0)</f>
        <v>0</v>
      </c>
      <c r="ARC23" s="326">
        <f t="shared" ref="ARC23" ca="1" si="7380">IFERROR(MATCH(ARC12,AQR23:AQU23,0),0)</f>
        <v>0</v>
      </c>
      <c r="ARD23" s="326">
        <f t="shared" ref="ARD23" ca="1" si="7381">IFERROR(MATCH(ARD12,AQR23:AQU23,0),0)</f>
        <v>4</v>
      </c>
      <c r="ARE23" s="326">
        <f t="shared" ca="1" si="3966"/>
        <v>5</v>
      </c>
      <c r="ARF23" s="325"/>
      <c r="ARG23" s="325" t="str">
        <f t="shared" ref="ARG23" ca="1" si="7382">VLOOKUP(2,AMK4:AML7,2,FALSE)</f>
        <v>Scotland</v>
      </c>
      <c r="ARH23" s="325">
        <f t="shared" ca="1" si="5310"/>
        <v>1</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3</v>
      </c>
      <c r="AVJ23" s="322">
        <f ca="1">IF(OFFSET('Player Game Board'!Q30,0,AVI1)&lt;&gt;"",OFFSET('Player Game Board'!Q30,0,AVI1),0)</f>
        <v>2</v>
      </c>
      <c r="AVK23" s="319" t="str">
        <f t="shared" si="115"/>
        <v>Ukraine</v>
      </c>
      <c r="AVL23" s="319" t="str">
        <f ca="1">IF(AND(OFFSET('Player Game Board'!P30,0,AVI1)&lt;&gt;"",OFFSET('Player Game Board'!Q30,0,AVI1)&lt;&gt;""),IF(AVI23&gt;AVJ23,"W",IF(AVI23=AVJ23,"D","L")),"")</f>
        <v>W</v>
      </c>
      <c r="AVM23" s="319" t="str">
        <f t="shared" ca="1" si="5830"/>
        <v>L</v>
      </c>
      <c r="AVN23" s="319"/>
      <c r="AVO23" s="319"/>
      <c r="AVP23" s="324" t="s">
        <v>106</v>
      </c>
      <c r="AVQ23" s="325" t="s">
        <v>107</v>
      </c>
      <c r="AVR23" s="325" t="s">
        <v>108</v>
      </c>
      <c r="AVS23" s="325" t="s">
        <v>109</v>
      </c>
      <c r="AVT23" s="324" t="s">
        <v>109</v>
      </c>
      <c r="AVU23" s="324" t="s">
        <v>108</v>
      </c>
      <c r="AVV23" s="324" t="s">
        <v>106</v>
      </c>
      <c r="AVW23" s="324" t="s">
        <v>107</v>
      </c>
      <c r="AVX23" s="325"/>
      <c r="AVY23" s="326">
        <f t="shared" ref="AVY23" ca="1" si="7383">IFERROR(MATCH(AVY12,AVP23:AVS23,0),0)</f>
        <v>1</v>
      </c>
      <c r="AVZ23" s="326">
        <f t="shared" ref="AVZ23" ca="1" si="7384">IFERROR(MATCH(AVZ12,AVP23:AVS23,0),0)</f>
        <v>4</v>
      </c>
      <c r="AWA23" s="326">
        <f t="shared" ref="AWA23" ca="1" si="7385">IFERROR(MATCH(AWA12,AVP23:AVS23,0),0)</f>
        <v>0</v>
      </c>
      <c r="AWB23" s="326">
        <f t="shared" ref="AWB23" ca="1" si="7386">IFERROR(MATCH(AWB12,AVP23:AVS23,0),0)</f>
        <v>2</v>
      </c>
      <c r="AWC23" s="326">
        <f t="shared" ca="1" si="4036"/>
        <v>7</v>
      </c>
      <c r="AWD23" s="325"/>
      <c r="AWE23" s="325" t="str">
        <f t="shared" ref="AWE23" ca="1" si="7387">VLOOKUP(2,ARI4:ARJ7,2,FALSE)</f>
        <v>Switzerland</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2</v>
      </c>
      <c r="BAH23" s="322">
        <f ca="1">IF(OFFSET('Player Game Board'!Q30,0,BAG1)&lt;&gt;"",OFFSET('Player Game Board'!Q30,0,BAG1),0)</f>
        <v>0</v>
      </c>
      <c r="BAI23" s="319" t="str">
        <f t="shared" si="131"/>
        <v>Ukraine</v>
      </c>
      <c r="BAJ23" s="319" t="str">
        <f ca="1">IF(AND(OFFSET('Player Game Board'!P30,0,BAG1)&lt;&gt;"",OFFSET('Player Game Board'!Q30,0,BAG1)&lt;&gt;""),IF(BAG23&gt;BAH23,"W",IF(BAG23=BAH23,"D","L")),"")</f>
        <v>W</v>
      </c>
      <c r="BAK23" s="319" t="str">
        <f t="shared" ca="1" si="5885"/>
        <v>L</v>
      </c>
      <c r="BAL23" s="319"/>
      <c r="BAM23" s="319"/>
      <c r="BAN23" s="324" t="s">
        <v>106</v>
      </c>
      <c r="BAO23" s="325" t="s">
        <v>107</v>
      </c>
      <c r="BAP23" s="325" t="s">
        <v>108</v>
      </c>
      <c r="BAQ23" s="325" t="s">
        <v>109</v>
      </c>
      <c r="BAR23" s="324" t="s">
        <v>109</v>
      </c>
      <c r="BAS23" s="324" t="s">
        <v>108</v>
      </c>
      <c r="BAT23" s="324" t="s">
        <v>106</v>
      </c>
      <c r="BAU23" s="324" t="s">
        <v>107</v>
      </c>
      <c r="BAV23" s="325"/>
      <c r="BAW23" s="326">
        <f t="shared" ref="BAW23" ca="1" si="7388">IFERROR(MATCH(BAW12,BAN23:BAQ23,0),0)</f>
        <v>0</v>
      </c>
      <c r="BAX23" s="326">
        <f t="shared" ref="BAX23" ca="1" si="7389">IFERROR(MATCH(BAX12,BAN23:BAQ23,0),0)</f>
        <v>1</v>
      </c>
      <c r="BAY23" s="326">
        <f t="shared" ref="BAY23" ca="1" si="7390">IFERROR(MATCH(BAY12,BAN23:BAQ23,0),0)</f>
        <v>4</v>
      </c>
      <c r="BAZ23" s="326">
        <f t="shared" ref="BAZ23" ca="1" si="7391">IFERROR(MATCH(BAZ12,BAN23:BAQ23,0),0)</f>
        <v>0</v>
      </c>
      <c r="BBA23" s="326">
        <f t="shared" ca="1" si="4106"/>
        <v>5</v>
      </c>
      <c r="BBB23" s="325"/>
      <c r="BBC23" s="325" t="str">
        <f t="shared" ref="BBC23" ca="1" si="7392">VLOOKUP(2,AWG4:AWH7,2,FALSE)</f>
        <v>Scotland</v>
      </c>
      <c r="BBD23" s="325">
        <f t="shared" ca="1" si="5396"/>
        <v>1</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106</v>
      </c>
      <c r="BFM23" s="325" t="s">
        <v>107</v>
      </c>
      <c r="BFN23" s="325" t="s">
        <v>108</v>
      </c>
      <c r="BFO23" s="325" t="s">
        <v>109</v>
      </c>
      <c r="BFP23" s="324" t="s">
        <v>109</v>
      </c>
      <c r="BFQ23" s="324" t="s">
        <v>108</v>
      </c>
      <c r="BFR23" s="324" t="s">
        <v>106</v>
      </c>
      <c r="BFS23" s="324" t="s">
        <v>107</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106</v>
      </c>
      <c r="DI24" s="325" t="s">
        <v>107</v>
      </c>
      <c r="DJ24" s="325" t="s">
        <v>108</v>
      </c>
      <c r="DK24" s="325" t="s">
        <v>110</v>
      </c>
      <c r="DL24" s="324" t="s">
        <v>110</v>
      </c>
      <c r="DM24" s="324" t="s">
        <v>108</v>
      </c>
      <c r="DN24" s="324" t="s">
        <v>107</v>
      </c>
      <c r="DO24" s="324" t="s">
        <v>106</v>
      </c>
      <c r="DP24" s="325"/>
      <c r="DQ24" s="326">
        <f>IFERROR(MATCH(DQ12,DH24:DK24,0),0)</f>
        <v>2</v>
      </c>
      <c r="DR24" s="326">
        <f>IFERROR(MATCH(DR12,DH24:DK24,0),0)</f>
        <v>1</v>
      </c>
      <c r="DS24" s="326">
        <f>IFERROR(MATCH(DS12,DH24:DK24,0),0)</f>
        <v>0</v>
      </c>
      <c r="DT24" s="326">
        <f>IFERROR(MATCH(DT12,DH24:DK24,0),0)</f>
        <v>4</v>
      </c>
      <c r="DU24" s="326">
        <f t="shared" si="3541"/>
        <v>7</v>
      </c>
      <c r="DV24" s="325" t="s">
        <v>106</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3</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106</v>
      </c>
      <c r="IG24" s="325" t="s">
        <v>107</v>
      </c>
      <c r="IH24" s="325" t="s">
        <v>108</v>
      </c>
      <c r="II24" s="325" t="s">
        <v>110</v>
      </c>
      <c r="IJ24" s="324" t="s">
        <v>110</v>
      </c>
      <c r="IK24" s="324" t="s">
        <v>108</v>
      </c>
      <c r="IL24" s="324" t="s">
        <v>107</v>
      </c>
      <c r="IM24" s="324" t="s">
        <v>106</v>
      </c>
      <c r="IN24" s="325"/>
      <c r="IO24" s="326">
        <f ca="1">IFERROR(MATCH(IO12,IF24:II24,0),0)</f>
        <v>1</v>
      </c>
      <c r="IP24" s="326">
        <f ca="1">IFERROR(MATCH(IP12,IF24:II24,0),0)</f>
        <v>4</v>
      </c>
      <c r="IQ24" s="326">
        <f ca="1">IFERROR(MATCH(IQ12,IF24:II24,0),0)</f>
        <v>0</v>
      </c>
      <c r="IR24" s="326">
        <f ca="1">IFERROR(MATCH(IR12,IF24:II24,0),0)</f>
        <v>2</v>
      </c>
      <c r="IS24" s="326">
        <f t="shared" ca="1" si="3544"/>
        <v>7</v>
      </c>
      <c r="IT24" s="325" t="s">
        <v>106</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0</v>
      </c>
      <c r="MY24" s="319" t="str">
        <f t="shared" si="171"/>
        <v>Romania</v>
      </c>
      <c r="MZ24" s="319" t="str">
        <f ca="1">IF(AND(OFFSET('Player Game Board'!P31,0,MW1)&lt;&gt;"",OFFSET('Player Game Board'!Q31,0,MW1)&lt;&gt;""),IF(MW24&gt;MX24,"W",IF(MW24=MX24,"D","L")),"")</f>
        <v>W</v>
      </c>
      <c r="NA24" s="319" t="str">
        <f t="shared" ca="1" si="172"/>
        <v>L</v>
      </c>
      <c r="NB24" s="319"/>
      <c r="NC24" s="319"/>
      <c r="ND24" s="324" t="s">
        <v>106</v>
      </c>
      <c r="NE24" s="325" t="s">
        <v>107</v>
      </c>
      <c r="NF24" s="325" t="s">
        <v>108</v>
      </c>
      <c r="NG24" s="325" t="s">
        <v>110</v>
      </c>
      <c r="NH24" s="324" t="s">
        <v>110</v>
      </c>
      <c r="NI24" s="324" t="s">
        <v>108</v>
      </c>
      <c r="NJ24" s="324" t="s">
        <v>107</v>
      </c>
      <c r="NK24" s="324" t="s">
        <v>106</v>
      </c>
      <c r="NL24" s="325"/>
      <c r="NM24" s="326">
        <f ca="1">IFERROR(MATCH(NM12,ND24:NG24,0),0)</f>
        <v>1</v>
      </c>
      <c r="NN24" s="326">
        <f ca="1">IFERROR(MATCH(NN12,ND24:NG24,0),0)</f>
        <v>0</v>
      </c>
      <c r="NO24" s="326">
        <f ca="1">IFERROR(MATCH(NO12,ND24:NG24,0),0)</f>
        <v>0</v>
      </c>
      <c r="NP24" s="326">
        <f ca="1">IFERROR(MATCH(NP12,ND24:NG24,0),0)</f>
        <v>3</v>
      </c>
      <c r="NQ24" s="326">
        <f t="shared" ca="1" si="3547"/>
        <v>4</v>
      </c>
      <c r="NR24" s="325" t="s">
        <v>106</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2</v>
      </c>
      <c r="RV24" s="322">
        <f ca="1">IF(OFFSET('Player Game Board'!Q31,0,RU1)&lt;&gt;"",OFFSET('Player Game Board'!Q31,0,RU1),0)</f>
        <v>0</v>
      </c>
      <c r="RW24" s="319" t="str">
        <f t="shared" si="19"/>
        <v>Romania</v>
      </c>
      <c r="RX24" s="319" t="str">
        <f ca="1">IF(AND(OFFSET('Player Game Board'!P31,0,RU1)&lt;&gt;"",OFFSET('Player Game Board'!Q31,0,RU1)&lt;&gt;""),IF(RU24&gt;RV24,"W",IF(RU24=RV24,"D","L")),"")</f>
        <v>W</v>
      </c>
      <c r="RY24" s="319" t="str">
        <f t="shared" ca="1" si="5500"/>
        <v>L</v>
      </c>
      <c r="RZ24" s="319"/>
      <c r="SA24" s="319"/>
      <c r="SB24" s="324" t="s">
        <v>106</v>
      </c>
      <c r="SC24" s="325" t="s">
        <v>107</v>
      </c>
      <c r="SD24" s="325" t="s">
        <v>108</v>
      </c>
      <c r="SE24" s="325" t="s">
        <v>110</v>
      </c>
      <c r="SF24" s="324" t="s">
        <v>110</v>
      </c>
      <c r="SG24" s="324" t="s">
        <v>108</v>
      </c>
      <c r="SH24" s="324" t="s">
        <v>107</v>
      </c>
      <c r="SI24" s="324" t="s">
        <v>106</v>
      </c>
      <c r="SJ24" s="325"/>
      <c r="SK24" s="326">
        <f t="shared" ref="SK24" ca="1" si="7398">IFERROR(MATCH(SK12,SB24:SE24,0),0)</f>
        <v>1</v>
      </c>
      <c r="SL24" s="326">
        <f t="shared" ref="SL24" ca="1" si="7399">IFERROR(MATCH(SL12,SB24:SE24,0),0)</f>
        <v>3</v>
      </c>
      <c r="SM24" s="326">
        <f t="shared" ref="SM24" ca="1" si="7400">IFERROR(MATCH(SM12,SB24:SE24,0),0)</f>
        <v>2</v>
      </c>
      <c r="SN24" s="326">
        <f t="shared" ref="SN24" ca="1" si="7401">IFERROR(MATCH(SN12,SB24:SE24,0),0)</f>
        <v>0</v>
      </c>
      <c r="SO24" s="326">
        <f t="shared" ca="1" si="3616"/>
        <v>6</v>
      </c>
      <c r="SP24" s="325" t="s">
        <v>106</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4</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106</v>
      </c>
      <c r="XA24" s="325" t="s">
        <v>107</v>
      </c>
      <c r="XB24" s="325" t="s">
        <v>108</v>
      </c>
      <c r="XC24" s="325" t="s">
        <v>110</v>
      </c>
      <c r="XD24" s="324" t="s">
        <v>110</v>
      </c>
      <c r="XE24" s="324" t="s">
        <v>108</v>
      </c>
      <c r="XF24" s="324" t="s">
        <v>107</v>
      </c>
      <c r="XG24" s="324" t="s">
        <v>106</v>
      </c>
      <c r="XH24" s="325"/>
      <c r="XI24" s="326">
        <f t="shared" ref="XI24" ca="1" si="7403">IFERROR(MATCH(XI12,WZ24:XC24,0),0)</f>
        <v>1</v>
      </c>
      <c r="XJ24" s="326">
        <f t="shared" ref="XJ24" ca="1" si="7404">IFERROR(MATCH(XJ12,WZ24:XC24,0),0)</f>
        <v>4</v>
      </c>
      <c r="XK24" s="326">
        <f t="shared" ref="XK24" ca="1" si="7405">IFERROR(MATCH(XK12,WZ24:XC24,0),0)</f>
        <v>2</v>
      </c>
      <c r="XL24" s="326">
        <f t="shared" ref="XL24" ca="1" si="7406">IFERROR(MATCH(XL12,WZ24:XC24,0),0)</f>
        <v>3</v>
      </c>
      <c r="XM24" s="326">
        <f t="shared" ca="1" si="3686"/>
        <v>10</v>
      </c>
      <c r="XN24" s="325" t="s">
        <v>106</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106</v>
      </c>
      <c r="ABY24" s="325" t="s">
        <v>107</v>
      </c>
      <c r="ABZ24" s="325" t="s">
        <v>108</v>
      </c>
      <c r="ACA24" s="325" t="s">
        <v>110</v>
      </c>
      <c r="ACB24" s="324" t="s">
        <v>110</v>
      </c>
      <c r="ACC24" s="324" t="s">
        <v>108</v>
      </c>
      <c r="ACD24" s="324" t="s">
        <v>107</v>
      </c>
      <c r="ACE24" s="324" t="s">
        <v>106</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106</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106</v>
      </c>
      <c r="AGW24" s="325" t="s">
        <v>107</v>
      </c>
      <c r="AGX24" s="325" t="s">
        <v>108</v>
      </c>
      <c r="AGY24" s="325" t="s">
        <v>110</v>
      </c>
      <c r="AGZ24" s="324" t="s">
        <v>110</v>
      </c>
      <c r="AHA24" s="324" t="s">
        <v>108</v>
      </c>
      <c r="AHB24" s="324" t="s">
        <v>107</v>
      </c>
      <c r="AHC24" s="324" t="s">
        <v>106</v>
      </c>
      <c r="AHD24" s="325"/>
      <c r="AHE24" s="326">
        <f t="shared" ref="AHE24" ca="1" si="7413">IFERROR(MATCH(AHE12,AGV24:AGY24,0),0)</f>
        <v>1</v>
      </c>
      <c r="AHF24" s="326">
        <f t="shared" ref="AHF24" ca="1" si="7414">IFERROR(MATCH(AHF12,AGV24:AGY24,0),0)</f>
        <v>2</v>
      </c>
      <c r="AHG24" s="326">
        <f t="shared" ref="AHG24" ca="1" si="7415">IFERROR(MATCH(AHG12,AGV24:AGY24,0),0)</f>
        <v>3</v>
      </c>
      <c r="AHH24" s="326">
        <f t="shared" ref="AHH24" ca="1" si="7416">IFERROR(MATCH(AHH12,AGV24:AGY24,0),0)</f>
        <v>4</v>
      </c>
      <c r="AHI24" s="326">
        <f t="shared" ca="1" si="3826"/>
        <v>10</v>
      </c>
      <c r="AHJ24" s="325" t="s">
        <v>106</v>
      </c>
      <c r="AHK24" s="325" t="str">
        <f t="shared" ref="AHK24" ca="1" si="7417">VLOOKUP(1,ACO11:ACP14,2,FALSE)</f>
        <v>Croatia</v>
      </c>
      <c r="AHL24" s="325">
        <f t="shared" ca="1" si="5224"/>
        <v>0</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1</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106</v>
      </c>
      <c r="ALU24" s="325" t="s">
        <v>107</v>
      </c>
      <c r="ALV24" s="325" t="s">
        <v>108</v>
      </c>
      <c r="ALW24" s="325" t="s">
        <v>110</v>
      </c>
      <c r="ALX24" s="324" t="s">
        <v>110</v>
      </c>
      <c r="ALY24" s="324" t="s">
        <v>108</v>
      </c>
      <c r="ALZ24" s="324" t="s">
        <v>107</v>
      </c>
      <c r="AMA24" s="324" t="s">
        <v>106</v>
      </c>
      <c r="AMB24" s="325"/>
      <c r="AMC24" s="326">
        <f t="shared" ref="AMC24" ca="1" si="7418">IFERROR(MATCH(AMC12,ALT24:ALW24,0),0)</f>
        <v>0</v>
      </c>
      <c r="AMD24" s="326">
        <f t="shared" ref="AMD24" ca="1" si="7419">IFERROR(MATCH(AMD12,ALT24:ALW24,0),0)</f>
        <v>1</v>
      </c>
      <c r="AME24" s="326">
        <f t="shared" ref="AME24" ca="1" si="7420">IFERROR(MATCH(AME12,ALT24:ALW24,0),0)</f>
        <v>3</v>
      </c>
      <c r="AMF24" s="326">
        <f t="shared" ref="AMF24" ca="1" si="7421">IFERROR(MATCH(AMF12,ALT24:ALW24,0),0)</f>
        <v>2</v>
      </c>
      <c r="AMG24" s="326">
        <f t="shared" ca="1" si="3896"/>
        <v>6</v>
      </c>
      <c r="AMH24" s="325" t="s">
        <v>106</v>
      </c>
      <c r="AMI24" s="325" t="str">
        <f t="shared" ref="AMI24" ca="1" si="7422">VLOOKUP(1,AHM11:AHN14,2,FALSE)</f>
        <v>Italy</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3</v>
      </c>
      <c r="AQL24" s="322">
        <f ca="1">IF(OFFSET('Player Game Board'!Q31,0,AQK1)&lt;&gt;"",OFFSET('Player Game Board'!Q31,0,AQK1),0)</f>
        <v>1</v>
      </c>
      <c r="AQM24" s="319" t="str">
        <f t="shared" si="99"/>
        <v>Romania</v>
      </c>
      <c r="AQN24" s="319" t="str">
        <f ca="1">IF(AND(OFFSET('Player Game Board'!P31,0,AQK1)&lt;&gt;"",OFFSET('Player Game Board'!Q31,0,AQK1)&lt;&gt;""),IF(AQK24&gt;AQL24,"W",IF(AQK24=AQL24,"D","L")),"")</f>
        <v>W</v>
      </c>
      <c r="AQO24" s="319" t="str">
        <f t="shared" ca="1" si="5775"/>
        <v>L</v>
      </c>
      <c r="AQP24" s="319"/>
      <c r="AQQ24" s="319"/>
      <c r="AQR24" s="324" t="s">
        <v>106</v>
      </c>
      <c r="AQS24" s="325" t="s">
        <v>107</v>
      </c>
      <c r="AQT24" s="325" t="s">
        <v>108</v>
      </c>
      <c r="AQU24" s="325" t="s">
        <v>110</v>
      </c>
      <c r="AQV24" s="324" t="s">
        <v>110</v>
      </c>
      <c r="AQW24" s="324" t="s">
        <v>108</v>
      </c>
      <c r="AQX24" s="324" t="s">
        <v>107</v>
      </c>
      <c r="AQY24" s="324" t="s">
        <v>106</v>
      </c>
      <c r="AQZ24" s="325"/>
      <c r="ARA24" s="326">
        <f t="shared" ref="ARA24" ca="1" si="7423">IFERROR(MATCH(ARA12,AQR24:AQU24,0),0)</f>
        <v>1</v>
      </c>
      <c r="ARB24" s="326">
        <f t="shared" ref="ARB24" ca="1" si="7424">IFERROR(MATCH(ARB12,AQR24:AQU24,0),0)</f>
        <v>0</v>
      </c>
      <c r="ARC24" s="326">
        <f t="shared" ref="ARC24" ca="1" si="7425">IFERROR(MATCH(ARC12,AQR24:AQU24,0),0)</f>
        <v>4</v>
      </c>
      <c r="ARD24" s="326">
        <f t="shared" ref="ARD24" ca="1" si="7426">IFERROR(MATCH(ARD12,AQR24:AQU24,0),0)</f>
        <v>0</v>
      </c>
      <c r="ARE24" s="326">
        <f t="shared" ca="1" si="3966"/>
        <v>5</v>
      </c>
      <c r="ARF24" s="325" t="s">
        <v>106</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1</v>
      </c>
      <c r="AVJ24" s="322">
        <f ca="1">IF(OFFSET('Player Game Board'!Q31,0,AVI1)&lt;&gt;"",OFFSET('Player Game Board'!Q31,0,AVI1),0)</f>
        <v>0</v>
      </c>
      <c r="AVK24" s="319" t="str">
        <f t="shared" si="115"/>
        <v>Romania</v>
      </c>
      <c r="AVL24" s="319" t="str">
        <f ca="1">IF(AND(OFFSET('Player Game Board'!P31,0,AVI1)&lt;&gt;"",OFFSET('Player Game Board'!Q31,0,AVI1)&lt;&gt;""),IF(AVI24&gt;AVJ24,"W",IF(AVI24=AVJ24,"D","L")),"")</f>
        <v>W</v>
      </c>
      <c r="AVM24" s="319" t="str">
        <f t="shared" ca="1" si="5830"/>
        <v>L</v>
      </c>
      <c r="AVN24" s="319"/>
      <c r="AVO24" s="319"/>
      <c r="AVP24" s="324" t="s">
        <v>106</v>
      </c>
      <c r="AVQ24" s="325" t="s">
        <v>107</v>
      </c>
      <c r="AVR24" s="325" t="s">
        <v>108</v>
      </c>
      <c r="AVS24" s="325" t="s">
        <v>110</v>
      </c>
      <c r="AVT24" s="324" t="s">
        <v>110</v>
      </c>
      <c r="AVU24" s="324" t="s">
        <v>108</v>
      </c>
      <c r="AVV24" s="324" t="s">
        <v>107</v>
      </c>
      <c r="AVW24" s="324" t="s">
        <v>106</v>
      </c>
      <c r="AVX24" s="325"/>
      <c r="AVY24" s="326">
        <f t="shared" ref="AVY24" ca="1" si="7428">IFERROR(MATCH(AVY12,AVP24:AVS24,0),0)</f>
        <v>1</v>
      </c>
      <c r="AVZ24" s="326">
        <f t="shared" ref="AVZ24" ca="1" si="7429">IFERROR(MATCH(AVZ12,AVP24:AVS24,0),0)</f>
        <v>0</v>
      </c>
      <c r="AWA24" s="326">
        <f t="shared" ref="AWA24" ca="1" si="7430">IFERROR(MATCH(AWA12,AVP24:AVS24,0),0)</f>
        <v>0</v>
      </c>
      <c r="AWB24" s="326">
        <f t="shared" ref="AWB24" ca="1" si="7431">IFERROR(MATCH(AWB12,AVP24:AVS24,0),0)</f>
        <v>2</v>
      </c>
      <c r="AWC24" s="326">
        <f t="shared" ca="1" si="4036"/>
        <v>3</v>
      </c>
      <c r="AWD24" s="325" t="s">
        <v>106</v>
      </c>
      <c r="AWE24" s="325" t="str">
        <f t="shared" ref="AWE24" ca="1" si="7432">VLOOKUP(1,ARI11:ARJ14,2,FALSE)</f>
        <v>Italy</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4</v>
      </c>
      <c r="BAH24" s="322">
        <f ca="1">IF(OFFSET('Player Game Board'!Q31,0,BAG1)&lt;&gt;"",OFFSET('Player Game Board'!Q31,0,BAG1),0)</f>
        <v>2</v>
      </c>
      <c r="BAI24" s="319" t="str">
        <f t="shared" si="131"/>
        <v>Romania</v>
      </c>
      <c r="BAJ24" s="319" t="str">
        <f ca="1">IF(AND(OFFSET('Player Game Board'!P31,0,BAG1)&lt;&gt;"",OFFSET('Player Game Board'!Q31,0,BAG1)&lt;&gt;""),IF(BAG24&gt;BAH24,"W",IF(BAG24=BAH24,"D","L")),"")</f>
        <v>W</v>
      </c>
      <c r="BAK24" s="319" t="str">
        <f t="shared" ca="1" si="5885"/>
        <v>L</v>
      </c>
      <c r="BAL24" s="319"/>
      <c r="BAM24" s="319"/>
      <c r="BAN24" s="324" t="s">
        <v>106</v>
      </c>
      <c r="BAO24" s="325" t="s">
        <v>107</v>
      </c>
      <c r="BAP24" s="325" t="s">
        <v>108</v>
      </c>
      <c r="BAQ24" s="325" t="s">
        <v>110</v>
      </c>
      <c r="BAR24" s="324" t="s">
        <v>110</v>
      </c>
      <c r="BAS24" s="324" t="s">
        <v>108</v>
      </c>
      <c r="BAT24" s="324" t="s">
        <v>107</v>
      </c>
      <c r="BAU24" s="324" t="s">
        <v>106</v>
      </c>
      <c r="BAV24" s="325"/>
      <c r="BAW24" s="326">
        <f t="shared" ref="BAW24" ca="1" si="7433">IFERROR(MATCH(BAW12,BAN24:BAQ24,0),0)</f>
        <v>0</v>
      </c>
      <c r="BAX24" s="326">
        <f t="shared" ref="BAX24" ca="1" si="7434">IFERROR(MATCH(BAX12,BAN24:BAQ24,0),0)</f>
        <v>1</v>
      </c>
      <c r="BAY24" s="326">
        <f t="shared" ref="BAY24" ca="1" si="7435">IFERROR(MATCH(BAY12,BAN24:BAQ24,0),0)</f>
        <v>0</v>
      </c>
      <c r="BAZ24" s="326">
        <f t="shared" ref="BAZ24" ca="1" si="7436">IFERROR(MATCH(BAZ12,BAN24:BAQ24,0),0)</f>
        <v>4</v>
      </c>
      <c r="BBA24" s="326">
        <f t="shared" ca="1" si="4106"/>
        <v>5</v>
      </c>
      <c r="BBB24" s="325" t="s">
        <v>106</v>
      </c>
      <c r="BBC24" s="325" t="str">
        <f t="shared" ref="BBC24" ca="1" si="7437">VLOOKUP(1,AWG11:AWH14,2,FALSE)</f>
        <v>Italy</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106</v>
      </c>
      <c r="BFM24" s="325" t="s">
        <v>107</v>
      </c>
      <c r="BFN24" s="325" t="s">
        <v>108</v>
      </c>
      <c r="BFO24" s="325" t="s">
        <v>110</v>
      </c>
      <c r="BFP24" s="324" t="s">
        <v>110</v>
      </c>
      <c r="BFQ24" s="324" t="s">
        <v>108</v>
      </c>
      <c r="BFR24" s="324" t="s">
        <v>107</v>
      </c>
      <c r="BFS24" s="324" t="s">
        <v>106</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106</v>
      </c>
      <c r="BGA24" s="325" t="str">
        <f t="shared" ref="BGA24" ca="1" si="7442">VLOOKUP(1,BBE11:BBF14,2,FALSE)</f>
        <v>Spain</v>
      </c>
      <c r="BGB24" s="325">
        <f t="shared" ca="1" si="5439"/>
        <v>1</v>
      </c>
    </row>
    <row r="25" spans="1:1536" ht="13.8" x14ac:dyDescent="0.3">
      <c r="A25" s="319">
        <f>VLOOKUP(B25,CW25:CX29,2,FALSE)</f>
        <v>3</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3</v>
      </c>
      <c r="L25" s="319"/>
      <c r="M25" s="319">
        <f>SUMPRODUCT((K25:K28=K25)*(J25:J28&lt;J25))+K25</f>
        <v>3</v>
      </c>
      <c r="N25" s="319" t="str">
        <f>INDEX(B25:B29,MATCH(1,M25:M29,0),0)</f>
        <v>Netherlands</v>
      </c>
      <c r="O25" s="319">
        <f>INDEX(K25:K29,MATCH(N25,B25:B29,0),0)</f>
        <v>1</v>
      </c>
      <c r="P25" s="319" t="str">
        <f>IF(O26=1,N25,"")</f>
        <v>Netherlands</v>
      </c>
      <c r="Q25" s="319" t="str">
        <f>IF(O27=2,N26,"")</f>
        <v/>
      </c>
      <c r="R25" s="319" t="str">
        <f>IF(O28=3,N27,"")</f>
        <v>Poland</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0</v>
      </c>
      <c r="AC25" s="319">
        <f>IF(U25&lt;&gt;"",VLOOKUP(U25,B4:H40,7,FALSE),"")</f>
        <v>1001</v>
      </c>
      <c r="AD25" s="319">
        <f>IF(U25&lt;&gt;"",VLOOKUP(U25,B4:H40,5,FALSE),"")</f>
        <v>2</v>
      </c>
      <c r="AE25" s="319">
        <f>IF(U25&lt;&gt;"",VLOOKUP(U25,B4:J40,9,FALSE),"")</f>
        <v>42</v>
      </c>
      <c r="AF25" s="319">
        <f t="shared" ref="AF25:AF28" si="7446">AB25</f>
        <v>0</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106</v>
      </c>
      <c r="DI25" s="325" t="s">
        <v>107</v>
      </c>
      <c r="DJ25" s="325" t="s">
        <v>109</v>
      </c>
      <c r="DK25" s="325" t="s">
        <v>110</v>
      </c>
      <c r="DL25" s="324" t="s">
        <v>110</v>
      </c>
      <c r="DM25" s="324" t="s">
        <v>109</v>
      </c>
      <c r="DN25" s="324" t="s">
        <v>107</v>
      </c>
      <c r="DO25" s="324" t="s">
        <v>106</v>
      </c>
      <c r="DP25" s="325"/>
      <c r="DQ25" s="326">
        <f>IFERROR(MATCH(DQ12,DH25:DK25,0),0)</f>
        <v>2</v>
      </c>
      <c r="DR25" s="326">
        <f>IFERROR(MATCH(DR12,DH25:DK25,0),0)</f>
        <v>1</v>
      </c>
      <c r="DS25" s="326">
        <f>IFERROR(MATCH(DS12,DH25:DK25,0),0)</f>
        <v>0</v>
      </c>
      <c r="DT25" s="326">
        <f>IFERROR(MATCH(DT12,DH25:DK25,0),0)</f>
        <v>4</v>
      </c>
      <c r="DU25" s="326">
        <f t="shared" si="3541"/>
        <v>7</v>
      </c>
      <c r="DV25" s="325"/>
      <c r="DW25" s="325" t="str">
        <f>VLOOKUP(2,A11:B14,2,FALSE)</f>
        <v>Italy</v>
      </c>
      <c r="DX25" s="325"/>
      <c r="DY25" s="319">
        <f ca="1">VLOOKUP(DZ25,HU25:HV29,2,FALSE)</f>
        <v>3</v>
      </c>
      <c r="DZ25" s="319" t="str">
        <f>B25</f>
        <v>Poland</v>
      </c>
      <c r="EA25" s="319">
        <f ca="1">SUMPRODUCT((HX3:HX42=DZ25)*(IB3:IB42="W"))+SUMPRODUCT((IA3:IA42=DZ25)*(IC3:IC42="W"))</f>
        <v>1</v>
      </c>
      <c r="EB25" s="319">
        <f ca="1">SUMPRODUCT((HX3:HX42=DZ25)*(IB3:IB42="D"))+SUMPRODUCT((IA3:IA42=DZ25)*(IC3:IC42="D"))</f>
        <v>0</v>
      </c>
      <c r="EC25" s="319">
        <f ca="1">SUMPRODUCT((HX3:HX42=DZ25)*(IB3:IB42="L"))+SUMPRODUCT((IA3:IA42=DZ25)*(IC3:IC42="L"))</f>
        <v>2</v>
      </c>
      <c r="ED25" s="319">
        <f ca="1">SUMIF(HX3:HX60,DZ25,HY3:HY60)+SUMIF(IA3:IA60,DZ25,HZ3:HZ60)</f>
        <v>3</v>
      </c>
      <c r="EE25" s="319">
        <f ca="1">SUMIF(IA3:IA60,DZ25,HY3:HY60)+SUMIF(HX3:HX60,DZ25,HZ3:HZ60)</f>
        <v>5</v>
      </c>
      <c r="EF25" s="319">
        <f t="shared" ref="EF25:EF28" ca="1" si="7447">ED25-EE25+1000</f>
        <v>998</v>
      </c>
      <c r="EG25" s="319">
        <f t="shared" ref="EG25:EG28" ca="1" si="7448">EA25*3+EB25*1</f>
        <v>3</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106</v>
      </c>
      <c r="IG25" s="325" t="s">
        <v>107</v>
      </c>
      <c r="IH25" s="325" t="s">
        <v>109</v>
      </c>
      <c r="II25" s="325" t="s">
        <v>110</v>
      </c>
      <c r="IJ25" s="324" t="s">
        <v>110</v>
      </c>
      <c r="IK25" s="324" t="s">
        <v>109</v>
      </c>
      <c r="IL25" s="324" t="s">
        <v>107</v>
      </c>
      <c r="IM25" s="324" t="s">
        <v>106</v>
      </c>
      <c r="IN25" s="325"/>
      <c r="IO25" s="326">
        <f ca="1">IFERROR(MATCH(IO12,IF25:II25,0),0)</f>
        <v>1</v>
      </c>
      <c r="IP25" s="326">
        <f ca="1">IFERROR(MATCH(IP12,IF25:II25,0),0)</f>
        <v>4</v>
      </c>
      <c r="IQ25" s="326">
        <f ca="1">IFERROR(MATCH(IQ12,IF25:II25,0),0)</f>
        <v>0</v>
      </c>
      <c r="IR25" s="326">
        <f ca="1">IFERROR(MATCH(IR12,IF25:II25,0),0)</f>
        <v>2</v>
      </c>
      <c r="IS25" s="326">
        <f t="shared" ca="1" si="3544"/>
        <v>7</v>
      </c>
      <c r="IT25" s="325"/>
      <c r="IU25" s="325" t="str">
        <f ca="1">VLOOKUP(2,DY11:DZ14,2,FALSE)</f>
        <v>Italy</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5</v>
      </c>
      <c r="JD25" s="319">
        <f t="shared" ref="JD25:JD28" ca="1" si="7451">JB25-JC25+1000</f>
        <v>999</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1004</v>
      </c>
      <c r="JZ25" s="319">
        <f ca="1">IF(JQ25&lt;&gt;"",VLOOKUP(JQ25,IX4:JD40,5,FALSE),"")</f>
        <v>7</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0</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1</v>
      </c>
      <c r="KJ25" s="319" t="str">
        <f ca="1">IF(JQ25&lt;&gt;"",INDEX(JQ25:JQ29,MATCH(1,KI25:KI29,0),0),"")</f>
        <v>Netherlands</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Netherlands</v>
      </c>
      <c r="MT25" s="319">
        <v>1</v>
      </c>
      <c r="MU25" s="319">
        <v>23</v>
      </c>
      <c r="MV25" s="319" t="str">
        <f t="shared" si="170"/>
        <v>Türkiye</v>
      </c>
      <c r="MW25" s="322">
        <f ca="1">IF(OFFSET('Player Game Board'!P32,0,MW1)&lt;&gt;"",OFFSET('Player Game Board'!P32,0,MW1),0)</f>
        <v>1</v>
      </c>
      <c r="MX25" s="322">
        <f ca="1">IF(OFFSET('Player Game Board'!Q32,0,MW1)&lt;&gt;"",OFFSET('Player Game Board'!Q32,0,MW1),0)</f>
        <v>2</v>
      </c>
      <c r="MY25" s="319" t="str">
        <f t="shared" si="171"/>
        <v>Portugal</v>
      </c>
      <c r="MZ25" s="319" t="str">
        <f ca="1">IF(AND(OFFSET('Player Game Board'!P32,0,MW1)&lt;&gt;"",OFFSET('Player Game Board'!Q32,0,MW1)&lt;&gt;""),IF(MW25&gt;MX25,"W",IF(MW25=MX25,"D","L")),"")</f>
        <v>L</v>
      </c>
      <c r="NA25" s="319" t="str">
        <f t="shared" ca="1" si="172"/>
        <v>W</v>
      </c>
      <c r="NB25" s="319"/>
      <c r="NC25" s="319"/>
      <c r="ND25" s="324" t="s">
        <v>106</v>
      </c>
      <c r="NE25" s="325" t="s">
        <v>107</v>
      </c>
      <c r="NF25" s="325" t="s">
        <v>109</v>
      </c>
      <c r="NG25" s="325" t="s">
        <v>110</v>
      </c>
      <c r="NH25" s="324" t="s">
        <v>110</v>
      </c>
      <c r="NI25" s="324" t="s">
        <v>109</v>
      </c>
      <c r="NJ25" s="324" t="s">
        <v>107</v>
      </c>
      <c r="NK25" s="324" t="s">
        <v>106</v>
      </c>
      <c r="NL25" s="325"/>
      <c r="NM25" s="326">
        <f ca="1">IFERROR(MATCH(NM12,ND25:NG25,0),0)</f>
        <v>1</v>
      </c>
      <c r="NN25" s="326">
        <f ca="1">IFERROR(MATCH(NN12,ND25:NG25,0),0)</f>
        <v>3</v>
      </c>
      <c r="NO25" s="326">
        <f ca="1">IFERROR(MATCH(NO12,ND25:NG25,0),0)</f>
        <v>0</v>
      </c>
      <c r="NP25" s="326">
        <f ca="1">IFERROR(MATCH(NP12,ND25:NG25,0),0)</f>
        <v>0</v>
      </c>
      <c r="NQ25" s="326">
        <f t="shared" ca="1" si="3547"/>
        <v>4</v>
      </c>
      <c r="NR25" s="325"/>
      <c r="NS25" s="325" t="str">
        <f ca="1">VLOOKUP(2,IW11:IX14,2,FALSE)</f>
        <v>Croatia</v>
      </c>
      <c r="NT25" s="325">
        <f t="shared" ca="1" si="5052"/>
        <v>0</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3</v>
      </c>
      <c r="NZ25" s="319">
        <f t="shared" ref="NZ25" ca="1" si="7460">SUMIF(RT3:RT60,NV25,RU3:RU60)+SUMIF(RW3:RW60,NV25,RV3:RV60)</f>
        <v>2</v>
      </c>
      <c r="OA25" s="319">
        <f t="shared" ref="OA25" ca="1" si="7461">SUMIF(RW3:RW60,NV25,RU3:RU60)+SUMIF(RT3:RT60,NV25,RV3:RV60)</f>
        <v>5</v>
      </c>
      <c r="OB25" s="319">
        <f t="shared" ref="OB25:OB28" ca="1" si="7462">NZ25-OA25+1000</f>
        <v>997</v>
      </c>
      <c r="OC25" s="319">
        <f t="shared" ref="OC25:OC28" ca="1" si="7463">NW25*3+NX25*1</f>
        <v>0</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Netherlands</v>
      </c>
      <c r="OI25" s="319">
        <f t="shared" ref="OI25" ca="1" si="7467">INDEX(OE25:OE29,MATCH(OH25,NV25:NV29,0),0)</f>
        <v>1</v>
      </c>
      <c r="OJ25" s="319" t="str">
        <f t="shared" ref="OJ25" ca="1" si="7468">IF(OI26=1,OH25,"")</f>
        <v>Netherlands</v>
      </c>
      <c r="OK25" s="319" t="str">
        <f t="shared" ref="OK25" ca="1" si="7469">IF(OI27=2,OH26,"")</f>
        <v/>
      </c>
      <c r="OL25" s="319" t="str">
        <f t="shared" ref="OL25" ca="1" si="7470">IF(OI28=3,OH27,"")</f>
        <v/>
      </c>
      <c r="OM25" s="319" t="str">
        <f t="shared" ref="OM25" si="7471">IF(OI29=4,OH28,"")</f>
        <v/>
      </c>
      <c r="ON25" s="319"/>
      <c r="OO25" s="319" t="str">
        <f t="shared" ref="OO25:OO28" ca="1" si="7472">IF(OJ25&lt;&gt;"",OJ25,"")</f>
        <v>Netherlands</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19">
        <f t="shared" ref="OU25:OU28" ca="1" si="7478">OS25-OT25+1000</f>
        <v>1000</v>
      </c>
      <c r="OV25" s="319">
        <f t="shared" ref="OV25:OV28" ca="1" si="7479">IF(OO25&lt;&gt;"",OP25*3+OQ25*1,"")</f>
        <v>1</v>
      </c>
      <c r="OW25" s="319">
        <f t="shared" ref="OW25" ca="1" si="7480">IF(OO25&lt;&gt;"",VLOOKUP(OO25,NV4:OB40,7,FALSE),"")</f>
        <v>1002</v>
      </c>
      <c r="OX25" s="319">
        <f t="shared" ref="OX25" ca="1" si="7481">IF(OO25&lt;&gt;"",VLOOKUP(OO25,NV4:OB40,5,FALSE),"")</f>
        <v>6</v>
      </c>
      <c r="OY25" s="319">
        <f t="shared" ref="OY25" ca="1" si="7482">IF(OO25&lt;&gt;"",VLOOKUP(OO25,NV4:OD40,9,FALSE),"")</f>
        <v>42</v>
      </c>
      <c r="OZ25" s="319">
        <f t="shared" ref="OZ25:OZ28" ca="1" si="7483">OV25</f>
        <v>1</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1</v>
      </c>
      <c r="PG25" s="319">
        <f ca="1">IF(OO25&lt;&gt;"",IF(PG65&lt;&gt;"",IF(ON64=3,PG65,PG65+ON64),SUM(PA25:PF25)),"")</f>
        <v>2</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2</v>
      </c>
      <c r="RW25" s="319" t="str">
        <f t="shared" si="19"/>
        <v>Portugal</v>
      </c>
      <c r="RX25" s="319" t="str">
        <f ca="1">IF(AND(OFFSET('Player Game Board'!P32,0,RU1)&lt;&gt;"",OFFSET('Player Game Board'!Q32,0,RU1)&lt;&gt;""),IF(RU25&gt;RV25,"W",IF(RU25=RV25,"D","L")),"")</f>
        <v>L</v>
      </c>
      <c r="RY25" s="319" t="str">
        <f t="shared" ca="1" si="5500"/>
        <v>W</v>
      </c>
      <c r="RZ25" s="319"/>
      <c r="SA25" s="319"/>
      <c r="SB25" s="324" t="s">
        <v>106</v>
      </c>
      <c r="SC25" s="325" t="s">
        <v>107</v>
      </c>
      <c r="SD25" s="325" t="s">
        <v>109</v>
      </c>
      <c r="SE25" s="325" t="s">
        <v>110</v>
      </c>
      <c r="SF25" s="324" t="s">
        <v>110</v>
      </c>
      <c r="SG25" s="324" t="s">
        <v>109</v>
      </c>
      <c r="SH25" s="324" t="s">
        <v>107</v>
      </c>
      <c r="SI25" s="324" t="s">
        <v>106</v>
      </c>
      <c r="SJ25" s="325"/>
      <c r="SK25" s="326">
        <f t="shared" ref="SK25" ca="1" si="7492">IFERROR(MATCH(SK12,SB25:SE25,0),0)</f>
        <v>1</v>
      </c>
      <c r="SL25" s="326">
        <f t="shared" ref="SL25" ca="1" si="7493">IFERROR(MATCH(SL12,SB25:SE25,0),0)</f>
        <v>0</v>
      </c>
      <c r="SM25" s="326">
        <f t="shared" ref="SM25" ca="1" si="7494">IFERROR(MATCH(SM12,SB25:SE25,0),0)</f>
        <v>2</v>
      </c>
      <c r="SN25" s="326">
        <f t="shared" ref="SN25" ca="1" si="7495">IFERROR(MATCH(SN12,SB25:SE25,0),0)</f>
        <v>3</v>
      </c>
      <c r="SO25" s="326">
        <f t="shared" ca="1" si="3616"/>
        <v>6</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1</v>
      </c>
      <c r="SV25" s="319">
        <f t="shared" ref="SV25" ca="1" si="7500">SUMPRODUCT((WR3:WR42=ST25)*(WV3:WV42="D"))+SUMPRODUCT((WU3:WU42=ST25)*(WW3:WW42="D"))</f>
        <v>0</v>
      </c>
      <c r="SW25" s="319">
        <f t="shared" ref="SW25" ca="1" si="7501">SUMPRODUCT((WR3:WR42=ST25)*(WV3:WV42="L"))+SUMPRODUCT((WU3:WU42=ST25)*(WW3:WW42="L"))</f>
        <v>2</v>
      </c>
      <c r="SX25" s="319">
        <f t="shared" ref="SX25" ca="1" si="7502">SUMIF(WR3:WR60,ST25,WS3:WS60)+SUMIF(WU3:WU60,ST25,WT3:WT60)</f>
        <v>2</v>
      </c>
      <c r="SY25" s="319">
        <f t="shared" ref="SY25" ca="1" si="7503">SUMIF(WU3:WU60,ST25,WS3:WS60)+SUMIF(WR3:WR60,ST25,WT3:WT60)</f>
        <v>5</v>
      </c>
      <c r="SZ25" s="319">
        <f t="shared" ref="SZ25:SZ28" ca="1" si="7504">SX25-SY25+1000</f>
        <v>997</v>
      </c>
      <c r="TA25" s="319">
        <f t="shared" ref="TA25:TA28" ca="1" si="7505">SU25*3+SV25*1</f>
        <v>3</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3</v>
      </c>
      <c r="WU25" s="319" t="str">
        <f t="shared" si="35"/>
        <v>Portugal</v>
      </c>
      <c r="WV25" s="319" t="str">
        <f ca="1">IF(AND(OFFSET('Player Game Board'!P32,0,WS1)&lt;&gt;"",OFFSET('Player Game Board'!Q32,0,WS1)&lt;&gt;""),IF(WS25&gt;WT25,"W",IF(WS25=WT25,"D","L")),"")</f>
        <v>L</v>
      </c>
      <c r="WW25" s="319" t="str">
        <f t="shared" ca="1" si="5555"/>
        <v>W</v>
      </c>
      <c r="WX25" s="319"/>
      <c r="WY25" s="319"/>
      <c r="WZ25" s="324" t="s">
        <v>106</v>
      </c>
      <c r="XA25" s="325" t="s">
        <v>107</v>
      </c>
      <c r="XB25" s="325" t="s">
        <v>109</v>
      </c>
      <c r="XC25" s="325" t="s">
        <v>110</v>
      </c>
      <c r="XD25" s="324" t="s">
        <v>110</v>
      </c>
      <c r="XE25" s="324" t="s">
        <v>109</v>
      </c>
      <c r="XF25" s="324" t="s">
        <v>107</v>
      </c>
      <c r="XG25" s="324" t="s">
        <v>106</v>
      </c>
      <c r="XH25" s="325"/>
      <c r="XI25" s="326">
        <f t="shared" ref="XI25" ca="1" si="7534">IFERROR(MATCH(XI12,WZ25:XC25,0),0)</f>
        <v>1</v>
      </c>
      <c r="XJ25" s="326">
        <f t="shared" ref="XJ25" ca="1" si="7535">IFERROR(MATCH(XJ12,WZ25:XC25,0),0)</f>
        <v>4</v>
      </c>
      <c r="XK25" s="326">
        <f t="shared" ref="XK25" ca="1" si="7536">IFERROR(MATCH(XK12,WZ25:XC25,0),0)</f>
        <v>2</v>
      </c>
      <c r="XL25" s="326">
        <f t="shared" ref="XL25" ca="1" si="7537">IFERROR(MATCH(XL12,WZ25:XC25,0),0)</f>
        <v>0</v>
      </c>
      <c r="XM25" s="326">
        <f t="shared" ca="1" si="3686"/>
        <v>7</v>
      </c>
      <c r="XN25" s="325"/>
      <c r="XO25" s="325" t="str">
        <f t="shared" ref="XO25" ca="1" si="7538">VLOOKUP(2,SS11:ST14,2,FALSE)</f>
        <v>Croatia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106</v>
      </c>
      <c r="ABY25" s="325" t="s">
        <v>107</v>
      </c>
      <c r="ABZ25" s="325" t="s">
        <v>109</v>
      </c>
      <c r="ACA25" s="325" t="s">
        <v>110</v>
      </c>
      <c r="ACB25" s="324" t="s">
        <v>110</v>
      </c>
      <c r="ACC25" s="324" t="s">
        <v>109</v>
      </c>
      <c r="ACD25" s="324" t="s">
        <v>107</v>
      </c>
      <c r="ACE25" s="324" t="s">
        <v>106</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3</v>
      </c>
      <c r="ACP25" s="319" t="str">
        <f t="shared" ref="ACP25:ACP28" si="7582">XR25</f>
        <v>Poland</v>
      </c>
      <c r="ACQ25" s="319">
        <f t="shared" ref="ACQ25" ca="1" si="7583">SUMPRODUCT((AGN3:AGN42=ACP25)*(AGR3:AGR42="W"))+SUMPRODUCT((AGQ3:AGQ42=ACP25)*(AGS3:AGS42="W"))</f>
        <v>1</v>
      </c>
      <c r="ACR25" s="319">
        <f t="shared" ref="ACR25" ca="1" si="7584">SUMPRODUCT((AGN3:AGN42=ACP25)*(AGR3:AGR42="D"))+SUMPRODUCT((AGQ3:AGQ42=ACP25)*(AGS3:AGS42="D"))</f>
        <v>0</v>
      </c>
      <c r="ACS25" s="319">
        <f t="shared" ref="ACS25" ca="1" si="7585">SUMPRODUCT((AGN3:AGN42=ACP25)*(AGR3:AGR42="L"))+SUMPRODUCT((AGQ3:AGQ42=ACP25)*(AGS3:AGS42="L"))</f>
        <v>2</v>
      </c>
      <c r="ACT25" s="319">
        <f t="shared" ref="ACT25" ca="1" si="7586">SUMIF(AGN3:AGN60,ACP25,AGO3:AGO60)+SUMIF(AGQ3:AGQ60,ACP25,AGP3:AGP60)</f>
        <v>5</v>
      </c>
      <c r="ACU25" s="319">
        <f t="shared" ref="ACU25" ca="1" si="7587">SUMIF(AGQ3:AGQ60,ACP25,AGO3:AGO60)+SUMIF(AGN3:AGN60,ACP25,AGP3:AGP60)</f>
        <v>6</v>
      </c>
      <c r="ACV25" s="319">
        <f t="shared" ref="ACV25:ACV28" ca="1" si="7588">ACT25-ACU25+1000</f>
        <v>999</v>
      </c>
      <c r="ACW25" s="319">
        <f t="shared" ref="ACW25:ACW28" ca="1" si="7589">ACQ25*3+ACR25*1</f>
        <v>3</v>
      </c>
      <c r="ACX25" s="319">
        <f t="shared" si="810"/>
        <v>0</v>
      </c>
      <c r="ACY25" s="319">
        <f t="shared" ref="ACY25" ca="1" si="7590">IF(COUNTIF(ACW25:ACW29,4)&lt;&gt;4,RANK(ACW25,ACW25:ACW29),ACW65)</f>
        <v>3</v>
      </c>
      <c r="ACZ25" s="319"/>
      <c r="ADA25" s="319">
        <f t="shared" ref="ADA25" ca="1" si="7591">SUMPRODUCT((ACY25:ACY28=ACY25)*(ACX25:ACX28&lt;ACX25))+ACY25</f>
        <v>3</v>
      </c>
      <c r="ADB25" s="319" t="str">
        <f t="shared" ref="ADB25" ca="1" si="7592">INDEX(ACP25:ACP29,MATCH(1,ADA25:ADA29,0),0)</f>
        <v>Netherlands</v>
      </c>
      <c r="ADC25" s="319">
        <f t="shared" ref="ADC25" ca="1" si="7593">INDEX(ACY25:ACY29,MATCH(ADB25,ACP25:ACP29,0),0)</f>
        <v>1</v>
      </c>
      <c r="ADD25" s="319" t="str">
        <f t="shared" ref="ADD25" ca="1" si="7594">IF(ADC26=1,ADB25,"")</f>
        <v>Netherlands</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Netherlands</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19">
        <f t="shared" ref="ADO25:ADO28" ca="1" si="7604">ADM25-ADN25+1000</f>
        <v>1000</v>
      </c>
      <c r="ADP25" s="319">
        <f t="shared" ref="ADP25:ADP28" ca="1" si="7605">IF(ADI25&lt;&gt;"",ADJ25*3+ADK25*1,"")</f>
        <v>1</v>
      </c>
      <c r="ADQ25" s="319">
        <f t="shared" ref="ADQ25" ca="1" si="7606">IF(ADI25&lt;&gt;"",VLOOKUP(ADI25,ACP4:ACV40,7,FALSE),"")</f>
        <v>1003</v>
      </c>
      <c r="ADR25" s="319">
        <f t="shared" ref="ADR25" ca="1" si="7607">IF(ADI25&lt;&gt;"",VLOOKUP(ADI25,ACP4:ACV40,5,FALSE),"")</f>
        <v>5</v>
      </c>
      <c r="ADS25" s="319">
        <f t="shared" ref="ADS25" ca="1" si="7608">IF(ADI25&lt;&gt;"",VLOOKUP(ADI25,ACP4:ACX40,9,FALSE),"")</f>
        <v>42</v>
      </c>
      <c r="ADT25" s="319">
        <f t="shared" ref="ADT25:ADT28" ca="1" si="7609">ADP25</f>
        <v>1</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0</v>
      </c>
      <c r="AEA25" s="319">
        <f ca="1">IF(ADI25&lt;&gt;"",IF(AEA65&lt;&gt;"",IF(ADH64=3,AEA65,AEA65+ADH64),SUM(ADU25:ADZ25)),"")</f>
        <v>1</v>
      </c>
      <c r="AEB25" s="319" t="str">
        <f t="shared" ref="AEB25" ca="1" si="7616">IF(ADI25&lt;&gt;"",INDEX(ADI25:ADI29,MATCH(1,AEA25:AEA29,0),0),"")</f>
        <v>Netherlands</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2</v>
      </c>
      <c r="AGP25" s="322">
        <f ca="1">IF(OFFSET('Player Game Board'!Q32,0,AGO1)&lt;&gt;"",OFFSET('Player Game Board'!Q32,0,AGO1),0)</f>
        <v>1</v>
      </c>
      <c r="AGQ25" s="319" t="str">
        <f t="shared" si="67"/>
        <v>Portugal</v>
      </c>
      <c r="AGR25" s="319" t="str">
        <f ca="1">IF(AND(OFFSET('Player Game Board'!P32,0,AGO1)&lt;&gt;"",OFFSET('Player Game Board'!Q32,0,AGO1)&lt;&gt;""),IF(AGO25&gt;AGP25,"W",IF(AGO25=AGP25,"D","L")),"")</f>
        <v>W</v>
      </c>
      <c r="AGS25" s="319" t="str">
        <f t="shared" ca="1" si="5665"/>
        <v>L</v>
      </c>
      <c r="AGT25" s="319"/>
      <c r="AGU25" s="319"/>
      <c r="AGV25" s="324" t="s">
        <v>106</v>
      </c>
      <c r="AGW25" s="325" t="s">
        <v>107</v>
      </c>
      <c r="AGX25" s="325" t="s">
        <v>109</v>
      </c>
      <c r="AGY25" s="325" t="s">
        <v>110</v>
      </c>
      <c r="AGZ25" s="324" t="s">
        <v>110</v>
      </c>
      <c r="AHA25" s="324" t="s">
        <v>109</v>
      </c>
      <c r="AHB25" s="324" t="s">
        <v>107</v>
      </c>
      <c r="AHC25" s="324" t="s">
        <v>106</v>
      </c>
      <c r="AHD25" s="325"/>
      <c r="AHE25" s="326">
        <f t="shared" ref="AHE25" ca="1" si="7618">IFERROR(MATCH(AHE12,AGV25:AGY25,0),0)</f>
        <v>1</v>
      </c>
      <c r="AHF25" s="326">
        <f t="shared" ref="AHF25" ca="1" si="7619">IFERROR(MATCH(AHF12,AGV25:AGY25,0),0)</f>
        <v>2</v>
      </c>
      <c r="AHG25" s="326">
        <f t="shared" ref="AHG25" ca="1" si="7620">IFERROR(MATCH(AHG12,AGV25:AGY25,0),0)</f>
        <v>0</v>
      </c>
      <c r="AHH25" s="326">
        <f t="shared" ref="AHH25" ca="1" si="7621">IFERROR(MATCH(AHH12,AGV25:AGY25,0),0)</f>
        <v>4</v>
      </c>
      <c r="AHI25" s="326">
        <f t="shared" ca="1" si="3826"/>
        <v>7</v>
      </c>
      <c r="AHJ25" s="325"/>
      <c r="AHK25" s="325" t="str">
        <f t="shared" ref="AHK25" ca="1" si="7622">VLOOKUP(2,ACO11:ACP14,2,FALSE)</f>
        <v>Spain</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3</v>
      </c>
      <c r="AHR25" s="319">
        <f t="shared" ref="AHR25" ca="1" si="7628">SUMIF(ALL3:ALL60,AHN25,ALM3:ALM60)+SUMIF(ALO3:ALO60,AHN25,ALN3:ALN60)</f>
        <v>0</v>
      </c>
      <c r="AHS25" s="319">
        <f t="shared" ref="AHS25" ca="1" si="7629">SUMIF(ALO3:ALO60,AHN25,ALM3:ALM60)+SUMIF(ALL3:ALL60,AHN25,ALN3:ALN60)</f>
        <v>4</v>
      </c>
      <c r="AHT25" s="319">
        <f t="shared" ref="AHT25:AHT28" ca="1" si="7630">AHR25-AHS25+1000</f>
        <v>996</v>
      </c>
      <c r="AHU25" s="319">
        <f t="shared" ref="AHU25:AHU28" ca="1" si="7631">AHO25*3+AHP25*1</f>
        <v>0</v>
      </c>
      <c r="AHV25" s="319">
        <f t="shared" si="870"/>
        <v>0</v>
      </c>
      <c r="AHW25" s="319">
        <f t="shared" ref="AHW25" ca="1" si="7632">IF(COUNTIF(AHU25:AHU29,4)&lt;&gt;4,RANK(AHU25,AHU25:AHU29),AHU65)</f>
        <v>4</v>
      </c>
      <c r="AHX25" s="319"/>
      <c r="AHY25" s="319">
        <f t="shared" ref="AHY25" ca="1" si="7633">SUMPRODUCT((AHW25:AHW28=AHW25)*(AHV25:AHV28&lt;AHV25))+AHW25</f>
        <v>4</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19">
        <f t="shared" ref="AIM25:AIM28" ca="1" si="7646">AIK25-AIL25+1000</f>
        <v>1000</v>
      </c>
      <c r="AIN25" s="319">
        <f t="shared" ref="AIN25:AIN28" ca="1" si="7647">IF(AIG25&lt;&gt;"",AIH25*3+AII25*1,"")</f>
        <v>1</v>
      </c>
      <c r="AIO25" s="319">
        <f t="shared" ref="AIO25" ca="1" si="7648">IF(AIG25&lt;&gt;"",VLOOKUP(AIG25,AHN4:AHT40,7,FALSE),"")</f>
        <v>1002</v>
      </c>
      <c r="AIP25" s="319">
        <f t="shared" ref="AIP25" ca="1" si="7649">IF(AIG25&lt;&gt;"",VLOOKUP(AIG25,AHN4:AHT40,5,FALSE),"")</f>
        <v>5</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2</v>
      </c>
      <c r="ALO25" s="319" t="str">
        <f t="shared" si="83"/>
        <v>Portugal</v>
      </c>
      <c r="ALP25" s="319" t="str">
        <f ca="1">IF(AND(OFFSET('Player Game Board'!P32,0,ALM1)&lt;&gt;"",OFFSET('Player Game Board'!Q32,0,ALM1)&lt;&gt;""),IF(ALM25&gt;ALN25,"W",IF(ALM25=ALN25,"D","L")),"")</f>
        <v>L</v>
      </c>
      <c r="ALQ25" s="319" t="str">
        <f t="shared" ca="1" si="5720"/>
        <v>W</v>
      </c>
      <c r="ALR25" s="319"/>
      <c r="ALS25" s="319"/>
      <c r="ALT25" s="324" t="s">
        <v>106</v>
      </c>
      <c r="ALU25" s="325" t="s">
        <v>107</v>
      </c>
      <c r="ALV25" s="325" t="s">
        <v>109</v>
      </c>
      <c r="ALW25" s="325" t="s">
        <v>110</v>
      </c>
      <c r="ALX25" s="324" t="s">
        <v>110</v>
      </c>
      <c r="ALY25" s="324" t="s">
        <v>109</v>
      </c>
      <c r="ALZ25" s="324" t="s">
        <v>107</v>
      </c>
      <c r="AMA25" s="324" t="s">
        <v>106</v>
      </c>
      <c r="AMB25" s="325"/>
      <c r="AMC25" s="326">
        <f t="shared" ref="AMC25" ca="1" si="7660">IFERROR(MATCH(AMC12,ALT25:ALW25,0),0)</f>
        <v>3</v>
      </c>
      <c r="AMD25" s="326">
        <f t="shared" ref="AMD25" ca="1" si="7661">IFERROR(MATCH(AMD12,ALT25:ALW25,0),0)</f>
        <v>1</v>
      </c>
      <c r="AME25" s="326">
        <f t="shared" ref="AME25" ca="1" si="7662">IFERROR(MATCH(AME12,ALT25:ALW25,0),0)</f>
        <v>0</v>
      </c>
      <c r="AMF25" s="326">
        <f t="shared" ref="AMF25" ca="1" si="7663">IFERROR(MATCH(AMF12,ALT25:ALW25,0),0)</f>
        <v>2</v>
      </c>
      <c r="AMG25" s="326">
        <f t="shared" ca="1" si="3896"/>
        <v>6</v>
      </c>
      <c r="AMH25" s="325"/>
      <c r="AMI25" s="325" t="str">
        <f t="shared" ref="AMI25" ca="1" si="7664">VLOOKUP(2,AHM11:AHN14,2,FALSE)</f>
        <v>Spain</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1</v>
      </c>
      <c r="AMO25" s="319">
        <f t="shared" ref="AMO25" ca="1" si="7669">SUMPRODUCT((AQJ3:AQJ42=AML25)*(AQN3:AQN42="L"))+SUMPRODUCT((AQM3:AQM42=AML25)*(AQO3:AQO42="L"))</f>
        <v>2</v>
      </c>
      <c r="AMP25" s="319">
        <f t="shared" ref="AMP25" ca="1" si="7670">SUMIF(AQJ3:AQJ60,AML25,AQK3:AQK60)+SUMIF(AQM3:AQM60,AML25,AQL3:AQL60)</f>
        <v>1</v>
      </c>
      <c r="AMQ25" s="319">
        <f t="shared" ref="AMQ25" ca="1" si="7671">SUMIF(AQM3:AQM60,AML25,AQK3:AQK60)+SUMIF(AQJ3:AQJ60,AML25,AQL3:AQL60)</f>
        <v>6</v>
      </c>
      <c r="AMR25" s="319">
        <f t="shared" ref="AMR25:AMR28" ca="1" si="7672">AMP25-AMQ25+1000</f>
        <v>995</v>
      </c>
      <c r="AMS25" s="319">
        <f t="shared" ref="AMS25:AMS28" ca="1" si="7673">AMM25*3+AMN25*1</f>
        <v>1</v>
      </c>
      <c r="AMT25" s="319">
        <f t="shared" si="930"/>
        <v>0</v>
      </c>
      <c r="AMU25" s="319">
        <f t="shared" ref="AMU25" ca="1" si="7674">IF(COUNTIF(AMS25:AMS29,4)&lt;&gt;4,RANK(AMS25,AMS25:AMS29),AMS65)</f>
        <v>3</v>
      </c>
      <c r="AMV25" s="319"/>
      <c r="AMW25" s="319">
        <f t="shared" ref="AMW25" ca="1" si="7675">SUMPRODUCT((AMU25:AMU28=AMU25)*(AMT25:AMT28&lt;AMT25))+AMU25</f>
        <v>3</v>
      </c>
      <c r="AMX25" s="319" t="str">
        <f t="shared" ref="AMX25" ca="1" si="7676">INDEX(AML25:AML29,MATCH(1,AMW25:AMW29,0),0)</f>
        <v>France</v>
      </c>
      <c r="AMY25" s="319">
        <f t="shared" ref="AMY25" ca="1" si="7677">INDEX(AMU25:AMU29,MATCH(AMX25,AML25:AML29,0),0)</f>
        <v>1</v>
      </c>
      <c r="AMZ25" s="319" t="str">
        <f t="shared" ref="AMZ25" ca="1" si="7678">IF(AMY26=1,AMX25,"")</f>
        <v/>
      </c>
      <c r="ANA25" s="319" t="str">
        <f t="shared" ref="ANA25" ca="1" si="7679">IF(AMY27=2,AMX26,"")</f>
        <v/>
      </c>
      <c r="ANB25" s="319" t="str">
        <f t="shared" ref="ANB25" ca="1" si="7680">IF(AMY28=3,AMX27,"")</f>
        <v>Poland</v>
      </c>
      <c r="ANC25" s="319" t="str">
        <f t="shared" ref="ANC25" si="7681">IF(AMY29=4,AMX28,"")</f>
        <v/>
      </c>
      <c r="AND25" s="319"/>
      <c r="ANE25" s="319" t="str">
        <f t="shared" ref="ANE25:ANE28" ca="1" si="7682">IF(AMZ25&lt;&gt;"",AMZ25,"")</f>
        <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t="str">
        <f t="shared" ref="ANL25:ANL28" ca="1" si="7689">IF(ANE25&lt;&gt;"",ANF25*3+ANG25*1,"")</f>
        <v/>
      </c>
      <c r="ANM25" s="319" t="str">
        <f t="shared" ref="ANM25" ca="1" si="7690">IF(ANE25&lt;&gt;"",VLOOKUP(ANE25,AML4:AMR40,7,FALSE),"")</f>
        <v/>
      </c>
      <c r="ANN25" s="319" t="str">
        <f t="shared" ref="ANN25" ca="1" si="7691">IF(ANE25&lt;&gt;"",VLOOKUP(ANE25,AML4:AMR40,5,FALSE),"")</f>
        <v/>
      </c>
      <c r="ANO25" s="319" t="str">
        <f t="shared" ref="ANO25" ca="1" si="7692">IF(ANE25&lt;&gt;"",VLOOKUP(ANE25,AML4:AMT40,9,FALSE),"")</f>
        <v/>
      </c>
      <c r="ANP25" s="319" t="str">
        <f t="shared" ref="ANP25:ANP28" ca="1" si="7693">ANL25</f>
        <v/>
      </c>
      <c r="ANQ25" s="319" t="str">
        <f t="shared" ref="ANQ25" ca="1" si="7694">IF(ANE25&lt;&gt;"",RANK(ANP25,ANP25:ANP29),"")</f>
        <v/>
      </c>
      <c r="ANR25" s="319" t="str">
        <f t="shared" ref="ANR25" ca="1" si="7695">IF(ANE25&lt;&gt;"",SUMPRODUCT((ANP25:ANP29=ANP25)*(ANK25:ANK29&gt;ANK25)),"")</f>
        <v/>
      </c>
      <c r="ANS25" s="319" t="str">
        <f t="shared" ref="ANS25" ca="1" si="7696">IF(ANE25&lt;&gt;"",SUMPRODUCT((ANP25:ANP29=ANP25)*(ANK25:ANK29=ANK25)*(ANI25:ANI29&gt;ANI25)),"")</f>
        <v/>
      </c>
      <c r="ANT25" s="319" t="str">
        <f t="shared" ref="ANT25" ca="1" si="7697">IF(ANE25&lt;&gt;"",SUMPRODUCT((ANP25:ANP29=ANP25)*(ANK25:ANK29=ANK25)*(ANI25:ANI29=ANI25)*(ANM25:ANM29&gt;ANM25)),"")</f>
        <v/>
      </c>
      <c r="ANU25" s="319" t="str">
        <f t="shared" ref="ANU25" ca="1" si="7698">IF(ANE25&lt;&gt;"",SUMPRODUCT((ANP25:ANP29=ANP25)*(ANK25:ANK29=ANK25)*(ANI25:ANI29=ANI25)*(ANM25:ANM29=ANM25)*(ANN25:ANN29&gt;ANN25)),"")</f>
        <v/>
      </c>
      <c r="ANV25" s="319" t="str">
        <f t="shared" ref="ANV25" ca="1" si="7699">IF(ANE25&lt;&gt;"",SUMPRODUCT((ANP25:ANP29=ANP25)*(ANK25:ANK29=ANK25)*(ANI25:ANI29=ANI25)*(ANM25:ANM29=ANM25)*(ANN25:ANN29=ANN25)*(ANO25:ANO29&gt;ANO25)),"")</f>
        <v/>
      </c>
      <c r="ANW25" s="319" t="str">
        <f ca="1">IF(ANE25&lt;&gt;"",IF(ANW65&lt;&gt;"",IF(AND64=3,ANW65,ANW65+AND64),SUM(ANQ25:ANV25)),"")</f>
        <v/>
      </c>
      <c r="ANX25" s="319" t="str">
        <f t="shared" ref="ANX25" ca="1" si="7700">IF(ANE25&lt;&gt;"",INDEX(ANE25:ANE29,MATCH(1,ANW25:ANW29,0),0),"")</f>
        <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1</v>
      </c>
      <c r="AQL25" s="322">
        <f ca="1">IF(OFFSET('Player Game Board'!Q32,0,AQK1)&lt;&gt;"",OFFSET('Player Game Board'!Q32,0,AQK1),0)</f>
        <v>3</v>
      </c>
      <c r="AQM25" s="319" t="str">
        <f t="shared" si="99"/>
        <v>Portugal</v>
      </c>
      <c r="AQN25" s="319" t="str">
        <f ca="1">IF(AND(OFFSET('Player Game Board'!P32,0,AQK1)&lt;&gt;"",OFFSET('Player Game Board'!Q32,0,AQK1)&lt;&gt;""),IF(AQK25&gt;AQL25,"W",IF(AQK25=AQL25,"D","L")),"")</f>
        <v>L</v>
      </c>
      <c r="AQO25" s="319" t="str">
        <f t="shared" ca="1" si="5775"/>
        <v>W</v>
      </c>
      <c r="AQP25" s="319"/>
      <c r="AQQ25" s="319"/>
      <c r="AQR25" s="324" t="s">
        <v>106</v>
      </c>
      <c r="AQS25" s="325" t="s">
        <v>107</v>
      </c>
      <c r="AQT25" s="325" t="s">
        <v>109</v>
      </c>
      <c r="AQU25" s="325" t="s">
        <v>110</v>
      </c>
      <c r="AQV25" s="324" t="s">
        <v>110</v>
      </c>
      <c r="AQW25" s="324" t="s">
        <v>109</v>
      </c>
      <c r="AQX25" s="324" t="s">
        <v>107</v>
      </c>
      <c r="AQY25" s="324" t="s">
        <v>106</v>
      </c>
      <c r="AQZ25" s="325"/>
      <c r="ARA25" s="326">
        <f t="shared" ref="ARA25" ca="1" si="7702">IFERROR(MATCH(ARA12,AQR25:AQU25,0),0)</f>
        <v>1</v>
      </c>
      <c r="ARB25" s="326">
        <f t="shared" ref="ARB25" ca="1" si="7703">IFERROR(MATCH(ARB12,AQR25:AQU25,0),0)</f>
        <v>0</v>
      </c>
      <c r="ARC25" s="326">
        <f t="shared" ref="ARC25" ca="1" si="7704">IFERROR(MATCH(ARC12,AQR25:AQU25,0),0)</f>
        <v>4</v>
      </c>
      <c r="ARD25" s="326">
        <f t="shared" ref="ARD25" ca="1" si="7705">IFERROR(MATCH(ARD12,AQR25:AQU25,0),0)</f>
        <v>3</v>
      </c>
      <c r="ARE25" s="326">
        <f t="shared" ca="1" si="3966"/>
        <v>8</v>
      </c>
      <c r="ARF25" s="325"/>
      <c r="ARG25" s="325" t="str">
        <f t="shared" ref="ARG25" ca="1" si="7706">VLOOKUP(2,AMK11:AML14,2,FALSE)</f>
        <v>Italy</v>
      </c>
      <c r="ARH25" s="325">
        <f t="shared" ca="1" si="5310"/>
        <v>1</v>
      </c>
      <c r="ARI25" s="319">
        <f t="shared" ref="ARI25" ca="1" si="7707">VLOOKUP(ARJ25,AVE25:AVF29,2,FALSE)</f>
        <v>3</v>
      </c>
      <c r="ARJ25" s="319" t="str">
        <f t="shared" ref="ARJ25:ARJ28" si="7708">AML25</f>
        <v>Poland</v>
      </c>
      <c r="ARK25" s="319">
        <f t="shared" ref="ARK25" ca="1" si="7709">SUMPRODUCT((AVH3:AVH42=ARJ25)*(AVL3:AVL42="W"))+SUMPRODUCT((AVK3:AVK42=ARJ25)*(AVM3:AVM42="W"))</f>
        <v>1</v>
      </c>
      <c r="ARL25" s="319">
        <f t="shared" ref="ARL25" ca="1" si="7710">SUMPRODUCT((AVH3:AVH42=ARJ25)*(AVL3:AVL42="D"))+SUMPRODUCT((AVK3:AVK42=ARJ25)*(AVM3:AVM42="D"))</f>
        <v>0</v>
      </c>
      <c r="ARM25" s="319">
        <f t="shared" ref="ARM25" ca="1" si="7711">SUMPRODUCT((AVH3:AVH42=ARJ25)*(AVL3:AVL42="L"))+SUMPRODUCT((AVK3:AVK42=ARJ25)*(AVM3:AVM42="L"))</f>
        <v>2</v>
      </c>
      <c r="ARN25" s="319">
        <f t="shared" ref="ARN25" ca="1" si="7712">SUMIF(AVH3:AVH60,ARJ25,AVI3:AVI60)+SUMIF(AVK3:AVK60,ARJ25,AVJ3:AVJ60)</f>
        <v>2</v>
      </c>
      <c r="ARO25" s="319">
        <f t="shared" ref="ARO25" ca="1" si="7713">SUMIF(AVK3:AVK60,ARJ25,AVI3:AVI60)+SUMIF(AVH3:AVH60,ARJ25,AVJ3:AVJ60)</f>
        <v>6</v>
      </c>
      <c r="ARP25" s="319">
        <f t="shared" ref="ARP25:ARP28" ca="1" si="7714">ARN25-ARO25+1000</f>
        <v>996</v>
      </c>
      <c r="ARQ25" s="319">
        <f t="shared" ref="ARQ25:ARQ28" ca="1" si="7715">ARK25*3+ARL25*1</f>
        <v>3</v>
      </c>
      <c r="ARR25" s="319">
        <f t="shared" si="990"/>
        <v>0</v>
      </c>
      <c r="ARS25" s="319">
        <f t="shared" ref="ARS25" ca="1" si="7716">IF(COUNTIF(ARQ25:ARQ29,4)&lt;&gt;4,RANK(ARQ25,ARQ25:ARQ29),ARQ65)</f>
        <v>3</v>
      </c>
      <c r="ART25" s="319"/>
      <c r="ARU25" s="319">
        <f t="shared" ref="ARU25" ca="1" si="7717">SUMPRODUCT((ARS25:ARS28=ARS25)*(ARR25:ARR28&lt;ARR25))+ARS25</f>
        <v>3</v>
      </c>
      <c r="ARV25" s="319" t="str">
        <f t="shared" ref="ARV25" ca="1" si="7718">INDEX(ARJ25:ARJ29,MATCH(1,ARU25:ARU29,0),0)</f>
        <v>France</v>
      </c>
      <c r="ARW25" s="319">
        <f t="shared" ref="ARW25" ca="1" si="7719">INDEX(ARS25:ARS29,MATCH(ARV25,ARJ25:ARJ29,0),0)</f>
        <v>1</v>
      </c>
      <c r="ARX25" s="319" t="str">
        <f t="shared" ref="ARX25" ca="1" si="7720">IF(ARW26=1,ARV25,"")</f>
        <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t="str">
        <f t="shared" ref="ASJ25:ASJ28" ca="1" si="7731">IF(ASC25&lt;&gt;"",ASD25*3+ASE25*1,"")</f>
        <v/>
      </c>
      <c r="ASK25" s="319" t="str">
        <f t="shared" ref="ASK25" ca="1" si="7732">IF(ASC25&lt;&gt;"",VLOOKUP(ASC25,ARJ4:ARP40,7,FALSE),"")</f>
        <v/>
      </c>
      <c r="ASL25" s="319" t="str">
        <f t="shared" ref="ASL25" ca="1" si="7733">IF(ASC25&lt;&gt;"",VLOOKUP(ASC25,ARJ4:ARP40,5,FALSE),"")</f>
        <v/>
      </c>
      <c r="ASM25" s="319" t="str">
        <f t="shared" ref="ASM25" ca="1" si="7734">IF(ASC25&lt;&gt;"",VLOOKUP(ASC25,ARJ4:ARR40,9,FALSE),"")</f>
        <v/>
      </c>
      <c r="ASN25" s="319" t="str">
        <f t="shared" ref="ASN25:ASN28" ca="1" si="7735">ASJ25</f>
        <v/>
      </c>
      <c r="ASO25" s="319" t="str">
        <f t="shared" ref="ASO25" ca="1" si="7736">IF(ASC25&lt;&gt;"",RANK(ASN25,ASN25:ASN29),"")</f>
        <v/>
      </c>
      <c r="ASP25" s="319" t="str">
        <f t="shared" ref="ASP25" ca="1" si="7737">IF(ASC25&lt;&gt;"",SUMPRODUCT((ASN25:ASN29=ASN25)*(ASI25:ASI29&gt;ASI25)),"")</f>
        <v/>
      </c>
      <c r="ASQ25" s="319" t="str">
        <f t="shared" ref="ASQ25" ca="1" si="7738">IF(ASC25&lt;&gt;"",SUMPRODUCT((ASN25:ASN29=ASN25)*(ASI25:ASI29=ASI25)*(ASG25:ASG29&gt;ASG25)),"")</f>
        <v/>
      </c>
      <c r="ASR25" s="319" t="str">
        <f t="shared" ref="ASR25" ca="1" si="7739">IF(ASC25&lt;&gt;"",SUMPRODUCT((ASN25:ASN29=ASN25)*(ASI25:ASI29=ASI25)*(ASG25:ASG29=ASG25)*(ASK25:ASK29&gt;ASK25)),"")</f>
        <v/>
      </c>
      <c r="ASS25" s="319" t="str">
        <f t="shared" ref="ASS25" ca="1" si="7740">IF(ASC25&lt;&gt;"",SUMPRODUCT((ASN25:ASN29=ASN25)*(ASI25:ASI29=ASI25)*(ASG25:ASG29=ASG25)*(ASK25:ASK29=ASK25)*(ASL25:ASL29&gt;ASL25)),"")</f>
        <v/>
      </c>
      <c r="AST25" s="319" t="str">
        <f t="shared" ref="AST25" ca="1" si="7741">IF(ASC25&lt;&gt;"",SUMPRODUCT((ASN25:ASN29=ASN25)*(ASI25:ASI29=ASI25)*(ASG25:ASG29=ASG25)*(ASK25:ASK29=ASK25)*(ASL25:ASL29=ASL25)*(ASM25:ASM29&gt;ASM25)),"")</f>
        <v/>
      </c>
      <c r="ASU25" s="319" t="str">
        <f ca="1">IF(ASC25&lt;&gt;"",IF(ASU65&lt;&gt;"",IF(ASB64=3,ASU65,ASU65+ASB64),SUM(ASO25:AST25)),"")</f>
        <v/>
      </c>
      <c r="ASV25" s="319" t="str">
        <f t="shared" ref="ASV25" ca="1" si="7742">IF(ASC25&lt;&gt;"",INDEX(ASC25:ASC29,MATCH(1,ASU25:ASU29,0),0),"")</f>
        <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2</v>
      </c>
      <c r="AVJ25" s="322">
        <f ca="1">IF(OFFSET('Player Game Board'!Q32,0,AVI1)&lt;&gt;"",OFFSET('Player Game Board'!Q32,0,AVI1),0)</f>
        <v>0</v>
      </c>
      <c r="AVK25" s="319" t="str">
        <f t="shared" si="115"/>
        <v>Portugal</v>
      </c>
      <c r="AVL25" s="319" t="str">
        <f ca="1">IF(AND(OFFSET('Player Game Board'!P32,0,AVI1)&lt;&gt;"",OFFSET('Player Game Board'!Q32,0,AVI1)&lt;&gt;""),IF(AVI25&gt;AVJ25,"W",IF(AVI25=AVJ25,"D","L")),"")</f>
        <v>W</v>
      </c>
      <c r="AVM25" s="319" t="str">
        <f t="shared" ca="1" si="5830"/>
        <v>L</v>
      </c>
      <c r="AVN25" s="319"/>
      <c r="AVO25" s="319"/>
      <c r="AVP25" s="324" t="s">
        <v>106</v>
      </c>
      <c r="AVQ25" s="325" t="s">
        <v>107</v>
      </c>
      <c r="AVR25" s="325" t="s">
        <v>109</v>
      </c>
      <c r="AVS25" s="325" t="s">
        <v>110</v>
      </c>
      <c r="AVT25" s="324" t="s">
        <v>110</v>
      </c>
      <c r="AVU25" s="324" t="s">
        <v>109</v>
      </c>
      <c r="AVV25" s="324" t="s">
        <v>107</v>
      </c>
      <c r="AVW25" s="324" t="s">
        <v>106</v>
      </c>
      <c r="AVX25" s="325"/>
      <c r="AVY25" s="326">
        <f t="shared" ref="AVY25" ca="1" si="7744">IFERROR(MATCH(AVY12,AVP25:AVS25,0),0)</f>
        <v>1</v>
      </c>
      <c r="AVZ25" s="326">
        <f t="shared" ref="AVZ25" ca="1" si="7745">IFERROR(MATCH(AVZ12,AVP25:AVS25,0),0)</f>
        <v>3</v>
      </c>
      <c r="AWA25" s="326">
        <f t="shared" ref="AWA25" ca="1" si="7746">IFERROR(MATCH(AWA12,AVP25:AVS25,0),0)</f>
        <v>0</v>
      </c>
      <c r="AWB25" s="326">
        <f t="shared" ref="AWB25" ca="1" si="7747">IFERROR(MATCH(AWB12,AVP25:AVS25,0),0)</f>
        <v>2</v>
      </c>
      <c r="AWC25" s="326">
        <f t="shared" ca="1" si="4036"/>
        <v>6</v>
      </c>
      <c r="AWD25" s="325"/>
      <c r="AWE25" s="325" t="str">
        <f t="shared" ref="AWE25" ca="1" si="7748">VLOOKUP(2,ARI11:ARJ14,2,FALSE)</f>
        <v>Spain</v>
      </c>
      <c r="AWF25" s="325">
        <f t="shared" ca="1" si="5353"/>
        <v>1</v>
      </c>
      <c r="AWG25" s="319">
        <f t="shared" ref="AWG25" ca="1" si="7749">VLOOKUP(AWH25,BAC25:BAD29,2,FALSE)</f>
        <v>3</v>
      </c>
      <c r="AWH25" s="319" t="str">
        <f t="shared" ref="AWH25:AWH28" si="7750">ARJ25</f>
        <v>Poland</v>
      </c>
      <c r="AWI25" s="319">
        <f t="shared" ref="AWI25" ca="1" si="7751">SUMPRODUCT((BAF3:BAF42=AWH25)*(BAJ3:BAJ42="W"))+SUMPRODUCT((BAI3:BAI42=AWH25)*(BAK3:BAK42="W"))</f>
        <v>1</v>
      </c>
      <c r="AWJ25" s="319">
        <f t="shared" ref="AWJ25" ca="1" si="7752">SUMPRODUCT((BAF3:BAF42=AWH25)*(BAJ3:BAJ42="D"))+SUMPRODUCT((BAI3:BAI42=AWH25)*(BAK3:BAK42="D"))</f>
        <v>0</v>
      </c>
      <c r="AWK25" s="319">
        <f t="shared" ref="AWK25" ca="1" si="7753">SUMPRODUCT((BAF3:BAF42=AWH25)*(BAJ3:BAJ42="L"))+SUMPRODUCT((BAI3:BAI42=AWH25)*(BAK3:BAK42="L"))</f>
        <v>2</v>
      </c>
      <c r="AWL25" s="319">
        <f t="shared" ref="AWL25" ca="1" si="7754">SUMIF(BAF3:BAF60,AWH25,BAG3:BAG60)+SUMIF(BAI3:BAI60,AWH25,BAH3:BAH60)</f>
        <v>2</v>
      </c>
      <c r="AWM25" s="319">
        <f t="shared" ref="AWM25" ca="1" si="7755">SUMIF(BAI3:BAI60,AWH25,BAG3:BAG60)+SUMIF(BAF3:BAF60,AWH25,BAH3:BAH60)</f>
        <v>7</v>
      </c>
      <c r="AWN25" s="319">
        <f t="shared" ref="AWN25:AWN28" ca="1" si="7756">AWL25-AWM25+1000</f>
        <v>995</v>
      </c>
      <c r="AWO25" s="319">
        <f t="shared" ref="AWO25:AWO28" ca="1" si="7757">AWI25*3+AWJ25*1</f>
        <v>3</v>
      </c>
      <c r="AWP25" s="319">
        <f t="shared" si="1050"/>
        <v>0</v>
      </c>
      <c r="AWQ25" s="319">
        <f t="shared" ref="AWQ25" ca="1" si="7758">IF(COUNTIF(AWO25:AWO29,4)&lt;&gt;4,RANK(AWO25,AWO25:AWO29),AWO65)</f>
        <v>3</v>
      </c>
      <c r="AWR25" s="319"/>
      <c r="AWS25" s="319">
        <f t="shared" ref="AWS25" ca="1" si="7759">SUMPRODUCT((AWQ25:AWQ28=AWQ25)*(AWP25:AWP28&lt;AWP25))+AWQ25</f>
        <v>3</v>
      </c>
      <c r="AWT25" s="319" t="str">
        <f t="shared" ref="AWT25" ca="1" si="7760">INDEX(AWH25:AWH29,MATCH(1,AWS25:AWS29,0),0)</f>
        <v>France</v>
      </c>
      <c r="AWU25" s="319">
        <f t="shared" ref="AWU25" ca="1" si="7761">INDEX(AWQ25:AWQ29,MATCH(AWT25,AWH25:AWH29,0),0)</f>
        <v>1</v>
      </c>
      <c r="AWV25" s="319" t="str">
        <f t="shared" ref="AWV25" ca="1" si="7762">IF(AWU26=1,AWT25,"")</f>
        <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t="str">
        <f t="shared" ref="AXH25:AXH28" ca="1" si="7773">IF(AXA25&lt;&gt;"",AXB25*3+AXC25*1,"")</f>
        <v/>
      </c>
      <c r="AXI25" s="319" t="str">
        <f t="shared" ref="AXI25" ca="1" si="7774">IF(AXA25&lt;&gt;"",VLOOKUP(AXA25,AWH4:AWN40,7,FALSE),"")</f>
        <v/>
      </c>
      <c r="AXJ25" s="319" t="str">
        <f t="shared" ref="AXJ25" ca="1" si="7775">IF(AXA25&lt;&gt;"",VLOOKUP(AXA25,AWH4:AWN40,5,FALSE),"")</f>
        <v/>
      </c>
      <c r="AXK25" s="319" t="str">
        <f t="shared" ref="AXK25" ca="1" si="7776">IF(AXA25&lt;&gt;"",VLOOKUP(AXA25,AWH4:AWP40,9,FALSE),"")</f>
        <v/>
      </c>
      <c r="AXL25" s="319" t="str">
        <f t="shared" ref="AXL25:AXL28" ca="1" si="7777">AXH25</f>
        <v/>
      </c>
      <c r="AXM25" s="319" t="str">
        <f t="shared" ref="AXM25" ca="1" si="7778">IF(AXA25&lt;&gt;"",RANK(AXL25,AXL25:AXL29),"")</f>
        <v/>
      </c>
      <c r="AXN25" s="319" t="str">
        <f t="shared" ref="AXN25" ca="1" si="7779">IF(AXA25&lt;&gt;"",SUMPRODUCT((AXL25:AXL29=AXL25)*(AXG25:AXG29&gt;AXG25)),"")</f>
        <v/>
      </c>
      <c r="AXO25" s="319" t="str">
        <f t="shared" ref="AXO25" ca="1" si="7780">IF(AXA25&lt;&gt;"",SUMPRODUCT((AXL25:AXL29=AXL25)*(AXG25:AXG29=AXG25)*(AXE25:AXE29&gt;AXE25)),"")</f>
        <v/>
      </c>
      <c r="AXP25" s="319" t="str">
        <f t="shared" ref="AXP25" ca="1" si="7781">IF(AXA25&lt;&gt;"",SUMPRODUCT((AXL25:AXL29=AXL25)*(AXG25:AXG29=AXG25)*(AXE25:AXE29=AXE25)*(AXI25:AXI29&gt;AXI25)),"")</f>
        <v/>
      </c>
      <c r="AXQ25" s="319" t="str">
        <f t="shared" ref="AXQ25" ca="1" si="7782">IF(AXA25&lt;&gt;"",SUMPRODUCT((AXL25:AXL29=AXL25)*(AXG25:AXG29=AXG25)*(AXE25:AXE29=AXE25)*(AXI25:AXI29=AXI25)*(AXJ25:AXJ29&gt;AXJ25)),"")</f>
        <v/>
      </c>
      <c r="AXR25" s="319" t="str">
        <f t="shared" ref="AXR25" ca="1" si="7783">IF(AXA25&lt;&gt;"",SUMPRODUCT((AXL25:AXL29=AXL25)*(AXG25:AXG29=AXG25)*(AXE25:AXE29=AXE25)*(AXI25:AXI29=AXI25)*(AXJ25:AXJ29=AXJ25)*(AXK25:AXK29&gt;AXK25)),"")</f>
        <v/>
      </c>
      <c r="AXS25" s="319" t="str">
        <f ca="1">IF(AXA25&lt;&gt;"",IF(AXS65&lt;&gt;"",IF(AWZ64=3,AXS65,AXS65+AWZ64),SUM(AXM25:AXR25)),"")</f>
        <v/>
      </c>
      <c r="AXT25" s="319" t="str">
        <f t="shared" ref="AXT25" ca="1" si="7784">IF(AXA25&lt;&gt;"",INDEX(AXA25:AXA29,MATCH(1,AXS25:AXS29,0),0),"")</f>
        <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1</v>
      </c>
      <c r="BAH25" s="322">
        <f ca="1">IF(OFFSET('Player Game Board'!Q32,0,BAG1)&lt;&gt;"",OFFSET('Player Game Board'!Q32,0,BAG1),0)</f>
        <v>3</v>
      </c>
      <c r="BAI25" s="319" t="str">
        <f t="shared" si="131"/>
        <v>Portugal</v>
      </c>
      <c r="BAJ25" s="319" t="str">
        <f ca="1">IF(AND(OFFSET('Player Game Board'!P32,0,BAG1)&lt;&gt;"",OFFSET('Player Game Board'!Q32,0,BAG1)&lt;&gt;""),IF(BAG25&gt;BAH25,"W",IF(BAG25=BAH25,"D","L")),"")</f>
        <v>L</v>
      </c>
      <c r="BAK25" s="319" t="str">
        <f t="shared" ca="1" si="5885"/>
        <v>W</v>
      </c>
      <c r="BAL25" s="319"/>
      <c r="BAM25" s="319"/>
      <c r="BAN25" s="324" t="s">
        <v>106</v>
      </c>
      <c r="BAO25" s="325" t="s">
        <v>107</v>
      </c>
      <c r="BAP25" s="325" t="s">
        <v>109</v>
      </c>
      <c r="BAQ25" s="325" t="s">
        <v>110</v>
      </c>
      <c r="BAR25" s="324" t="s">
        <v>110</v>
      </c>
      <c r="BAS25" s="324" t="s">
        <v>109</v>
      </c>
      <c r="BAT25" s="324" t="s">
        <v>107</v>
      </c>
      <c r="BAU25" s="324" t="s">
        <v>106</v>
      </c>
      <c r="BAV25" s="325"/>
      <c r="BAW25" s="326">
        <f t="shared" ref="BAW25" ca="1" si="7786">IFERROR(MATCH(BAW12,BAN25:BAQ25,0),0)</f>
        <v>0</v>
      </c>
      <c r="BAX25" s="326">
        <f t="shared" ref="BAX25" ca="1" si="7787">IFERROR(MATCH(BAX12,BAN25:BAQ25,0),0)</f>
        <v>1</v>
      </c>
      <c r="BAY25" s="326">
        <f t="shared" ref="BAY25" ca="1" si="7788">IFERROR(MATCH(BAY12,BAN25:BAQ25,0),0)</f>
        <v>3</v>
      </c>
      <c r="BAZ25" s="326">
        <f t="shared" ref="BAZ25" ca="1" si="7789">IFERROR(MATCH(BAZ12,BAN25:BAQ25,0),0)</f>
        <v>4</v>
      </c>
      <c r="BBA25" s="326">
        <f t="shared" ca="1" si="4106"/>
        <v>8</v>
      </c>
      <c r="BBB25" s="325"/>
      <c r="BBC25" s="325" t="str">
        <f t="shared" ref="BBC25" ca="1" si="7790">VLOOKUP(2,AWG11:AWH14,2,FALSE)</f>
        <v>Spain</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106</v>
      </c>
      <c r="BFM25" s="325" t="s">
        <v>107</v>
      </c>
      <c r="BFN25" s="325" t="s">
        <v>109</v>
      </c>
      <c r="BFO25" s="325" t="s">
        <v>110</v>
      </c>
      <c r="BFP25" s="324" t="s">
        <v>110</v>
      </c>
      <c r="BFQ25" s="324" t="s">
        <v>109</v>
      </c>
      <c r="BFR25" s="324" t="s">
        <v>107</v>
      </c>
      <c r="BFS25" s="324" t="s">
        <v>106</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Austria</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1</v>
      </c>
      <c r="AE26" s="319">
        <f>IF(U26&lt;&gt;"",VLOOKUP(U26,B4:J40,9,FALSE),"")</f>
        <v>52</v>
      </c>
      <c r="AF26" s="319">
        <f t="shared" si="7446"/>
        <v>0</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106</v>
      </c>
      <c r="DI26" s="325" t="s">
        <v>108</v>
      </c>
      <c r="DJ26" s="325" t="s">
        <v>109</v>
      </c>
      <c r="DK26" s="325" t="s">
        <v>110</v>
      </c>
      <c r="DL26" s="324" t="s">
        <v>110</v>
      </c>
      <c r="DM26" s="324" t="s">
        <v>109</v>
      </c>
      <c r="DN26" s="324" t="s">
        <v>108</v>
      </c>
      <c r="DO26" s="324" t="s">
        <v>106</v>
      </c>
      <c r="DP26" s="325"/>
      <c r="DQ26" s="326">
        <f>IFERROR(MATCH(DQ12,DH26:DK26,0),0)</f>
        <v>0</v>
      </c>
      <c r="DR26" s="326">
        <f>IFERROR(MATCH(DR12,DH26:DK26,0),0)</f>
        <v>1</v>
      </c>
      <c r="DS26" s="326">
        <f>IFERROR(MATCH(DS12,DH26:DK26,0),0)</f>
        <v>0</v>
      </c>
      <c r="DT26" s="326">
        <f>IFERROR(MATCH(DT12,DH26:DK26,0),0)</f>
        <v>4</v>
      </c>
      <c r="DU26" s="326">
        <f t="shared" si="3541"/>
        <v>5</v>
      </c>
      <c r="DV26" s="325" t="s">
        <v>107</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5</v>
      </c>
      <c r="EE26" s="319">
        <f ca="1">SUMIF(IA3:IA60,DZ26,HY3:HY60)+SUMIF(HX3:HX60,DZ26,HZ3:HZ60)</f>
        <v>3</v>
      </c>
      <c r="EF26" s="319">
        <f t="shared" ca="1" si="7447"/>
        <v>1002</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106</v>
      </c>
      <c r="IG26" s="325" t="s">
        <v>108</v>
      </c>
      <c r="IH26" s="325" t="s">
        <v>109</v>
      </c>
      <c r="II26" s="325" t="s">
        <v>110</v>
      </c>
      <c r="IJ26" s="324" t="s">
        <v>110</v>
      </c>
      <c r="IK26" s="324" t="s">
        <v>109</v>
      </c>
      <c r="IL26" s="324" t="s">
        <v>108</v>
      </c>
      <c r="IM26" s="324" t="s">
        <v>106</v>
      </c>
      <c r="IN26" s="325"/>
      <c r="IO26" s="326">
        <f ca="1">IFERROR(MATCH(IO12,IF26:II26,0),0)</f>
        <v>1</v>
      </c>
      <c r="IP26" s="326">
        <f ca="1">IFERROR(MATCH(IP12,IF26:II26,0),0)</f>
        <v>4</v>
      </c>
      <c r="IQ26" s="326">
        <f ca="1">IFERROR(MATCH(IQ12,IF26:II26,0),0)</f>
        <v>0</v>
      </c>
      <c r="IR26" s="326">
        <f ca="1">IFERROR(MATCH(IR12,IF26:II26,0),0)</f>
        <v>0</v>
      </c>
      <c r="IS26" s="326">
        <f t="shared" ca="1" si="3544"/>
        <v>5</v>
      </c>
      <c r="IT26" s="325" t="s">
        <v>107</v>
      </c>
      <c r="IU26" s="325" t="str">
        <f ca="1">VLOOKUP(1,DY18:DZ21,2,FALSE)</f>
        <v>England</v>
      </c>
      <c r="IV26" s="325">
        <f t="shared" ca="1" si="5047"/>
        <v>1</v>
      </c>
      <c r="IW26" s="319">
        <f ca="1">VLOOKUP(IX26,MS25:MT29,2,FALSE)</f>
        <v>1</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7</v>
      </c>
      <c r="JC26" s="319">
        <f ca="1">SUMIF(MY3:MY60,IX26,MW3:MW60)+SUMIF(MV3:MV60,IX26,MX3:MX60)</f>
        <v>3</v>
      </c>
      <c r="JD26" s="319">
        <f t="shared" ca="1" si="7451"/>
        <v>1004</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7</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1</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2</v>
      </c>
      <c r="KJ26" s="319" t="str">
        <f ca="1">IF(JQ26&lt;&gt;"",INDEX(JQ25:JQ29,MATCH(2,KI25:KI29,0),0),"")</f>
        <v>France</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France</v>
      </c>
      <c r="MT26" s="319">
        <v>2</v>
      </c>
      <c r="MU26" s="319">
        <v>24</v>
      </c>
      <c r="MV26" s="319" t="str">
        <f t="shared" si="170"/>
        <v>Georgia</v>
      </c>
      <c r="MW26" s="322">
        <f ca="1">IF(OFFSET('Player Game Board'!P33,0,MW1)&lt;&gt;"",OFFSET('Player Game Board'!P33,0,MW1),0)</f>
        <v>1</v>
      </c>
      <c r="MX26" s="322">
        <f ca="1">IF(OFFSET('Player Game Board'!Q33,0,MW1)&lt;&gt;"",OFFSET('Player Game Board'!Q33,0,MW1),0)</f>
        <v>1</v>
      </c>
      <c r="MY26" s="319" t="str">
        <f t="shared" si="171"/>
        <v>Czechia</v>
      </c>
      <c r="MZ26" s="319" t="str">
        <f ca="1">IF(AND(OFFSET('Player Game Board'!P33,0,MW1)&lt;&gt;"",OFFSET('Player Game Board'!Q33,0,MW1)&lt;&gt;""),IF(MW26&gt;MX26,"W",IF(MW26=MX26,"D","L")),"")</f>
        <v>D</v>
      </c>
      <c r="NA26" s="319" t="str">
        <f t="shared" ca="1" si="172"/>
        <v>D</v>
      </c>
      <c r="NB26" s="319"/>
      <c r="NC26" s="319"/>
      <c r="ND26" s="324" t="s">
        <v>106</v>
      </c>
      <c r="NE26" s="325" t="s">
        <v>108</v>
      </c>
      <c r="NF26" s="325" t="s">
        <v>109</v>
      </c>
      <c r="NG26" s="325" t="s">
        <v>110</v>
      </c>
      <c r="NH26" s="324" t="s">
        <v>110</v>
      </c>
      <c r="NI26" s="324" t="s">
        <v>109</v>
      </c>
      <c r="NJ26" s="324" t="s">
        <v>108</v>
      </c>
      <c r="NK26" s="324" t="s">
        <v>106</v>
      </c>
      <c r="NL26" s="325"/>
      <c r="NM26" s="326">
        <f ca="1">IFERROR(MATCH(NM12,ND26:NG26,0),0)</f>
        <v>1</v>
      </c>
      <c r="NN26" s="326">
        <f ca="1">IFERROR(MATCH(NN12,ND26:NG26,0),0)</f>
        <v>3</v>
      </c>
      <c r="NO26" s="326">
        <f ca="1">IFERROR(MATCH(NO12,ND26:NG26,0),0)</f>
        <v>0</v>
      </c>
      <c r="NP26" s="326">
        <f ca="1">IFERROR(MATCH(NP12,ND26:NG26,0),0)</f>
        <v>2</v>
      </c>
      <c r="NQ26" s="326">
        <f t="shared" ca="1" si="3547"/>
        <v>6</v>
      </c>
      <c r="NR26" s="325" t="s">
        <v>107</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2</v>
      </c>
      <c r="NX26" s="319">
        <f t="shared" ref="NX26" ca="1" si="7846">SUMPRODUCT((RT3:RT42=NV26)*(RX3:RX42="D"))+SUMPRODUCT((RW3:RW42=NV26)*(RY3:RY42="D"))</f>
        <v>1</v>
      </c>
      <c r="NY26" s="319">
        <f t="shared" ref="NY26" ca="1" si="7847">SUMPRODUCT((RT3:RT42=NV26)*(RX3:RX42="L"))+SUMPRODUCT((RW3:RW42=NV26)*(RY3:RY42="L"))</f>
        <v>0</v>
      </c>
      <c r="NZ26" s="319">
        <f t="shared" ref="NZ26" ca="1" si="7848">SUMIF(RT3:RT60,NV26,RU3:RU60)+SUMIF(RW3:RW60,NV26,RV3:RV60)</f>
        <v>6</v>
      </c>
      <c r="OA26" s="319">
        <f t="shared" ref="OA26" ca="1" si="7849">SUMIF(RW3:RW60,NV26,RU3:RU60)+SUMIF(RT3:RT60,NV26,RV3:RV60)</f>
        <v>4</v>
      </c>
      <c r="OB26" s="319">
        <f t="shared" ca="1" si="7462"/>
        <v>1002</v>
      </c>
      <c r="OC26" s="319">
        <f t="shared" ca="1" si="7463"/>
        <v>7</v>
      </c>
      <c r="OD26" s="319">
        <f t="shared" si="630"/>
        <v>42</v>
      </c>
      <c r="OE26" s="319">
        <f t="shared" ref="OE26" ca="1" si="7850">IF(COUNTIF(OC25:OC29,4)&lt;&gt;4,RANK(OC26,OC25:OC29),OC66)</f>
        <v>1</v>
      </c>
      <c r="OF26" s="319"/>
      <c r="OG26" s="319">
        <f t="shared" ref="OG26" ca="1" si="7851">SUMPRODUCT((OE25:OE28=OE26)*(OD25:OD28&lt;OD26))+OE26</f>
        <v>1</v>
      </c>
      <c r="OH26" s="319" t="str">
        <f t="shared" ref="OH26" ca="1" si="7852">INDEX(NV25:NV29,MATCH(2,OG25:OG29,0),0)</f>
        <v>France</v>
      </c>
      <c r="OI26" s="319">
        <f t="shared" ref="OI26" ca="1" si="7853">INDEX(OE25:OE29,MATCH(OH26,NV25:NV29,0),0)</f>
        <v>1</v>
      </c>
      <c r="OJ26" s="319" t="str">
        <f t="shared" ref="OJ26" ca="1" si="7854">IF(OJ25&lt;&gt;"",OH26,"")</f>
        <v>France</v>
      </c>
      <c r="OK26" s="319" t="str">
        <f t="shared" ref="OK26" ca="1" si="7855">IF(OK25&lt;&gt;"",OH27,"")</f>
        <v/>
      </c>
      <c r="OL26" s="319" t="str">
        <f t="shared" ref="OL26" ca="1" si="7856">IF(OL25&lt;&gt;"",OH28,"")</f>
        <v/>
      </c>
      <c r="OM26" s="319" t="str">
        <f t="shared" ref="OM26" si="7857">IF(OM25&lt;&gt;"",OH29,"")</f>
        <v/>
      </c>
      <c r="ON26" s="319"/>
      <c r="OO26" s="319" t="str">
        <f t="shared" ca="1" si="7472"/>
        <v>France</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19">
        <f t="shared" ca="1" si="7478"/>
        <v>1000</v>
      </c>
      <c r="OV26" s="319">
        <f t="shared" ca="1" si="7479"/>
        <v>1</v>
      </c>
      <c r="OW26" s="319">
        <f t="shared" ref="OW26" ca="1" si="7863">IF(OO26&lt;&gt;"",VLOOKUP(OO26,NV4:OB40,7,FALSE),"")</f>
        <v>1002</v>
      </c>
      <c r="OX26" s="319">
        <f t="shared" ref="OX26" ca="1" si="7864">IF(OO26&lt;&gt;"",VLOOKUP(OO26,NV4:OB40,5,FALSE),"")</f>
        <v>6</v>
      </c>
      <c r="OY26" s="319">
        <f t="shared" ref="OY26" ca="1" si="7865">IF(OO26&lt;&gt;"",VLOOKUP(OO26,NV4:OD40,9,FALSE),"")</f>
        <v>52</v>
      </c>
      <c r="OZ26" s="319">
        <f t="shared" ca="1" si="7483"/>
        <v>1</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0</v>
      </c>
      <c r="PG26" s="319">
        <f ca="1">IF(OO26&lt;&gt;"",IF(PG66&lt;&gt;"",IF(ON64=3,PG66,PG66+ON64),SUM(PA26:PF26)),"")</f>
        <v>1</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D</v>
      </c>
      <c r="RY26" s="319" t="str">
        <f t="shared" ca="1" si="5500"/>
        <v>D</v>
      </c>
      <c r="RZ26" s="319"/>
      <c r="SA26" s="319"/>
      <c r="SB26" s="324" t="s">
        <v>106</v>
      </c>
      <c r="SC26" s="325" t="s">
        <v>108</v>
      </c>
      <c r="SD26" s="325" t="s">
        <v>109</v>
      </c>
      <c r="SE26" s="325" t="s">
        <v>110</v>
      </c>
      <c r="SF26" s="324" t="s">
        <v>110</v>
      </c>
      <c r="SG26" s="324" t="s">
        <v>109</v>
      </c>
      <c r="SH26" s="324" t="s">
        <v>108</v>
      </c>
      <c r="SI26" s="324" t="s">
        <v>106</v>
      </c>
      <c r="SJ26" s="325"/>
      <c r="SK26" s="326">
        <f t="shared" ref="SK26" ca="1" si="7893">IFERROR(MATCH(SK12,SB26:SE26,0),0)</f>
        <v>1</v>
      </c>
      <c r="SL26" s="326">
        <f t="shared" ref="SL26" ca="1" si="7894">IFERROR(MATCH(SL12,SB26:SE26,0),0)</f>
        <v>2</v>
      </c>
      <c r="SM26" s="326">
        <f t="shared" ref="SM26" ca="1" si="7895">IFERROR(MATCH(SM12,SB26:SE26,0),0)</f>
        <v>0</v>
      </c>
      <c r="SN26" s="326">
        <f t="shared" ref="SN26" ca="1" si="7896">IFERROR(MATCH(SN12,SB26:SE26,0),0)</f>
        <v>3</v>
      </c>
      <c r="SO26" s="326">
        <f t="shared" ca="1" si="3616"/>
        <v>6</v>
      </c>
      <c r="SP26" s="325" t="s">
        <v>107</v>
      </c>
      <c r="SQ26" s="325" t="str">
        <f t="shared" ref="SQ26" ca="1" si="7897">VLOOKUP(1,NU18:NV21,2,FALSE)</f>
        <v>Denmark</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5</v>
      </c>
      <c r="SY26" s="319">
        <f t="shared" ref="SY26" ca="1" si="7903">SUMIF(WU3:WU60,ST26,WS3:WS60)+SUMIF(WR3:WR60,ST26,WT3:WT60)</f>
        <v>5</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1</v>
      </c>
      <c r="WT26" s="322">
        <f ca="1">IF(OFFSET('Player Game Board'!Q33,0,WS1)&lt;&gt;"",OFFSET('Player Game Board'!Q33,0,WS1),0)</f>
        <v>2</v>
      </c>
      <c r="WU26" s="319" t="str">
        <f t="shared" si="35"/>
        <v>Czechia</v>
      </c>
      <c r="WV26" s="319" t="str">
        <f ca="1">IF(AND(OFFSET('Player Game Board'!P33,0,WS1)&lt;&gt;"",OFFSET('Player Game Board'!Q33,0,WS1)&lt;&gt;""),IF(WS26&gt;WT26,"W",IF(WS26=WT26,"D","L")),"")</f>
        <v>L</v>
      </c>
      <c r="WW26" s="319" t="str">
        <f t="shared" ca="1" si="5555"/>
        <v>W</v>
      </c>
      <c r="WX26" s="319"/>
      <c r="WY26" s="319"/>
      <c r="WZ26" s="324" t="s">
        <v>106</v>
      </c>
      <c r="XA26" s="325" t="s">
        <v>108</v>
      </c>
      <c r="XB26" s="325" t="s">
        <v>109</v>
      </c>
      <c r="XC26" s="325" t="s">
        <v>110</v>
      </c>
      <c r="XD26" s="324" t="s">
        <v>110</v>
      </c>
      <c r="XE26" s="324" t="s">
        <v>109</v>
      </c>
      <c r="XF26" s="324" t="s">
        <v>108</v>
      </c>
      <c r="XG26" s="324" t="s">
        <v>106</v>
      </c>
      <c r="XH26" s="325"/>
      <c r="XI26" s="326">
        <f t="shared" ref="XI26" ca="1" si="7947">IFERROR(MATCH(XI12,WZ26:XC26,0),0)</f>
        <v>1</v>
      </c>
      <c r="XJ26" s="326">
        <f t="shared" ref="XJ26" ca="1" si="7948">IFERROR(MATCH(XJ12,WZ26:XC26,0),0)</f>
        <v>4</v>
      </c>
      <c r="XK26" s="326">
        <f t="shared" ref="XK26" ca="1" si="7949">IFERROR(MATCH(XK12,WZ26:XC26,0),0)</f>
        <v>0</v>
      </c>
      <c r="XL26" s="326">
        <f t="shared" ref="XL26" ca="1" si="7950">IFERROR(MATCH(XL12,WZ26:XC26,0),0)</f>
        <v>2</v>
      </c>
      <c r="XM26" s="326">
        <f t="shared" ca="1" si="3686"/>
        <v>7</v>
      </c>
      <c r="XN26" s="325" t="s">
        <v>107</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106</v>
      </c>
      <c r="ABY26" s="325" t="s">
        <v>108</v>
      </c>
      <c r="ABZ26" s="325" t="s">
        <v>109</v>
      </c>
      <c r="ACA26" s="325" t="s">
        <v>110</v>
      </c>
      <c r="ACB26" s="324" t="s">
        <v>110</v>
      </c>
      <c r="ACC26" s="324" t="s">
        <v>109</v>
      </c>
      <c r="ACD26" s="324" t="s">
        <v>108</v>
      </c>
      <c r="ACE26" s="324" t="s">
        <v>106</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107</v>
      </c>
      <c r="ACM26" s="325" t="str">
        <f t="shared" ref="ACM26" ca="1" si="8005">VLOOKUP(1,XQ18:XR21,2,FALSE)</f>
        <v>England</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2</v>
      </c>
      <c r="ACV26" s="319">
        <f t="shared" ca="1" si="7588"/>
        <v>1003</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1</v>
      </c>
      <c r="ADD26" s="319" t="str">
        <f t="shared" ref="ADD26" ca="1" si="8016">IF(ADD25&lt;&gt;"",ADB26,"")</f>
        <v>France</v>
      </c>
      <c r="ADE26" s="319" t="str">
        <f t="shared" ref="ADE26" ca="1" si="8017">IF(ADE25&lt;&gt;"",ADB27,"")</f>
        <v/>
      </c>
      <c r="ADF26" s="319" t="str">
        <f t="shared" ref="ADF26" ca="1" si="8018">IF(ADF25&lt;&gt;"",ADB28,"")</f>
        <v/>
      </c>
      <c r="ADG26" s="319" t="str">
        <f t="shared" ref="ADG26" si="8019">IF(ADG25&lt;&gt;"",ADB29,"")</f>
        <v/>
      </c>
      <c r="ADH26" s="319"/>
      <c r="ADI26" s="319" t="str">
        <f t="shared" ca="1" si="7598"/>
        <v>France</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19">
        <f t="shared" ca="1" si="7604"/>
        <v>1000</v>
      </c>
      <c r="ADP26" s="319">
        <f t="shared" ca="1" si="7605"/>
        <v>1</v>
      </c>
      <c r="ADQ26" s="319">
        <f t="shared" ref="ADQ26" ca="1" si="8025">IF(ADI26&lt;&gt;"",VLOOKUP(ADI26,ACP4:ACV40,7,FALSE),"")</f>
        <v>1002</v>
      </c>
      <c r="ADR26" s="319">
        <f t="shared" ref="ADR26" ca="1" si="8026">IF(ADI26&lt;&gt;"",VLOOKUP(ADI26,ACP4:ACV40,5,FALSE),"")</f>
        <v>4</v>
      </c>
      <c r="ADS26" s="319">
        <f t="shared" ref="ADS26" ca="1" si="8027">IF(ADI26&lt;&gt;"",VLOOKUP(ADI26,ACP4:ACX40,9,FALSE),"")</f>
        <v>52</v>
      </c>
      <c r="ADT26" s="319">
        <f t="shared" ca="1" si="7609"/>
        <v>1</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1</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0</v>
      </c>
      <c r="AEA26" s="319">
        <f ca="1">IF(ADI26&lt;&gt;"",IF(AEA66&lt;&gt;"",IF(ADH64=3,AEA66,AEA66+ADH64),SUM(ADU26:ADZ26)),"")</f>
        <v>2</v>
      </c>
      <c r="AEB26" s="319" t="str">
        <f t="shared" ref="AEB26" ca="1" si="8034">IF(ADI26&lt;&gt;"",INDEX(ADI25:ADI29,MATCH(2,AEA25:AEA29,0),0),"")</f>
        <v>France</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0</v>
      </c>
      <c r="AGP26" s="322">
        <f ca="1">IF(OFFSET('Player Game Board'!Q33,0,AGO1)&lt;&gt;"",OFFSET('Player Game Board'!Q33,0,AGO1),0)</f>
        <v>2</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106</v>
      </c>
      <c r="AGW26" s="325" t="s">
        <v>108</v>
      </c>
      <c r="AGX26" s="325" t="s">
        <v>109</v>
      </c>
      <c r="AGY26" s="325" t="s">
        <v>110</v>
      </c>
      <c r="AGZ26" s="324" t="s">
        <v>110</v>
      </c>
      <c r="AHA26" s="324" t="s">
        <v>109</v>
      </c>
      <c r="AHB26" s="324" t="s">
        <v>108</v>
      </c>
      <c r="AHC26" s="324" t="s">
        <v>106</v>
      </c>
      <c r="AHD26" s="325"/>
      <c r="AHE26" s="326">
        <f t="shared" ref="AHE26" ca="1" si="8055">IFERROR(MATCH(AHE12,AGV26:AGY26,0),0)</f>
        <v>1</v>
      </c>
      <c r="AHF26" s="326">
        <f t="shared" ref="AHF26" ca="1" si="8056">IFERROR(MATCH(AHF12,AGV26:AGY26,0),0)</f>
        <v>0</v>
      </c>
      <c r="AHG26" s="326">
        <f t="shared" ref="AHG26" ca="1" si="8057">IFERROR(MATCH(AHG12,AGV26:AGY26,0),0)</f>
        <v>2</v>
      </c>
      <c r="AHH26" s="326">
        <f t="shared" ref="AHH26" ca="1" si="8058">IFERROR(MATCH(AHH12,AGV26:AGY26,0),0)</f>
        <v>4</v>
      </c>
      <c r="AHI26" s="326">
        <f t="shared" ca="1" si="3826"/>
        <v>7</v>
      </c>
      <c r="AHJ26" s="325" t="s">
        <v>107</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5</v>
      </c>
      <c r="AHS26" s="319">
        <f t="shared" ref="AHS26" ca="1" si="8065">SUMIF(ALO3:ALO60,AHN26,ALM3:ALM60)+SUMIF(ALL3:ALL60,AHN26,ALN3:ALN60)</f>
        <v>3</v>
      </c>
      <c r="AHT26" s="319">
        <f t="shared" ca="1" si="7630"/>
        <v>1002</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19">
        <f t="shared" ca="1" si="7646"/>
        <v>1000</v>
      </c>
      <c r="AIN26" s="319">
        <f t="shared" ca="1" si="7647"/>
        <v>1</v>
      </c>
      <c r="AIO26" s="319">
        <f t="shared" ref="AIO26" ca="1" si="8079">IF(AIG26&lt;&gt;"",VLOOKUP(AIG26,AHN4:AHT40,7,FALSE),"")</f>
        <v>1003</v>
      </c>
      <c r="AIP26" s="319">
        <f t="shared" ref="AIP26" ca="1" si="8080">IF(AIG26&lt;&gt;"",VLOOKUP(AIG26,AHN4:AHT40,5,FALSE),"")</f>
        <v>6</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D</v>
      </c>
      <c r="ALQ26" s="319" t="str">
        <f t="shared" ca="1" si="5720"/>
        <v>D</v>
      </c>
      <c r="ALR26" s="319"/>
      <c r="ALS26" s="319"/>
      <c r="ALT26" s="324" t="s">
        <v>106</v>
      </c>
      <c r="ALU26" s="325" t="s">
        <v>108</v>
      </c>
      <c r="ALV26" s="325" t="s">
        <v>109</v>
      </c>
      <c r="ALW26" s="325" t="s">
        <v>110</v>
      </c>
      <c r="ALX26" s="324" t="s">
        <v>110</v>
      </c>
      <c r="ALY26" s="324" t="s">
        <v>109</v>
      </c>
      <c r="ALZ26" s="324" t="s">
        <v>108</v>
      </c>
      <c r="AMA26" s="324" t="s">
        <v>106</v>
      </c>
      <c r="AMB26" s="325"/>
      <c r="AMC26" s="326">
        <f t="shared" ref="AMC26" ca="1" si="8109">IFERROR(MATCH(AMC12,ALT26:ALW26,0),0)</f>
        <v>3</v>
      </c>
      <c r="AMD26" s="326">
        <f t="shared" ref="AMD26" ca="1" si="8110">IFERROR(MATCH(AMD12,ALT26:ALW26,0),0)</f>
        <v>1</v>
      </c>
      <c r="AME26" s="326">
        <f t="shared" ref="AME26" ca="1" si="8111">IFERROR(MATCH(AME12,ALT26:ALW26,0),0)</f>
        <v>2</v>
      </c>
      <c r="AMF26" s="326">
        <f t="shared" ref="AMF26" ca="1" si="8112">IFERROR(MATCH(AMF12,ALT26:ALW26,0),0)</f>
        <v>0</v>
      </c>
      <c r="AMG26" s="326">
        <f t="shared" ca="1" si="3896"/>
        <v>6</v>
      </c>
      <c r="AMH26" s="325" t="s">
        <v>107</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2</v>
      </c>
      <c r="AMN26" s="319">
        <f t="shared" ref="AMN26" ca="1" si="8116">SUMPRODUCT((AQJ3:AQJ42=AML26)*(AQN3:AQN42="D"))+SUMPRODUCT((AQM3:AQM42=AML26)*(AQO3:AQO42="D"))</f>
        <v>0</v>
      </c>
      <c r="AMO26" s="319">
        <f t="shared" ref="AMO26" ca="1" si="8117">SUMPRODUCT((AQJ3:AQJ42=AML26)*(AQN3:AQN42="L"))+SUMPRODUCT((AQM3:AQM42=AML26)*(AQO3:AQO42="L"))</f>
        <v>1</v>
      </c>
      <c r="AMP26" s="319">
        <f t="shared" ref="AMP26" ca="1" si="8118">SUMIF(AQJ3:AQJ60,AML26,AQK3:AQK60)+SUMIF(AQM3:AQM60,AML26,AQL3:AQL60)</f>
        <v>6</v>
      </c>
      <c r="AMQ26" s="319">
        <f t="shared" ref="AMQ26" ca="1" si="8119">SUMIF(AQM3:AQM60,AML26,AQK3:AQK60)+SUMIF(AQJ3:AQJ60,AML26,AQL3:AQL60)</f>
        <v>4</v>
      </c>
      <c r="AMR26" s="319">
        <f t="shared" ca="1" si="7672"/>
        <v>1002</v>
      </c>
      <c r="AMS26" s="319">
        <f t="shared" ca="1" si="7673"/>
        <v>6</v>
      </c>
      <c r="AMT26" s="319">
        <f t="shared" si="930"/>
        <v>42</v>
      </c>
      <c r="AMU26" s="319">
        <f t="shared" ref="AMU26" ca="1" si="8120">IF(COUNTIF(AMS25:AMS29,4)&lt;&gt;4,RANK(AMS26,AMS25:AMS29),AMS66)</f>
        <v>2</v>
      </c>
      <c r="AMV26" s="319"/>
      <c r="AMW26" s="319">
        <f t="shared" ref="AMW26" ca="1" si="8121">SUMPRODUCT((AMU25:AMU28=AMU26)*(AMT25:AMT28&lt;AMT26))+AMU26</f>
        <v>2</v>
      </c>
      <c r="AMX26" s="319" t="str">
        <f t="shared" ref="AMX26" ca="1" si="8122">INDEX(AML25:AML29,MATCH(2,AMW25:AMW29,0),0)</f>
        <v>Netherlands</v>
      </c>
      <c r="AMY26" s="319">
        <f t="shared" ref="AMY26" ca="1" si="8123">INDEX(AMU25:AMU29,MATCH(AMX26,AML25:AML29,0),0)</f>
        <v>2</v>
      </c>
      <c r="AMZ26" s="319" t="str">
        <f t="shared" ref="AMZ26" ca="1" si="8124">IF(AMZ25&lt;&gt;"",AMX26,"")</f>
        <v/>
      </c>
      <c r="ANA26" s="319" t="str">
        <f t="shared" ref="ANA26" ca="1" si="8125">IF(ANA25&lt;&gt;"",AMX27,"")</f>
        <v/>
      </c>
      <c r="ANB26" s="319" t="str">
        <f t="shared" ref="ANB26" ca="1" si="8126">IF(ANB25&lt;&gt;"",AMX28,"")</f>
        <v>Austria</v>
      </c>
      <c r="ANC26" s="319" t="str">
        <f t="shared" ref="ANC26" si="8127">IF(ANC25&lt;&gt;"",AMX29,"")</f>
        <v/>
      </c>
      <c r="AND26" s="319"/>
      <c r="ANE26" s="319" t="str">
        <f t="shared" ca="1" si="7682"/>
        <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t="str">
        <f t="shared" ca="1" si="7689"/>
        <v/>
      </c>
      <c r="ANM26" s="319" t="str">
        <f t="shared" ref="ANM26" ca="1" si="8133">IF(ANE26&lt;&gt;"",VLOOKUP(ANE26,AML4:AMR40,7,FALSE),"")</f>
        <v/>
      </c>
      <c r="ANN26" s="319" t="str">
        <f t="shared" ref="ANN26" ca="1" si="8134">IF(ANE26&lt;&gt;"",VLOOKUP(ANE26,AML4:AMR40,5,FALSE),"")</f>
        <v/>
      </c>
      <c r="ANO26" s="319" t="str">
        <f t="shared" ref="ANO26" ca="1" si="8135">IF(ANE26&lt;&gt;"",VLOOKUP(ANE26,AML4:AMT40,9,FALSE),"")</f>
        <v/>
      </c>
      <c r="ANP26" s="319" t="str">
        <f t="shared" ca="1" si="7693"/>
        <v/>
      </c>
      <c r="ANQ26" s="319" t="str">
        <f t="shared" ref="ANQ26" ca="1" si="8136">IF(ANE26&lt;&gt;"",RANK(ANP26,ANP25:ANP29),"")</f>
        <v/>
      </c>
      <c r="ANR26" s="319" t="str">
        <f t="shared" ref="ANR26" ca="1" si="8137">IF(ANE26&lt;&gt;"",SUMPRODUCT((ANP25:ANP29=ANP26)*(ANK25:ANK29&gt;ANK26)),"")</f>
        <v/>
      </c>
      <c r="ANS26" s="319" t="str">
        <f t="shared" ref="ANS26" ca="1" si="8138">IF(ANE26&lt;&gt;"",SUMPRODUCT((ANP25:ANP29=ANP26)*(ANK25:ANK29=ANK26)*(ANI25:ANI29&gt;ANI26)),"")</f>
        <v/>
      </c>
      <c r="ANT26" s="319" t="str">
        <f t="shared" ref="ANT26" ca="1" si="8139">IF(ANE26&lt;&gt;"",SUMPRODUCT((ANP25:ANP29=ANP26)*(ANK25:ANK29=ANK26)*(ANI25:ANI29=ANI26)*(ANM25:ANM29&gt;ANM26)),"")</f>
        <v/>
      </c>
      <c r="ANU26" s="319" t="str">
        <f t="shared" ref="ANU26" ca="1" si="8140">IF(ANE26&lt;&gt;"",SUMPRODUCT((ANP25:ANP29=ANP26)*(ANK25:ANK29=ANK26)*(ANI25:ANI29=ANI26)*(ANM25:ANM29=ANM26)*(ANN25:ANN29&gt;ANN26)),"")</f>
        <v/>
      </c>
      <c r="ANV26" s="319" t="str">
        <f t="shared" ref="ANV26" ca="1" si="8141">IF(ANE26&lt;&gt;"",SUMPRODUCT((ANP25:ANP29=ANP26)*(ANK25:ANK29=ANK26)*(ANI25:ANI29=ANI26)*(ANM25:ANM29=ANM26)*(ANN25:ANN29=ANN26)*(ANO25:ANO29&gt;ANO26)),"")</f>
        <v/>
      </c>
      <c r="ANW26" s="319" t="str">
        <f ca="1">IF(ANE26&lt;&gt;"",IF(ANW66&lt;&gt;"",IF(AND64=3,ANW66,ANW66+AND64),SUM(ANQ26:ANV26)),"")</f>
        <v/>
      </c>
      <c r="ANX26" s="319" t="str">
        <f t="shared" ref="ANX26" ca="1" si="8142">IF(ANE26&lt;&gt;"",INDEX(ANE25:ANE29,MATCH(2,ANW25:ANW29,0),0),"")</f>
        <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1</v>
      </c>
      <c r="AQM26" s="319" t="str">
        <f t="shared" si="99"/>
        <v>Czechia</v>
      </c>
      <c r="AQN26" s="319" t="str">
        <f ca="1">IF(AND(OFFSET('Player Game Board'!P33,0,AQK1)&lt;&gt;"",OFFSET('Player Game Board'!Q33,0,AQK1)&lt;&gt;""),IF(AQK26&gt;AQL26,"W",IF(AQK26=AQL26,"D","L")),"")</f>
        <v>L</v>
      </c>
      <c r="AQO26" s="319" t="str">
        <f t="shared" ca="1" si="5775"/>
        <v>W</v>
      </c>
      <c r="AQP26" s="319"/>
      <c r="AQQ26" s="319"/>
      <c r="AQR26" s="324" t="s">
        <v>106</v>
      </c>
      <c r="AQS26" s="325" t="s">
        <v>108</v>
      </c>
      <c r="AQT26" s="325" t="s">
        <v>109</v>
      </c>
      <c r="AQU26" s="325" t="s">
        <v>110</v>
      </c>
      <c r="AQV26" s="324" t="s">
        <v>110</v>
      </c>
      <c r="AQW26" s="324" t="s">
        <v>109</v>
      </c>
      <c r="AQX26" s="324" t="s">
        <v>108</v>
      </c>
      <c r="AQY26" s="324" t="s">
        <v>106</v>
      </c>
      <c r="AQZ26" s="325"/>
      <c r="ARA26" s="326">
        <f t="shared" ref="ARA26" ca="1" si="8163">IFERROR(MATCH(ARA12,AQR26:AQU26,0),0)</f>
        <v>1</v>
      </c>
      <c r="ARB26" s="326">
        <f t="shared" ref="ARB26" ca="1" si="8164">IFERROR(MATCH(ARB12,AQR26:AQU26,0),0)</f>
        <v>0</v>
      </c>
      <c r="ARC26" s="326">
        <f t="shared" ref="ARC26" ca="1" si="8165">IFERROR(MATCH(ARC12,AQR26:AQU26,0),0)</f>
        <v>4</v>
      </c>
      <c r="ARD26" s="326">
        <f t="shared" ref="ARD26" ca="1" si="8166">IFERROR(MATCH(ARD12,AQR26:AQU26,0),0)</f>
        <v>3</v>
      </c>
      <c r="ARE26" s="326">
        <f t="shared" ca="1" si="3966"/>
        <v>8</v>
      </c>
      <c r="ARF26" s="325" t="s">
        <v>107</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2</v>
      </c>
      <c r="ARL26" s="319">
        <f t="shared" ref="ARL26" ca="1" si="8170">SUMPRODUCT((AVH3:AVH42=ARJ26)*(AVL3:AVL42="D"))+SUMPRODUCT((AVK3:AVK42=ARJ26)*(AVM3:AVM42="D"))</f>
        <v>0</v>
      </c>
      <c r="ARM26" s="319">
        <f t="shared" ref="ARM26" ca="1" si="8171">SUMPRODUCT((AVH3:AVH42=ARJ26)*(AVL3:AVL42="L"))+SUMPRODUCT((AVK3:AVK42=ARJ26)*(AVM3:AVM42="L"))</f>
        <v>1</v>
      </c>
      <c r="ARN26" s="319">
        <f t="shared" ref="ARN26" ca="1" si="8172">SUMIF(AVH3:AVH60,ARJ26,AVI3:AVI60)+SUMIF(AVK3:AVK60,ARJ26,AVJ3:AVJ60)</f>
        <v>4</v>
      </c>
      <c r="ARO26" s="319">
        <f t="shared" ref="ARO26" ca="1" si="8173">SUMIF(AVK3:AVK60,ARJ26,AVI3:AVI60)+SUMIF(AVH3:AVH60,ARJ26,AVJ3:AVJ60)</f>
        <v>2</v>
      </c>
      <c r="ARP26" s="319">
        <f t="shared" ca="1" si="7714"/>
        <v>1002</v>
      </c>
      <c r="ARQ26" s="319">
        <f t="shared" ca="1" si="7715"/>
        <v>6</v>
      </c>
      <c r="ARR26" s="319">
        <f t="shared" si="990"/>
        <v>42</v>
      </c>
      <c r="ARS26" s="319">
        <f t="shared" ref="ARS26" ca="1" si="8174">IF(COUNTIF(ARQ25:ARQ29,4)&lt;&gt;4,RANK(ARQ26,ARQ25:ARQ29),ARQ66)</f>
        <v>2</v>
      </c>
      <c r="ART26" s="319"/>
      <c r="ARU26" s="319">
        <f t="shared" ref="ARU26" ca="1" si="8175">SUMPRODUCT((ARS25:ARS28=ARS26)*(ARR25:ARR28&lt;ARR26))+ARS26</f>
        <v>2</v>
      </c>
      <c r="ARV26" s="319" t="str">
        <f t="shared" ref="ARV26" ca="1" si="8176">INDEX(ARJ25:ARJ29,MATCH(2,ARU25:ARU29,0),0)</f>
        <v>Netherlands</v>
      </c>
      <c r="ARW26" s="319">
        <f t="shared" ref="ARW26" ca="1" si="8177">INDEX(ARS25:ARS29,MATCH(ARV26,ARJ25:ARJ29,0),0)</f>
        <v>2</v>
      </c>
      <c r="ARX26" s="319" t="str">
        <f t="shared" ref="ARX26" ca="1" si="8178">IF(ARX25&lt;&gt;"",ARV26,"")</f>
        <v/>
      </c>
      <c r="ARY26" s="319" t="str">
        <f t="shared" ref="ARY26" ca="1" si="8179">IF(ARY25&lt;&gt;"",ARV27,"")</f>
        <v/>
      </c>
      <c r="ARZ26" s="319" t="str">
        <f t="shared" ref="ARZ26" ca="1" si="8180">IF(ARZ25&lt;&gt;"",ARV28,"")</f>
        <v/>
      </c>
      <c r="ASA26" s="319" t="str">
        <f t="shared" ref="ASA26" si="8181">IF(ASA25&lt;&gt;"",ARV29,"")</f>
        <v/>
      </c>
      <c r="ASB26" s="319"/>
      <c r="ASC26" s="319" t="str">
        <f t="shared" ca="1" si="7724"/>
        <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t="str">
        <f t="shared" ca="1" si="7731"/>
        <v/>
      </c>
      <c r="ASK26" s="319" t="str">
        <f t="shared" ref="ASK26" ca="1" si="8187">IF(ASC26&lt;&gt;"",VLOOKUP(ASC26,ARJ4:ARP40,7,FALSE),"")</f>
        <v/>
      </c>
      <c r="ASL26" s="319" t="str">
        <f t="shared" ref="ASL26" ca="1" si="8188">IF(ASC26&lt;&gt;"",VLOOKUP(ASC26,ARJ4:ARP40,5,FALSE),"")</f>
        <v/>
      </c>
      <c r="ASM26" s="319" t="str">
        <f t="shared" ref="ASM26" ca="1" si="8189">IF(ASC26&lt;&gt;"",VLOOKUP(ASC26,ARJ4:ARR40,9,FALSE),"")</f>
        <v/>
      </c>
      <c r="ASN26" s="319" t="str">
        <f t="shared" ca="1" si="7735"/>
        <v/>
      </c>
      <c r="ASO26" s="319" t="str">
        <f t="shared" ref="ASO26" ca="1" si="8190">IF(ASC26&lt;&gt;"",RANK(ASN26,ASN25:ASN29),"")</f>
        <v/>
      </c>
      <c r="ASP26" s="319" t="str">
        <f t="shared" ref="ASP26" ca="1" si="8191">IF(ASC26&lt;&gt;"",SUMPRODUCT((ASN25:ASN29=ASN26)*(ASI25:ASI29&gt;ASI26)),"")</f>
        <v/>
      </c>
      <c r="ASQ26" s="319" t="str">
        <f t="shared" ref="ASQ26" ca="1" si="8192">IF(ASC26&lt;&gt;"",SUMPRODUCT((ASN25:ASN29=ASN26)*(ASI25:ASI29=ASI26)*(ASG25:ASG29&gt;ASG26)),"")</f>
        <v/>
      </c>
      <c r="ASR26" s="319" t="str">
        <f t="shared" ref="ASR26" ca="1" si="8193">IF(ASC26&lt;&gt;"",SUMPRODUCT((ASN25:ASN29=ASN26)*(ASI25:ASI29=ASI26)*(ASG25:ASG29=ASG26)*(ASK25:ASK29&gt;ASK26)),"")</f>
        <v/>
      </c>
      <c r="ASS26" s="319" t="str">
        <f t="shared" ref="ASS26" ca="1" si="8194">IF(ASC26&lt;&gt;"",SUMPRODUCT((ASN25:ASN29=ASN26)*(ASI25:ASI29=ASI26)*(ASG25:ASG29=ASG26)*(ASK25:ASK29=ASK26)*(ASL25:ASL29&gt;ASL26)),"")</f>
        <v/>
      </c>
      <c r="AST26" s="319" t="str">
        <f t="shared" ref="AST26" ca="1" si="8195">IF(ASC26&lt;&gt;"",SUMPRODUCT((ASN25:ASN29=ASN26)*(ASI25:ASI29=ASI26)*(ASG25:ASG29=ASG26)*(ASK25:ASK29=ASK26)*(ASL25:ASL29=ASL26)*(ASM25:ASM29&gt;ASM26)),"")</f>
        <v/>
      </c>
      <c r="ASU26" s="319" t="str">
        <f ca="1">IF(ASC26&lt;&gt;"",IF(ASU66&lt;&gt;"",IF(ASB64=3,ASU66,ASU66+ASB64),SUM(ASO26:AST26)),"")</f>
        <v/>
      </c>
      <c r="ASV26" s="319" t="str">
        <f t="shared" ref="ASV26" ca="1" si="8196">IF(ASC26&lt;&gt;"",INDEX(ASC25:ASC29,MATCH(2,ASU25:ASU29,0),0),"")</f>
        <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3</v>
      </c>
      <c r="AVJ26" s="322">
        <f ca="1">IF(OFFSET('Player Game Board'!Q33,0,AVI1)&lt;&gt;"",OFFSET('Player Game Board'!Q33,0,AVI1),0)</f>
        <v>3</v>
      </c>
      <c r="AVK26" s="319" t="str">
        <f t="shared" si="115"/>
        <v>Czechia</v>
      </c>
      <c r="AVL26" s="319" t="str">
        <f ca="1">IF(AND(OFFSET('Player Game Board'!P33,0,AVI1)&lt;&gt;"",OFFSET('Player Game Board'!Q33,0,AVI1)&lt;&gt;""),IF(AVI26&gt;AVJ26,"W",IF(AVI26=AVJ26,"D","L")),"")</f>
        <v>D</v>
      </c>
      <c r="AVM26" s="319" t="str">
        <f t="shared" ca="1" si="5830"/>
        <v>D</v>
      </c>
      <c r="AVN26" s="319"/>
      <c r="AVO26" s="319"/>
      <c r="AVP26" s="324" t="s">
        <v>106</v>
      </c>
      <c r="AVQ26" s="325" t="s">
        <v>108</v>
      </c>
      <c r="AVR26" s="325" t="s">
        <v>109</v>
      </c>
      <c r="AVS26" s="325" t="s">
        <v>110</v>
      </c>
      <c r="AVT26" s="324" t="s">
        <v>110</v>
      </c>
      <c r="AVU26" s="324" t="s">
        <v>109</v>
      </c>
      <c r="AVV26" s="324" t="s">
        <v>108</v>
      </c>
      <c r="AVW26" s="324" t="s">
        <v>106</v>
      </c>
      <c r="AVX26" s="325"/>
      <c r="AVY26" s="326">
        <f t="shared" ref="AVY26" ca="1" si="8217">IFERROR(MATCH(AVY12,AVP26:AVS26,0),0)</f>
        <v>1</v>
      </c>
      <c r="AVZ26" s="326">
        <f t="shared" ref="AVZ26" ca="1" si="8218">IFERROR(MATCH(AVZ12,AVP26:AVS26,0),0)</f>
        <v>3</v>
      </c>
      <c r="AWA26" s="326">
        <f t="shared" ref="AWA26" ca="1" si="8219">IFERROR(MATCH(AWA12,AVP26:AVS26,0),0)</f>
        <v>0</v>
      </c>
      <c r="AWB26" s="326">
        <f t="shared" ref="AWB26" ca="1" si="8220">IFERROR(MATCH(AWB12,AVP26:AVS26,0),0)</f>
        <v>0</v>
      </c>
      <c r="AWC26" s="326">
        <f t="shared" ca="1" si="4036"/>
        <v>4</v>
      </c>
      <c r="AWD26" s="325" t="s">
        <v>107</v>
      </c>
      <c r="AWE26" s="325" t="str">
        <f t="shared" ref="AWE26" ca="1" si="8221">VLOOKUP(1,ARI18:ARJ21,2,FALSE)</f>
        <v>Slovenia</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2</v>
      </c>
      <c r="AWJ26" s="319">
        <f t="shared" ref="AWJ26" ca="1" si="8224">SUMPRODUCT((BAF3:BAF42=AWH26)*(BAJ3:BAJ42="D"))+SUMPRODUCT((BAI3:BAI42=AWH26)*(BAK3:BAK42="D"))</f>
        <v>0</v>
      </c>
      <c r="AWK26" s="319">
        <f t="shared" ref="AWK26" ca="1" si="8225">SUMPRODUCT((BAF3:BAF42=AWH26)*(BAJ3:BAJ42="L"))+SUMPRODUCT((BAI3:BAI42=AWH26)*(BAK3:BAK42="L"))</f>
        <v>1</v>
      </c>
      <c r="AWL26" s="319">
        <f t="shared" ref="AWL26" ca="1" si="8226">SUMIF(BAF3:BAF60,AWH26,BAG3:BAG60)+SUMIF(BAI3:BAI60,AWH26,BAH3:BAH60)</f>
        <v>6</v>
      </c>
      <c r="AWM26" s="319">
        <f t="shared" ref="AWM26" ca="1" si="8227">SUMIF(BAI3:BAI60,AWH26,BAG3:BAG60)+SUMIF(BAF3:BAF60,AWH26,BAH3:BAH60)</f>
        <v>3</v>
      </c>
      <c r="AWN26" s="319">
        <f t="shared" ca="1" si="7756"/>
        <v>1003</v>
      </c>
      <c r="AWO26" s="319">
        <f t="shared" ca="1" si="7757"/>
        <v>6</v>
      </c>
      <c r="AWP26" s="319">
        <f t="shared" si="1050"/>
        <v>42</v>
      </c>
      <c r="AWQ26" s="319">
        <f t="shared" ref="AWQ26" ca="1" si="8228">IF(COUNTIF(AWO25:AWO29,4)&lt;&gt;4,RANK(AWO26,AWO25:AWO29),AWO66)</f>
        <v>2</v>
      </c>
      <c r="AWR26" s="319"/>
      <c r="AWS26" s="319">
        <f t="shared" ref="AWS26" ca="1" si="8229">SUMPRODUCT((AWQ25:AWQ28=AWQ26)*(AWP25:AWP28&lt;AWP26))+AWQ26</f>
        <v>2</v>
      </c>
      <c r="AWT26" s="319" t="str">
        <f t="shared" ref="AWT26" ca="1" si="8230">INDEX(AWH25:AWH29,MATCH(2,AWS25:AWS29,0),0)</f>
        <v>Netherlands</v>
      </c>
      <c r="AWU26" s="319">
        <f t="shared" ref="AWU26" ca="1" si="8231">INDEX(AWQ25:AWQ29,MATCH(AWT26,AWH25:AWH29,0),0)</f>
        <v>2</v>
      </c>
      <c r="AWV26" s="319" t="str">
        <f t="shared" ref="AWV26" ca="1" si="8232">IF(AWV25&lt;&gt;"",AWT26,"")</f>
        <v/>
      </c>
      <c r="AWW26" s="319" t="str">
        <f t="shared" ref="AWW26" ca="1" si="8233">IF(AWW25&lt;&gt;"",AWT27,"")</f>
        <v/>
      </c>
      <c r="AWX26" s="319" t="str">
        <f t="shared" ref="AWX26" ca="1" si="8234">IF(AWX25&lt;&gt;"",AWT28,"")</f>
        <v/>
      </c>
      <c r="AWY26" s="319" t="str">
        <f t="shared" ref="AWY26" si="8235">IF(AWY25&lt;&gt;"",AWT29,"")</f>
        <v/>
      </c>
      <c r="AWZ26" s="319"/>
      <c r="AXA26" s="319" t="str">
        <f t="shared" ca="1" si="7766"/>
        <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t="str">
        <f t="shared" ca="1" si="7773"/>
        <v/>
      </c>
      <c r="AXI26" s="319" t="str">
        <f t="shared" ref="AXI26" ca="1" si="8241">IF(AXA26&lt;&gt;"",VLOOKUP(AXA26,AWH4:AWN40,7,FALSE),"")</f>
        <v/>
      </c>
      <c r="AXJ26" s="319" t="str">
        <f t="shared" ref="AXJ26" ca="1" si="8242">IF(AXA26&lt;&gt;"",VLOOKUP(AXA26,AWH4:AWN40,5,FALSE),"")</f>
        <v/>
      </c>
      <c r="AXK26" s="319" t="str">
        <f t="shared" ref="AXK26" ca="1" si="8243">IF(AXA26&lt;&gt;"",VLOOKUP(AXA26,AWH4:AWP40,9,FALSE),"")</f>
        <v/>
      </c>
      <c r="AXL26" s="319" t="str">
        <f t="shared" ca="1" si="7777"/>
        <v/>
      </c>
      <c r="AXM26" s="319" t="str">
        <f t="shared" ref="AXM26" ca="1" si="8244">IF(AXA26&lt;&gt;"",RANK(AXL26,AXL25:AXL29),"")</f>
        <v/>
      </c>
      <c r="AXN26" s="319" t="str">
        <f t="shared" ref="AXN26" ca="1" si="8245">IF(AXA26&lt;&gt;"",SUMPRODUCT((AXL25:AXL29=AXL26)*(AXG25:AXG29&gt;AXG26)),"")</f>
        <v/>
      </c>
      <c r="AXO26" s="319" t="str">
        <f t="shared" ref="AXO26" ca="1" si="8246">IF(AXA26&lt;&gt;"",SUMPRODUCT((AXL25:AXL29=AXL26)*(AXG25:AXG29=AXG26)*(AXE25:AXE29&gt;AXE26)),"")</f>
        <v/>
      </c>
      <c r="AXP26" s="319" t="str">
        <f t="shared" ref="AXP26" ca="1" si="8247">IF(AXA26&lt;&gt;"",SUMPRODUCT((AXL25:AXL29=AXL26)*(AXG25:AXG29=AXG26)*(AXE25:AXE29=AXE26)*(AXI25:AXI29&gt;AXI26)),"")</f>
        <v/>
      </c>
      <c r="AXQ26" s="319" t="str">
        <f t="shared" ref="AXQ26" ca="1" si="8248">IF(AXA26&lt;&gt;"",SUMPRODUCT((AXL25:AXL29=AXL26)*(AXG25:AXG29=AXG26)*(AXE25:AXE29=AXE26)*(AXI25:AXI29=AXI26)*(AXJ25:AXJ29&gt;AXJ26)),"")</f>
        <v/>
      </c>
      <c r="AXR26" s="319" t="str">
        <f t="shared" ref="AXR26" ca="1" si="8249">IF(AXA26&lt;&gt;"",SUMPRODUCT((AXL25:AXL29=AXL26)*(AXG25:AXG29=AXG26)*(AXE25:AXE29=AXE26)*(AXI25:AXI29=AXI26)*(AXJ25:AXJ29=AXJ26)*(AXK25:AXK29&gt;AXK26)),"")</f>
        <v/>
      </c>
      <c r="AXS26" s="319" t="str">
        <f ca="1">IF(AXA26&lt;&gt;"",IF(AXS66&lt;&gt;"",IF(AWZ64=3,AXS66,AXS66+AWZ64),SUM(AXM26:AXR26)),"")</f>
        <v/>
      </c>
      <c r="AXT26" s="319" t="str">
        <f t="shared" ref="AXT26" ca="1" si="8250">IF(AXA26&lt;&gt;"",INDEX(AXA25:AXA29,MATCH(2,AXS25:AXS29,0),0),"")</f>
        <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2</v>
      </c>
      <c r="BAH26" s="322">
        <f ca="1">IF(OFFSET('Player Game Board'!Q33,0,BAG1)&lt;&gt;"",OFFSET('Player Game Board'!Q33,0,BAG1),0)</f>
        <v>1</v>
      </c>
      <c r="BAI26" s="319" t="str">
        <f t="shared" si="131"/>
        <v>Czechia</v>
      </c>
      <c r="BAJ26" s="319" t="str">
        <f ca="1">IF(AND(OFFSET('Player Game Board'!P33,0,BAG1)&lt;&gt;"",OFFSET('Player Game Board'!Q33,0,BAG1)&lt;&gt;""),IF(BAG26&gt;BAH26,"W",IF(BAG26=BAH26,"D","L")),"")</f>
        <v>W</v>
      </c>
      <c r="BAK26" s="319" t="str">
        <f t="shared" ca="1" si="5885"/>
        <v>L</v>
      </c>
      <c r="BAL26" s="319"/>
      <c r="BAM26" s="319"/>
      <c r="BAN26" s="324" t="s">
        <v>106</v>
      </c>
      <c r="BAO26" s="325" t="s">
        <v>108</v>
      </c>
      <c r="BAP26" s="325" t="s">
        <v>109</v>
      </c>
      <c r="BAQ26" s="325" t="s">
        <v>110</v>
      </c>
      <c r="BAR26" s="324" t="s">
        <v>110</v>
      </c>
      <c r="BAS26" s="324" t="s">
        <v>109</v>
      </c>
      <c r="BAT26" s="324" t="s">
        <v>108</v>
      </c>
      <c r="BAU26" s="324" t="s">
        <v>106</v>
      </c>
      <c r="BAV26" s="325"/>
      <c r="BAW26" s="326">
        <f t="shared" ref="BAW26" ca="1" si="8271">IFERROR(MATCH(BAW12,BAN26:BAQ26,0),0)</f>
        <v>0</v>
      </c>
      <c r="BAX26" s="326">
        <f t="shared" ref="BAX26" ca="1" si="8272">IFERROR(MATCH(BAX12,BAN26:BAQ26,0),0)</f>
        <v>1</v>
      </c>
      <c r="BAY26" s="326">
        <f t="shared" ref="BAY26" ca="1" si="8273">IFERROR(MATCH(BAY12,BAN26:BAQ26,0),0)</f>
        <v>3</v>
      </c>
      <c r="BAZ26" s="326">
        <f t="shared" ref="BAZ26" ca="1" si="8274">IFERROR(MATCH(BAZ12,BAN26:BAQ26,0),0)</f>
        <v>4</v>
      </c>
      <c r="BBA26" s="326">
        <f t="shared" ca="1" si="4106"/>
        <v>8</v>
      </c>
      <c r="BBB26" s="325" t="s">
        <v>107</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106</v>
      </c>
      <c r="BFM26" s="325" t="s">
        <v>108</v>
      </c>
      <c r="BFN26" s="325" t="s">
        <v>109</v>
      </c>
      <c r="BFO26" s="325" t="s">
        <v>110</v>
      </c>
      <c r="BFP26" s="324" t="s">
        <v>110</v>
      </c>
      <c r="BFQ26" s="324" t="s">
        <v>109</v>
      </c>
      <c r="BFR26" s="324" t="s">
        <v>108</v>
      </c>
      <c r="BFS26" s="324" t="s">
        <v>106</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107</v>
      </c>
      <c r="BGA26" s="325" t="str">
        <f t="shared" ref="BGA26" ca="1" si="8329">VLOOKUP(1,BBE18:BBF21,2,FALSE)</f>
        <v>England</v>
      </c>
      <c r="BGB26" s="325">
        <f t="shared" ca="1" si="5439"/>
        <v>1</v>
      </c>
    </row>
    <row r="27" spans="1:1536" ht="13.8" x14ac:dyDescent="0.3">
      <c r="A27" s="319">
        <f>VLOOKUP(B27,CW25:CX29,2,FALSE)</f>
        <v>4</v>
      </c>
      <c r="B27" s="319" t="str">
        <f>'Language Table'!C7</f>
        <v>Austria</v>
      </c>
      <c r="C27" s="319">
        <f>SUMPRODUCT((CZ3:CZ42=B27)*(DD3:DD42="W"))+SUMPRODUCT((DC3:DC42=B27)*(DE3:DE42="W"))</f>
        <v>0</v>
      </c>
      <c r="D27" s="319">
        <f>SUMPRODUCT((CZ3:CZ42=B27)*(DD3:DD42="D"))+SUMPRODUCT((DC3:DC42=B27)*(DE3:DE42="D"))</f>
        <v>0</v>
      </c>
      <c r="E27" s="319">
        <f>SUMPRODUCT((CZ3:CZ42=B27)*(DD3:DD42="L"))+SUMPRODUCT((DC3:DC42=B27)*(DE3:DE42="L"))</f>
        <v>1</v>
      </c>
      <c r="F27" s="319">
        <f>SUMIF(CZ3:CZ60,B27,DA3:DA60)+SUMIF(DC3:DC60,B27,DB3:DB60)</f>
        <v>0</v>
      </c>
      <c r="G27" s="319">
        <f>SUMIF(DC3:DC60,B27,DA3:DA60)+SUMIF(CZ3:CZ60,B27,DB3:DB60)</f>
        <v>1</v>
      </c>
      <c r="H27" s="319">
        <f t="shared" si="7443"/>
        <v>999</v>
      </c>
      <c r="I27" s="319">
        <f t="shared" si="7444"/>
        <v>0</v>
      </c>
      <c r="J27" s="319">
        <v>41</v>
      </c>
      <c r="K27" s="319">
        <f>IF(COUNTIF(I25:I29,4)&lt;&gt;4,RANK(I27,I25:I29),I67)</f>
        <v>3</v>
      </c>
      <c r="L27" s="319"/>
      <c r="M27" s="319">
        <f>SUMPRODUCT((K25:K28=K27)*(J25:J28&lt;J27))+K27</f>
        <v>4</v>
      </c>
      <c r="N27" s="319" t="str">
        <f>INDEX(B25:B29,MATCH(3,M25:M29,0),0)</f>
        <v>Poland</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Poland</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f t="shared" ref="BP27:BP28" si="8330">IF(BI27&lt;&gt;"",BJ27*3+BK27*1,"")</f>
        <v>0</v>
      </c>
      <c r="BQ27" s="319">
        <f>IF(BI27&lt;&gt;"",VLOOKUP(BI27,B4:H40,7,FALSE),"")</f>
        <v>999</v>
      </c>
      <c r="BR27" s="319">
        <f>IF(BI27&lt;&gt;"",VLOOKUP(BI27,B4:H40,5,FALSE),"")</f>
        <v>1</v>
      </c>
      <c r="BS27" s="319">
        <f>IF(BI27&lt;&gt;"",VLOOKUP(BI27,B4:J40,9,FALSE),"")</f>
        <v>0</v>
      </c>
      <c r="BT27" s="319">
        <f t="shared" ref="BT27:BT28" si="8331">BP27</f>
        <v>0</v>
      </c>
      <c r="BU27" s="319">
        <f>IF(BI27&lt;&gt;"",RANK(BT27,BT25:BT29),"")</f>
        <v>1</v>
      </c>
      <c r="BV27" s="319">
        <f>IF(BI27&lt;&gt;"",SUMPRODUCT((BT25:BT29=BT27)*(BO25:BO29&gt;BO27)),"")</f>
        <v>0</v>
      </c>
      <c r="BW27" s="319">
        <f>IF(BI27&lt;&gt;"",SUMPRODUCT((BT25:BT29=BT27)*(BO25:BO29=BO27)*(BM25:BM29&gt;BM27)),"")</f>
        <v>0</v>
      </c>
      <c r="BX27" s="319">
        <f>IF(BI27&lt;&gt;"",SUMPRODUCT((BT25:BT29=BT27)*(BO25:BO29=BO27)*(BM25:BM29=BM27)*(BQ25:BQ29&gt;BQ27)),"")</f>
        <v>0</v>
      </c>
      <c r="BY27" s="319">
        <f>IF(BI27&lt;&gt;"",SUMPRODUCT((BT25:BT29=BT27)*(BO25:BO29=BO27)*(BM25:BM29=BM27)*(BQ25:BQ29=BQ27)*(BR25:BR29&gt;BR27)),"")</f>
        <v>0</v>
      </c>
      <c r="BZ27" s="319">
        <f>IF(BI27&lt;&gt;"",SUMPRODUCT((BT25:BT29=BT27)*(BO25:BO29=BO27)*(BM25:BM29=BM27)*(BQ25:BQ29=BQ27)*(BR25:BR29=BR27)*(BS25:BS29&gt;BS27)),"")</f>
        <v>0</v>
      </c>
      <c r="CA27" s="319">
        <f>IF(BI27&lt;&gt;"",SUM(BU27:BZ27)+2,"")</f>
        <v>3</v>
      </c>
      <c r="CB27" s="319" t="str">
        <f>IF(BI27&lt;&gt;"",INDEX(BI27:BI29,MATCH(3,CA27:CA29,0),0),"")</f>
        <v>Poland</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Poland</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107</v>
      </c>
      <c r="DI27" s="325" t="s">
        <v>108</v>
      </c>
      <c r="DJ27" s="325" t="s">
        <v>109</v>
      </c>
      <c r="DK27" s="325" t="s">
        <v>110</v>
      </c>
      <c r="DL27" s="324" t="s">
        <v>110</v>
      </c>
      <c r="DM27" s="324" t="s">
        <v>109</v>
      </c>
      <c r="DN27" s="324" t="s">
        <v>108</v>
      </c>
      <c r="DO27" s="324" t="s">
        <v>107</v>
      </c>
      <c r="DP27" s="325"/>
      <c r="DQ27" s="326">
        <f>IFERROR(MATCH(DQ12,DH27:DK27,0),0)</f>
        <v>1</v>
      </c>
      <c r="DR27" s="326">
        <f>IFERROR(MATCH(DR12,DH27:DK27,0),0)</f>
        <v>0</v>
      </c>
      <c r="DS27" s="326">
        <f>IFERROR(MATCH(DS12,DH27:DK27,0),0)</f>
        <v>0</v>
      </c>
      <c r="DT27" s="326">
        <f>IFERROR(MATCH(DT12,DH27:DK27,0),0)</f>
        <v>4</v>
      </c>
      <c r="DU27" s="326">
        <f t="shared" si="3541"/>
        <v>5</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0</v>
      </c>
      <c r="EC27" s="319">
        <f ca="1">SUMPRODUCT((HX3:HX42=DZ27)*(IB3:IB42="L"))+SUMPRODUCT((IA3:IA42=DZ27)*(IC3:IC42="L"))</f>
        <v>3</v>
      </c>
      <c r="ED27" s="319">
        <f ca="1">SUMIF(HX3:HX60,DZ27,HY3:HY60)+SUMIF(IA3:IA60,DZ27,HZ3:HZ60)</f>
        <v>1</v>
      </c>
      <c r="EE27" s="319">
        <f ca="1">SUMIF(IA3:IA60,DZ27,HY3:HY60)+SUMIF(HX3:HX60,DZ27,HZ3:HZ60)</f>
        <v>6</v>
      </c>
      <c r="EF27" s="319">
        <f t="shared" ca="1" si="7447"/>
        <v>995</v>
      </c>
      <c r="EG27" s="319">
        <f t="shared" ca="1" si="7448"/>
        <v>0</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3</v>
      </c>
      <c r="IA27" s="319" t="str">
        <f t="shared" si="165"/>
        <v>Germany</v>
      </c>
      <c r="IB27" s="319" t="str">
        <f ca="1">IF(AND(OFFSET('Player Game Board'!P34,0,HY1)&lt;&gt;"",OFFSET('Player Game Board'!Q34,0,HY1)&lt;&gt;""),IF(HY27&gt;HZ27,"W",IF(HY27=HZ27,"D","L")),"")</f>
        <v>L</v>
      </c>
      <c r="IC27" s="319" t="str">
        <f t="shared" ca="1" si="166"/>
        <v>W</v>
      </c>
      <c r="ID27" s="319"/>
      <c r="IE27" s="319"/>
      <c r="IF27" s="324" t="s">
        <v>107</v>
      </c>
      <c r="IG27" s="325" t="s">
        <v>108</v>
      </c>
      <c r="IH27" s="325" t="s">
        <v>109</v>
      </c>
      <c r="II27" s="325" t="s">
        <v>110</v>
      </c>
      <c r="IJ27" s="324" t="s">
        <v>110</v>
      </c>
      <c r="IK27" s="324" t="s">
        <v>109</v>
      </c>
      <c r="IL27" s="324" t="s">
        <v>108</v>
      </c>
      <c r="IM27" s="324" t="s">
        <v>107</v>
      </c>
      <c r="IN27" s="325"/>
      <c r="IO27" s="326">
        <f ca="1">IFERROR(MATCH(IO12,IF27:II27,0),0)</f>
        <v>0</v>
      </c>
      <c r="IP27" s="326">
        <f ca="1">IFERROR(MATCH(IP12,IF27:II27,0),0)</f>
        <v>4</v>
      </c>
      <c r="IQ27" s="326">
        <f ca="1">IFERROR(MATCH(IQ12,IF27:II27,0),0)</f>
        <v>0</v>
      </c>
      <c r="IR27" s="326">
        <f ca="1">IFERROR(MATCH(IR12,IF27:II27,0),0)</f>
        <v>1</v>
      </c>
      <c r="IS27" s="326">
        <f t="shared" ca="1" si="3544"/>
        <v>5</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2</v>
      </c>
      <c r="JC27" s="319">
        <f ca="1">SUMIF(MY3:MY60,IX27,MW3:MW60)+SUMIF(MV3:MV60,IX27,MX3:MX60)</f>
        <v>8</v>
      </c>
      <c r="JD27" s="319">
        <f t="shared" ca="1" si="7451"/>
        <v>994</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1</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107</v>
      </c>
      <c r="NE27" s="325" t="s">
        <v>108</v>
      </c>
      <c r="NF27" s="325" t="s">
        <v>109</v>
      </c>
      <c r="NG27" s="325" t="s">
        <v>110</v>
      </c>
      <c r="NH27" s="324" t="s">
        <v>110</v>
      </c>
      <c r="NI27" s="324" t="s">
        <v>109</v>
      </c>
      <c r="NJ27" s="324" t="s">
        <v>108</v>
      </c>
      <c r="NK27" s="324" t="s">
        <v>107</v>
      </c>
      <c r="NL27" s="325"/>
      <c r="NM27" s="326">
        <f ca="1">IFERROR(MATCH(NM12,ND27:NG27,0),0)</f>
        <v>0</v>
      </c>
      <c r="NN27" s="326">
        <f ca="1">IFERROR(MATCH(NN12,ND27:NG27,0),0)</f>
        <v>3</v>
      </c>
      <c r="NO27" s="326">
        <f ca="1">IFERROR(MATCH(NO12,ND27:NG27,0),0)</f>
        <v>0</v>
      </c>
      <c r="NP27" s="326">
        <f ca="1">IFERROR(MATCH(NP12,ND27:NG27,0),0)</f>
        <v>2</v>
      </c>
      <c r="NQ27" s="326">
        <f t="shared" ca="1" si="3547"/>
        <v>5</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1</v>
      </c>
      <c r="NX27" s="319">
        <f t="shared" ref="NX27" ca="1" si="8338">SUMPRODUCT((RT3:RT42=NV27)*(RX3:RX42="D"))+SUMPRODUCT((RW3:RW42=NV27)*(RY3:RY42="D"))</f>
        <v>0</v>
      </c>
      <c r="NY27" s="319">
        <f t="shared" ref="NY27" ca="1" si="8339">SUMPRODUCT((RT3:RT42=NV27)*(RX3:RX42="L"))+SUMPRODUCT((RW3:RW42=NV27)*(RY3:RY42="L"))</f>
        <v>2</v>
      </c>
      <c r="NZ27" s="319">
        <f t="shared" ref="NZ27" ca="1" si="8340">SUMIF(RT3:RT60,NV27,RU3:RU60)+SUMIF(RW3:RW60,NV27,RV3:RV60)</f>
        <v>3</v>
      </c>
      <c r="OA27" s="319">
        <f t="shared" ref="OA27" ca="1" si="8341">SUMIF(RW3:RW60,NV27,RU3:RU60)+SUMIF(RT3:RT60,NV27,RV3:RV60)</f>
        <v>4</v>
      </c>
      <c r="OB27" s="319">
        <f t="shared" ca="1" si="7462"/>
        <v>999</v>
      </c>
      <c r="OC27" s="319">
        <f t="shared" ca="1" si="7463"/>
        <v>3</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1</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107</v>
      </c>
      <c r="SC27" s="325" t="s">
        <v>108</v>
      </c>
      <c r="SD27" s="325" t="s">
        <v>109</v>
      </c>
      <c r="SE27" s="325" t="s">
        <v>110</v>
      </c>
      <c r="SF27" s="324" t="s">
        <v>110</v>
      </c>
      <c r="SG27" s="324" t="s">
        <v>109</v>
      </c>
      <c r="SH27" s="324" t="s">
        <v>108</v>
      </c>
      <c r="SI27" s="324" t="s">
        <v>107</v>
      </c>
      <c r="SJ27" s="325"/>
      <c r="SK27" s="326">
        <f t="shared" ref="SK27" ca="1" si="8400">IFERROR(MATCH(SK12,SB27:SE27,0),0)</f>
        <v>0</v>
      </c>
      <c r="SL27" s="326">
        <f t="shared" ref="SL27" ca="1" si="8401">IFERROR(MATCH(SL12,SB27:SE27,0),0)</f>
        <v>2</v>
      </c>
      <c r="SM27" s="326">
        <f t="shared" ref="SM27" ca="1" si="8402">IFERROR(MATCH(SM12,SB27:SE27,0),0)</f>
        <v>1</v>
      </c>
      <c r="SN27" s="326">
        <f t="shared" ref="SN27" ca="1" si="8403">IFERROR(MATCH(SN12,SB27:SE27,0),0)</f>
        <v>3</v>
      </c>
      <c r="SO27" s="326">
        <f t="shared" ca="1" si="3616"/>
        <v>6</v>
      </c>
      <c r="SP27" s="319"/>
      <c r="SQ27" s="319" t="str">
        <f t="shared" ref="SQ27" ca="1" si="8404">VLOOKUP(2,NU18:NV21,2,FALSE)</f>
        <v>England</v>
      </c>
      <c r="SR27" s="325">
        <f t="shared" ca="1" si="5095"/>
        <v>1</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3</v>
      </c>
      <c r="SY27" s="319">
        <f t="shared" ref="SY27" ca="1" si="8410">SUMIF(WU3:WU60,ST27,WS3:WS60)+SUMIF(WR3:WR60,ST27,WT3:WT60)</f>
        <v>7</v>
      </c>
      <c r="SZ27" s="319">
        <f t="shared" ca="1" si="7504"/>
        <v>996</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1</v>
      </c>
      <c r="WT27" s="322">
        <f ca="1">IF(OFFSET('Player Game Board'!Q34,0,WS1)&lt;&gt;"",OFFSET('Player Game Board'!Q34,0,WS1),0)</f>
        <v>2</v>
      </c>
      <c r="WU27" s="319" t="str">
        <f t="shared" si="35"/>
        <v>Germany</v>
      </c>
      <c r="WV27" s="319" t="str">
        <f ca="1">IF(AND(OFFSET('Player Game Board'!P34,0,WS1)&lt;&gt;"",OFFSET('Player Game Board'!Q34,0,WS1)&lt;&gt;""),IF(WS27&gt;WT27,"W",IF(WS27=WT27,"D","L")),"")</f>
        <v>L</v>
      </c>
      <c r="WW27" s="319" t="str">
        <f t="shared" ca="1" si="5555"/>
        <v>W</v>
      </c>
      <c r="WX27" s="319"/>
      <c r="WY27" s="319"/>
      <c r="WZ27" s="324" t="s">
        <v>107</v>
      </c>
      <c r="XA27" s="325" t="s">
        <v>108</v>
      </c>
      <c r="XB27" s="325" t="s">
        <v>109</v>
      </c>
      <c r="XC27" s="325" t="s">
        <v>110</v>
      </c>
      <c r="XD27" s="324" t="s">
        <v>110</v>
      </c>
      <c r="XE27" s="324" t="s">
        <v>109</v>
      </c>
      <c r="XF27" s="324" t="s">
        <v>108</v>
      </c>
      <c r="XG27" s="324" t="s">
        <v>107</v>
      </c>
      <c r="XH27" s="325"/>
      <c r="XI27" s="326">
        <f t="shared" ref="XI27" ca="1" si="8469">IFERROR(MATCH(XI12,WZ27:XC27,0),0)</f>
        <v>0</v>
      </c>
      <c r="XJ27" s="326">
        <f t="shared" ref="XJ27" ca="1" si="8470">IFERROR(MATCH(XJ12,WZ27:XC27,0),0)</f>
        <v>4</v>
      </c>
      <c r="XK27" s="326">
        <f t="shared" ref="XK27" ca="1" si="8471">IFERROR(MATCH(XK12,WZ27:XC27,0),0)</f>
        <v>1</v>
      </c>
      <c r="XL27" s="326">
        <f t="shared" ref="XL27" ca="1" si="8472">IFERROR(MATCH(XL12,WZ27:XC27,0),0)</f>
        <v>2</v>
      </c>
      <c r="XM27" s="326">
        <f t="shared" ca="1" si="3686"/>
        <v>7</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107</v>
      </c>
      <c r="ABY27" s="325" t="s">
        <v>108</v>
      </c>
      <c r="ABZ27" s="325" t="s">
        <v>109</v>
      </c>
      <c r="ACA27" s="325" t="s">
        <v>110</v>
      </c>
      <c r="ACB27" s="324" t="s">
        <v>110</v>
      </c>
      <c r="ACC27" s="324" t="s">
        <v>109</v>
      </c>
      <c r="ACD27" s="324" t="s">
        <v>108</v>
      </c>
      <c r="ACE27" s="324" t="s">
        <v>107</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4</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3</v>
      </c>
      <c r="ACT27" s="319">
        <f t="shared" ref="ACT27" ca="1" si="8547">SUMIF(AGN3:AGN60,ACP27,AGO3:AGO60)+SUMIF(AGQ3:AGQ60,ACP27,AGP3:AGP60)</f>
        <v>2</v>
      </c>
      <c r="ACU27" s="319">
        <f t="shared" ref="ACU27" ca="1" si="8548">SUMIF(AGQ3:AGQ60,ACP27,AGO3:AGO60)+SUMIF(AGN3:AGN60,ACP27,AGP3:AGP60)</f>
        <v>6</v>
      </c>
      <c r="ACV27" s="319">
        <f t="shared" ca="1" si="7588"/>
        <v>996</v>
      </c>
      <c r="ACW27" s="319">
        <f t="shared" ca="1" si="7589"/>
        <v>0</v>
      </c>
      <c r="ACX27" s="319">
        <f t="shared" si="810"/>
        <v>41</v>
      </c>
      <c r="ACY27" s="319">
        <f t="shared" ref="ACY27" ca="1" si="8549">IF(COUNTIF(ACW25:ACW29,4)&lt;&gt;4,RANK(ACW27,ACW25:ACW29),ACW67)</f>
        <v>4</v>
      </c>
      <c r="ACZ27" s="319"/>
      <c r="ADA27" s="319">
        <f t="shared" ref="ADA27" ca="1" si="8550">SUMPRODUCT((ACY25:ACY28=ACY27)*(ACX25:ACX28&lt;ACX27))+ACY27</f>
        <v>4</v>
      </c>
      <c r="ADB27" s="319" t="str">
        <f t="shared" ref="ADB27" ca="1" si="8551">INDEX(ACP25:ACP29,MATCH(3,ADA25:ADA29,0),0)</f>
        <v>Poland</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Poland</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107</v>
      </c>
      <c r="AGW27" s="325" t="s">
        <v>108</v>
      </c>
      <c r="AGX27" s="325" t="s">
        <v>109</v>
      </c>
      <c r="AGY27" s="325" t="s">
        <v>110</v>
      </c>
      <c r="AGZ27" s="324" t="s">
        <v>110</v>
      </c>
      <c r="AHA27" s="324" t="s">
        <v>109</v>
      </c>
      <c r="AHB27" s="324" t="s">
        <v>108</v>
      </c>
      <c r="AHC27" s="324" t="s">
        <v>107</v>
      </c>
      <c r="AHD27" s="325"/>
      <c r="AHE27" s="326">
        <f t="shared" ref="AHE27" ca="1" si="8607">IFERROR(MATCH(AHE12,AGV27:AGY27,0),0)</f>
        <v>0</v>
      </c>
      <c r="AHF27" s="326">
        <f t="shared" ref="AHF27" ca="1" si="8608">IFERROR(MATCH(AHF12,AGV27:AGY27,0),0)</f>
        <v>1</v>
      </c>
      <c r="AHG27" s="326">
        <f t="shared" ref="AHG27" ca="1" si="8609">IFERROR(MATCH(AHG12,AGV27:AGY27,0),0)</f>
        <v>2</v>
      </c>
      <c r="AHH27" s="326">
        <f t="shared" ref="AHH27" ca="1" si="8610">IFERROR(MATCH(AHH12,AGV27:AGY27,0),0)</f>
        <v>4</v>
      </c>
      <c r="AHI27" s="326">
        <f t="shared" ca="1" si="3826"/>
        <v>7</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1</v>
      </c>
      <c r="AHP27" s="319">
        <f t="shared" ref="AHP27" ca="1" si="8614">SUMPRODUCT((ALL3:ALL42=AHN27)*(ALP3:ALP42="D"))+SUMPRODUCT((ALO3:ALO42=AHN27)*(ALQ3:ALQ42="D"))</f>
        <v>0</v>
      </c>
      <c r="AHQ27" s="319">
        <f t="shared" ref="AHQ27" ca="1" si="8615">SUMPRODUCT((ALL3:ALL42=AHN27)*(ALP3:ALP42="L"))+SUMPRODUCT((ALO3:ALO42=AHN27)*(ALQ3:ALQ42="L"))</f>
        <v>2</v>
      </c>
      <c r="AHR27" s="319">
        <f t="shared" ref="AHR27" ca="1" si="8616">SUMIF(ALL3:ALL60,AHN27,ALM3:ALM60)+SUMIF(ALO3:ALO60,AHN27,ALN3:ALN60)</f>
        <v>3</v>
      </c>
      <c r="AHS27" s="319">
        <f t="shared" ref="AHS27" ca="1" si="8617">SUMIF(ALO3:ALO60,AHN27,ALM3:ALM60)+SUMIF(ALL3:ALL60,AHN27,ALN3:ALN60)</f>
        <v>4</v>
      </c>
      <c r="AHT27" s="319">
        <f t="shared" ca="1" si="7630"/>
        <v>999</v>
      </c>
      <c r="AHU27" s="319">
        <f t="shared" ca="1" si="7631"/>
        <v>3</v>
      </c>
      <c r="AHV27" s="319">
        <f t="shared" si="870"/>
        <v>41</v>
      </c>
      <c r="AHW27" s="319">
        <f t="shared" ref="AHW27" ca="1" si="8618">IF(COUNTIF(AHU25:AHU29,4)&lt;&gt;4,RANK(AHU27,AHU25:AHU29),AHU67)</f>
        <v>3</v>
      </c>
      <c r="AHX27" s="319"/>
      <c r="AHY27" s="319">
        <f t="shared" ref="AHY27" ca="1" si="8619">SUMPRODUCT((AHW25:AHW28=AHW27)*(AHV25:AHV28&lt;AHV27))+AHW27</f>
        <v>3</v>
      </c>
      <c r="AHZ27" s="319" t="str">
        <f t="shared" ref="AHZ27" ca="1" si="8620">INDEX(AHN25:AHN29,MATCH(3,AHY25:AHY29,0),0)</f>
        <v>Austria</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1</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107</v>
      </c>
      <c r="ALU27" s="325" t="s">
        <v>108</v>
      </c>
      <c r="ALV27" s="325" t="s">
        <v>109</v>
      </c>
      <c r="ALW27" s="325" t="s">
        <v>110</v>
      </c>
      <c r="ALX27" s="324" t="s">
        <v>110</v>
      </c>
      <c r="ALY27" s="324" t="s">
        <v>109</v>
      </c>
      <c r="ALZ27" s="324" t="s">
        <v>108</v>
      </c>
      <c r="AMA27" s="324" t="s">
        <v>107</v>
      </c>
      <c r="AMB27" s="325"/>
      <c r="AMC27" s="326">
        <f t="shared" ref="AMC27" ca="1" si="8676">IFERROR(MATCH(AMC12,ALT27:ALW27,0),0)</f>
        <v>3</v>
      </c>
      <c r="AMD27" s="326">
        <f t="shared" ref="AMD27" ca="1" si="8677">IFERROR(MATCH(AMD12,ALT27:ALW27,0),0)</f>
        <v>0</v>
      </c>
      <c r="AME27" s="326">
        <f t="shared" ref="AME27" ca="1" si="8678">IFERROR(MATCH(AME12,ALT27:ALW27,0),0)</f>
        <v>2</v>
      </c>
      <c r="AMF27" s="326">
        <f t="shared" ref="AMF27" ca="1" si="8679">IFERROR(MATCH(AMF12,ALT27:ALW27,0),0)</f>
        <v>1</v>
      </c>
      <c r="AMG27" s="326">
        <f t="shared" ca="1" si="3896"/>
        <v>6</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1</v>
      </c>
      <c r="AMO27" s="319">
        <f t="shared" ref="AMO27" ca="1" si="8684">SUMPRODUCT((AQJ3:AQJ42=AML27)*(AQN3:AQN42="L"))+SUMPRODUCT((AQM3:AQM42=AML27)*(AQO3:AQO42="L"))</f>
        <v>2</v>
      </c>
      <c r="AMP27" s="319">
        <f t="shared" ref="AMP27" ca="1" si="8685">SUMIF(AQJ3:AQJ60,AML27,AQK3:AQK60)+SUMIF(AQM3:AQM60,AML27,AQL3:AQL60)</f>
        <v>3</v>
      </c>
      <c r="AMQ27" s="319">
        <f t="shared" ref="AMQ27" ca="1" si="8686">SUMIF(AQM3:AQM60,AML27,AQK3:AQK60)+SUMIF(AQJ3:AQJ60,AML27,AQL3:AQL60)</f>
        <v>6</v>
      </c>
      <c r="AMR27" s="319">
        <f t="shared" ca="1" si="7672"/>
        <v>997</v>
      </c>
      <c r="AMS27" s="319">
        <f t="shared" ca="1" si="7673"/>
        <v>1</v>
      </c>
      <c r="AMT27" s="319">
        <f t="shared" si="930"/>
        <v>41</v>
      </c>
      <c r="AMU27" s="319">
        <f t="shared" ref="AMU27" ca="1" si="8687">IF(COUNTIF(AMS25:AMS29,4)&lt;&gt;4,RANK(AMS27,AMS25:AMS29),AMS67)</f>
        <v>3</v>
      </c>
      <c r="AMV27" s="319"/>
      <c r="AMW27" s="319">
        <f t="shared" ref="AMW27" ca="1" si="8688">SUMPRODUCT((AMU25:AMU28=AMU27)*(AMT25:AMT28&lt;AMT27))+AMU27</f>
        <v>4</v>
      </c>
      <c r="AMX27" s="319" t="str">
        <f t="shared" ref="AMX27" ca="1" si="8689">INDEX(AML25:AML29,MATCH(3,AMW25:AMW29,0),0)</f>
        <v>Poland</v>
      </c>
      <c r="AMY27" s="319">
        <f t="shared" ref="AMY27" ca="1" si="8690">INDEX(AMU25:AMU29,MATCH(AMX27,AML25:AML29,0),0)</f>
        <v>3</v>
      </c>
      <c r="AMZ27" s="319" t="str">
        <f t="shared" ref="AMZ27:AMZ28" ca="1" si="8691">IF(AND(AMZ26&lt;&gt;"",AMY27=1),AMX27,"")</f>
        <v/>
      </c>
      <c r="ANA27" s="319" t="str">
        <f t="shared" ref="ANA27:ANA28" ca="1" si="8692">IF(AND(ANA26&lt;&gt;"",AMY28=2),AMX28,"")</f>
        <v/>
      </c>
      <c r="ANB27" s="319" t="str">
        <f t="shared" ref="ANB27" ca="1" si="8693">IF(AND(ANB26&lt;&gt;"",AMY29=3),AMX29,"")</f>
        <v/>
      </c>
      <c r="ANC27" s="319"/>
      <c r="AND27" s="319"/>
      <c r="ANE27" s="319" t="str">
        <f t="shared" ca="1" si="7682"/>
        <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t="str">
        <f t="shared" ca="1" si="7689"/>
        <v/>
      </c>
      <c r="ANM27" s="319" t="str">
        <f t="shared" ref="ANM27" ca="1" si="8699">IF(ANE27&lt;&gt;"",VLOOKUP(ANE27,AML4:AMR40,7,FALSE),"")</f>
        <v/>
      </c>
      <c r="ANN27" s="319" t="str">
        <f t="shared" ref="ANN27" ca="1" si="8700">IF(ANE27&lt;&gt;"",VLOOKUP(ANE27,AML4:AMR40,5,FALSE),"")</f>
        <v/>
      </c>
      <c r="ANO27" s="319" t="str">
        <f t="shared" ref="ANO27" ca="1" si="8701">IF(ANE27&lt;&gt;"",VLOOKUP(ANE27,AML4:AMT40,9,FALSE),"")</f>
        <v/>
      </c>
      <c r="ANP27" s="319" t="str">
        <f t="shared" ca="1" si="7693"/>
        <v/>
      </c>
      <c r="ANQ27" s="319" t="str">
        <f t="shared" ref="ANQ27" ca="1" si="8702">IF(ANE27&lt;&gt;"",RANK(ANP27,ANP25:ANP29),"")</f>
        <v/>
      </c>
      <c r="ANR27" s="319" t="str">
        <f t="shared" ref="ANR27" ca="1" si="8703">IF(ANE27&lt;&gt;"",SUMPRODUCT((ANP25:ANP29=ANP27)*(ANK25:ANK29&gt;ANK27)),"")</f>
        <v/>
      </c>
      <c r="ANS27" s="319" t="str">
        <f t="shared" ref="ANS27" ca="1" si="8704">IF(ANE27&lt;&gt;"",SUMPRODUCT((ANP25:ANP29=ANP27)*(ANK25:ANK29=ANK27)*(ANI25:ANI29&gt;ANI27)),"")</f>
        <v/>
      </c>
      <c r="ANT27" s="319" t="str">
        <f t="shared" ref="ANT27" ca="1" si="8705">IF(ANE27&lt;&gt;"",SUMPRODUCT((ANP25:ANP29=ANP27)*(ANK25:ANK29=ANK27)*(ANI25:ANI29=ANI27)*(ANM25:ANM29&gt;ANM27)),"")</f>
        <v/>
      </c>
      <c r="ANU27" s="319" t="str">
        <f t="shared" ref="ANU27" ca="1" si="8706">IF(ANE27&lt;&gt;"",SUMPRODUCT((ANP25:ANP29=ANP27)*(ANK25:ANK29=ANK27)*(ANI25:ANI29=ANI27)*(ANM25:ANM29=ANM27)*(ANN25:ANN29&gt;ANN27)),"")</f>
        <v/>
      </c>
      <c r="ANV27" s="319" t="str">
        <f t="shared" ref="ANV27" ca="1" si="8707">IF(ANE27&lt;&gt;"",SUMPRODUCT((ANP25:ANP29=ANP27)*(ANK25:ANK29=ANK27)*(ANI25:ANI29=ANI27)*(ANM25:ANM29=ANM27)*(ANN25:ANN29=ANN27)*(ANO25:ANO29&gt;ANO27)),"")</f>
        <v/>
      </c>
      <c r="ANW27" s="319" t="str">
        <f ca="1">IF(ANE27&lt;&gt;"",IF(ANW67&lt;&gt;"",IF(AND64=3,ANW67,ANW67+AND64),SUM(ANQ27:ANV27)),"")</f>
        <v/>
      </c>
      <c r="ANX27" s="319" t="str">
        <f t="shared" ref="ANX27" ca="1" si="8708">IF(ANE27&lt;&gt;"",INDEX(ANE25:ANE29,MATCH(3,ANW25:ANW29,0),0),"")</f>
        <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Poland</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19">
        <f t="shared" ref="AOY27:AOY28" ca="1" si="8730">AOW27-AOX27+1000</f>
        <v>1000</v>
      </c>
      <c r="AOZ27" s="319">
        <f t="shared" ref="AOZ27:AOZ28" ca="1" si="8731">IF(AOS27&lt;&gt;"",AOT27*3+AOU27*1,"")</f>
        <v>1</v>
      </c>
      <c r="APA27" s="319">
        <f t="shared" ref="APA27" ca="1" si="8732">IF(AOS27&lt;&gt;"",VLOOKUP(AOS27,AML4:AMR40,7,FALSE),"")</f>
        <v>995</v>
      </c>
      <c r="APB27" s="319">
        <f t="shared" ref="APB27" ca="1" si="8733">IF(AOS27&lt;&gt;"",VLOOKUP(AOS27,AML4:AMR40,5,FALSE),"")</f>
        <v>1</v>
      </c>
      <c r="APC27" s="319">
        <f t="shared" ref="APC27" ca="1" si="8734">IF(AOS27&lt;&gt;"",VLOOKUP(AOS27,AML4:AMT40,9,FALSE),"")</f>
        <v>0</v>
      </c>
      <c r="APD27" s="319">
        <f t="shared" ref="APD27:APD28" ca="1" si="8735">AOZ27</f>
        <v>1</v>
      </c>
      <c r="APE27" s="319">
        <f t="shared" ref="APE27" ca="1" si="8736">IF(AOS27&lt;&gt;"",RANK(APD27,APD25:APD29),"")</f>
        <v>1</v>
      </c>
      <c r="APF27" s="319">
        <f t="shared" ref="APF27" ca="1" si="8737">IF(AOS27&lt;&gt;"",SUMPRODUCT((APD25:APD29=APD27)*(AOY25:AOY29&gt;AOY27)),"")</f>
        <v>0</v>
      </c>
      <c r="APG27" s="319">
        <f t="shared" ref="APG27" ca="1" si="8738">IF(AOS27&lt;&gt;"",SUMPRODUCT((APD25:APD29=APD27)*(AOY25:AOY29=AOY27)*(AOW25:AOW29&gt;AOW27)),"")</f>
        <v>0</v>
      </c>
      <c r="APH27" s="319">
        <f t="shared" ref="APH27" ca="1" si="8739">IF(AOS27&lt;&gt;"",SUMPRODUCT((APD25:APD29=APD27)*(AOY25:AOY29=AOY27)*(AOW25:AOW29=AOW27)*(APA25:APA29&gt;APA27)),"")</f>
        <v>1</v>
      </c>
      <c r="API27" s="319">
        <f t="shared" ref="API27" ca="1" si="8740">IF(AOS27&lt;&gt;"",SUMPRODUCT((APD25:APD29=APD27)*(AOY25:AOY29=AOY27)*(AOW25:AOW29=AOW27)*(APA25:APA29=APA27)*(APB25:APB29&gt;APB27)),"")</f>
        <v>0</v>
      </c>
      <c r="APJ27" s="319">
        <f t="shared" ref="APJ27" ca="1" si="8741">IF(AOS27&lt;&gt;"",SUMPRODUCT((APD25:APD29=APD27)*(AOY25:AOY29=AOY27)*(AOW25:AOW29=AOW27)*(APA25:APA29=APA27)*(APB25:APB29=APB27)*(APC25:APC29&gt;APC27)),"")</f>
        <v>0</v>
      </c>
      <c r="APK27" s="319">
        <f t="shared" ref="APK27:APK28" ca="1" si="8742">IF(AOS27&lt;&gt;"",SUM(APE27:APJ27)+2,"")</f>
        <v>4</v>
      </c>
      <c r="APL27" s="319" t="str">
        <f t="shared" ref="APL27" ca="1" si="8743">IF(AOS27&lt;&gt;"",INDEX(AOS27:AOS29,MATCH(3,APK27:APK29,0),0),"")</f>
        <v>Austria</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1</v>
      </c>
      <c r="AQL27" s="322">
        <f ca="1">IF(OFFSET('Player Game Board'!Q34,0,AQK1)&lt;&gt;"",OFFSET('Player Game Board'!Q34,0,AQK1),0)</f>
        <v>1</v>
      </c>
      <c r="AQM27" s="319" t="str">
        <f t="shared" si="99"/>
        <v>Germany</v>
      </c>
      <c r="AQN27" s="319" t="str">
        <f ca="1">IF(AND(OFFSET('Player Game Board'!P34,0,AQK1)&lt;&gt;"",OFFSET('Player Game Board'!Q34,0,AQK1)&lt;&gt;""),IF(AQK27&gt;AQL27,"W",IF(AQK27=AQL27,"D","L")),"")</f>
        <v>D</v>
      </c>
      <c r="AQO27" s="319" t="str">
        <f t="shared" ca="1" si="5775"/>
        <v>D</v>
      </c>
      <c r="AQP27" s="319"/>
      <c r="AQQ27" s="319"/>
      <c r="AQR27" s="324" t="s">
        <v>107</v>
      </c>
      <c r="AQS27" s="325" t="s">
        <v>108</v>
      </c>
      <c r="AQT27" s="325" t="s">
        <v>109</v>
      </c>
      <c r="AQU27" s="325" t="s">
        <v>110</v>
      </c>
      <c r="AQV27" s="324" t="s">
        <v>110</v>
      </c>
      <c r="AQW27" s="324" t="s">
        <v>109</v>
      </c>
      <c r="AQX27" s="324" t="s">
        <v>108</v>
      </c>
      <c r="AQY27" s="324" t="s">
        <v>107</v>
      </c>
      <c r="AQZ27" s="325"/>
      <c r="ARA27" s="326">
        <f t="shared" ref="ARA27" ca="1" si="8745">IFERROR(MATCH(ARA12,AQR27:AQU27,0),0)</f>
        <v>0</v>
      </c>
      <c r="ARB27" s="326">
        <f t="shared" ref="ARB27" ca="1" si="8746">IFERROR(MATCH(ARB12,AQR27:AQU27,0),0)</f>
        <v>0</v>
      </c>
      <c r="ARC27" s="326">
        <f t="shared" ref="ARC27" ca="1" si="8747">IFERROR(MATCH(ARC12,AQR27:AQU27,0),0)</f>
        <v>4</v>
      </c>
      <c r="ARD27" s="326">
        <f t="shared" ref="ARD27" ca="1" si="8748">IFERROR(MATCH(ARD12,AQR27:AQU27,0),0)</f>
        <v>3</v>
      </c>
      <c r="ARE27" s="326">
        <f t="shared" ca="1" si="3966"/>
        <v>7</v>
      </c>
      <c r="ARF27" s="319"/>
      <c r="ARG27" s="319" t="str">
        <f t="shared" ref="ARG27" ca="1" si="8749">VLOOKUP(2,AMK18:AML21,2,FALSE)</f>
        <v>Denmark</v>
      </c>
      <c r="ARH27" s="325">
        <f t="shared" ca="1" si="5310"/>
        <v>1</v>
      </c>
      <c r="ARI27" s="319">
        <f t="shared" ref="ARI27" ca="1" si="8750">VLOOKUP(ARJ27,AVE25:AVF29,2,FALSE)</f>
        <v>4</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3</v>
      </c>
      <c r="ARN27" s="319">
        <f t="shared" ref="ARN27" ca="1" si="8754">SUMIF(AVH3:AVH60,ARJ27,AVI3:AVI60)+SUMIF(AVK3:AVK60,ARJ27,AVJ3:AVJ60)</f>
        <v>3</v>
      </c>
      <c r="ARO27" s="319">
        <f t="shared" ref="ARO27" ca="1" si="8755">SUMIF(AVK3:AVK60,ARJ27,AVI3:AVI60)+SUMIF(AVH3:AVH60,ARJ27,AVJ3:AVJ60)</f>
        <v>7</v>
      </c>
      <c r="ARP27" s="319">
        <f t="shared" ca="1" si="7714"/>
        <v>996</v>
      </c>
      <c r="ARQ27" s="319">
        <f t="shared" ca="1" si="7715"/>
        <v>0</v>
      </c>
      <c r="ARR27" s="319">
        <f t="shared" si="990"/>
        <v>41</v>
      </c>
      <c r="ARS27" s="319">
        <f t="shared" ref="ARS27" ca="1" si="8756">IF(COUNTIF(ARQ25:ARQ29,4)&lt;&gt;4,RANK(ARQ27,ARQ25:ARQ29),ARQ67)</f>
        <v>4</v>
      </c>
      <c r="ART27" s="319"/>
      <c r="ARU27" s="319">
        <f t="shared" ref="ARU27" ca="1" si="8757">SUMPRODUCT((ARS25:ARS28=ARS27)*(ARR25:ARR28&lt;ARR27))+ARS27</f>
        <v>4</v>
      </c>
      <c r="ARV27" s="319" t="str">
        <f t="shared" ref="ARV27" ca="1" si="8758">INDEX(ARJ25:ARJ29,MATCH(3,ARU25:ARU29,0),0)</f>
        <v>Poland</v>
      </c>
      <c r="ARW27" s="319">
        <f t="shared" ref="ARW27" ca="1" si="8759">INDEX(ARS25:ARS29,MATCH(ARV27,ARJ25:ARJ29,0),0)</f>
        <v>3</v>
      </c>
      <c r="ARX27" s="319" t="str">
        <f t="shared" ref="ARX27:ARX28" ca="1" si="8760">IF(AND(ARX26&lt;&gt;"",ARW27=1),ARV27,"")</f>
        <v/>
      </c>
      <c r="ARY27" s="319" t="str">
        <f t="shared" ref="ARY27:ARY28" ca="1" si="8761">IF(AND(ARY26&lt;&gt;"",ARW28=2),ARV28,"")</f>
        <v/>
      </c>
      <c r="ARZ27" s="319" t="str">
        <f t="shared" ref="ARZ27" ca="1" si="8762">IF(AND(ARZ26&lt;&gt;"",ARW29=3),ARV29,"")</f>
        <v/>
      </c>
      <c r="ASA27" s="319"/>
      <c r="ASB27" s="319"/>
      <c r="ASC27" s="319" t="str">
        <f t="shared" ca="1" si="7724"/>
        <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t="str">
        <f t="shared" ca="1" si="7731"/>
        <v/>
      </c>
      <c r="ASK27" s="319" t="str">
        <f t="shared" ref="ASK27" ca="1" si="8768">IF(ASC27&lt;&gt;"",VLOOKUP(ASC27,ARJ4:ARP40,7,FALSE),"")</f>
        <v/>
      </c>
      <c r="ASL27" s="319" t="str">
        <f t="shared" ref="ASL27" ca="1" si="8769">IF(ASC27&lt;&gt;"",VLOOKUP(ASC27,ARJ4:ARP40,5,FALSE),"")</f>
        <v/>
      </c>
      <c r="ASM27" s="319" t="str">
        <f t="shared" ref="ASM27" ca="1" si="8770">IF(ASC27&lt;&gt;"",VLOOKUP(ASC27,ARJ4:ARR40,9,FALSE),"")</f>
        <v/>
      </c>
      <c r="ASN27" s="319" t="str">
        <f t="shared" ca="1" si="7735"/>
        <v/>
      </c>
      <c r="ASO27" s="319" t="str">
        <f t="shared" ref="ASO27" ca="1" si="8771">IF(ASC27&lt;&gt;"",RANK(ASN27,ASN25:ASN29),"")</f>
        <v/>
      </c>
      <c r="ASP27" s="319" t="str">
        <f t="shared" ref="ASP27" ca="1" si="8772">IF(ASC27&lt;&gt;"",SUMPRODUCT((ASN25:ASN29=ASN27)*(ASI25:ASI29&gt;ASI27)),"")</f>
        <v/>
      </c>
      <c r="ASQ27" s="319" t="str">
        <f t="shared" ref="ASQ27" ca="1" si="8773">IF(ASC27&lt;&gt;"",SUMPRODUCT((ASN25:ASN29=ASN27)*(ASI25:ASI29=ASI27)*(ASG25:ASG29&gt;ASG27)),"")</f>
        <v/>
      </c>
      <c r="ASR27" s="319" t="str">
        <f t="shared" ref="ASR27" ca="1" si="8774">IF(ASC27&lt;&gt;"",SUMPRODUCT((ASN25:ASN29=ASN27)*(ASI25:ASI29=ASI27)*(ASG25:ASG29=ASG27)*(ASK25:ASK29&gt;ASK27)),"")</f>
        <v/>
      </c>
      <c r="ASS27" s="319" t="str">
        <f t="shared" ref="ASS27" ca="1" si="8775">IF(ASC27&lt;&gt;"",SUMPRODUCT((ASN25:ASN29=ASN27)*(ASI25:ASI29=ASI27)*(ASG25:ASG29=ASG27)*(ASK25:ASK29=ASK27)*(ASL25:ASL29&gt;ASL27)),"")</f>
        <v/>
      </c>
      <c r="AST27" s="319" t="str">
        <f t="shared" ref="AST27" ca="1" si="8776">IF(ASC27&lt;&gt;"",SUMPRODUCT((ASN25:ASN29=ASN27)*(ASI25:ASI29=ASI27)*(ASG25:ASG29=ASG27)*(ASK25:ASK29=ASK27)*(ASL25:ASL29=ASL27)*(ASM25:ASM29&gt;ASM27)),"")</f>
        <v/>
      </c>
      <c r="ASU27" s="319" t="str">
        <f ca="1">IF(ASC27&lt;&gt;"",IF(ASU67&lt;&gt;"",IF(ASB64=3,ASU67,ASU67+ASB64),SUM(ASO27:AST27)),"")</f>
        <v/>
      </c>
      <c r="ASV27" s="319" t="str">
        <f t="shared" ref="ASV27" ca="1" si="8777">IF(ASC27&lt;&gt;"",INDEX(ASC25:ASC29,MATCH(3,ASU25:ASU29,0),0),"")</f>
        <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Poland</v>
      </c>
      <c r="AVF27" s="319">
        <v>3</v>
      </c>
      <c r="AVG27" s="319">
        <v>25</v>
      </c>
      <c r="AVH27" s="319" t="str">
        <f t="shared" si="114"/>
        <v>Switzerland</v>
      </c>
      <c r="AVI27" s="322">
        <f ca="1">IF(OFFSET('Player Game Board'!P34,0,AVI1)&lt;&gt;"",OFFSET('Player Game Board'!P34,0,AVI1),0)</f>
        <v>1</v>
      </c>
      <c r="AVJ27" s="322">
        <f ca="1">IF(OFFSET('Player Game Board'!Q34,0,AVI1)&lt;&gt;"",OFFSET('Player Game Board'!Q34,0,AVI1),0)</f>
        <v>2</v>
      </c>
      <c r="AVK27" s="319" t="str">
        <f t="shared" si="115"/>
        <v>Germany</v>
      </c>
      <c r="AVL27" s="319" t="str">
        <f ca="1">IF(AND(OFFSET('Player Game Board'!P34,0,AVI1)&lt;&gt;"",OFFSET('Player Game Board'!Q34,0,AVI1)&lt;&gt;""),IF(AVI27&gt;AVJ27,"W",IF(AVI27=AVJ27,"D","L")),"")</f>
        <v>L</v>
      </c>
      <c r="AVM27" s="319" t="str">
        <f t="shared" ca="1" si="5830"/>
        <v>W</v>
      </c>
      <c r="AVN27" s="319"/>
      <c r="AVO27" s="319"/>
      <c r="AVP27" s="324" t="s">
        <v>107</v>
      </c>
      <c r="AVQ27" s="325" t="s">
        <v>108</v>
      </c>
      <c r="AVR27" s="325" t="s">
        <v>109</v>
      </c>
      <c r="AVS27" s="325" t="s">
        <v>110</v>
      </c>
      <c r="AVT27" s="324" t="s">
        <v>110</v>
      </c>
      <c r="AVU27" s="324" t="s">
        <v>109</v>
      </c>
      <c r="AVV27" s="324" t="s">
        <v>108</v>
      </c>
      <c r="AVW27" s="324" t="s">
        <v>107</v>
      </c>
      <c r="AVX27" s="325"/>
      <c r="AVY27" s="326">
        <f t="shared" ref="AVY27" ca="1" si="8814">IFERROR(MATCH(AVY12,AVP27:AVS27,0),0)</f>
        <v>0</v>
      </c>
      <c r="AVZ27" s="326">
        <f t="shared" ref="AVZ27" ca="1" si="8815">IFERROR(MATCH(AVZ12,AVP27:AVS27,0),0)</f>
        <v>3</v>
      </c>
      <c r="AWA27" s="326">
        <f t="shared" ref="AWA27" ca="1" si="8816">IFERROR(MATCH(AWA12,AVP27:AVS27,0),0)</f>
        <v>0</v>
      </c>
      <c r="AWB27" s="326">
        <f t="shared" ref="AWB27" ca="1" si="8817">IFERROR(MATCH(AWB12,AVP27:AVS27,0),0)</f>
        <v>1</v>
      </c>
      <c r="AWC27" s="326">
        <f t="shared" ca="1" si="4036"/>
        <v>4</v>
      </c>
      <c r="AWD27" s="319"/>
      <c r="AWE27" s="319" t="str">
        <f t="shared" ref="AWE27" ca="1" si="8818">VLOOKUP(2,ARI18:ARJ21,2,FALSE)</f>
        <v>Serbia</v>
      </c>
      <c r="AWF27" s="325">
        <f t="shared" ca="1" si="5353"/>
        <v>0</v>
      </c>
      <c r="AWG27" s="319">
        <f t="shared" ref="AWG27" ca="1" si="8819">VLOOKUP(AWH27,BAC25:BAD29,2,FALSE)</f>
        <v>4</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3</v>
      </c>
      <c r="AWL27" s="319">
        <f t="shared" ref="AWL27" ca="1" si="8823">SUMIF(BAF3:BAF60,AWH27,BAG3:BAG60)+SUMIF(BAI3:BAI60,AWH27,BAH3:BAH60)</f>
        <v>2</v>
      </c>
      <c r="AWM27" s="319">
        <f t="shared" ref="AWM27" ca="1" si="8824">SUMIF(BAI3:BAI60,AWH27,BAG3:BAG60)+SUMIF(BAF3:BAF60,AWH27,BAH3:BAH60)</f>
        <v>9</v>
      </c>
      <c r="AWN27" s="319">
        <f t="shared" ca="1" si="7756"/>
        <v>993</v>
      </c>
      <c r="AWO27" s="319">
        <f t="shared" ca="1" si="7757"/>
        <v>0</v>
      </c>
      <c r="AWP27" s="319">
        <f t="shared" si="1050"/>
        <v>41</v>
      </c>
      <c r="AWQ27" s="319">
        <f t="shared" ref="AWQ27" ca="1" si="8825">IF(COUNTIF(AWO25:AWO29,4)&lt;&gt;4,RANK(AWO27,AWO25:AWO29),AWO67)</f>
        <v>4</v>
      </c>
      <c r="AWR27" s="319"/>
      <c r="AWS27" s="319">
        <f t="shared" ref="AWS27" ca="1" si="8826">SUMPRODUCT((AWQ25:AWQ28=AWQ27)*(AWP25:AWP28&lt;AWP27))+AWQ27</f>
        <v>4</v>
      </c>
      <c r="AWT27" s="319" t="str">
        <f t="shared" ref="AWT27" ca="1" si="8827">INDEX(AWH25:AWH29,MATCH(3,AWS25:AWS29,0),0)</f>
        <v>Poland</v>
      </c>
      <c r="AWU27" s="319">
        <f t="shared" ref="AWU27" ca="1" si="8828">INDEX(AWQ25:AWQ29,MATCH(AWT27,AWH25:AWH29,0),0)</f>
        <v>3</v>
      </c>
      <c r="AWV27" s="319" t="str">
        <f t="shared" ref="AWV27:AWV28" ca="1" si="8829">IF(AND(AWV26&lt;&gt;"",AWU27=1),AWT27,"")</f>
        <v/>
      </c>
      <c r="AWW27" s="319" t="str">
        <f t="shared" ref="AWW27:AWW28" ca="1" si="8830">IF(AND(AWW26&lt;&gt;"",AWU28=2),AWT28,"")</f>
        <v/>
      </c>
      <c r="AWX27" s="319" t="str">
        <f t="shared" ref="AWX27" ca="1" si="8831">IF(AND(AWX26&lt;&gt;"",AWU29=3),AWT29,"")</f>
        <v/>
      </c>
      <c r="AWY27" s="319"/>
      <c r="AWZ27" s="319"/>
      <c r="AXA27" s="319" t="str">
        <f t="shared" ca="1" si="7766"/>
        <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t="str">
        <f t="shared" ca="1" si="7773"/>
        <v/>
      </c>
      <c r="AXI27" s="319" t="str">
        <f t="shared" ref="AXI27" ca="1" si="8837">IF(AXA27&lt;&gt;"",VLOOKUP(AXA27,AWH4:AWN40,7,FALSE),"")</f>
        <v/>
      </c>
      <c r="AXJ27" s="319" t="str">
        <f t="shared" ref="AXJ27" ca="1" si="8838">IF(AXA27&lt;&gt;"",VLOOKUP(AXA27,AWH4:AWN40,5,FALSE),"")</f>
        <v/>
      </c>
      <c r="AXK27" s="319" t="str">
        <f t="shared" ref="AXK27" ca="1" si="8839">IF(AXA27&lt;&gt;"",VLOOKUP(AXA27,AWH4:AWP40,9,FALSE),"")</f>
        <v/>
      </c>
      <c r="AXL27" s="319" t="str">
        <f t="shared" ca="1" si="7777"/>
        <v/>
      </c>
      <c r="AXM27" s="319" t="str">
        <f t="shared" ref="AXM27" ca="1" si="8840">IF(AXA27&lt;&gt;"",RANK(AXL27,AXL25:AXL29),"")</f>
        <v/>
      </c>
      <c r="AXN27" s="319" t="str">
        <f t="shared" ref="AXN27" ca="1" si="8841">IF(AXA27&lt;&gt;"",SUMPRODUCT((AXL25:AXL29=AXL27)*(AXG25:AXG29&gt;AXG27)),"")</f>
        <v/>
      </c>
      <c r="AXO27" s="319" t="str">
        <f t="shared" ref="AXO27" ca="1" si="8842">IF(AXA27&lt;&gt;"",SUMPRODUCT((AXL25:AXL29=AXL27)*(AXG25:AXG29=AXG27)*(AXE25:AXE29&gt;AXE27)),"")</f>
        <v/>
      </c>
      <c r="AXP27" s="319" t="str">
        <f t="shared" ref="AXP27" ca="1" si="8843">IF(AXA27&lt;&gt;"",SUMPRODUCT((AXL25:AXL29=AXL27)*(AXG25:AXG29=AXG27)*(AXE25:AXE29=AXE27)*(AXI25:AXI29&gt;AXI27)),"")</f>
        <v/>
      </c>
      <c r="AXQ27" s="319" t="str">
        <f t="shared" ref="AXQ27" ca="1" si="8844">IF(AXA27&lt;&gt;"",SUMPRODUCT((AXL25:AXL29=AXL27)*(AXG25:AXG29=AXG27)*(AXE25:AXE29=AXE27)*(AXI25:AXI29=AXI27)*(AXJ25:AXJ29&gt;AXJ27)),"")</f>
        <v/>
      </c>
      <c r="AXR27" s="319" t="str">
        <f t="shared" ref="AXR27" ca="1" si="8845">IF(AXA27&lt;&gt;"",SUMPRODUCT((AXL25:AXL29=AXL27)*(AXG25:AXG29=AXG27)*(AXE25:AXE29=AXE27)*(AXI25:AXI29=AXI27)*(AXJ25:AXJ29=AXJ27)*(AXK25:AXK29&gt;AXK27)),"")</f>
        <v/>
      </c>
      <c r="AXS27" s="319" t="str">
        <f ca="1">IF(AXA27&lt;&gt;"",IF(AXS67&lt;&gt;"",IF(AWZ64=3,AXS67,AXS67+AWZ64),SUM(AXM27:AXR27)),"")</f>
        <v/>
      </c>
      <c r="AXT27" s="319" t="str">
        <f t="shared" ref="AXT27" ca="1" si="8846">IF(AXA27&lt;&gt;"",INDEX(AXA25:AXA29,MATCH(3,AXS25:AXS29,0),0),"")</f>
        <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Poland</v>
      </c>
      <c r="BAD27" s="319">
        <v>3</v>
      </c>
      <c r="BAE27" s="319">
        <v>25</v>
      </c>
      <c r="BAF27" s="319" t="str">
        <f t="shared" si="130"/>
        <v>Switzerland</v>
      </c>
      <c r="BAG27" s="322">
        <f ca="1">IF(OFFSET('Player Game Board'!P34,0,BAG1)&lt;&gt;"",OFFSET('Player Game Board'!P34,0,BAG1),0)</f>
        <v>1</v>
      </c>
      <c r="BAH27" s="322">
        <f ca="1">IF(OFFSET('Player Game Board'!Q34,0,BAG1)&lt;&gt;"",OFFSET('Player Game Board'!Q34,0,BAG1),0)</f>
        <v>4</v>
      </c>
      <c r="BAI27" s="319" t="str">
        <f t="shared" si="131"/>
        <v>Germany</v>
      </c>
      <c r="BAJ27" s="319" t="str">
        <f ca="1">IF(AND(OFFSET('Player Game Board'!P34,0,BAG1)&lt;&gt;"",OFFSET('Player Game Board'!Q34,0,BAG1)&lt;&gt;""),IF(BAG27&gt;BAH27,"W",IF(BAG27=BAH27,"D","L")),"")</f>
        <v>L</v>
      </c>
      <c r="BAK27" s="319" t="str">
        <f t="shared" ca="1" si="5885"/>
        <v>W</v>
      </c>
      <c r="BAL27" s="319"/>
      <c r="BAM27" s="319"/>
      <c r="BAN27" s="324" t="s">
        <v>107</v>
      </c>
      <c r="BAO27" s="325" t="s">
        <v>108</v>
      </c>
      <c r="BAP27" s="325" t="s">
        <v>109</v>
      </c>
      <c r="BAQ27" s="325" t="s">
        <v>110</v>
      </c>
      <c r="BAR27" s="324" t="s">
        <v>110</v>
      </c>
      <c r="BAS27" s="324" t="s">
        <v>109</v>
      </c>
      <c r="BAT27" s="324" t="s">
        <v>108</v>
      </c>
      <c r="BAU27" s="324" t="s">
        <v>107</v>
      </c>
      <c r="BAV27" s="325"/>
      <c r="BAW27" s="326">
        <f t="shared" ref="BAW27" ca="1" si="8883">IFERROR(MATCH(BAW12,BAN27:BAQ27,0),0)</f>
        <v>0</v>
      </c>
      <c r="BAX27" s="326">
        <f t="shared" ref="BAX27" ca="1" si="8884">IFERROR(MATCH(BAX12,BAN27:BAQ27,0),0)</f>
        <v>0</v>
      </c>
      <c r="BAY27" s="326">
        <f t="shared" ref="BAY27" ca="1" si="8885">IFERROR(MATCH(BAY12,BAN27:BAQ27,0),0)</f>
        <v>3</v>
      </c>
      <c r="BAZ27" s="326">
        <f t="shared" ref="BAZ27" ca="1" si="8886">IFERROR(MATCH(BAZ12,BAN27:BAQ27,0),0)</f>
        <v>4</v>
      </c>
      <c r="BBA27" s="326">
        <f t="shared" ca="1" si="4106"/>
        <v>7</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107</v>
      </c>
      <c r="BFM27" s="325" t="s">
        <v>108</v>
      </c>
      <c r="BFN27" s="325" t="s">
        <v>109</v>
      </c>
      <c r="BFO27" s="325" t="s">
        <v>110</v>
      </c>
      <c r="BFP27" s="324" t="s">
        <v>110</v>
      </c>
      <c r="BFQ27" s="324" t="s">
        <v>109</v>
      </c>
      <c r="BFR27" s="324" t="s">
        <v>108</v>
      </c>
      <c r="BFS27" s="324" t="s">
        <v>107</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2</v>
      </c>
      <c r="N28" s="319" t="str">
        <f>INDEX(B25:B29,MATCH(4,M25:M29,0),0)</f>
        <v>Austria</v>
      </c>
      <c r="O28" s="319">
        <f>INDEX(K25:K29,MATCH(N28,B25:B29,0),0)</f>
        <v>3</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Austria</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f t="shared" si="8330"/>
        <v>0</v>
      </c>
      <c r="BQ28" s="319">
        <f>IF(BI28&lt;&gt;"",VLOOKUP(BI28,B4:H40,7,FALSE),"")</f>
        <v>999</v>
      </c>
      <c r="BR28" s="319">
        <f>IF(BI28&lt;&gt;"",VLOOKUP(BI28,B4:H40,5,FALSE),"")</f>
        <v>0</v>
      </c>
      <c r="BS28" s="319">
        <f>IF(BI28&lt;&gt;"",VLOOKUP(BI28,B4:J40,9,FALSE),"")</f>
        <v>41</v>
      </c>
      <c r="BT28" s="319">
        <f t="shared" si="8331"/>
        <v>0</v>
      </c>
      <c r="BU28" s="319">
        <f>IF(BI28&lt;&gt;"",RANK(BT28,BT25:BT29),"")</f>
        <v>1</v>
      </c>
      <c r="BV28" s="319">
        <f>IF(BI28&lt;&gt;"",SUMPRODUCT((BT25:BT29=BT28)*(BO25:BO29&gt;BO28)),"")</f>
        <v>0</v>
      </c>
      <c r="BW28" s="319">
        <f>IF(BI28&lt;&gt;"",SUMPRODUCT((BT25:BT29=BT28)*(BO25:BO29=BO28)*(BM25:BM29&gt;BM28)),"")</f>
        <v>0</v>
      </c>
      <c r="BX28" s="319">
        <f>IF(BI28&lt;&gt;"",SUMPRODUCT((BT25:BT29=BT28)*(BO25:BO29=BO28)*(BM25:BM29=BM28)*(BQ25:BQ29&gt;BQ28)),"")</f>
        <v>0</v>
      </c>
      <c r="BY28" s="319">
        <f>IF(BI28&lt;&gt;"",SUMPRODUCT((BT25:BT29=BT28)*(BO25:BO29=BO28)*(BM25:BM29=BM28)*(BQ25:BQ29=BQ28)*(BR25:BR29&gt;BR28)),"")</f>
        <v>1</v>
      </c>
      <c r="BZ28" s="319">
        <f>IF(BI28&lt;&gt;"",SUMPRODUCT((BT25:BT29=BT28)*(BO25:BO29=BO28)*(BM25:BM29=BM28)*(BQ25:BQ29=BQ28)*(BR25:BR29=BR28)*(BS25:BS29&gt;BS28)),"")</f>
        <v>0</v>
      </c>
      <c r="CA28" s="319">
        <f>IF(BI28&lt;&gt;"",SUM(BU28:BZ28)+2,"")</f>
        <v>4</v>
      </c>
      <c r="CB28" s="319" t="str">
        <f>IF(BI28&lt;&gt;"",INDEX(BI27:BI29,MATCH(4,CA27:CA29,0),0),"")</f>
        <v>Austria</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Austria</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108</v>
      </c>
      <c r="DW28" s="319" t="str">
        <f>VLOOKUP(1,A25:B28,2,FALSE)</f>
        <v>Netherlands</v>
      </c>
      <c r="DX28" s="319"/>
      <c r="DY28" s="319">
        <f ca="1">VLOOKUP(DZ28,HU25:HV29,2,FALSE)</f>
        <v>1</v>
      </c>
      <c r="DZ28" s="319" t="str">
        <f t="shared" si="7836"/>
        <v>France</v>
      </c>
      <c r="EA28" s="319">
        <f ca="1">SUMPRODUCT((HX3:HX42=DZ28)*(IB3:IB42="W"))+SUMPRODUCT((IA3:IA42=DZ28)*(IC3:IC42="W"))</f>
        <v>3</v>
      </c>
      <c r="EB28" s="319">
        <f ca="1">SUMPRODUCT((HX3:HX42=DZ28)*(IB3:IB42="D"))+SUMPRODUCT((IA3:IA42=DZ28)*(IC3:IC42="D"))</f>
        <v>0</v>
      </c>
      <c r="EC28" s="319">
        <f ca="1">SUMPRODUCT((HX3:HX42=DZ28)*(IB3:IB42="L"))+SUMPRODUCT((IA3:IA42=DZ28)*(IC3:IC42="L"))</f>
        <v>0</v>
      </c>
      <c r="ED28" s="319">
        <f ca="1">SUMIF(HX3:HX60,DZ28,HY3:HY60)+SUMIF(IA3:IA60,DZ28,HZ3:HZ60)</f>
        <v>6</v>
      </c>
      <c r="EE28" s="319">
        <f ca="1">SUMIF(IA3:IA60,DZ28,HY3:HY60)+SUMIF(HX3:HX60,DZ28,HZ3:HZ60)</f>
        <v>1</v>
      </c>
      <c r="EF28" s="319">
        <f t="shared" ca="1" si="7447"/>
        <v>1005</v>
      </c>
      <c r="EG28" s="319">
        <f t="shared" ca="1" si="7448"/>
        <v>9</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108</v>
      </c>
      <c r="IU28" s="319" t="str">
        <f ca="1">VLOOKUP(1,DY25:DZ28,2,FALSE)</f>
        <v>France</v>
      </c>
      <c r="IV28" s="325">
        <f t="shared" ca="1" si="5047"/>
        <v>1</v>
      </c>
      <c r="IW28" s="319">
        <f ca="1">VLOOKUP(IX28,MS25:MT29,2,FALSE)</f>
        <v>2</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7</v>
      </c>
      <c r="JC28" s="319">
        <f ca="1">SUMIF(MY3:MY60,IX28,MW3:MW60)+SUMIF(MV3:MV60,IX28,MX3:MX60)</f>
        <v>4</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2</v>
      </c>
      <c r="MX28" s="322">
        <f ca="1">IF(OFFSET('Player Game Board'!Q35,0,MW1)&lt;&gt;"",OFFSET('Player Game Board'!Q35,0,MW1),0)</f>
        <v>1</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108</v>
      </c>
      <c r="NS28" s="319" t="str">
        <f ca="1">VLOOKUP(1,IW25:IX28,2,FALSE)</f>
        <v>Netherlands</v>
      </c>
      <c r="NT28" s="325">
        <f t="shared" ca="1" si="5052"/>
        <v>1</v>
      </c>
      <c r="NU28" s="319">
        <f t="shared" ref="NU28" ca="1" si="8963">VLOOKUP(NV28,RQ25:RR29,2,FALSE)</f>
        <v>1</v>
      </c>
      <c r="NV28" s="319" t="str">
        <f t="shared" si="7456"/>
        <v>France</v>
      </c>
      <c r="NW28" s="319">
        <f t="shared" ref="NW28" ca="1" si="8964">SUMPRODUCT((RT3:RT42=NV28)*(RX3:RX42="W"))+SUMPRODUCT((RW3:RW42=NV28)*(RY3:RY42="W"))</f>
        <v>2</v>
      </c>
      <c r="NX28" s="319">
        <f t="shared" ref="NX28" ca="1" si="8965">SUMPRODUCT((RT3:RT42=NV28)*(RX3:RX42="D"))+SUMPRODUCT((RW3:RW42=NV28)*(RY3:RY42="D"))</f>
        <v>1</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4</v>
      </c>
      <c r="OB28" s="319">
        <f t="shared" ca="1" si="7462"/>
        <v>1002</v>
      </c>
      <c r="OC28" s="319">
        <f t="shared" ca="1" si="7463"/>
        <v>7</v>
      </c>
      <c r="OD28" s="319">
        <f t="shared" si="630"/>
        <v>52</v>
      </c>
      <c r="OE28" s="319">
        <f t="shared" ref="OE28" ca="1" si="8969">IF(COUNTIF(OC25:OC29,4)&lt;&gt;4,RANK(OC28,OC25:OC29),OC68)</f>
        <v>1</v>
      </c>
      <c r="OF28" s="319"/>
      <c r="OG28" s="319">
        <f t="shared" ref="OG28" ca="1" si="8970">SUMPRODUCT((OE25:OE28=OE28)*(OD25:OD28&lt;OD28))+OE28</f>
        <v>2</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1</v>
      </c>
      <c r="RV28" s="322">
        <f ca="1">IF(OFFSET('Player Game Board'!Q35,0,RU1)&lt;&gt;"",OFFSET('Player Game Board'!Q35,0,RU1),0)</f>
        <v>0</v>
      </c>
      <c r="RW28" s="319" t="str">
        <f t="shared" si="19"/>
        <v>Hungary</v>
      </c>
      <c r="RX28" s="319" t="str">
        <f ca="1">IF(AND(OFFSET('Player Game Board'!P35,0,RU1)&lt;&gt;"",OFFSET('Player Game Board'!Q35,0,RU1)&lt;&gt;""),IF(RU28&gt;RV28,"W",IF(RU28=RV28,"D","L")),"")</f>
        <v>W</v>
      </c>
      <c r="RY28" s="319" t="str">
        <f t="shared" ca="1" si="5500"/>
        <v>L</v>
      </c>
      <c r="RZ28" s="319"/>
      <c r="SA28" s="319"/>
      <c r="SB28" s="319"/>
      <c r="SC28" s="320"/>
      <c r="SD28" s="320"/>
      <c r="SE28" s="320"/>
      <c r="SF28" s="320"/>
      <c r="SG28" s="320"/>
      <c r="SH28" s="320"/>
      <c r="SI28" s="320"/>
      <c r="SJ28" s="319"/>
      <c r="SK28" s="319"/>
      <c r="SL28" s="319"/>
      <c r="SM28" s="319"/>
      <c r="SN28" s="319"/>
      <c r="SO28" s="319"/>
      <c r="SP28" s="319" t="s">
        <v>108</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9</v>
      </c>
      <c r="SY28" s="319">
        <f t="shared" ref="SY28" ca="1" si="9045">SUMIF(WU3:WU60,ST28,WS3:WS60)+SUMIF(WR3:WR60,ST28,WT3:WT60)</f>
        <v>2</v>
      </c>
      <c r="SZ28" s="319">
        <f t="shared" ca="1" si="7504"/>
        <v>1007</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2</v>
      </c>
      <c r="WT28" s="322">
        <f ca="1">IF(OFFSET('Player Game Board'!Q35,0,WS1)&lt;&gt;"",OFFSET('Player Game Board'!Q35,0,WS1),0)</f>
        <v>2</v>
      </c>
      <c r="WU28" s="319" t="str">
        <f t="shared" si="35"/>
        <v>Hungary</v>
      </c>
      <c r="WV28" s="319" t="str">
        <f ca="1">IF(AND(OFFSET('Player Game Board'!P35,0,WS1)&lt;&gt;"",OFFSET('Player Game Board'!Q35,0,WS1)&lt;&gt;""),IF(WS28&gt;WT28,"W",IF(WS28=WT28,"D","L")),"")</f>
        <v>D</v>
      </c>
      <c r="WW28" s="319" t="str">
        <f t="shared" ca="1" si="5555"/>
        <v>D</v>
      </c>
      <c r="WX28" s="319"/>
      <c r="WY28" s="319"/>
      <c r="WZ28" s="319"/>
      <c r="XA28" s="320"/>
      <c r="XB28" s="320"/>
      <c r="XC28" s="320"/>
      <c r="XD28" s="320"/>
      <c r="XE28" s="320"/>
      <c r="XF28" s="320"/>
      <c r="XG28" s="320"/>
      <c r="XH28" s="319"/>
      <c r="XI28" s="319"/>
      <c r="XJ28" s="319"/>
      <c r="XK28" s="319"/>
      <c r="XL28" s="319"/>
      <c r="XM28" s="319"/>
      <c r="XN28" s="319" t="s">
        <v>108</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108</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1</v>
      </c>
      <c r="ACS28" s="319">
        <f t="shared" ref="ACS28" ca="1" si="9197">SUMPRODUCT((AGN3:AGN42=ACP28)*(AGR3:AGR42="L"))+SUMPRODUCT((AGQ3:AGQ42=ACP28)*(AGS3:AGS42="L"))</f>
        <v>0</v>
      </c>
      <c r="ACT28" s="319">
        <f t="shared" ref="ACT28" ca="1" si="9198">SUMIF(AGN3:AGN60,ACP28,AGO3:AGO60)+SUMIF(AGQ3:AGQ60,ACP28,AGP3:AGP60)</f>
        <v>4</v>
      </c>
      <c r="ACU28" s="319">
        <f t="shared" ref="ACU28" ca="1" si="9199">SUMIF(AGQ3:AGQ60,ACP28,AGO3:AGO60)+SUMIF(AGN3:AGN60,ACP28,AGP3:AGP60)</f>
        <v>2</v>
      </c>
      <c r="ACV28" s="319">
        <f t="shared" ca="1" si="7588"/>
        <v>1002</v>
      </c>
      <c r="ACW28" s="319">
        <f t="shared" ca="1" si="7589"/>
        <v>7</v>
      </c>
      <c r="ACX28" s="319">
        <f t="shared" si="810"/>
        <v>52</v>
      </c>
      <c r="ACY28" s="319">
        <f t="shared" ref="ACY28" ca="1" si="9200">IF(COUNTIF(ACW25:ACW29,4)&lt;&gt;4,RANK(ACW28,ACW25:ACW29),ACW68)</f>
        <v>1</v>
      </c>
      <c r="ACZ28" s="319"/>
      <c r="ADA28" s="319">
        <f t="shared" ref="ADA28" ca="1" si="9201">SUMPRODUCT((ACY25:ACY28=ACY28)*(ACX25:ACX28&lt;ACX28))+ACY28</f>
        <v>2</v>
      </c>
      <c r="ADB28" s="319" t="str">
        <f t="shared" ref="ADB28" ca="1" si="9202">INDEX(ACP25:ACP29,MATCH(4,ADA25:ADA29,0),0)</f>
        <v>Austria</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Austria</v>
      </c>
      <c r="AGL28" s="319">
        <v>4</v>
      </c>
      <c r="AGM28" s="319">
        <v>26</v>
      </c>
      <c r="AGN28" s="319" t="str">
        <f t="shared" si="66"/>
        <v>Scotland</v>
      </c>
      <c r="AGO28" s="322">
        <f ca="1">IF(OFFSET('Player Game Board'!P35,0,AGO1)&lt;&gt;"",OFFSET('Player Game Board'!P35,0,AGO1),0)</f>
        <v>1</v>
      </c>
      <c r="AGP28" s="322">
        <f ca="1">IF(OFFSET('Player Game Board'!Q35,0,AGO1)&lt;&gt;"",OFFSET('Player Game Board'!Q35,0,AGO1),0)</f>
        <v>1</v>
      </c>
      <c r="AGQ28" s="319" t="str">
        <f t="shared" si="67"/>
        <v>Hungary</v>
      </c>
      <c r="AGR28" s="319" t="str">
        <f ca="1">IF(AND(OFFSET('Player Game Board'!P35,0,AGO1)&lt;&gt;"",OFFSET('Player Game Board'!Q35,0,AGO1)&lt;&gt;""),IF(AGO28&gt;AGP28,"W",IF(AGO28=AGP28,"D","L")),"")</f>
        <v>D</v>
      </c>
      <c r="AGS28" s="319" t="str">
        <f t="shared" ca="1" si="5665"/>
        <v>D</v>
      </c>
      <c r="AGT28" s="319"/>
      <c r="AGU28" s="319"/>
      <c r="AGV28" s="319"/>
      <c r="AGW28" s="320"/>
      <c r="AGX28" s="320"/>
      <c r="AGY28" s="320"/>
      <c r="AGZ28" s="320"/>
      <c r="AHA28" s="320"/>
      <c r="AHB28" s="320"/>
      <c r="AHC28" s="320"/>
      <c r="AHD28" s="319"/>
      <c r="AHE28" s="319"/>
      <c r="AHF28" s="319"/>
      <c r="AHG28" s="319"/>
      <c r="AHH28" s="319"/>
      <c r="AHI28" s="319"/>
      <c r="AHJ28" s="319" t="s">
        <v>108</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6</v>
      </c>
      <c r="AHS28" s="319">
        <f t="shared" ref="AHS28" ca="1" si="9276">SUMIF(ALO3:ALO60,AHN28,ALM3:ALM60)+SUMIF(ALL3:ALL60,AHN28,ALN3:ALN60)</f>
        <v>3</v>
      </c>
      <c r="AHT28" s="319">
        <f t="shared" ca="1" si="7630"/>
        <v>1003</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Poland</v>
      </c>
      <c r="AIA28" s="319">
        <f t="shared" ref="AIA28" ca="1" si="9280">INDEX(AHW25:AHW29,MATCH(AHZ28,AHN25:AHN29,0),0)</f>
        <v>4</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1</v>
      </c>
      <c r="ALN28" s="322">
        <f ca="1">IF(OFFSET('Player Game Board'!Q35,0,ALM1)&lt;&gt;"",OFFSET('Player Game Board'!Q35,0,ALM1),0)</f>
        <v>0</v>
      </c>
      <c r="ALO28" s="319" t="str">
        <f t="shared" si="83"/>
        <v>Hungary</v>
      </c>
      <c r="ALP28" s="319" t="str">
        <f ca="1">IF(AND(OFFSET('Player Game Board'!P35,0,ALM1)&lt;&gt;"",OFFSET('Player Game Board'!Q35,0,ALM1)&lt;&gt;""),IF(ALM28&gt;ALN28,"W",IF(ALM28=ALN28,"D","L")),"")</f>
        <v>W</v>
      </c>
      <c r="ALQ28" s="319" t="str">
        <f t="shared" ca="1" si="5720"/>
        <v>L</v>
      </c>
      <c r="ALR28" s="319"/>
      <c r="ALS28" s="319"/>
      <c r="ALT28" s="319"/>
      <c r="ALU28" s="320"/>
      <c r="ALV28" s="320"/>
      <c r="ALW28" s="320"/>
      <c r="ALX28" s="320"/>
      <c r="ALY28" s="320"/>
      <c r="ALZ28" s="320"/>
      <c r="AMA28" s="320"/>
      <c r="AMB28" s="319"/>
      <c r="AMC28" s="319"/>
      <c r="AMD28" s="319"/>
      <c r="AME28" s="319"/>
      <c r="AMF28" s="319"/>
      <c r="AMG28" s="319"/>
      <c r="AMH28" s="319" t="s">
        <v>108</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3</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9</v>
      </c>
      <c r="AMQ28" s="319">
        <f t="shared" ref="AMQ28" ca="1" si="9353">SUMIF(AQM3:AQM60,AML28,AQK3:AQK60)+SUMIF(AQJ3:AQJ60,AML28,AQL3:AQL60)</f>
        <v>3</v>
      </c>
      <c r="AMR28" s="319">
        <f t="shared" ca="1" si="7672"/>
        <v>1006</v>
      </c>
      <c r="AMS28" s="319">
        <f t="shared" ca="1" si="7673"/>
        <v>9</v>
      </c>
      <c r="AMT28" s="319">
        <f t="shared" si="930"/>
        <v>52</v>
      </c>
      <c r="AMU28" s="319">
        <f t="shared" ref="AMU28" ca="1" si="9354">IF(COUNTIF(AMS25:AMS29,4)&lt;&gt;4,RANK(AMS28,AMS25:AMS29),AMS68)</f>
        <v>1</v>
      </c>
      <c r="AMV28" s="319"/>
      <c r="AMW28" s="319">
        <f t="shared" ref="AMW28" ca="1" si="9355">SUMPRODUCT((AMU25:AMU28=AMU28)*(AMT25:AMT28&lt;AMT28))+AMU28</f>
        <v>1</v>
      </c>
      <c r="AMX28" s="319" t="str">
        <f t="shared" ref="AMX28" ca="1" si="9356">INDEX(AML25:AML29,MATCH(4,AMW25:AMW29,0),0)</f>
        <v>Austria</v>
      </c>
      <c r="AMY28" s="319">
        <f t="shared" ref="AMY28" ca="1" si="9357">INDEX(AMU25:AMU29,MATCH(AMX28,AML25:AML29,0),0)</f>
        <v>3</v>
      </c>
      <c r="AMZ28" s="319" t="str">
        <f t="shared" ca="1" si="8691"/>
        <v/>
      </c>
      <c r="ANA28" s="319" t="str">
        <f t="shared" ca="1" si="8692"/>
        <v/>
      </c>
      <c r="ANB28" s="319"/>
      <c r="ANC28" s="319"/>
      <c r="AND28" s="319"/>
      <c r="ANE28" s="319" t="str">
        <f t="shared" ca="1" si="7682"/>
        <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t="str">
        <f t="shared" ca="1" si="7689"/>
        <v/>
      </c>
      <c r="ANM28" s="319" t="str">
        <f t="shared" ref="ANM28" ca="1" si="9363">IF(ANE28&lt;&gt;"",VLOOKUP(ANE28,AML4:AMR40,7,FALSE),"")</f>
        <v/>
      </c>
      <c r="ANN28" s="319" t="str">
        <f t="shared" ref="ANN28" ca="1" si="9364">IF(ANE28&lt;&gt;"",VLOOKUP(ANE28,AML4:AMR40,5,FALSE),"")</f>
        <v/>
      </c>
      <c r="ANO28" s="319" t="str">
        <f t="shared" ref="ANO28" ca="1" si="9365">IF(ANE28&lt;&gt;"",VLOOKUP(ANE28,AML4:AMT40,9,FALSE),"")</f>
        <v/>
      </c>
      <c r="ANP28" s="319" t="str">
        <f t="shared" ca="1" si="7693"/>
        <v/>
      </c>
      <c r="ANQ28" s="319" t="str">
        <f t="shared" ref="ANQ28" ca="1" si="9366">IF(ANE28&lt;&gt;"",RANK(ANP28,ANP25:ANP29),"")</f>
        <v/>
      </c>
      <c r="ANR28" s="319" t="str">
        <f t="shared" ref="ANR28" ca="1" si="9367">IF(ANE28&lt;&gt;"",SUMPRODUCT((ANP25:ANP29=ANP28)*(ANK25:ANK29&gt;ANK28)),"")</f>
        <v/>
      </c>
      <c r="ANS28" s="319" t="str">
        <f t="shared" ref="ANS28" ca="1" si="9368">IF(ANE28&lt;&gt;"",SUMPRODUCT((ANP25:ANP29=ANP28)*(ANK25:ANK29=ANK28)*(ANI25:ANI29&gt;ANI28)),"")</f>
        <v/>
      </c>
      <c r="ANT28" s="319" t="str">
        <f t="shared" ref="ANT28" ca="1" si="9369">IF(ANE28&lt;&gt;"",SUMPRODUCT((ANP25:ANP29=ANP28)*(ANK25:ANK29=ANK28)*(ANI25:ANI29=ANI28)*(ANM25:ANM29&gt;ANM28)),"")</f>
        <v/>
      </c>
      <c r="ANU28" s="319" t="str">
        <f t="shared" ref="ANU28" ca="1" si="9370">IF(ANE28&lt;&gt;"",SUMPRODUCT((ANP25:ANP29=ANP28)*(ANK25:ANK29=ANK28)*(ANI25:ANI29=ANI28)*(ANM25:ANM29=ANM28)*(ANN25:ANN29&gt;ANN28)),"")</f>
        <v/>
      </c>
      <c r="ANV28" s="319" t="str">
        <f t="shared" ref="ANV28" ca="1" si="9371">IF(ANE28&lt;&gt;"",SUMPRODUCT((ANP25:ANP29=ANP28)*(ANK25:ANK29=ANK28)*(ANI25:ANI29=ANI28)*(ANM25:ANM29=ANM28)*(ANN25:ANN29=ANN28)*(ANO25:ANO29&gt;ANO28)),"")</f>
        <v/>
      </c>
      <c r="ANW28" s="319" t="str">
        <f ca="1">IF(ANE28&lt;&gt;"",IF(ANW68&lt;&gt;"",IF(AND64=3,ANW68,ANW68+AND64),SUM(ANQ28:ANV28)),"")</f>
        <v/>
      </c>
      <c r="ANX28" s="319" t="str">
        <f t="shared" ref="ANX28" ca="1" si="9372">IF(ANE28&lt;&gt;"",INDEX(ANE25:ANE29,MATCH(4,ANW25:ANW29,0),0),"")</f>
        <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Austria</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19">
        <f t="shared" ca="1" si="8730"/>
        <v>1000</v>
      </c>
      <c r="AOZ28" s="319">
        <f t="shared" ca="1" si="8731"/>
        <v>1</v>
      </c>
      <c r="APA28" s="319">
        <f t="shared" ref="APA28" ca="1" si="9393">IF(AOS28&lt;&gt;"",VLOOKUP(AOS28,AML4:AMR40,7,FALSE),"")</f>
        <v>997</v>
      </c>
      <c r="APB28" s="319">
        <f t="shared" ref="APB28" ca="1" si="9394">IF(AOS28&lt;&gt;"",VLOOKUP(AOS28,AML4:AMR40,5,FALSE),"")</f>
        <v>3</v>
      </c>
      <c r="APC28" s="319">
        <f t="shared" ref="APC28" ca="1" si="9395">IF(AOS28&lt;&gt;"",VLOOKUP(AOS28,AML4:AMT40,9,FALSE),"")</f>
        <v>41</v>
      </c>
      <c r="APD28" s="319">
        <f t="shared" ca="1" si="8735"/>
        <v>1</v>
      </c>
      <c r="APE28" s="319">
        <f t="shared" ref="APE28" ca="1" si="9396">IF(AOS28&lt;&gt;"",RANK(APD28,APD25:APD29),"")</f>
        <v>1</v>
      </c>
      <c r="APF28" s="319">
        <f t="shared" ref="APF28" ca="1" si="9397">IF(AOS28&lt;&gt;"",SUMPRODUCT((APD25:APD29=APD28)*(AOY25:AOY29&gt;AOY28)),"")</f>
        <v>0</v>
      </c>
      <c r="APG28" s="319">
        <f t="shared" ref="APG28" ca="1" si="9398">IF(AOS28&lt;&gt;"",SUMPRODUCT((APD25:APD29=APD28)*(AOY25:AOY29=AOY28)*(AOW25:AOW29&gt;AOW28)),"")</f>
        <v>0</v>
      </c>
      <c r="APH28" s="319">
        <f t="shared" ref="APH28" ca="1" si="9399">IF(AOS28&lt;&gt;"",SUMPRODUCT((APD25:APD29=APD28)*(AOY25:AOY29=AOY28)*(AOW25:AOW29=AOW28)*(APA25:APA29&gt;APA28)),"")</f>
        <v>0</v>
      </c>
      <c r="API28" s="319">
        <f t="shared" ref="API28" ca="1" si="9400">IF(AOS28&lt;&gt;"",SUMPRODUCT((APD25:APD29=APD28)*(AOY25:AOY29=AOY28)*(AOW25:AOW29=AOW28)*(APA25:APA29=APA28)*(APB25:APB29&gt;APB28)),"")</f>
        <v>0</v>
      </c>
      <c r="APJ28" s="319">
        <f t="shared" ref="APJ28" ca="1" si="9401">IF(AOS28&lt;&gt;"",SUMPRODUCT((APD25:APD29=APD28)*(AOY25:AOY29=AOY28)*(AOW25:AOW29=AOW28)*(APA25:APA29=APA28)*(APB25:APB29=APB28)*(APC25:APC29&gt;APC28)),"")</f>
        <v>0</v>
      </c>
      <c r="APK28" s="319">
        <f t="shared" ca="1" si="8742"/>
        <v>3</v>
      </c>
      <c r="APL28" s="319" t="str">
        <f t="shared" ref="APL28" ca="1" si="9402">IF(AOS28&lt;&gt;"",INDEX(AOS27:AOS29,MATCH(4,APK27:APK29,0),0),"")</f>
        <v>Poland</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1</v>
      </c>
      <c r="AQL28" s="322">
        <f ca="1">IF(OFFSET('Player Game Board'!Q35,0,AQK1)&lt;&gt;"",OFFSET('Player Game Board'!Q35,0,AQK1),0)</f>
        <v>0</v>
      </c>
      <c r="AQM28" s="319" t="str">
        <f t="shared" si="99"/>
        <v>Hungary</v>
      </c>
      <c r="AQN28" s="319" t="str">
        <f ca="1">IF(AND(OFFSET('Player Game Board'!P35,0,AQK1)&lt;&gt;"",OFFSET('Player Game Board'!Q35,0,AQK1)&lt;&gt;""),IF(AQK28&gt;AQL28,"W",IF(AQK28=AQL28,"D","L")),"")</f>
        <v>W</v>
      </c>
      <c r="AQO28" s="319" t="str">
        <f t="shared" ca="1" si="5775"/>
        <v>L</v>
      </c>
      <c r="AQP28" s="319"/>
      <c r="AQQ28" s="319"/>
      <c r="AQR28" s="319"/>
      <c r="AQS28" s="320"/>
      <c r="AQT28" s="320"/>
      <c r="AQU28" s="320"/>
      <c r="AQV28" s="320"/>
      <c r="AQW28" s="320"/>
      <c r="AQX28" s="320"/>
      <c r="AQY28" s="320"/>
      <c r="AQZ28" s="319"/>
      <c r="ARA28" s="319"/>
      <c r="ARB28" s="319"/>
      <c r="ARC28" s="319"/>
      <c r="ARD28" s="319"/>
      <c r="ARE28" s="319"/>
      <c r="ARF28" s="319" t="s">
        <v>108</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3</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7</v>
      </c>
      <c r="ARO28" s="319">
        <f t="shared" ref="ARO28" ca="1" si="9430">SUMIF(AVK3:AVK60,ARJ28,AVI3:AVI60)+SUMIF(AVH3:AVH60,ARJ28,AVJ3:AVJ60)</f>
        <v>1</v>
      </c>
      <c r="ARP28" s="319">
        <f t="shared" ca="1" si="7714"/>
        <v>1006</v>
      </c>
      <c r="ARQ28" s="319">
        <f t="shared" ca="1" si="7715"/>
        <v>9</v>
      </c>
      <c r="ARR28" s="319">
        <f t="shared" si="990"/>
        <v>52</v>
      </c>
      <c r="ARS28" s="319">
        <f t="shared" ref="ARS28" ca="1" si="9431">IF(COUNTIF(ARQ25:ARQ29,4)&lt;&gt;4,RANK(ARQ28,ARQ25:ARQ29),ARQ68)</f>
        <v>1</v>
      </c>
      <c r="ART28" s="319"/>
      <c r="ARU28" s="319">
        <f t="shared" ref="ARU28" ca="1" si="9432">SUMPRODUCT((ARS25:ARS28=ARS28)*(ARR25:ARR28&lt;ARR28))+ARS28</f>
        <v>1</v>
      </c>
      <c r="ARV28" s="319" t="str">
        <f t="shared" ref="ARV28" ca="1" si="9433">INDEX(ARJ25:ARJ29,MATCH(4,ARU25:ARU29,0),0)</f>
        <v>Austria</v>
      </c>
      <c r="ARW28" s="319">
        <f t="shared" ref="ARW28" ca="1" si="9434">INDEX(ARS25:ARS29,MATCH(ARV28,ARJ25:ARJ29,0),0)</f>
        <v>4</v>
      </c>
      <c r="ARX28" s="319" t="str">
        <f t="shared" ca="1" si="8760"/>
        <v/>
      </c>
      <c r="ARY28" s="319" t="str">
        <f t="shared" ca="1" si="8761"/>
        <v/>
      </c>
      <c r="ARZ28" s="319"/>
      <c r="ASA28" s="319"/>
      <c r="ASB28" s="319"/>
      <c r="ASC28" s="319" t="str">
        <f t="shared" ca="1" si="7724"/>
        <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t="str">
        <f t="shared" ca="1" si="7731"/>
        <v/>
      </c>
      <c r="ASK28" s="319" t="str">
        <f t="shared" ref="ASK28" ca="1" si="9440">IF(ASC28&lt;&gt;"",VLOOKUP(ASC28,ARJ4:ARP40,7,FALSE),"")</f>
        <v/>
      </c>
      <c r="ASL28" s="319" t="str">
        <f t="shared" ref="ASL28" ca="1" si="9441">IF(ASC28&lt;&gt;"",VLOOKUP(ASC28,ARJ4:ARP40,5,FALSE),"")</f>
        <v/>
      </c>
      <c r="ASM28" s="319" t="str">
        <f t="shared" ref="ASM28" ca="1" si="9442">IF(ASC28&lt;&gt;"",VLOOKUP(ASC28,ARJ4:ARR40,9,FALSE),"")</f>
        <v/>
      </c>
      <c r="ASN28" s="319" t="str">
        <f t="shared" ca="1" si="7735"/>
        <v/>
      </c>
      <c r="ASO28" s="319" t="str">
        <f t="shared" ref="ASO28" ca="1" si="9443">IF(ASC28&lt;&gt;"",RANK(ASN28,ASN25:ASN29),"")</f>
        <v/>
      </c>
      <c r="ASP28" s="319" t="str">
        <f t="shared" ref="ASP28" ca="1" si="9444">IF(ASC28&lt;&gt;"",SUMPRODUCT((ASN25:ASN29=ASN28)*(ASI25:ASI29&gt;ASI28)),"")</f>
        <v/>
      </c>
      <c r="ASQ28" s="319" t="str">
        <f t="shared" ref="ASQ28" ca="1" si="9445">IF(ASC28&lt;&gt;"",SUMPRODUCT((ASN25:ASN29=ASN28)*(ASI25:ASI29=ASI28)*(ASG25:ASG29&gt;ASG28)),"")</f>
        <v/>
      </c>
      <c r="ASR28" s="319" t="str">
        <f t="shared" ref="ASR28" ca="1" si="9446">IF(ASC28&lt;&gt;"",SUMPRODUCT((ASN25:ASN29=ASN28)*(ASI25:ASI29=ASI28)*(ASG25:ASG29=ASG28)*(ASK25:ASK29&gt;ASK28)),"")</f>
        <v/>
      </c>
      <c r="ASS28" s="319" t="str">
        <f t="shared" ref="ASS28" ca="1" si="9447">IF(ASC28&lt;&gt;"",SUMPRODUCT((ASN25:ASN29=ASN28)*(ASI25:ASI29=ASI28)*(ASG25:ASG29=ASG28)*(ASK25:ASK29=ASK28)*(ASL25:ASL29&gt;ASL28)),"")</f>
        <v/>
      </c>
      <c r="AST28" s="319" t="str">
        <f t="shared" ref="AST28" ca="1" si="9448">IF(ASC28&lt;&gt;"",SUMPRODUCT((ASN25:ASN29=ASN28)*(ASI25:ASI29=ASI28)*(ASG25:ASG29=ASG28)*(ASK25:ASK29=ASK28)*(ASL25:ASL29=ASL28)*(ASM25:ASM29&gt;ASM28)),"")</f>
        <v/>
      </c>
      <c r="ASU28" s="319" t="str">
        <f ca="1">IF(ASC28&lt;&gt;"",IF(ASU68&lt;&gt;"",IF(ASB64=3,ASU68,ASU68+ASB64),SUM(ASO28:AST28)),"")</f>
        <v/>
      </c>
      <c r="ASV28" s="319" t="str">
        <f t="shared" ref="ASV28" ca="1" si="9449">IF(ASC28&lt;&gt;"",INDEX(ASC25:ASC29,MATCH(4,ASU25:ASU29,0),0),"")</f>
        <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Austria</v>
      </c>
      <c r="AVF28" s="319">
        <v>4</v>
      </c>
      <c r="AVG28" s="319">
        <v>26</v>
      </c>
      <c r="AVH28" s="319" t="str">
        <f t="shared" si="114"/>
        <v>Scotland</v>
      </c>
      <c r="AVI28" s="322">
        <f ca="1">IF(OFFSET('Player Game Board'!P35,0,AVI1)&lt;&gt;"",OFFSET('Player Game Board'!P35,0,AVI1),0)</f>
        <v>2</v>
      </c>
      <c r="AVJ28" s="322">
        <f ca="1">IF(OFFSET('Player Game Board'!Q35,0,AVI1)&lt;&gt;"",OFFSET('Player Game Board'!Q35,0,AVI1),0)</f>
        <v>1</v>
      </c>
      <c r="AVK28" s="319" t="str">
        <f t="shared" si="115"/>
        <v>Hungary</v>
      </c>
      <c r="AVL28" s="319" t="str">
        <f ca="1">IF(AND(OFFSET('Player Game Board'!P35,0,AVI1)&lt;&gt;"",OFFSET('Player Game Board'!Q35,0,AVI1)&lt;&gt;""),IF(AVI28&gt;AVJ28,"W",IF(AVI28=AVJ28,"D","L")),"")</f>
        <v>W</v>
      </c>
      <c r="AVM28" s="319" t="str">
        <f t="shared" ca="1" si="5830"/>
        <v>L</v>
      </c>
      <c r="AVN28" s="319"/>
      <c r="AVO28" s="319"/>
      <c r="AVP28" s="319"/>
      <c r="AVQ28" s="320"/>
      <c r="AVR28" s="320"/>
      <c r="AVS28" s="320"/>
      <c r="AVT28" s="320"/>
      <c r="AVU28" s="320"/>
      <c r="AVV28" s="320"/>
      <c r="AVW28" s="320"/>
      <c r="AVX28" s="319"/>
      <c r="AVY28" s="319"/>
      <c r="AVZ28" s="319"/>
      <c r="AWA28" s="319"/>
      <c r="AWB28" s="319"/>
      <c r="AWC28" s="319"/>
      <c r="AWD28" s="319" t="s">
        <v>108</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3</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10</v>
      </c>
      <c r="AWM28" s="319">
        <f t="shared" ref="AWM28" ca="1" si="9507">SUMIF(BAI3:BAI60,AWH28,BAG3:BAG60)+SUMIF(BAF3:BAF60,AWH28,BAH3:BAH60)</f>
        <v>1</v>
      </c>
      <c r="AWN28" s="319">
        <f t="shared" ca="1" si="7756"/>
        <v>1009</v>
      </c>
      <c r="AWO28" s="319">
        <f t="shared" ca="1" si="7757"/>
        <v>9</v>
      </c>
      <c r="AWP28" s="319">
        <f t="shared" si="1050"/>
        <v>52</v>
      </c>
      <c r="AWQ28" s="319">
        <f t="shared" ref="AWQ28" ca="1" si="9508">IF(COUNTIF(AWO25:AWO29,4)&lt;&gt;4,RANK(AWO28,AWO25:AWO29),AWO68)</f>
        <v>1</v>
      </c>
      <c r="AWR28" s="319"/>
      <c r="AWS28" s="319">
        <f t="shared" ref="AWS28" ca="1" si="9509">SUMPRODUCT((AWQ25:AWQ28=AWQ28)*(AWP25:AWP28&lt;AWP28))+AWQ28</f>
        <v>1</v>
      </c>
      <c r="AWT28" s="319" t="str">
        <f t="shared" ref="AWT28" ca="1" si="9510">INDEX(AWH25:AWH29,MATCH(4,AWS25:AWS29,0),0)</f>
        <v>Austria</v>
      </c>
      <c r="AWU28" s="319">
        <f t="shared" ref="AWU28" ca="1" si="9511">INDEX(AWQ25:AWQ29,MATCH(AWT28,AWH25:AWH29,0),0)</f>
        <v>4</v>
      </c>
      <c r="AWV28" s="319" t="str">
        <f t="shared" ca="1" si="8829"/>
        <v/>
      </c>
      <c r="AWW28" s="319" t="str">
        <f t="shared" ca="1" si="8830"/>
        <v/>
      </c>
      <c r="AWX28" s="319"/>
      <c r="AWY28" s="319"/>
      <c r="AWZ28" s="319"/>
      <c r="AXA28" s="319" t="str">
        <f t="shared" ca="1" si="7766"/>
        <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t="str">
        <f t="shared" ca="1" si="7773"/>
        <v/>
      </c>
      <c r="AXI28" s="319" t="str">
        <f t="shared" ref="AXI28" ca="1" si="9517">IF(AXA28&lt;&gt;"",VLOOKUP(AXA28,AWH4:AWN40,7,FALSE),"")</f>
        <v/>
      </c>
      <c r="AXJ28" s="319" t="str">
        <f t="shared" ref="AXJ28" ca="1" si="9518">IF(AXA28&lt;&gt;"",VLOOKUP(AXA28,AWH4:AWN40,5,FALSE),"")</f>
        <v/>
      </c>
      <c r="AXK28" s="319" t="str">
        <f t="shared" ref="AXK28" ca="1" si="9519">IF(AXA28&lt;&gt;"",VLOOKUP(AXA28,AWH4:AWP40,9,FALSE),"")</f>
        <v/>
      </c>
      <c r="AXL28" s="319" t="str">
        <f t="shared" ca="1" si="7777"/>
        <v/>
      </c>
      <c r="AXM28" s="319" t="str">
        <f t="shared" ref="AXM28" ca="1" si="9520">IF(AXA28&lt;&gt;"",RANK(AXL28,AXL25:AXL29),"")</f>
        <v/>
      </c>
      <c r="AXN28" s="319" t="str">
        <f t="shared" ref="AXN28" ca="1" si="9521">IF(AXA28&lt;&gt;"",SUMPRODUCT((AXL25:AXL29=AXL28)*(AXG25:AXG29&gt;AXG28)),"")</f>
        <v/>
      </c>
      <c r="AXO28" s="319" t="str">
        <f t="shared" ref="AXO28" ca="1" si="9522">IF(AXA28&lt;&gt;"",SUMPRODUCT((AXL25:AXL29=AXL28)*(AXG25:AXG29=AXG28)*(AXE25:AXE29&gt;AXE28)),"")</f>
        <v/>
      </c>
      <c r="AXP28" s="319" t="str">
        <f t="shared" ref="AXP28" ca="1" si="9523">IF(AXA28&lt;&gt;"",SUMPRODUCT((AXL25:AXL29=AXL28)*(AXG25:AXG29=AXG28)*(AXE25:AXE29=AXE28)*(AXI25:AXI29&gt;AXI28)),"")</f>
        <v/>
      </c>
      <c r="AXQ28" s="319" t="str">
        <f t="shared" ref="AXQ28" ca="1" si="9524">IF(AXA28&lt;&gt;"",SUMPRODUCT((AXL25:AXL29=AXL28)*(AXG25:AXG29=AXG28)*(AXE25:AXE29=AXE28)*(AXI25:AXI29=AXI28)*(AXJ25:AXJ29&gt;AXJ28)),"")</f>
        <v/>
      </c>
      <c r="AXR28" s="319" t="str">
        <f t="shared" ref="AXR28" ca="1" si="9525">IF(AXA28&lt;&gt;"",SUMPRODUCT((AXL25:AXL29=AXL28)*(AXG25:AXG29=AXG28)*(AXE25:AXE29=AXE28)*(AXI25:AXI29=AXI28)*(AXJ25:AXJ29=AXJ28)*(AXK25:AXK29&gt;AXK28)),"")</f>
        <v/>
      </c>
      <c r="AXS28" s="319" t="str">
        <f ca="1">IF(AXA28&lt;&gt;"",IF(AXS68&lt;&gt;"",IF(AWZ64=3,AXS68,AXS68+AWZ64),SUM(AXM28:AXR28)),"")</f>
        <v/>
      </c>
      <c r="AXT28" s="319" t="str">
        <f t="shared" ref="AXT28" ca="1" si="9526">IF(AXA28&lt;&gt;"",INDEX(AXA25:AXA29,MATCH(4,AXS25:AXS29,0),0),"")</f>
        <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Austria</v>
      </c>
      <c r="BAD28" s="319">
        <v>4</v>
      </c>
      <c r="BAE28" s="319">
        <v>26</v>
      </c>
      <c r="BAF28" s="319" t="str">
        <f t="shared" si="130"/>
        <v>Scotland</v>
      </c>
      <c r="BAG28" s="322">
        <f ca="1">IF(OFFSET('Player Game Board'!P35,0,BAG1)&lt;&gt;"",OFFSET('Player Game Board'!P35,0,BAG1),0)</f>
        <v>3</v>
      </c>
      <c r="BAH28" s="322">
        <f ca="1">IF(OFFSET('Player Game Board'!Q35,0,BAG1)&lt;&gt;"",OFFSET('Player Game Board'!Q35,0,BAG1),0)</f>
        <v>2</v>
      </c>
      <c r="BAI28" s="319" t="str">
        <f t="shared" si="131"/>
        <v>Hungary</v>
      </c>
      <c r="BAJ28" s="319" t="str">
        <f ca="1">IF(AND(OFFSET('Player Game Board'!P35,0,BAG1)&lt;&gt;"",OFFSET('Player Game Board'!Q35,0,BAG1)&lt;&gt;""),IF(BAG28&gt;BAH28,"W",IF(BAG28=BAH28,"D","L")),"")</f>
        <v>W</v>
      </c>
      <c r="BAK28" s="319" t="str">
        <f t="shared" ca="1" si="5885"/>
        <v>L</v>
      </c>
      <c r="BAL28" s="319"/>
      <c r="BAM28" s="319"/>
      <c r="BAN28" s="319"/>
      <c r="BAO28" s="320"/>
      <c r="BAP28" s="320"/>
      <c r="BAQ28" s="320"/>
      <c r="BAR28" s="320"/>
      <c r="BAS28" s="320"/>
      <c r="BAT28" s="320"/>
      <c r="BAU28" s="320"/>
      <c r="BAV28" s="319"/>
      <c r="BAW28" s="319"/>
      <c r="BAX28" s="319"/>
      <c r="BAY28" s="319"/>
      <c r="BAZ28" s="319"/>
      <c r="BBA28" s="319"/>
      <c r="BBB28" s="319" t="s">
        <v>108</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108</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3</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France</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1</v>
      </c>
      <c r="RV29" s="322">
        <f ca="1">IF(OFFSET('Player Game Board'!Q36,0,RU1)&lt;&gt;"",OFFSET('Player Game Board'!Q36,0,RU1),0)</f>
        <v>3</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1</v>
      </c>
      <c r="WT29" s="322">
        <f ca="1">IF(OFFSET('Player Game Board'!Q36,0,WS1)&lt;&gt;"",OFFSET('Player Game Board'!Q36,0,WS1),0)</f>
        <v>2</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1</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2</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5</v>
      </c>
      <c r="AQM29" s="319" t="str">
        <f t="shared" si="99"/>
        <v>Spain</v>
      </c>
      <c r="AQN29" s="319" t="str">
        <f ca="1">IF(AND(OFFSET('Player Game Board'!P36,0,AQK1)&lt;&gt;"",OFFSET('Player Game Board'!Q36,0,AQK1)&lt;&gt;""),IF(AQK29&gt;AQL29,"W",IF(AQK29=AQL29,"D","L")),"")</f>
        <v>L</v>
      </c>
      <c r="AQO29" s="319" t="str">
        <f t="shared" ca="1" si="5775"/>
        <v>W</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1</v>
      </c>
      <c r="AVJ29" s="322">
        <f ca="1">IF(OFFSET('Player Game Board'!Q36,0,AVI1)&lt;&gt;"",OFFSET('Player Game Board'!Q36,0,AVI1),0)</f>
        <v>1</v>
      </c>
      <c r="AVK29" s="319" t="str">
        <f t="shared" si="115"/>
        <v>Spain</v>
      </c>
      <c r="AVL29" s="319" t="str">
        <f ca="1">IF(AND(OFFSET('Player Game Board'!P36,0,AVI1)&lt;&gt;"",OFFSET('Player Game Board'!Q36,0,AVI1)&lt;&gt;""),IF(AVI29&gt;AVJ29,"W",IF(AVI29=AVJ29,"D","L")),"")</f>
        <v>D</v>
      </c>
      <c r="AVM29" s="319" t="str">
        <f t="shared" ca="1" si="5830"/>
        <v>D</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1</v>
      </c>
      <c r="BAH29" s="322">
        <f ca="1">IF(OFFSET('Player Game Board'!Q36,0,BAG1)&lt;&gt;"",OFFSET('Player Game Board'!Q36,0,BAG1),0)</f>
        <v>4</v>
      </c>
      <c r="BAI29" s="319" t="str">
        <f t="shared" si="131"/>
        <v>Spain</v>
      </c>
      <c r="BAJ29" s="319" t="str">
        <f ca="1">IF(AND(OFFSET('Player Game Board'!P36,0,BAG1)&lt;&gt;"",OFFSET('Player Game Board'!Q36,0,BAG1)&lt;&gt;""),IF(BAG29&gt;BAH29,"W",IF(BAG29=BAH29,"D","L")),"")</f>
        <v>L</v>
      </c>
      <c r="BAK29" s="319" t="str">
        <f t="shared" ca="1" si="5885"/>
        <v>W</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109</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1</v>
      </c>
      <c r="HZ30" s="322">
        <f ca="1">IF(OFFSET('Player Game Board'!Q37,0,HY1)&lt;&gt;"",OFFSET('Player Game Board'!Q37,0,HY1),0)</f>
        <v>1</v>
      </c>
      <c r="IA30" s="319" t="str">
        <f t="shared" si="165"/>
        <v>Italy</v>
      </c>
      <c r="IB30" s="319" t="str">
        <f ca="1">IF(AND(OFFSET('Player Game Board'!P37,0,HY1)&lt;&gt;"",OFFSET('Player Game Board'!Q37,0,HY1)&lt;&gt;""),IF(HY30&gt;HZ30,"W",IF(HY30=HZ30,"D","L")),"")</f>
        <v>D</v>
      </c>
      <c r="IC30" s="319" t="str">
        <f t="shared" ca="1" si="166"/>
        <v>D</v>
      </c>
      <c r="ID30" s="319"/>
      <c r="IE30" s="319"/>
      <c r="IF30" s="319"/>
      <c r="IG30" s="320"/>
      <c r="IH30" s="320"/>
      <c r="II30" s="320"/>
      <c r="IJ30" s="320"/>
      <c r="IK30" s="320"/>
      <c r="IL30" s="320"/>
      <c r="IM30" s="320"/>
      <c r="IN30" s="319"/>
      <c r="IO30" s="319"/>
      <c r="IP30" s="319"/>
      <c r="IQ30" s="319"/>
      <c r="IR30" s="319"/>
      <c r="IS30" s="319"/>
      <c r="IT30" s="319" t="s">
        <v>109</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109</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2</v>
      </c>
      <c r="RV30" s="322">
        <f ca="1">IF(OFFSET('Player Game Board'!Q37,0,RU1)&lt;&gt;"",OFFSET('Player Game Board'!Q37,0,RU1),0)</f>
        <v>2</v>
      </c>
      <c r="RW30" s="319" t="str">
        <f t="shared" si="19"/>
        <v>Italy</v>
      </c>
      <c r="RX30" s="319" t="str">
        <f ca="1">IF(AND(OFFSET('Player Game Board'!P37,0,RU1)&lt;&gt;"",OFFSET('Player Game Board'!Q37,0,RU1)&lt;&gt;""),IF(RU30&gt;RV30,"W",IF(RU30=RV30,"D","L")),"")</f>
        <v>D</v>
      </c>
      <c r="RY30" s="319" t="str">
        <f t="shared" ca="1" si="5500"/>
        <v>D</v>
      </c>
      <c r="RZ30" s="319"/>
      <c r="SA30" s="319"/>
      <c r="SB30" s="319"/>
      <c r="SC30" s="320"/>
      <c r="SD30" s="320"/>
      <c r="SE30" s="320"/>
      <c r="SF30" s="320"/>
      <c r="SG30" s="320"/>
      <c r="SH30" s="320"/>
      <c r="SI30" s="320"/>
      <c r="SJ30" s="319"/>
      <c r="SK30" s="319"/>
      <c r="SL30" s="319"/>
      <c r="SM30" s="319"/>
      <c r="SN30" s="319"/>
      <c r="SO30" s="319"/>
      <c r="SP30" s="319" t="s">
        <v>109</v>
      </c>
      <c r="SQ30" s="319" t="str">
        <f t="shared" ref="SQ30" ca="1" si="9675">VLOOKUP(1,NU31:NV34,2,FALSE)</f>
        <v>Belgium</v>
      </c>
      <c r="SR30" s="325">
        <f t="shared" ca="1" si="5095"/>
        <v>0</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1</v>
      </c>
      <c r="WU30" s="319" t="str">
        <f t="shared" si="35"/>
        <v>Italy</v>
      </c>
      <c r="WV30" s="319" t="str">
        <f ca="1">IF(AND(OFFSET('Player Game Board'!P37,0,WS1)&lt;&gt;"",OFFSET('Player Game Board'!Q37,0,WS1)&lt;&gt;""),IF(WS30&gt;WT30,"W",IF(WS30=WT30,"D","L")),"")</f>
        <v>D</v>
      </c>
      <c r="WW30" s="319" t="str">
        <f t="shared" ca="1" si="5555"/>
        <v>D</v>
      </c>
      <c r="WX30" s="319"/>
      <c r="WY30" s="319"/>
      <c r="WZ30" s="319"/>
      <c r="XA30" s="320"/>
      <c r="XB30" s="320"/>
      <c r="XC30" s="320"/>
      <c r="XD30" s="320"/>
      <c r="XE30" s="320"/>
      <c r="XF30" s="320"/>
      <c r="XG30" s="320"/>
      <c r="XH30" s="319"/>
      <c r="XI30" s="319"/>
      <c r="XJ30" s="319"/>
      <c r="XK30" s="319"/>
      <c r="XL30" s="319"/>
      <c r="XM30" s="319"/>
      <c r="XN30" s="319" t="s">
        <v>109</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109</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D</v>
      </c>
      <c r="AGS30" s="319" t="str">
        <f t="shared" ca="1" si="5665"/>
        <v>D</v>
      </c>
      <c r="AGT30" s="319"/>
      <c r="AGU30" s="319"/>
      <c r="AGV30" s="319"/>
      <c r="AGW30" s="320"/>
      <c r="AGX30" s="320"/>
      <c r="AGY30" s="320"/>
      <c r="AGZ30" s="320"/>
      <c r="AHA30" s="320"/>
      <c r="AHB30" s="320"/>
      <c r="AHC30" s="320"/>
      <c r="AHD30" s="319"/>
      <c r="AHE30" s="319"/>
      <c r="AHF30" s="319"/>
      <c r="AHG30" s="319"/>
      <c r="AHH30" s="319"/>
      <c r="AHI30" s="319"/>
      <c r="AHJ30" s="319" t="s">
        <v>109</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1</v>
      </c>
      <c r="ALN30" s="322">
        <f ca="1">IF(OFFSET('Player Game Board'!Q37,0,ALM1)&lt;&gt;"",OFFSET('Player Game Board'!Q37,0,ALM1),0)</f>
        <v>2</v>
      </c>
      <c r="ALO30" s="319" t="str">
        <f t="shared" si="83"/>
        <v>Italy</v>
      </c>
      <c r="ALP30" s="319" t="str">
        <f ca="1">IF(AND(OFFSET('Player Game Board'!P37,0,ALM1)&lt;&gt;"",OFFSET('Player Game Board'!Q37,0,ALM1)&lt;&gt;""),IF(ALM30&gt;ALN30,"W",IF(ALM30=ALN30,"D","L")),"")</f>
        <v>L</v>
      </c>
      <c r="ALQ30" s="319" t="str">
        <f t="shared" ca="1" si="5720"/>
        <v>W</v>
      </c>
      <c r="ALR30" s="319"/>
      <c r="ALS30" s="319"/>
      <c r="ALT30" s="319"/>
      <c r="ALU30" s="320"/>
      <c r="ALV30" s="320"/>
      <c r="ALW30" s="320"/>
      <c r="ALX30" s="320"/>
      <c r="ALY30" s="320"/>
      <c r="ALZ30" s="320"/>
      <c r="AMA30" s="320"/>
      <c r="AMB30" s="319"/>
      <c r="AMC30" s="319"/>
      <c r="AMD30" s="319"/>
      <c r="AME30" s="319"/>
      <c r="AMF30" s="319"/>
      <c r="AMG30" s="319"/>
      <c r="AMH30" s="319" t="s">
        <v>109</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2</v>
      </c>
      <c r="AQL30" s="322">
        <f ca="1">IF(OFFSET('Player Game Board'!Q37,0,AQK1)&lt;&gt;"",OFFSET('Player Game Board'!Q37,0,AQK1),0)</f>
        <v>2</v>
      </c>
      <c r="AQM30" s="319" t="str">
        <f t="shared" si="99"/>
        <v>Italy</v>
      </c>
      <c r="AQN30" s="319" t="str">
        <f ca="1">IF(AND(OFFSET('Player Game Board'!P37,0,AQK1)&lt;&gt;"",OFFSET('Player Game Board'!Q37,0,AQK1)&lt;&gt;""),IF(AQK30&gt;AQL30,"W",IF(AQK30=AQL30,"D","L")),"")</f>
        <v>D</v>
      </c>
      <c r="AQO30" s="319" t="str">
        <f t="shared" ca="1" si="5775"/>
        <v>D</v>
      </c>
      <c r="AQP30" s="319"/>
      <c r="AQQ30" s="319"/>
      <c r="AQR30" s="319"/>
      <c r="AQS30" s="320"/>
      <c r="AQT30" s="320"/>
      <c r="AQU30" s="320"/>
      <c r="AQV30" s="320"/>
      <c r="AQW30" s="320"/>
      <c r="AQX30" s="320"/>
      <c r="AQY30" s="320"/>
      <c r="AQZ30" s="319"/>
      <c r="ARA30" s="319"/>
      <c r="ARB30" s="319"/>
      <c r="ARC30" s="319"/>
      <c r="ARD30" s="319"/>
      <c r="ARE30" s="319"/>
      <c r="ARF30" s="319" t="s">
        <v>109</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3</v>
      </c>
      <c r="AVJ30" s="322">
        <f ca="1">IF(OFFSET('Player Game Board'!Q37,0,AVI1)&lt;&gt;"",OFFSET('Player Game Board'!Q37,0,AVI1),0)</f>
        <v>3</v>
      </c>
      <c r="AVK30" s="319" t="str">
        <f t="shared" si="115"/>
        <v>Italy</v>
      </c>
      <c r="AVL30" s="319" t="str">
        <f ca="1">IF(AND(OFFSET('Player Game Board'!P37,0,AVI1)&lt;&gt;"",OFFSET('Player Game Board'!Q37,0,AVI1)&lt;&gt;""),IF(AVI30&gt;AVJ30,"W",IF(AVI30=AVJ30,"D","L")),"")</f>
        <v>D</v>
      </c>
      <c r="AVM30" s="319" t="str">
        <f t="shared" ca="1" si="5830"/>
        <v>D</v>
      </c>
      <c r="AVN30" s="319"/>
      <c r="AVO30" s="319"/>
      <c r="AVP30" s="319"/>
      <c r="AVQ30" s="320"/>
      <c r="AVR30" s="320"/>
      <c r="AVS30" s="320"/>
      <c r="AVT30" s="320"/>
      <c r="AVU30" s="320"/>
      <c r="AVV30" s="320"/>
      <c r="AVW30" s="320"/>
      <c r="AVX30" s="319"/>
      <c r="AVY30" s="319"/>
      <c r="AVZ30" s="319"/>
      <c r="AWA30" s="319"/>
      <c r="AWB30" s="319"/>
      <c r="AWC30" s="319"/>
      <c r="AWD30" s="319" t="s">
        <v>109</v>
      </c>
      <c r="AWE30" s="319" t="str">
        <f t="shared" ref="AWE30" ca="1" si="9687">VLOOKUP(1,ARI31:ARJ34,2,FALSE)</f>
        <v>Slovakia</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2</v>
      </c>
      <c r="BAH30" s="322">
        <f ca="1">IF(OFFSET('Player Game Board'!Q37,0,BAG1)&lt;&gt;"",OFFSET('Player Game Board'!Q37,0,BAG1),0)</f>
        <v>4</v>
      </c>
      <c r="BAI30" s="319" t="str">
        <f t="shared" si="131"/>
        <v>Italy</v>
      </c>
      <c r="BAJ30" s="319" t="str">
        <f ca="1">IF(AND(OFFSET('Player Game Board'!P37,0,BAG1)&lt;&gt;"",OFFSET('Player Game Board'!Q37,0,BAG1)&lt;&gt;""),IF(BAG30&gt;BAH30,"W",IF(BAG30=BAH30,"D","L")),"")</f>
        <v>L</v>
      </c>
      <c r="BAK30" s="319" t="str">
        <f t="shared" ca="1" si="5885"/>
        <v>W</v>
      </c>
      <c r="BAL30" s="319"/>
      <c r="BAM30" s="319"/>
      <c r="BAN30" s="319"/>
      <c r="BAO30" s="320"/>
      <c r="BAP30" s="320"/>
      <c r="BAQ30" s="320"/>
      <c r="BAR30" s="320"/>
      <c r="BAS30" s="320"/>
      <c r="BAT30" s="320"/>
      <c r="BAU30" s="320"/>
      <c r="BAV30" s="319"/>
      <c r="BAW30" s="319"/>
      <c r="BAX30" s="319"/>
      <c r="BAY30" s="319"/>
      <c r="BAZ30" s="319"/>
      <c r="BBA30" s="319"/>
      <c r="BBB30" s="319" t="s">
        <v>109</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109</v>
      </c>
      <c r="BGA30" s="319" t="str">
        <f t="shared" ref="BGA30" ca="1" si="9691">VLOOKUP(1,BBE31:BBF34,2,FALSE)</f>
        <v>Belgium</v>
      </c>
      <c r="BGB30" s="325">
        <f t="shared" ca="1" si="5439"/>
        <v>0</v>
      </c>
    </row>
    <row r="31" spans="1:1536" ht="13.8" x14ac:dyDescent="0.3">
      <c r="A31" s="319">
        <f>VLOOKUP(B31,CW31:CX35,2,FALSE)</f>
        <v>3</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3</v>
      </c>
      <c r="L31" s="319"/>
      <c r="M31" s="319">
        <f>SUMPRODUCT((K31:K34=K31)*(J31:J34&lt;J31))+K31</f>
        <v>4</v>
      </c>
      <c r="N31" s="319" t="str">
        <f>INDEX(B31:B35,MATCH(1,M31:M35,0),0)</f>
        <v>Slovakia</v>
      </c>
      <c r="O31" s="319">
        <f>INDEX(K31:K35,MATCH(N31,B31:B35,0),0)</f>
        <v>1</v>
      </c>
      <c r="P31" s="319" t="str">
        <f>IF(O32=1,N31,"")</f>
        <v>Slovakia</v>
      </c>
      <c r="Q31" s="319" t="str">
        <f>IF(O33=2,N32,"")</f>
        <v/>
      </c>
      <c r="R31" s="319" t="str">
        <f>IF(O34=3,N33,"")</f>
        <v>Ukraine</v>
      </c>
      <c r="S31" s="319" t="str">
        <f>IF(O35=4,N34,"")</f>
        <v/>
      </c>
      <c r="T31" s="319"/>
      <c r="U31" s="319" t="str">
        <f>IF(P31&lt;&gt;"",P31,"")</f>
        <v>Slovakia</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319">
        <f>Y31-Z31+1000</f>
        <v>1000</v>
      </c>
      <c r="AB31" s="319">
        <f t="shared" ref="AB31:AB34" si="9694">IF(U31&lt;&gt;"",V31*3+W31*1,"")</f>
        <v>0</v>
      </c>
      <c r="AC31" s="319">
        <f>IF(U31&lt;&gt;"",VLOOKUP(U31,B4:H40,7,FALSE),"")</f>
        <v>1001</v>
      </c>
      <c r="AD31" s="319">
        <f>IF(U31&lt;&gt;"",VLOOKUP(U31,B4:H40,5,FALSE),"")</f>
        <v>1</v>
      </c>
      <c r="AE31" s="319">
        <f>IF(U31&lt;&gt;"",VLOOKUP(U31,B4:J40,9,FALSE),"")</f>
        <v>38</v>
      </c>
      <c r="AF31" s="319">
        <f t="shared" ref="AF31:AF34" si="9695">AB31</f>
        <v>0</v>
      </c>
      <c r="AG31" s="319">
        <f>IF(U31&lt;&gt;"",RANK(AF31,AF31:AF35),"")</f>
        <v>1</v>
      </c>
      <c r="AH31" s="319">
        <f>IF(U31&lt;&gt;"",SUMPRODUCT((AF31:AF35=AF31)*(AA31:AA35&gt;AA31)),"")</f>
        <v>0</v>
      </c>
      <c r="AI31" s="319">
        <f>IF(U31&lt;&gt;"",SUMPRODUCT((AF31:AF35=AF31)*(AA31:AA35=AA31)*(Y31:Y35&gt;Y31)),"")</f>
        <v>0</v>
      </c>
      <c r="AJ31" s="319">
        <f>IF(U31&lt;&gt;"",SUMPRODUCT((AF31:AF35=AF31)*(AA31:AA35=AA31)*(Y31:Y35=Y31)*(AC31:AC35&gt;AC31)),"")</f>
        <v>1</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Slovakia</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7</v>
      </c>
      <c r="EE31" s="319">
        <f ca="1">SUMIF(IA3:IA60,DZ31,HY3:HY60)+SUMIF(HX3:HX60,DZ31,HZ3:HZ60)</f>
        <v>2</v>
      </c>
      <c r="EF31" s="319">
        <f t="shared" ref="EF31:EF34" ca="1" si="9696">ED31-EE31+1000</f>
        <v>1005</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3</v>
      </c>
      <c r="IZ31" s="319">
        <f ca="1">SUMPRODUCT((MV3:MV42=IX31)*(MZ3:MZ42="D"))+SUMPRODUCT((MY3:MY42=IX31)*(NA3:NA42="D"))</f>
        <v>0</v>
      </c>
      <c r="JA31" s="319">
        <f ca="1">SUMPRODUCT((MV3:MV42=IX31)*(MZ3:MZ42="L"))+SUMPRODUCT((MY3:MY42=IX31)*(NA3:NA42="L"))</f>
        <v>0</v>
      </c>
      <c r="JB31" s="319">
        <f ca="1">SUMIF(MV3:MV60,IX31,MW3:MW60)+SUMIF(MY3:MY60,IX31,MX3:MX60)</f>
        <v>8</v>
      </c>
      <c r="JC31" s="319">
        <f ca="1">SUMIF(MY3:MY60,IX31,MW3:MW60)+SUMIF(MV3:MV60,IX31,MX3:MX60)</f>
        <v>1</v>
      </c>
      <c r="JD31" s="319">
        <f t="shared" ref="JD31:JD34" ca="1" si="9700">JB31-JC31+1000</f>
        <v>1007</v>
      </c>
      <c r="JE31" s="319">
        <f t="shared" ref="JE31:JE34" ca="1" si="9701">IY31*3+IZ31*1</f>
        <v>9</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Ukraine</v>
      </c>
      <c r="JN31" s="319" t="str">
        <f ca="1">IF(JK34=3,JJ33,"")</f>
        <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3</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8</v>
      </c>
      <c r="OA31" s="319">
        <f t="shared" ref="OA31" ca="1" si="9710">SUMIF(RW3:RW60,NV31,RU3:RU60)+SUMIF(RT3:RT60,NV31,RV3:RV60)</f>
        <v>3</v>
      </c>
      <c r="OB31" s="319">
        <f t="shared" ref="OB31:OB34" ca="1" si="9711">NZ31-OA31+1000</f>
        <v>1005</v>
      </c>
      <c r="OC31" s="319">
        <f t="shared" ref="OC31:OC34" ca="1" si="9712">NW31*3+NX31*1</f>
        <v>9</v>
      </c>
      <c r="OD31" s="319">
        <f t="shared" si="630"/>
        <v>50</v>
      </c>
      <c r="OE31" s="319">
        <f t="shared" ref="OE31" ca="1" si="9713">IF(COUNTIF(OC31:OC35,4)&lt;&gt;4,RANK(OC31,OC31:OC35),OC71)</f>
        <v>1</v>
      </c>
      <c r="OF31" s="319"/>
      <c r="OG31" s="319">
        <f t="shared" ref="OG31" ca="1" si="9714">SUMPRODUCT((OE31:OE34=OE31)*(OD31:OD34&lt;OD31))+OE31</f>
        <v>1</v>
      </c>
      <c r="OH31" s="319" t="str">
        <f t="shared" ref="OH31" ca="1" si="9715">INDEX(NV31:NV35,MATCH(1,OG31:OG35,0),0)</f>
        <v>Belgium</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1</v>
      </c>
      <c r="SZ31" s="319">
        <f t="shared" ref="SZ31:SZ34" ca="1" si="9749">SX31-SY31+1000</f>
        <v>1007</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1</v>
      </c>
      <c r="WT31" s="322">
        <f ca="1">IF(OFFSET('Player Game Board'!Q38,0,WS1)&lt;&gt;"",OFFSET('Player Game Board'!Q38,0,WS1),0)</f>
        <v>0</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Ukraine</v>
      </c>
      <c r="XP31" s="325">
        <f t="shared" ca="1" si="5138"/>
        <v>0</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7</v>
      </c>
      <c r="ACU31" s="319">
        <f t="shared" ref="ACU31" ca="1" si="9824">SUMIF(AGQ3:AGQ60,ACP31,AGO3:AGO60)+SUMIF(AGN3:AGN60,ACP31,AGP3:AGP60)</f>
        <v>1</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D</v>
      </c>
      <c r="AGS31" s="319" t="str">
        <f t="shared" ca="1" si="5665"/>
        <v>D</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Slovakia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2</v>
      </c>
      <c r="AHP31" s="319">
        <f t="shared" ref="AHP31" ca="1" si="9859">SUMPRODUCT((ALL3:ALL42=AHN31)*(ALP3:ALP42="D"))+SUMPRODUCT((ALO3:ALO42=AHN31)*(ALQ3:ALQ42="D"))</f>
        <v>1</v>
      </c>
      <c r="AHQ31" s="319">
        <f t="shared" ref="AHQ31" ca="1" si="9860">SUMPRODUCT((ALL3:ALL42=AHN31)*(ALP3:ALP42="L"))+SUMPRODUCT((ALO3:ALO42=AHN31)*(ALQ3:ALQ42="L"))</f>
        <v>0</v>
      </c>
      <c r="AHR31" s="319">
        <f t="shared" ref="AHR31" ca="1" si="9861">SUMIF(ALL3:ALL60,AHN31,ALM3:ALM60)+SUMIF(ALO3:ALO60,AHN31,ALN3:ALN60)</f>
        <v>4</v>
      </c>
      <c r="AHS31" s="319">
        <f t="shared" ref="AHS31" ca="1" si="9862">SUMIF(ALO3:ALO60,AHN31,ALM3:ALM60)+SUMIF(ALL3:ALL60,AHN31,ALN3:ALN60)</f>
        <v>1</v>
      </c>
      <c r="AHT31" s="319">
        <f t="shared" ref="AHT31:AHT34" ca="1" si="9863">AHR31-AHS31+1000</f>
        <v>1003</v>
      </c>
      <c r="AHU31" s="319">
        <f t="shared" ref="AHU31:AHU34" ca="1" si="9864">AHO31*3+AHP31*1</f>
        <v>7</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1</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3</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7</v>
      </c>
      <c r="AMQ31" s="319">
        <f t="shared" ref="AMQ31" ca="1" si="9900">SUMIF(AQM3:AQM60,AML31,AQK3:AQK60)+SUMIF(AQJ3:AQJ60,AML31,AQL3:AQL60)</f>
        <v>1</v>
      </c>
      <c r="AMR31" s="319">
        <f t="shared" ref="AMR31:AMR34" ca="1" si="9901">AMP31-AMQ31+1000</f>
        <v>1006</v>
      </c>
      <c r="AMS31" s="319">
        <f t="shared" ref="AMS31:AMS34" ca="1" si="9902">AMM31*3+AMN31*1</f>
        <v>9</v>
      </c>
      <c r="AMT31" s="319">
        <f t="shared" si="930"/>
        <v>50</v>
      </c>
      <c r="AMU31" s="319">
        <f t="shared" ref="AMU31" ca="1" si="9903">IF(COUNTIF(AMS31:AMS35,4)&lt;&gt;4,RANK(AMS31,AMS31:AMS35),AMS71)</f>
        <v>1</v>
      </c>
      <c r="AMV31" s="319"/>
      <c r="AMW31" s="319">
        <f t="shared" ref="AMW31" ca="1" si="9904">SUMPRODUCT((AMU31:AMU34=AMU31)*(AMT31:AMT34&lt;AMT31))+AMU31</f>
        <v>1</v>
      </c>
      <c r="AMX31" s="319" t="str">
        <f t="shared" ref="AMX31" ca="1" si="9905">INDEX(AML31:AML35,MATCH(1,AMW31:AMW35,0),0)</f>
        <v>Belgium</v>
      </c>
      <c r="AMY31" s="319">
        <f t="shared" ref="AMY31" ca="1" si="9906">INDEX(AMU31:AMU35,MATCH(AMX31,AML31:AML35,0),0)</f>
        <v>1</v>
      </c>
      <c r="AMZ31" s="319" t="str">
        <f t="shared" ref="AMZ31" ca="1" si="9907">IF(AMY32=1,AMX31,"")</f>
        <v/>
      </c>
      <c r="ANA31" s="319" t="str">
        <f t="shared" ref="ANA31" ca="1" si="9908">IF(AMY33=2,AMX32,"")</f>
        <v>Ukraine</v>
      </c>
      <c r="ANB31" s="319" t="str">
        <f t="shared" ref="ANB31" ca="1" si="9909">IF(AMY34=3,AMX33,"")</f>
        <v/>
      </c>
      <c r="ANC31" s="319" t="str">
        <f t="shared" ref="ANC31" si="9910">IF(AMY35=4,AMX34,"")</f>
        <v/>
      </c>
      <c r="AND31" s="319"/>
      <c r="ANE31" s="319" t="str">
        <f t="shared" ref="ANE31:ANE34" ca="1" si="9911">IF(AMZ31&lt;&gt;"",AMZ31,"")</f>
        <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t="str">
        <f t="shared" ref="ANL31:ANL34" ca="1" si="9918">IF(ANE31&lt;&gt;"",ANF31*3+ANG31*1,"")</f>
        <v/>
      </c>
      <c r="ANM31" s="319" t="str">
        <f t="shared" ref="ANM31" ca="1" si="9919">IF(ANE31&lt;&gt;"",VLOOKUP(ANE31,AML4:AMR40,7,FALSE),"")</f>
        <v/>
      </c>
      <c r="ANN31" s="319" t="str">
        <f t="shared" ref="ANN31" ca="1" si="9920">IF(ANE31&lt;&gt;"",VLOOKUP(ANE31,AML4:AMR40,5,FALSE),"")</f>
        <v/>
      </c>
      <c r="ANO31" s="319" t="str">
        <f t="shared" ref="ANO31" ca="1" si="9921">IF(ANE31&lt;&gt;"",VLOOKUP(ANE31,AML4:AMT40,9,FALSE),"")</f>
        <v/>
      </c>
      <c r="ANP31" s="319" t="str">
        <f t="shared" ref="ANP31:ANP34" ca="1" si="9922">ANL31</f>
        <v/>
      </c>
      <c r="ANQ31" s="319" t="str">
        <f t="shared" ref="ANQ31" ca="1" si="9923">IF(ANE31&lt;&gt;"",RANK(ANP31,ANP31:ANP35),"")</f>
        <v/>
      </c>
      <c r="ANR31" s="319" t="str">
        <f t="shared" ref="ANR31" ca="1" si="9924">IF(ANE31&lt;&gt;"",SUMPRODUCT((ANP31:ANP35=ANP31)*(ANK31:ANK35&gt;ANK31)),"")</f>
        <v/>
      </c>
      <c r="ANS31" s="319" t="str">
        <f t="shared" ref="ANS31" ca="1" si="9925">IF(ANE31&lt;&gt;"",SUMPRODUCT((ANP31:ANP35=ANP31)*(ANK31:ANK35=ANK31)*(ANI31:ANI35&gt;ANI31)),"")</f>
        <v/>
      </c>
      <c r="ANT31" s="319" t="str">
        <f t="shared" ref="ANT31" ca="1" si="9926">IF(ANE31&lt;&gt;"",SUMPRODUCT((ANP31:ANP35=ANP31)*(ANK31:ANK35=ANK31)*(ANI31:ANI35=ANI31)*(ANM31:ANM35&gt;ANM31)),"")</f>
        <v/>
      </c>
      <c r="ANU31" s="319" t="str">
        <f t="shared" ref="ANU31" ca="1" si="9927">IF(ANE31&lt;&gt;"",SUMPRODUCT((ANP31:ANP35=ANP31)*(ANK31:ANK35=ANK31)*(ANI31:ANI35=ANI31)*(ANM31:ANM35=ANM31)*(ANN31:ANN35&gt;ANN31)),"")</f>
        <v/>
      </c>
      <c r="ANV31" s="319" t="str">
        <f t="shared" ref="ANV31" ca="1" si="9928">IF(ANE31&lt;&gt;"",SUMPRODUCT((ANP31:ANP35=ANP31)*(ANK31:ANK35=ANK31)*(ANI31:ANI35=ANI31)*(ANM31:ANM35=ANM31)*(ANN31:ANN35=ANN31)*(ANO31:ANO35&gt;ANO31)),"")</f>
        <v/>
      </c>
      <c r="ANW31" s="319" t="str">
        <f ca="1">IF(ANE31&lt;&gt;"",IF(ANW71&lt;&gt;"",IF(AND70=3,ANW71,ANW71+AND70),SUM(ANQ31:ANV31)),"")</f>
        <v/>
      </c>
      <c r="ANX31" s="319" t="str">
        <f t="shared" ref="ANX31" ca="1" si="9929">IF(ANE31&lt;&gt;"",INDEX(ANE31:ANE35,MATCH(1,ANW31:ANW35,0),0),"")</f>
        <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3</v>
      </c>
      <c r="AQL31" s="322">
        <f ca="1">IF(OFFSET('Player Game Board'!Q38,0,AQK1)&lt;&gt;"",OFFSET('Player Game Board'!Q38,0,AQK1),0)</f>
        <v>1</v>
      </c>
      <c r="AQM31" s="319" t="str">
        <f t="shared" si="99"/>
        <v>Slovenia</v>
      </c>
      <c r="AQN31" s="319" t="str">
        <f ca="1">IF(AND(OFFSET('Player Game Board'!P38,0,AQK1)&lt;&gt;"",OFFSET('Player Game Board'!Q38,0,AQK1)&lt;&gt;""),IF(AQK31&gt;AQL31,"W",IF(AQK31=AQL31,"D","L")),"")</f>
        <v>W</v>
      </c>
      <c r="AQO31" s="319" t="str">
        <f t="shared" ca="1" si="5775"/>
        <v>L</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Slovakia</v>
      </c>
      <c r="ARH31" s="325">
        <f t="shared" ca="1" si="5310"/>
        <v>1</v>
      </c>
      <c r="ARI31" s="319">
        <f t="shared" ref="ARI31" ca="1" si="9932">VLOOKUP(ARJ31,AVE31:AVF35,2,FALSE)</f>
        <v>2</v>
      </c>
      <c r="ARJ31" s="319" t="str">
        <f t="shared" ref="ARJ31:ARJ34" si="9933">AML31</f>
        <v>Belgium</v>
      </c>
      <c r="ARK31" s="319">
        <f t="shared" ref="ARK31" ca="1" si="9934">SUMPRODUCT((AVH3:AVH42=ARJ31)*(AVL3:AVL42="W"))+SUMPRODUCT((AVK3:AVK42=ARJ31)*(AVM3:AVM42="W"))</f>
        <v>2</v>
      </c>
      <c r="ARL31" s="319">
        <f t="shared" ref="ARL31" ca="1" si="9935">SUMPRODUCT((AVH3:AVH42=ARJ31)*(AVL3:AVL42="D"))+SUMPRODUCT((AVK3:AVK42=ARJ31)*(AVM3:AVM42="D"))</f>
        <v>0</v>
      </c>
      <c r="ARM31" s="319">
        <f t="shared" ref="ARM31" ca="1" si="9936">SUMPRODUCT((AVH3:AVH42=ARJ31)*(AVL3:AVL42="L"))+SUMPRODUCT((AVK3:AVK42=ARJ31)*(AVM3:AVM42="L"))</f>
        <v>1</v>
      </c>
      <c r="ARN31" s="319">
        <f t="shared" ref="ARN31" ca="1" si="9937">SUMIF(AVH3:AVH60,ARJ31,AVI3:AVI60)+SUMIF(AVK3:AVK60,ARJ31,AVJ3:AVJ60)</f>
        <v>5</v>
      </c>
      <c r="ARO31" s="319">
        <f t="shared" ref="ARO31" ca="1" si="9938">SUMIF(AVK3:AVK60,ARJ31,AVI3:AVI60)+SUMIF(AVH3:AVH60,ARJ31,AVJ3:AVJ60)</f>
        <v>4</v>
      </c>
      <c r="ARP31" s="319">
        <f t="shared" ref="ARP31:ARP34" ca="1" si="9939">ARN31-ARO31+1000</f>
        <v>1001</v>
      </c>
      <c r="ARQ31" s="319">
        <f t="shared" ref="ARQ31:ARQ34" ca="1" si="9940">ARK31*3+ARL31*1</f>
        <v>6</v>
      </c>
      <c r="ARR31" s="319">
        <f t="shared" si="990"/>
        <v>50</v>
      </c>
      <c r="ARS31" s="319">
        <f t="shared" ref="ARS31" ca="1" si="9941">IF(COUNTIF(ARQ31:ARQ35,4)&lt;&gt;4,RANK(ARQ31,ARQ31:ARQ35),ARQ71)</f>
        <v>2</v>
      </c>
      <c r="ART31" s="319"/>
      <c r="ARU31" s="319">
        <f t="shared" ref="ARU31" ca="1" si="9942">SUMPRODUCT((ARS31:ARS34=ARS31)*(ARR31:ARR34&lt;ARR31))+ARS31</f>
        <v>2</v>
      </c>
      <c r="ARV31" s="319" t="str">
        <f t="shared" ref="ARV31" ca="1" si="9943">INDEX(ARJ31:ARJ35,MATCH(1,ARU31:ARU35,0),0)</f>
        <v>Slovakia</v>
      </c>
      <c r="ARW31" s="319">
        <f t="shared" ref="ARW31" ca="1" si="9944">INDEX(ARS31:ARS35,MATCH(ARV31,ARJ31:ARJ35,0),0)</f>
        <v>1</v>
      </c>
      <c r="ARX31" s="319" t="str">
        <f t="shared" ref="ARX31" ca="1" si="9945">IF(ARW32=1,ARV31,"")</f>
        <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t="str">
        <f t="shared" ref="ASJ31:ASJ34" ca="1" si="9956">IF(ASC31&lt;&gt;"",ASD31*3+ASE31*1,"")</f>
        <v/>
      </c>
      <c r="ASK31" s="319" t="str">
        <f t="shared" ref="ASK31" ca="1" si="9957">IF(ASC31&lt;&gt;"",VLOOKUP(ASC31,ARJ4:ARP40,7,FALSE),"")</f>
        <v/>
      </c>
      <c r="ASL31" s="319" t="str">
        <f t="shared" ref="ASL31" ca="1" si="9958">IF(ASC31&lt;&gt;"",VLOOKUP(ASC31,ARJ4:ARP40,5,FALSE),"")</f>
        <v/>
      </c>
      <c r="ASM31" s="319" t="str">
        <f t="shared" ref="ASM31" ca="1" si="9959">IF(ASC31&lt;&gt;"",VLOOKUP(ASC31,ARJ4:ARR40,9,FALSE),"")</f>
        <v/>
      </c>
      <c r="ASN31" s="319" t="str">
        <f t="shared" ref="ASN31:ASN34" ca="1" si="9960">ASJ31</f>
        <v/>
      </c>
      <c r="ASO31" s="319" t="str">
        <f t="shared" ref="ASO31" ca="1" si="9961">IF(ASC31&lt;&gt;"",RANK(ASN31,ASN31:ASN35),"")</f>
        <v/>
      </c>
      <c r="ASP31" s="319" t="str">
        <f t="shared" ref="ASP31" ca="1" si="9962">IF(ASC31&lt;&gt;"",SUMPRODUCT((ASN31:ASN35=ASN31)*(ASI31:ASI35&gt;ASI31)),"")</f>
        <v/>
      </c>
      <c r="ASQ31" s="319" t="str">
        <f t="shared" ref="ASQ31" ca="1" si="9963">IF(ASC31&lt;&gt;"",SUMPRODUCT((ASN31:ASN35=ASN31)*(ASI31:ASI35=ASI31)*(ASG31:ASG35&gt;ASG31)),"")</f>
        <v/>
      </c>
      <c r="ASR31" s="319" t="str">
        <f t="shared" ref="ASR31" ca="1" si="9964">IF(ASC31&lt;&gt;"",SUMPRODUCT((ASN31:ASN35=ASN31)*(ASI31:ASI35=ASI31)*(ASG31:ASG35=ASG31)*(ASK31:ASK35&gt;ASK31)),"")</f>
        <v/>
      </c>
      <c r="ASS31" s="319" t="str">
        <f t="shared" ref="ASS31" ca="1" si="9965">IF(ASC31&lt;&gt;"",SUMPRODUCT((ASN31:ASN35=ASN31)*(ASI31:ASI35=ASI31)*(ASG31:ASG35=ASG31)*(ASK31:ASK35=ASK31)*(ASL31:ASL35&gt;ASL31)),"")</f>
        <v/>
      </c>
      <c r="AST31" s="319" t="str">
        <f t="shared" ref="AST31" ca="1" si="9966">IF(ASC31&lt;&gt;"",SUMPRODUCT((ASN31:ASN35=ASN31)*(ASI31:ASI35=ASI31)*(ASG31:ASG35=ASG31)*(ASK31:ASK35=ASK31)*(ASL31:ASL35=ASL31)*(ASM31:ASM35&gt;ASM31)),"")</f>
        <v/>
      </c>
      <c r="ASU31" s="319" t="str">
        <f ca="1">IF(ASC31&lt;&gt;"",IF(ASU71&lt;&gt;"",IF(ASB70=3,ASU71,ASU71+ASB70),SUM(ASO31:AST31)),"")</f>
        <v/>
      </c>
      <c r="ASV31" s="319" t="str">
        <f t="shared" ref="ASV31" ca="1" si="9967">IF(ASC31&lt;&gt;"",INDEX(ASC31:ASC35,MATCH(1,ASU31:ASU35,0),0),"")</f>
        <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Slovakia</v>
      </c>
      <c r="AVF31" s="319">
        <v>1</v>
      </c>
      <c r="AVG31" s="319">
        <v>29</v>
      </c>
      <c r="AVH31" s="319" t="str">
        <f t="shared" si="114"/>
        <v>England</v>
      </c>
      <c r="AVI31" s="322">
        <f ca="1">IF(OFFSET('Player Game Board'!P38,0,AVI1)&lt;&gt;"",OFFSET('Player Game Board'!P38,0,AVI1),0)</f>
        <v>0</v>
      </c>
      <c r="AVJ31" s="322">
        <f ca="1">IF(OFFSET('Player Game Board'!Q38,0,AVI1)&lt;&gt;"",OFFSET('Player Game Board'!Q38,0,AVI1),0)</f>
        <v>2</v>
      </c>
      <c r="AVK31" s="319" t="str">
        <f t="shared" si="115"/>
        <v>Slovenia</v>
      </c>
      <c r="AVL31" s="319" t="str">
        <f ca="1">IF(AND(OFFSET('Player Game Board'!P38,0,AVI1)&lt;&gt;"",OFFSET('Player Game Board'!Q38,0,AVI1)&lt;&gt;""),IF(AVI31&gt;AVJ31,"W",IF(AVI31=AVJ31,"D","L")),"")</f>
        <v>L</v>
      </c>
      <c r="AVM31" s="319" t="str">
        <f t="shared" ca="1" si="5830"/>
        <v>W</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Belgium</v>
      </c>
      <c r="AWF31" s="325">
        <f t="shared" ca="1" si="5353"/>
        <v>0</v>
      </c>
      <c r="AWG31" s="319">
        <f t="shared" ref="AWG31" ca="1" si="9970">VLOOKUP(AWH31,BAC31:BAD35,2,FALSE)</f>
        <v>1</v>
      </c>
      <c r="AWH31" s="319" t="str">
        <f t="shared" ref="AWH31:AWH34" si="9971">ARJ31</f>
        <v>Belgium</v>
      </c>
      <c r="AWI31" s="319">
        <f t="shared" ref="AWI31" ca="1" si="9972">SUMPRODUCT((BAF3:BAF42=AWH31)*(BAJ3:BAJ42="W"))+SUMPRODUCT((BAI3:BAI42=AWH31)*(BAK3:BAK42="W"))</f>
        <v>3</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10</v>
      </c>
      <c r="AWM31" s="319">
        <f t="shared" ref="AWM31" ca="1" si="9976">SUMIF(BAI3:BAI60,AWH31,BAG3:BAG60)+SUMIF(BAF3:BAF60,AWH31,BAH3:BAH60)</f>
        <v>3</v>
      </c>
      <c r="AWN31" s="319">
        <f t="shared" ref="AWN31:AWN34" ca="1" si="9977">AWL31-AWM31+1000</f>
        <v>1007</v>
      </c>
      <c r="AWO31" s="319">
        <f t="shared" ref="AWO31:AWO34" ca="1" si="9978">AWI31*3+AWJ31*1</f>
        <v>9</v>
      </c>
      <c r="AWP31" s="319">
        <f t="shared" si="1050"/>
        <v>50</v>
      </c>
      <c r="AWQ31" s="319">
        <f t="shared" ref="AWQ31" ca="1" si="9979">IF(COUNTIF(AWO31:AWO35,4)&lt;&gt;4,RANK(AWO31,AWO31:AWO35),AWO71)</f>
        <v>1</v>
      </c>
      <c r="AWR31" s="319"/>
      <c r="AWS31" s="319">
        <f t="shared" ref="AWS31" ca="1" si="9980">SUMPRODUCT((AWQ31:AWQ34=AWQ31)*(AWP31:AWP34&lt;AWP31))+AWQ31</f>
        <v>1</v>
      </c>
      <c r="AWT31" s="319" t="str">
        <f t="shared" ref="AWT31" ca="1" si="9981">INDEX(AWH31:AWH35,MATCH(1,AWS31:AWS35,0),0)</f>
        <v>Belgium</v>
      </c>
      <c r="AWU31" s="319">
        <f t="shared" ref="AWU31" ca="1" si="9982">INDEX(AWQ31:AWQ35,MATCH(AWT31,AWH31:AWH35,0),0)</f>
        <v>1</v>
      </c>
      <c r="AWV31" s="319" t="str">
        <f t="shared" ref="AWV31" ca="1" si="9983">IF(AWU32=1,AWT31,"")</f>
        <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t="str">
        <f t="shared" ref="AXH31:AXH34" ca="1" si="9994">IF(AXA31&lt;&gt;"",AXB31*3+AXC31*1,"")</f>
        <v/>
      </c>
      <c r="AXI31" s="319" t="str">
        <f t="shared" ref="AXI31" ca="1" si="9995">IF(AXA31&lt;&gt;"",VLOOKUP(AXA31,AWH4:AWN40,7,FALSE),"")</f>
        <v/>
      </c>
      <c r="AXJ31" s="319" t="str">
        <f t="shared" ref="AXJ31" ca="1" si="9996">IF(AXA31&lt;&gt;"",VLOOKUP(AXA31,AWH4:AWN40,5,FALSE),"")</f>
        <v/>
      </c>
      <c r="AXK31" s="319" t="str">
        <f t="shared" ref="AXK31" ca="1" si="9997">IF(AXA31&lt;&gt;"",VLOOKUP(AXA31,AWH4:AWP40,9,FALSE),"")</f>
        <v/>
      </c>
      <c r="AXL31" s="319" t="str">
        <f t="shared" ref="AXL31:AXL34" ca="1" si="9998">AXH31</f>
        <v/>
      </c>
      <c r="AXM31" s="319" t="str">
        <f t="shared" ref="AXM31" ca="1" si="9999">IF(AXA31&lt;&gt;"",RANK(AXL31,AXL31:AXL35),"")</f>
        <v/>
      </c>
      <c r="AXN31" s="319" t="str">
        <f t="shared" ref="AXN31" ca="1" si="10000">IF(AXA31&lt;&gt;"",SUMPRODUCT((AXL31:AXL35=AXL31)*(AXG31:AXG35&gt;AXG31)),"")</f>
        <v/>
      </c>
      <c r="AXO31" s="319" t="str">
        <f t="shared" ref="AXO31" ca="1" si="10001">IF(AXA31&lt;&gt;"",SUMPRODUCT((AXL31:AXL35=AXL31)*(AXG31:AXG35=AXG31)*(AXE31:AXE35&gt;AXE31)),"")</f>
        <v/>
      </c>
      <c r="AXP31" s="319" t="str">
        <f t="shared" ref="AXP31" ca="1" si="10002">IF(AXA31&lt;&gt;"",SUMPRODUCT((AXL31:AXL35=AXL31)*(AXG31:AXG35=AXG31)*(AXE31:AXE35=AXE31)*(AXI31:AXI35&gt;AXI31)),"")</f>
        <v/>
      </c>
      <c r="AXQ31" s="319" t="str">
        <f t="shared" ref="AXQ31" ca="1" si="10003">IF(AXA31&lt;&gt;"",SUMPRODUCT((AXL31:AXL35=AXL31)*(AXG31:AXG35=AXG31)*(AXE31:AXE35=AXE31)*(AXI31:AXI35=AXI31)*(AXJ31:AXJ35&gt;AXJ31)),"")</f>
        <v/>
      </c>
      <c r="AXR31" s="319" t="str">
        <f t="shared" ref="AXR31" ca="1" si="10004">IF(AXA31&lt;&gt;"",SUMPRODUCT((AXL31:AXL35=AXL31)*(AXG31:AXG35=AXG31)*(AXE31:AXE35=AXE31)*(AXI31:AXI35=AXI31)*(AXJ31:AXJ35=AXJ31)*(AXK31:AXK35&gt;AXK31)),"")</f>
        <v/>
      </c>
      <c r="AXS31" s="319" t="str">
        <f ca="1">IF(AXA31&lt;&gt;"",IF(AXS71&lt;&gt;"",IF(AWZ70=3,AXS71,AXS71+AWZ70),SUM(AXM31:AXR31)),"")</f>
        <v/>
      </c>
      <c r="AXT31" s="319" t="str">
        <f t="shared" ref="AXT31" ca="1" si="10005">IF(AXA31&lt;&gt;"",INDEX(AXA31:AXA35,MATCH(1,AXS31:AXS35,0),0),"")</f>
        <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4</v>
      </c>
      <c r="BAH31" s="322">
        <f ca="1">IF(OFFSET('Player Game Board'!Q38,0,BAG1)&lt;&gt;"",OFFSET('Player Game Board'!Q38,0,BAG1),0)</f>
        <v>0</v>
      </c>
      <c r="BAI31" s="319" t="str">
        <f t="shared" si="131"/>
        <v>Slovenia</v>
      </c>
      <c r="BAJ31" s="319" t="str">
        <f ca="1">IF(AND(OFFSET('Player Game Board'!P38,0,BAG1)&lt;&gt;"",OFFSET('Player Game Board'!Q38,0,BAG1)&lt;&gt;""),IF(BAG31&gt;BAH31,"W",IF(BAG31=BAH31,"D","L")),"")</f>
        <v>W</v>
      </c>
      <c r="BAK31" s="319" t="str">
        <f t="shared" ca="1" si="5885"/>
        <v>L</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Slovakia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2</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0</v>
      </c>
      <c r="F32" s="319">
        <f>SUMIF(CZ3:CZ60,B32,DA3:DA60)+SUMIF(DC3:DC60,B32,DB3:DB60)</f>
        <v>1</v>
      </c>
      <c r="G32" s="319">
        <f>SUMIF(DC3:DC60,B32,DA3:DA60)+SUMIF(CZ3:CZ60,B32,DB3:DB60)</f>
        <v>0</v>
      </c>
      <c r="H32" s="319">
        <f t="shared" si="9692"/>
        <v>1001</v>
      </c>
      <c r="I32" s="319">
        <f t="shared" si="9693"/>
        <v>3</v>
      </c>
      <c r="J32" s="319">
        <v>38</v>
      </c>
      <c r="K32" s="319">
        <f>IF(COUNTIF(I31:I35,4)&lt;&gt;4,RANK(I32,I31:I35),I72)</f>
        <v>1</v>
      </c>
      <c r="L32" s="319"/>
      <c r="M32" s="319">
        <f>SUMPRODUCT((K31:K34=K32)*(J31:J34&lt;J32))+K32</f>
        <v>1</v>
      </c>
      <c r="N32" s="319" t="str">
        <f>INDEX(B31:B35,MATCH(2,M31:M35,0),0)</f>
        <v>Romania</v>
      </c>
      <c r="O32" s="319">
        <f>INDEX(K31:K35,MATCH(N32,B31:B35,0),0)</f>
        <v>1</v>
      </c>
      <c r="P32" s="319" t="str">
        <f>IF(P31&lt;&gt;"",N32,"")</f>
        <v>Romania</v>
      </c>
      <c r="Q32" s="319" t="str">
        <f>IF(Q31&lt;&gt;"",N33,"")</f>
        <v/>
      </c>
      <c r="R32" s="319" t="str">
        <f>IF(R31&lt;&gt;"",N34,"")</f>
        <v>Belgium</v>
      </c>
      <c r="S32" s="319" t="str">
        <f>IF(S31&lt;&gt;"",N35,"")</f>
        <v/>
      </c>
      <c r="T32" s="319"/>
      <c r="U32" s="319" t="str">
        <f t="shared" ref="U32:U34" si="10046">IF(P32&lt;&gt;"",P32,"")</f>
        <v>Romania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319">
        <f>Y32-Z32+1000</f>
        <v>1000</v>
      </c>
      <c r="AB32" s="319">
        <f t="shared" si="9694"/>
        <v>0</v>
      </c>
      <c r="AC32" s="319">
        <f>IF(U32&lt;&gt;"",VLOOKUP(U32,B4:H40,7,FALSE),"")</f>
        <v>1003</v>
      </c>
      <c r="AD32" s="319">
        <f>IF(U32&lt;&gt;"",VLOOKUP(U32,B4:H40,5,FALSE),"")</f>
        <v>3</v>
      </c>
      <c r="AE32" s="319">
        <f>IF(U32&lt;&gt;"",VLOOKUP(U32,B4:J40,9,FALSE),"")</f>
        <v>46</v>
      </c>
      <c r="AF32" s="319">
        <f t="shared" si="9695"/>
        <v>0</v>
      </c>
      <c r="AG32" s="319">
        <f>IF(U32&lt;&gt;"",RANK(AF32,AF31:AF35),"")</f>
        <v>1</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1</v>
      </c>
      <c r="AN32" s="319" t="str">
        <f>IF(U32&lt;&gt;"",INDEX(U31:U35,MATCH(2,AM31:AM35,0),0),"")</f>
        <v>Slovakia</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Slovakia</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110</v>
      </c>
      <c r="DW32" s="319" t="str">
        <f>VLOOKUP(1,A37:B40,2,FALSE)</f>
        <v>Türkiye</v>
      </c>
      <c r="DX32" s="319"/>
      <c r="DY32" s="319">
        <f ca="1">VLOOKUP(DZ32,HU31:HV35,2,FALSE)</f>
        <v>2</v>
      </c>
      <c r="DZ32" s="319" t="str">
        <f t="shared" ref="DZ32:DZ34" si="10049">B32</f>
        <v>Slovakia</v>
      </c>
      <c r="EA32" s="319">
        <f ca="1">SUMPRODUCT((HX3:HX42=DZ32)*(IB3:IB42="W"))+SUMPRODUCT((IA3:IA42=DZ32)*(IC3:IC42="W"))</f>
        <v>1</v>
      </c>
      <c r="EB32" s="319">
        <f ca="1">SUMPRODUCT((HX3:HX42=DZ32)*(IB3:IB42="D"))+SUMPRODUCT((IA3:IA42=DZ32)*(IC3:IC42="D"))</f>
        <v>1</v>
      </c>
      <c r="EC32" s="319">
        <f ca="1">SUMPRODUCT((HX3:HX42=DZ32)*(IB3:IB42="L"))+SUMPRODUCT((IA3:IA42=DZ32)*(IC3:IC42="L"))</f>
        <v>1</v>
      </c>
      <c r="ED32" s="319">
        <f ca="1">SUMIF(HX3:HX60,DZ32,HY3:HY60)+SUMIF(IA3:IA60,DZ32,HZ3:HZ60)</f>
        <v>2</v>
      </c>
      <c r="EE32" s="319">
        <f ca="1">SUMIF(IA3:IA60,DZ32,HY3:HY60)+SUMIF(HX3:HX60,DZ32,HZ3:HZ60)</f>
        <v>3</v>
      </c>
      <c r="EF32" s="319">
        <f t="shared" ca="1" si="9696"/>
        <v>999</v>
      </c>
      <c r="EG32" s="319">
        <f t="shared" ca="1" si="9697"/>
        <v>4</v>
      </c>
      <c r="EH32" s="319">
        <f t="shared" si="609"/>
        <v>38</v>
      </c>
      <c r="EI32" s="319">
        <f ca="1">IF(COUNTIF(EG31:EG35,4)&lt;&gt;4,RANK(EG32,EG31:EG35),EG72)</f>
        <v>2</v>
      </c>
      <c r="EJ32" s="319"/>
      <c r="EK32" s="319">
        <f ca="1">SUMPRODUCT((EI31:EI34=EI32)*(EH31:EH34&lt;EH32))+EI32</f>
        <v>2</v>
      </c>
      <c r="EL32" s="319" t="str">
        <f ca="1">INDEX(DZ31:DZ35,MATCH(2,EK31:EK35,0),0)</f>
        <v>Slovakia</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2</v>
      </c>
      <c r="HZ32" s="322">
        <f ca="1">IF(OFFSET('Player Game Board'!Q39,0,HY1)&lt;&gt;"",OFFSET('Player Game Board'!Q39,0,HY1),0)</f>
        <v>1</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110</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1</v>
      </c>
      <c r="IZ32" s="319">
        <f ca="1">SUMPRODUCT((MV3:MV42=IX32)*(MZ3:MZ42="D"))+SUMPRODUCT((MY3:MY42=IX32)*(NA3:NA42="D"))</f>
        <v>1</v>
      </c>
      <c r="JA32" s="319">
        <f ca="1">SUMPRODUCT((MV3:MV42=IX32)*(MZ3:MZ42="L"))+SUMPRODUCT((MY3:MY42=IX32)*(NA3:NA42="L"))</f>
        <v>1</v>
      </c>
      <c r="JB32" s="319">
        <f ca="1">SUMIF(MV3:MV60,IX32,MW3:MW60)+SUMIF(MY3:MY60,IX32,MX3:MX60)</f>
        <v>3</v>
      </c>
      <c r="JC32" s="319">
        <f ca="1">SUMIF(MY3:MY60,IX32,MW3:MW60)+SUMIF(MV3:MV60,IX32,MX3:MX60)</f>
        <v>4</v>
      </c>
      <c r="JD32" s="319">
        <f t="shared" ca="1" si="9700"/>
        <v>999</v>
      </c>
      <c r="JE32" s="319">
        <f t="shared" ca="1" si="9701"/>
        <v>4</v>
      </c>
      <c r="JF32" s="319">
        <f t="shared" si="618"/>
        <v>38</v>
      </c>
      <c r="JG32" s="319">
        <f ca="1">IF(COUNTIF(JE31:JE35,4)&lt;&gt;4,RANK(JE32,JE31:JE35),JE72)</f>
        <v>2</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Slovakia</v>
      </c>
      <c r="JN32" s="319" t="str">
        <f ca="1">IF(JN31&lt;&gt;"",JJ34,"")</f>
        <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Ukraine</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1</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19">
        <f ca="1">KO32-KP32+1000</f>
        <v>1000</v>
      </c>
      <c r="KR32" s="319">
        <f t="shared" ref="KR32:KR34" ca="1" si="10055">IF(KK32&lt;&gt;"",KL32*3+KM32*1,"")</f>
        <v>1</v>
      </c>
      <c r="KS32" s="319">
        <f ca="1">IF(KK32&lt;&gt;"",VLOOKUP(KK32,IX4:JD40,7,FALSE),"")</f>
        <v>1000</v>
      </c>
      <c r="KT32" s="319">
        <f ca="1">IF(KK32&lt;&gt;"",VLOOKUP(KK32,IX4:JD40,5,FALSE),"")</f>
        <v>5</v>
      </c>
      <c r="KU32" s="319">
        <f ca="1">IF(KK32&lt;&gt;"",VLOOKUP(KK32,IX4:JF40,9,FALSE),"")</f>
        <v>0</v>
      </c>
      <c r="KV32" s="319">
        <f t="shared" ref="KV32:KV34" ca="1" si="10056">KR32</f>
        <v>1</v>
      </c>
      <c r="KW32" s="319">
        <f ca="1">IF(KK32&lt;&gt;"",RANK(KV32,KV31:KV35),"")</f>
        <v>1</v>
      </c>
      <c r="KX32" s="319">
        <f ca="1">IF(KK32&lt;&gt;"",SUMPRODUCT((KV31:KV35=KV32)*(KQ31:KQ35&gt;KQ32)),"")</f>
        <v>0</v>
      </c>
      <c r="KY32" s="319">
        <f ca="1">IF(KK32&lt;&gt;"",SUMPRODUCT((KV31:KV35=KV32)*(KQ31:KQ35=KQ32)*(KO31:KO35&gt;KO32)),"")</f>
        <v>0</v>
      </c>
      <c r="KZ32" s="319">
        <f ca="1">IF(KK32&lt;&gt;"",SUMPRODUCT((KV31:KV35=KV32)*(KQ31:KQ35=KQ32)*(KO31:KO35=KO32)*(KS31:KS35&gt;KS32)),"")</f>
        <v>0</v>
      </c>
      <c r="LA32" s="319">
        <f ca="1">IF(KK32&lt;&gt;"",SUMPRODUCT((KV31:KV35=KV32)*(KQ31:KQ35=KQ32)*(KO31:KO35=KO32)*(KS31:KS35=KS32)*(KT31:KT35&gt;KT32)),"")</f>
        <v>0</v>
      </c>
      <c r="LB32" s="319">
        <f ca="1">IF(KK32&lt;&gt;"",SUMPRODUCT((KV31:KV35=KV32)*(KQ31:KQ35=KQ32)*(KO31:KO35=KO32)*(KS31:KS35=KS32)*(KT31:KT35=KT32)*(KU31:KU35&gt;KU32)),"")</f>
        <v>0</v>
      </c>
      <c r="LC32" s="319">
        <f ca="1">IF(KK32&lt;&gt;"",IF(LC72&lt;&gt;"",IF(KJ70=3,LC72,LC72+KJ70),SUM(KW32:LB32)+1),"")</f>
        <v>2</v>
      </c>
      <c r="LD32" s="319" t="str">
        <f ca="1">IF(KK32&lt;&gt;"",INDEX(KK32:KK35,MATCH(2,LC32:LC35,0),0),"")</f>
        <v>Ukraine</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1</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110</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1</v>
      </c>
      <c r="NX32" s="319">
        <f t="shared" ref="NX32" ca="1" si="10059">SUMPRODUCT((RT3:RT42=NV32)*(RX3:RX42="D"))+SUMPRODUCT((RW3:RW42=NV32)*(RY3:RY42="D"))</f>
        <v>0</v>
      </c>
      <c r="NY32" s="319">
        <f t="shared" ref="NY32" ca="1" si="10060">SUMPRODUCT((RT3:RT42=NV32)*(RX3:RX42="L"))+SUMPRODUCT((RW3:RW42=NV32)*(RY3:RY42="L"))</f>
        <v>2</v>
      </c>
      <c r="NZ32" s="319">
        <f t="shared" ref="NZ32" ca="1" si="10061">SUMIF(RT3:RT60,NV32,RU3:RU60)+SUMIF(RW3:RW60,NV32,RV3:RV60)</f>
        <v>3</v>
      </c>
      <c r="OA32" s="319">
        <f t="shared" ref="OA32" ca="1" si="10062">SUMIF(RW3:RW60,NV32,RU3:RU60)+SUMIF(RT3:RT60,NV32,RV3:RV60)</f>
        <v>4</v>
      </c>
      <c r="OB32" s="319">
        <f t="shared" ca="1" si="9711"/>
        <v>999</v>
      </c>
      <c r="OC32" s="319">
        <f t="shared" ca="1" si="9712"/>
        <v>3</v>
      </c>
      <c r="OD32" s="319">
        <f t="shared" si="630"/>
        <v>38</v>
      </c>
      <c r="OE32" s="319">
        <f t="shared" ref="OE32" ca="1" si="10063">IF(COUNTIF(OC31:OC35,4)&lt;&gt;4,RANK(OC32,OC31:OC35),OC72)</f>
        <v>3</v>
      </c>
      <c r="OF32" s="319"/>
      <c r="OG32" s="319">
        <f t="shared" ref="OG32" ca="1" si="10064">SUMPRODUCT((OE31:OE34=OE32)*(OD31:OD34&lt;OD32))+OE32</f>
        <v>3</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2</v>
      </c>
      <c r="RV32" s="322">
        <f ca="1">IF(OFFSET('Player Game Board'!Q39,0,RU1)&lt;&gt;"",OFFSET('Player Game Board'!Q39,0,RU1),0)</f>
        <v>0</v>
      </c>
      <c r="RW32" s="319" t="str">
        <f t="shared" si="19"/>
        <v>Serbia</v>
      </c>
      <c r="RX32" s="319" t="str">
        <f ca="1">IF(AND(OFFSET('Player Game Board'!P39,0,RU1)&lt;&gt;"",OFFSET('Player Game Board'!Q39,0,RU1)&lt;&gt;""),IF(RU32&gt;RV32,"W",IF(RU32=RV32,"D","L")),"")</f>
        <v>W</v>
      </c>
      <c r="RY32" s="319" t="str">
        <f t="shared" ca="1" si="5500"/>
        <v>L</v>
      </c>
      <c r="RZ32" s="319"/>
      <c r="SA32" s="319"/>
      <c r="SB32" s="319"/>
      <c r="SC32" s="320"/>
      <c r="SD32" s="320"/>
      <c r="SE32" s="320"/>
      <c r="SF32" s="320"/>
      <c r="SG32" s="320"/>
      <c r="SH32" s="320"/>
      <c r="SI32" s="320"/>
      <c r="SJ32" s="319"/>
      <c r="SK32" s="319"/>
      <c r="SL32" s="319"/>
      <c r="SM32" s="319"/>
      <c r="SN32" s="319"/>
      <c r="SO32" s="319"/>
      <c r="SP32" s="319" t="s">
        <v>110</v>
      </c>
      <c r="SQ32" s="319" t="str">
        <f t="shared" ref="SQ32" ca="1" si="10106">VLOOKUP(1,NU37:NV40,2,FALSE)</f>
        <v>Portugal</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1</v>
      </c>
      <c r="SW32" s="319">
        <f t="shared" ref="SW32" ca="1" si="10110">SUMPRODUCT((WR3:WR42=ST32)*(WV3:WV42="L"))+SUMPRODUCT((WU3:WU42=ST32)*(WW3:WW42="L"))</f>
        <v>2</v>
      </c>
      <c r="SX32" s="319">
        <f t="shared" ref="SX32" ca="1" si="10111">SUMIF(WR3:WR60,ST32,WS3:WS60)+SUMIF(WU3:WU60,ST32,WT3:WT60)</f>
        <v>3</v>
      </c>
      <c r="SY32" s="319">
        <f t="shared" ref="SY32" ca="1" si="10112">SUMIF(WU3:WU60,ST32,WS3:WS60)+SUMIF(WR3:WR60,ST32,WT3:WT60)</f>
        <v>6</v>
      </c>
      <c r="SZ32" s="319">
        <f t="shared" ca="1" si="9749"/>
        <v>997</v>
      </c>
      <c r="TA32" s="319">
        <f t="shared" ca="1" si="9750"/>
        <v>1</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Ukraine</v>
      </c>
      <c r="WP32" s="319">
        <v>2</v>
      </c>
      <c r="WQ32" s="319">
        <v>30</v>
      </c>
      <c r="WR32" s="319" t="str">
        <f t="shared" si="34"/>
        <v>Denmark</v>
      </c>
      <c r="WS32" s="322">
        <f ca="1">IF(OFFSET('Player Game Board'!P39,0,WS1)&lt;&gt;"",OFFSET('Player Game Board'!P39,0,WS1),0)</f>
        <v>2</v>
      </c>
      <c r="WT32" s="322">
        <f ca="1">IF(OFFSET('Player Game Board'!Q39,0,WS1)&lt;&gt;"",OFFSET('Player Game Board'!Q39,0,WS1),0)</f>
        <v>1</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110</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110</v>
      </c>
      <c r="ACM32" s="319" t="str">
        <f t="shared" ref="ACM32" ca="1" si="10206">VLOOKUP(1,XQ37:XR40,2,FALSE)</f>
        <v>Türkiye</v>
      </c>
      <c r="ACN32" s="325">
        <f t="shared" ca="1" si="5181"/>
        <v>1</v>
      </c>
      <c r="ACO32" s="319">
        <f t="shared" ref="ACO32" ca="1" si="10207">VLOOKUP(ACP32,AGK31:AGL35,2,FALSE)</f>
        <v>2</v>
      </c>
      <c r="ACP32" s="319" t="str">
        <f t="shared" si="9819"/>
        <v>Slovakia</v>
      </c>
      <c r="ACQ32" s="319">
        <f t="shared" ref="ACQ32" ca="1" si="10208">SUMPRODUCT((AGN3:AGN42=ACP32)*(AGR3:AGR42="W"))+SUMPRODUCT((AGQ3:AGQ42=ACP32)*(AGS3:AGS42="W"))</f>
        <v>2</v>
      </c>
      <c r="ACR32" s="319">
        <f t="shared" ref="ACR32" ca="1" si="10209">SUMPRODUCT((AGN3:AGN42=ACP32)*(AGR3:AGR42="D"))+SUMPRODUCT((AGQ3:AGQ42=ACP32)*(AGS3:AGS42="D"))</f>
        <v>0</v>
      </c>
      <c r="ACS32" s="319">
        <f t="shared" ref="ACS32" ca="1" si="10210">SUMPRODUCT((AGN3:AGN42=ACP32)*(AGR3:AGR42="L"))+SUMPRODUCT((AGQ3:AGQ42=ACP32)*(AGS3:AGS42="L"))</f>
        <v>1</v>
      </c>
      <c r="ACT32" s="319">
        <f t="shared" ref="ACT32" ca="1" si="10211">SUMIF(AGN3:AGN60,ACP32,AGO3:AGO60)+SUMIF(AGQ3:AGQ60,ACP32,AGP3:AGP60)</f>
        <v>4</v>
      </c>
      <c r="ACU32" s="319">
        <f t="shared" ref="ACU32" ca="1" si="10212">SUMIF(AGQ3:AGQ60,ACP32,AGO3:AGO60)+SUMIF(AGN3:AGN60,ACP32,AGP3:AGP60)</f>
        <v>4</v>
      </c>
      <c r="ACV32" s="319">
        <f t="shared" ca="1" si="9825"/>
        <v>1000</v>
      </c>
      <c r="ACW32" s="319">
        <f t="shared" ca="1" si="9826"/>
        <v>6</v>
      </c>
      <c r="ACX32" s="319">
        <f t="shared" si="810"/>
        <v>38</v>
      </c>
      <c r="ACY32" s="319">
        <f t="shared" ref="ACY32" ca="1" si="10213">IF(COUNTIF(ACW31:ACW35,4)&lt;&gt;4,RANK(ACW32,ACW31:ACW35),ACW72)</f>
        <v>2</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Slovakia</v>
      </c>
      <c r="AGL32" s="319">
        <v>2</v>
      </c>
      <c r="AGM32" s="319">
        <v>30</v>
      </c>
      <c r="AGN32" s="319" t="str">
        <f t="shared" si="66"/>
        <v>Denmark</v>
      </c>
      <c r="AGO32" s="322">
        <f ca="1">IF(OFFSET('Player Game Board'!P39,0,AGO1)&lt;&gt;"",OFFSET('Player Game Board'!P39,0,AGO1),0)</f>
        <v>1</v>
      </c>
      <c r="AGP32" s="322">
        <f ca="1">IF(OFFSET('Player Game Board'!Q39,0,AGO1)&lt;&gt;"",OFFSET('Player Game Board'!Q39,0,AGO1),0)</f>
        <v>0</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110</v>
      </c>
      <c r="AHK32" s="319" t="str">
        <f t="shared" ref="AHK32" ca="1" si="10256">VLOOKUP(1,ACO37:ACP40,2,FALSE)</f>
        <v>Türkiye</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3</v>
      </c>
      <c r="AHQ32" s="319">
        <f t="shared" ref="AHQ32" ca="1" si="10260">SUMPRODUCT((ALL3:ALL42=AHN32)*(ALP3:ALP42="L"))+SUMPRODUCT((ALO3:ALO42=AHN32)*(ALQ3:ALQ42="L"))</f>
        <v>0</v>
      </c>
      <c r="AHR32" s="319">
        <f t="shared" ref="AHR32" ca="1" si="10261">SUMIF(ALL3:ALL60,AHN32,ALM3:ALM60)+SUMIF(ALO3:ALO60,AHN32,ALN3:ALN60)</f>
        <v>1</v>
      </c>
      <c r="AHS32" s="319">
        <f t="shared" ref="AHS32" ca="1" si="10262">SUMIF(ALO3:ALO60,AHN32,ALM3:ALM60)+SUMIF(ALL3:ALL60,AHN32,ALN3:ALN60)</f>
        <v>1</v>
      </c>
      <c r="AHT32" s="319">
        <f t="shared" ca="1" si="9863"/>
        <v>1000</v>
      </c>
      <c r="AHU32" s="319">
        <f t="shared" ca="1" si="9864"/>
        <v>3</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Romania</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1</v>
      </c>
      <c r="ALN32" s="322">
        <f ca="1">IF(OFFSET('Player Game Board'!Q39,0,ALM1)&lt;&gt;"",OFFSET('Player Game Board'!Q39,0,ALM1),0)</f>
        <v>0</v>
      </c>
      <c r="ALO32" s="319" t="str">
        <f t="shared" si="83"/>
        <v>Serbia</v>
      </c>
      <c r="ALP32" s="319" t="str">
        <f ca="1">IF(AND(OFFSET('Player Game Board'!P39,0,ALM1)&lt;&gt;"",OFFSET('Player Game Board'!Q39,0,ALM1)&lt;&gt;""),IF(ALM32&gt;ALN32,"W",IF(ALM32=ALN32,"D","L")),"")</f>
        <v>W</v>
      </c>
      <c r="ALQ32" s="319" t="str">
        <f t="shared" ca="1" si="5720"/>
        <v>L</v>
      </c>
      <c r="ALR32" s="319"/>
      <c r="ALS32" s="319"/>
      <c r="ALT32" s="319"/>
      <c r="ALU32" s="320"/>
      <c r="ALV32" s="320"/>
      <c r="ALW32" s="320"/>
      <c r="ALX32" s="320"/>
      <c r="ALY32" s="320"/>
      <c r="ALZ32" s="320"/>
      <c r="AMA32" s="320"/>
      <c r="AMB32" s="319"/>
      <c r="AMC32" s="319"/>
      <c r="AMD32" s="319"/>
      <c r="AME32" s="319"/>
      <c r="AMF32" s="319"/>
      <c r="AMG32" s="319"/>
      <c r="AMH32" s="319" t="s">
        <v>110</v>
      </c>
      <c r="AMI32" s="319" t="str">
        <f t="shared" ref="AMI32" ca="1" si="10306">VLOOKUP(1,AHM37:AHN40,2,FALSE)</f>
        <v>Portugal</v>
      </c>
      <c r="AMJ32" s="325">
        <f t="shared" ca="1" si="5267"/>
        <v>1</v>
      </c>
      <c r="AMK32" s="319">
        <f t="shared" ref="AMK32" ca="1" si="10307">VLOOKUP(AML32,AQG31:AQH35,2,FALSE)</f>
        <v>2</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2</v>
      </c>
      <c r="AMO32" s="319">
        <f t="shared" ref="AMO32" ca="1" si="10310">SUMPRODUCT((AQJ3:AQJ42=AML32)*(AQN3:AQN42="L"))+SUMPRODUCT((AQM3:AQM42=AML32)*(AQO3:AQO42="L"))</f>
        <v>1</v>
      </c>
      <c r="AMP32" s="319">
        <f t="shared" ref="AMP32" ca="1" si="10311">SUMIF(AQJ3:AQJ60,AML32,AQK3:AQK60)+SUMIF(AQM3:AQM60,AML32,AQL3:AQL60)</f>
        <v>1</v>
      </c>
      <c r="AMQ32" s="319">
        <f t="shared" ref="AMQ32" ca="1" si="10312">SUMIF(AQM3:AQM60,AML32,AQK3:AQK60)+SUMIF(AQJ3:AQJ60,AML32,AQL3:AQL60)</f>
        <v>2</v>
      </c>
      <c r="AMR32" s="319">
        <f t="shared" ca="1" si="9901"/>
        <v>999</v>
      </c>
      <c r="AMS32" s="319">
        <f t="shared" ca="1" si="9902"/>
        <v>2</v>
      </c>
      <c r="AMT32" s="319">
        <f t="shared" si="930"/>
        <v>38</v>
      </c>
      <c r="AMU32" s="319">
        <f t="shared" ref="AMU32" ca="1" si="10313">IF(COUNTIF(AMS31:AMS35,4)&lt;&gt;4,RANK(AMS32,AMS31:AMS35),AMS72)</f>
        <v>2</v>
      </c>
      <c r="AMV32" s="319"/>
      <c r="AMW32" s="319">
        <f t="shared" ref="AMW32" ca="1" si="10314">SUMPRODUCT((AMU31:AMU34=AMU32)*(AMT31:AMT34&lt;AMT32))+AMU32</f>
        <v>3</v>
      </c>
      <c r="AMX32" s="319" t="str">
        <f t="shared" ref="AMX32" ca="1" si="10315">INDEX(AML31:AML35,MATCH(2,AMW31:AMW35,0),0)</f>
        <v>Ukraine</v>
      </c>
      <c r="AMY32" s="319">
        <f t="shared" ref="AMY32" ca="1" si="10316">INDEX(AMU31:AMU35,MATCH(AMX32,AML31:AML35,0),0)</f>
        <v>2</v>
      </c>
      <c r="AMZ32" s="319" t="str">
        <f t="shared" ref="AMZ32" ca="1" si="10317">IF(AMZ31&lt;&gt;"",AMX32,"")</f>
        <v/>
      </c>
      <c r="ANA32" s="319" t="str">
        <f t="shared" ref="ANA32" ca="1" si="10318">IF(ANA31&lt;&gt;"",AMX33,"")</f>
        <v>Slovakia</v>
      </c>
      <c r="ANB32" s="319" t="str">
        <f t="shared" ref="ANB32" ca="1" si="10319">IF(ANB31&lt;&gt;"",AMX34,"")</f>
        <v/>
      </c>
      <c r="ANC32" s="319" t="str">
        <f t="shared" ref="ANC32" si="10320">IF(ANC31&lt;&gt;"",AMX35,"")</f>
        <v/>
      </c>
      <c r="AND32" s="319"/>
      <c r="ANE32" s="319" t="str">
        <f t="shared" ca="1" si="9911"/>
        <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t="str">
        <f t="shared" ca="1" si="9918"/>
        <v/>
      </c>
      <c r="ANM32" s="319" t="str">
        <f t="shared" ref="ANM32" ca="1" si="10326">IF(ANE32&lt;&gt;"",VLOOKUP(ANE32,AML4:AMR40,7,FALSE),"")</f>
        <v/>
      </c>
      <c r="ANN32" s="319" t="str">
        <f t="shared" ref="ANN32" ca="1" si="10327">IF(ANE32&lt;&gt;"",VLOOKUP(ANE32,AML4:AMR40,5,FALSE),"")</f>
        <v/>
      </c>
      <c r="ANO32" s="319" t="str">
        <f t="shared" ref="ANO32" ca="1" si="10328">IF(ANE32&lt;&gt;"",VLOOKUP(ANE32,AML4:AMT40,9,FALSE),"")</f>
        <v/>
      </c>
      <c r="ANP32" s="319" t="str">
        <f t="shared" ca="1" si="9922"/>
        <v/>
      </c>
      <c r="ANQ32" s="319" t="str">
        <f t="shared" ref="ANQ32" ca="1" si="10329">IF(ANE32&lt;&gt;"",RANK(ANP32,ANP31:ANP35),"")</f>
        <v/>
      </c>
      <c r="ANR32" s="319" t="str">
        <f t="shared" ref="ANR32" ca="1" si="10330">IF(ANE32&lt;&gt;"",SUMPRODUCT((ANP31:ANP35=ANP32)*(ANK31:ANK35&gt;ANK32)),"")</f>
        <v/>
      </c>
      <c r="ANS32" s="319" t="str">
        <f t="shared" ref="ANS32" ca="1" si="10331">IF(ANE32&lt;&gt;"",SUMPRODUCT((ANP31:ANP35=ANP32)*(ANK31:ANK35=ANK32)*(ANI31:ANI35&gt;ANI32)),"")</f>
        <v/>
      </c>
      <c r="ANT32" s="319" t="str">
        <f t="shared" ref="ANT32" ca="1" si="10332">IF(ANE32&lt;&gt;"",SUMPRODUCT((ANP31:ANP35=ANP32)*(ANK31:ANK35=ANK32)*(ANI31:ANI35=ANI32)*(ANM31:ANM35&gt;ANM32)),"")</f>
        <v/>
      </c>
      <c r="ANU32" s="319" t="str">
        <f t="shared" ref="ANU32" ca="1" si="10333">IF(ANE32&lt;&gt;"",SUMPRODUCT((ANP31:ANP35=ANP32)*(ANK31:ANK35=ANK32)*(ANI31:ANI35=ANI32)*(ANM31:ANM35=ANM32)*(ANN31:ANN35&gt;ANN32)),"")</f>
        <v/>
      </c>
      <c r="ANV32" s="319" t="str">
        <f t="shared" ref="ANV32" ca="1" si="10334">IF(ANE32&lt;&gt;"",SUMPRODUCT((ANP31:ANP35=ANP32)*(ANK31:ANK35=ANK32)*(ANI31:ANI35=ANI32)*(ANM31:ANM35=ANM32)*(ANN31:ANN35=ANN32)*(ANO31:ANO35&gt;ANO32)),"")</f>
        <v/>
      </c>
      <c r="ANW32" s="319" t="str">
        <f ca="1">IF(ANE32&lt;&gt;"",IF(ANW72&lt;&gt;"",IF(AND70=3,ANW72,ANW72+AND70),SUM(ANQ32:ANV32)),"")</f>
        <v/>
      </c>
      <c r="ANX32" s="319" t="str">
        <f t="shared" ref="ANX32" ca="1" si="10335">IF(ANE32&lt;&gt;"",INDEX(ANE31:ANE35,MATCH(2,ANW31:ANW35,0),0),"")</f>
        <v/>
      </c>
      <c r="ANY32" s="319" t="str">
        <f t="shared" ref="ANY32:ANY34" ca="1" si="10336">IF(ANA31&lt;&gt;"",ANA31,"")</f>
        <v>Ukraine</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19">
        <f t="shared" ref="AOE32:AOE34" ca="1" si="10342">AOC32-AOD32+1000</f>
        <v>1000</v>
      </c>
      <c r="AOF32" s="319">
        <f t="shared" ref="AOF32:AOF34" ca="1" si="10343">IF(ANY32&lt;&gt;"",ANZ32*3+AOA32*1,"")</f>
        <v>2</v>
      </c>
      <c r="AOG32" s="319">
        <f t="shared" ref="AOG32" ca="1" si="10344">IF(ANY32&lt;&gt;"",VLOOKUP(ANY32,AML4:AMR40,7,FALSE),"")</f>
        <v>997</v>
      </c>
      <c r="AOH32" s="319">
        <f t="shared" ref="AOH32" ca="1" si="10345">IF(ANY32&lt;&gt;"",VLOOKUP(ANY32,AML4:AMR40,5,FALSE),"")</f>
        <v>1</v>
      </c>
      <c r="AOI32" s="319">
        <f t="shared" ref="AOI32" ca="1" si="10346">IF(ANY32&lt;&gt;"",VLOOKUP(ANY32,AML4:AMT40,9,FALSE),"")</f>
        <v>0</v>
      </c>
      <c r="AOJ32" s="319">
        <f t="shared" ref="AOJ32:AOJ34" ca="1" si="10347">AOF32</f>
        <v>2</v>
      </c>
      <c r="AOK32" s="319">
        <f t="shared" ref="AOK32" ca="1" si="10348">IF(ANY32&lt;&gt;"",RANK(AOJ32,AOJ31:AOJ35),"")</f>
        <v>1</v>
      </c>
      <c r="AOL32" s="319">
        <f t="shared" ref="AOL32" ca="1" si="10349">IF(ANY32&lt;&gt;"",SUMPRODUCT((AOJ31:AOJ35=AOJ32)*(AOE31:AOE35&gt;AOE32)),"")</f>
        <v>0</v>
      </c>
      <c r="AOM32" s="319">
        <f t="shared" ref="AOM32" ca="1" si="10350">IF(ANY32&lt;&gt;"",SUMPRODUCT((AOJ31:AOJ35=AOJ32)*(AOE31:AOE35=AOE32)*(AOC31:AOC35&gt;AOC32)),"")</f>
        <v>0</v>
      </c>
      <c r="AON32" s="319">
        <f t="shared" ref="AON32" ca="1" si="10351">IF(ANY32&lt;&gt;"",SUMPRODUCT((AOJ31:AOJ35=AOJ32)*(AOE31:AOE35=AOE32)*(AOC31:AOC35=AOC32)*(AOG31:AOG35&gt;AOG32)),"")</f>
        <v>1</v>
      </c>
      <c r="AOO32" s="319">
        <f t="shared" ref="AOO32" ca="1" si="10352">IF(ANY32&lt;&gt;"",SUMPRODUCT((AOJ31:AOJ35=AOJ32)*(AOE31:AOE35=AOE32)*(AOC31:AOC35=AOC32)*(AOG31:AOG35=AOG32)*(AOH31:AOH35&gt;AOH32)),"")</f>
        <v>0</v>
      </c>
      <c r="AOP32" s="319">
        <f t="shared" ref="AOP32" ca="1" si="10353">IF(ANY32&lt;&gt;"",SUMPRODUCT((AOJ31:AOJ35=AOJ32)*(AOE31:AOE35=AOE32)*(AOC31:AOC35=AOC32)*(AOG31:AOG35=AOG32)*(AOH31:AOH35=AOH32)*(AOI31:AOI35&gt;AOI32)),"")</f>
        <v>0</v>
      </c>
      <c r="AOQ32" s="319">
        <f ca="1">IF(ANY32&lt;&gt;"",IF(AOQ72&lt;&gt;"",IF(ANX70=3,AOQ72,AOQ72+ANX70),SUM(AOK32:AOP32)+1),"")</f>
        <v>3</v>
      </c>
      <c r="AOR32" s="319" t="str">
        <f t="shared" ref="AOR32" ca="1" si="10354">IF(ANY32&lt;&gt;"",INDEX(ANY32:ANY35,MATCH(2,AOQ32:AOQ35,0),0),"")</f>
        <v>Slovakia</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Slovakia</v>
      </c>
      <c r="AQH32" s="319">
        <v>2</v>
      </c>
      <c r="AQI32" s="319">
        <v>30</v>
      </c>
      <c r="AQJ32" s="319" t="str">
        <f t="shared" si="98"/>
        <v>Denmark</v>
      </c>
      <c r="AQK32" s="322">
        <f ca="1">IF(OFFSET('Player Game Board'!P39,0,AQK1)&lt;&gt;"",OFFSET('Player Game Board'!P39,0,AQK1),0)</f>
        <v>2</v>
      </c>
      <c r="AQL32" s="322">
        <f ca="1">IF(OFFSET('Player Game Board'!Q39,0,AQK1)&lt;&gt;"",OFFSET('Player Game Board'!Q39,0,AQK1),0)</f>
        <v>1</v>
      </c>
      <c r="AQM32" s="319" t="str">
        <f t="shared" si="99"/>
        <v>Serbia</v>
      </c>
      <c r="AQN32" s="319" t="str">
        <f ca="1">IF(AND(OFFSET('Player Game Board'!P39,0,AQK1)&lt;&gt;"",OFFSET('Player Game Board'!Q39,0,AQK1)&lt;&gt;""),IF(AQK32&gt;AQL32,"W",IF(AQK32=AQL32,"D","L")),"")</f>
        <v>W</v>
      </c>
      <c r="AQO32" s="319" t="str">
        <f t="shared" ca="1" si="5775"/>
        <v>L</v>
      </c>
      <c r="AQP32" s="319"/>
      <c r="AQQ32" s="319"/>
      <c r="AQR32" s="319"/>
      <c r="AQS32" s="320"/>
      <c r="AQT32" s="320"/>
      <c r="AQU32" s="320"/>
      <c r="AQV32" s="320"/>
      <c r="AQW32" s="320"/>
      <c r="AQX32" s="320"/>
      <c r="AQY32" s="320"/>
      <c r="AQZ32" s="319"/>
      <c r="ARA32" s="319"/>
      <c r="ARB32" s="319"/>
      <c r="ARC32" s="319"/>
      <c r="ARD32" s="319"/>
      <c r="ARE32" s="319"/>
      <c r="ARF32" s="319" t="s">
        <v>110</v>
      </c>
      <c r="ARG32" s="319" t="str">
        <f t="shared" ref="ARG32" ca="1" si="10356">VLOOKUP(1,AMK37:AML40,2,FALSE)</f>
        <v>Portugal</v>
      </c>
      <c r="ARH32" s="325">
        <f t="shared" ca="1" si="5310"/>
        <v>1</v>
      </c>
      <c r="ARI32" s="319">
        <f t="shared" ref="ARI32" ca="1" si="10357">VLOOKUP(ARJ32,AVE31:AVF35,2,FALSE)</f>
        <v>1</v>
      </c>
      <c r="ARJ32" s="319" t="str">
        <f t="shared" si="9933"/>
        <v>Slovakia</v>
      </c>
      <c r="ARK32" s="319">
        <f t="shared" ref="ARK32" ca="1" si="10358">SUMPRODUCT((AVH3:AVH42=ARJ32)*(AVL3:AVL42="W"))+SUMPRODUCT((AVK3:AVK42=ARJ32)*(AVM3:AVM42="W"))</f>
        <v>2</v>
      </c>
      <c r="ARL32" s="319">
        <f t="shared" ref="ARL32" ca="1" si="10359">SUMPRODUCT((AVH3:AVH42=ARJ32)*(AVL3:AVL42="D"))+SUMPRODUCT((AVK3:AVK42=ARJ32)*(AVM3:AVM42="D"))</f>
        <v>1</v>
      </c>
      <c r="ARM32" s="319">
        <f t="shared" ref="ARM32" ca="1" si="10360">SUMPRODUCT((AVH3:AVH42=ARJ32)*(AVL3:AVL42="L"))+SUMPRODUCT((AVK3:AVK42=ARJ32)*(AVM3:AVM42="L"))</f>
        <v>0</v>
      </c>
      <c r="ARN32" s="319">
        <f t="shared" ref="ARN32" ca="1" si="10361">SUMIF(AVH3:AVH60,ARJ32,AVI3:AVI60)+SUMIF(AVK3:AVK60,ARJ32,AVJ3:AVJ60)</f>
        <v>7</v>
      </c>
      <c r="ARO32" s="319">
        <f t="shared" ref="ARO32" ca="1" si="10362">SUMIF(AVK3:AVK60,ARJ32,AVI3:AVI60)+SUMIF(AVH3:AVH60,ARJ32,AVJ3:AVJ60)</f>
        <v>4</v>
      </c>
      <c r="ARP32" s="319">
        <f t="shared" ca="1" si="9939"/>
        <v>1003</v>
      </c>
      <c r="ARQ32" s="319">
        <f t="shared" ca="1" si="9940"/>
        <v>7</v>
      </c>
      <c r="ARR32" s="319">
        <f t="shared" si="990"/>
        <v>38</v>
      </c>
      <c r="ARS32" s="319">
        <f t="shared" ref="ARS32" ca="1" si="10363">IF(COUNTIF(ARQ31:ARQ35,4)&lt;&gt;4,RANK(ARQ32,ARQ31:ARQ35),ARQ72)</f>
        <v>1</v>
      </c>
      <c r="ART32" s="319"/>
      <c r="ARU32" s="319">
        <f t="shared" ref="ARU32" ca="1" si="10364">SUMPRODUCT((ARS31:ARS34=ARS32)*(ARR31:ARR34&lt;ARR32))+ARS32</f>
        <v>1</v>
      </c>
      <c r="ARV32" s="319" t="str">
        <f t="shared" ref="ARV32" ca="1" si="10365">INDEX(ARJ31:ARJ35,MATCH(2,ARU31:ARU35,0),0)</f>
        <v>Belgium</v>
      </c>
      <c r="ARW32" s="319">
        <f t="shared" ref="ARW32" ca="1" si="10366">INDEX(ARS31:ARS35,MATCH(ARV32,ARJ31:ARJ35,0),0)</f>
        <v>2</v>
      </c>
      <c r="ARX32" s="319" t="str">
        <f t="shared" ref="ARX32" ca="1" si="10367">IF(ARX31&lt;&gt;"",ARV32,"")</f>
        <v/>
      </c>
      <c r="ARY32" s="319" t="str">
        <f t="shared" ref="ARY32" ca="1" si="10368">IF(ARY31&lt;&gt;"",ARV33,"")</f>
        <v/>
      </c>
      <c r="ARZ32" s="319" t="str">
        <f t="shared" ref="ARZ32" ca="1" si="10369">IF(ARZ31&lt;&gt;"",ARV34,"")</f>
        <v/>
      </c>
      <c r="ASA32" s="319" t="str">
        <f t="shared" ref="ASA32" si="10370">IF(ASA31&lt;&gt;"",ARV35,"")</f>
        <v/>
      </c>
      <c r="ASB32" s="319"/>
      <c r="ASC32" s="319" t="str">
        <f t="shared" ca="1" si="9949"/>
        <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t="str">
        <f t="shared" ca="1" si="9956"/>
        <v/>
      </c>
      <c r="ASK32" s="319" t="str">
        <f t="shared" ref="ASK32" ca="1" si="10376">IF(ASC32&lt;&gt;"",VLOOKUP(ASC32,ARJ4:ARP40,7,FALSE),"")</f>
        <v/>
      </c>
      <c r="ASL32" s="319" t="str">
        <f t="shared" ref="ASL32" ca="1" si="10377">IF(ASC32&lt;&gt;"",VLOOKUP(ASC32,ARJ4:ARP40,5,FALSE),"")</f>
        <v/>
      </c>
      <c r="ASM32" s="319" t="str">
        <f t="shared" ref="ASM32" ca="1" si="10378">IF(ASC32&lt;&gt;"",VLOOKUP(ASC32,ARJ4:ARR40,9,FALSE),"")</f>
        <v/>
      </c>
      <c r="ASN32" s="319" t="str">
        <f t="shared" ca="1" si="9960"/>
        <v/>
      </c>
      <c r="ASO32" s="319" t="str">
        <f t="shared" ref="ASO32" ca="1" si="10379">IF(ASC32&lt;&gt;"",RANK(ASN32,ASN31:ASN35),"")</f>
        <v/>
      </c>
      <c r="ASP32" s="319" t="str">
        <f t="shared" ref="ASP32" ca="1" si="10380">IF(ASC32&lt;&gt;"",SUMPRODUCT((ASN31:ASN35=ASN32)*(ASI31:ASI35&gt;ASI32)),"")</f>
        <v/>
      </c>
      <c r="ASQ32" s="319" t="str">
        <f t="shared" ref="ASQ32" ca="1" si="10381">IF(ASC32&lt;&gt;"",SUMPRODUCT((ASN31:ASN35=ASN32)*(ASI31:ASI35=ASI32)*(ASG31:ASG35&gt;ASG32)),"")</f>
        <v/>
      </c>
      <c r="ASR32" s="319" t="str">
        <f t="shared" ref="ASR32" ca="1" si="10382">IF(ASC32&lt;&gt;"",SUMPRODUCT((ASN31:ASN35=ASN32)*(ASI31:ASI35=ASI32)*(ASG31:ASG35=ASG32)*(ASK31:ASK35&gt;ASK32)),"")</f>
        <v/>
      </c>
      <c r="ASS32" s="319" t="str">
        <f t="shared" ref="ASS32" ca="1" si="10383">IF(ASC32&lt;&gt;"",SUMPRODUCT((ASN31:ASN35=ASN32)*(ASI31:ASI35=ASI32)*(ASG31:ASG35=ASG32)*(ASK31:ASK35=ASK32)*(ASL31:ASL35&gt;ASL32)),"")</f>
        <v/>
      </c>
      <c r="AST32" s="319" t="str">
        <f t="shared" ref="AST32" ca="1" si="10384">IF(ASC32&lt;&gt;"",SUMPRODUCT((ASN31:ASN35=ASN32)*(ASI31:ASI35=ASI32)*(ASG31:ASG35=ASG32)*(ASK31:ASK35=ASK32)*(ASL31:ASL35=ASL32)*(ASM31:ASM35&gt;ASM32)),"")</f>
        <v/>
      </c>
      <c r="ASU32" s="319" t="str">
        <f ca="1">IF(ASC32&lt;&gt;"",IF(ASU72&lt;&gt;"",IF(ASB70=3,ASU72,ASU72+ASB70),SUM(ASO32:AST32)),"")</f>
        <v/>
      </c>
      <c r="ASV32" s="319" t="str">
        <f t="shared" ref="ASV32" ca="1" si="10385">IF(ASC32&lt;&gt;"",INDEX(ASC31:ASC35,MATCH(2,ASU31:ASU35,0),0),"")</f>
        <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Belgium</v>
      </c>
      <c r="AVF32" s="319">
        <v>2</v>
      </c>
      <c r="AVG32" s="319">
        <v>30</v>
      </c>
      <c r="AVH32" s="319" t="str">
        <f t="shared" si="114"/>
        <v>Denmark</v>
      </c>
      <c r="AVI32" s="322">
        <f ca="1">IF(OFFSET('Player Game Board'!P39,0,AVI1)&lt;&gt;"",OFFSET('Player Game Board'!P39,0,AVI1),0)</f>
        <v>2</v>
      </c>
      <c r="AVJ32" s="322">
        <f ca="1">IF(OFFSET('Player Game Board'!Q39,0,AVI1)&lt;&gt;"",OFFSET('Player Game Board'!Q39,0,AVI1),0)</f>
        <v>1</v>
      </c>
      <c r="AVK32" s="319" t="str">
        <f t="shared" si="115"/>
        <v>Serbia</v>
      </c>
      <c r="AVL32" s="319" t="str">
        <f ca="1">IF(AND(OFFSET('Player Game Board'!P39,0,AVI1)&lt;&gt;"",OFFSET('Player Game Board'!Q39,0,AVI1)&lt;&gt;""),IF(AVI32&gt;AVJ32,"W",IF(AVI32=AVJ32,"D","L")),"")</f>
        <v>W</v>
      </c>
      <c r="AVM32" s="319" t="str">
        <f t="shared" ca="1" si="5830"/>
        <v>L</v>
      </c>
      <c r="AVN32" s="319"/>
      <c r="AVO32" s="319"/>
      <c r="AVP32" s="319"/>
      <c r="AVQ32" s="320"/>
      <c r="AVR32" s="320"/>
      <c r="AVS32" s="320"/>
      <c r="AVT32" s="320"/>
      <c r="AVU32" s="320"/>
      <c r="AVV32" s="320"/>
      <c r="AVW32" s="320"/>
      <c r="AVX32" s="319"/>
      <c r="AVY32" s="319"/>
      <c r="AVZ32" s="319"/>
      <c r="AWA32" s="319"/>
      <c r="AWB32" s="319"/>
      <c r="AWC32" s="319"/>
      <c r="AWD32" s="319" t="s">
        <v>110</v>
      </c>
      <c r="AWE32" s="319" t="str">
        <f t="shared" ref="AWE32" ca="1" si="10406">VLOOKUP(1,ARI37:ARJ40,2,FALSE)</f>
        <v>Türkiye</v>
      </c>
      <c r="AWF32" s="325">
        <f t="shared" ca="1" si="5353"/>
        <v>1</v>
      </c>
      <c r="AWG32" s="319">
        <f t="shared" ref="AWG32" ca="1" si="10407">VLOOKUP(AWH32,BAC31:BAD35,2,FALSE)</f>
        <v>2</v>
      </c>
      <c r="AWH32" s="319" t="str">
        <f t="shared" si="9971"/>
        <v>Slovakia</v>
      </c>
      <c r="AWI32" s="319">
        <f t="shared" ref="AWI32" ca="1" si="10408">SUMPRODUCT((BAF3:BAF42=AWH32)*(BAJ3:BAJ42="W"))+SUMPRODUCT((BAI3:BAI42=AWH32)*(BAK3:BAK42="W"))</f>
        <v>2</v>
      </c>
      <c r="AWJ32" s="319">
        <f t="shared" ref="AWJ32" ca="1" si="10409">SUMPRODUCT((BAF3:BAF42=AWH32)*(BAJ3:BAJ42="D"))+SUMPRODUCT((BAI3:BAI42=AWH32)*(BAK3:BAK42="D"))</f>
        <v>0</v>
      </c>
      <c r="AWK32" s="319">
        <f t="shared" ref="AWK32" ca="1" si="10410">SUMPRODUCT((BAF3:BAF42=AWH32)*(BAJ3:BAJ42="L"))+SUMPRODUCT((BAI3:BAI42=AWH32)*(BAK3:BAK42="L"))</f>
        <v>1</v>
      </c>
      <c r="AWL32" s="319">
        <f t="shared" ref="AWL32" ca="1" si="10411">SUMIF(BAF3:BAF60,AWH32,BAG3:BAG60)+SUMIF(BAI3:BAI60,AWH32,BAH3:BAH60)</f>
        <v>4</v>
      </c>
      <c r="AWM32" s="319">
        <f t="shared" ref="AWM32" ca="1" si="10412">SUMIF(BAI3:BAI60,AWH32,BAG3:BAG60)+SUMIF(BAF3:BAF60,AWH32,BAH3:BAH60)</f>
        <v>4</v>
      </c>
      <c r="AWN32" s="319">
        <f t="shared" ca="1" si="9977"/>
        <v>1000</v>
      </c>
      <c r="AWO32" s="319">
        <f t="shared" ca="1" si="9978"/>
        <v>6</v>
      </c>
      <c r="AWP32" s="319">
        <f t="shared" si="1050"/>
        <v>38</v>
      </c>
      <c r="AWQ32" s="319">
        <f t="shared" ref="AWQ32" ca="1" si="10413">IF(COUNTIF(AWO31:AWO35,4)&lt;&gt;4,RANK(AWO32,AWO31:AWO35),AWO72)</f>
        <v>2</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2</v>
      </c>
      <c r="AWV32" s="319" t="str">
        <f t="shared" ref="AWV32" ca="1" si="10417">IF(AWV31&lt;&gt;"",AWT32,"")</f>
        <v/>
      </c>
      <c r="AWW32" s="319" t="str">
        <f t="shared" ref="AWW32" ca="1" si="10418">IF(AWW31&lt;&gt;"",AWT33,"")</f>
        <v/>
      </c>
      <c r="AWX32" s="319" t="str">
        <f t="shared" ref="AWX32" ca="1" si="10419">IF(AWX31&lt;&gt;"",AWT34,"")</f>
        <v/>
      </c>
      <c r="AWY32" s="319" t="str">
        <f t="shared" ref="AWY32" si="10420">IF(AWY31&lt;&gt;"",AWT35,"")</f>
        <v/>
      </c>
      <c r="AWZ32" s="319"/>
      <c r="AXA32" s="319" t="str">
        <f t="shared" ca="1" si="9987"/>
        <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t="str">
        <f t="shared" ca="1" si="9994"/>
        <v/>
      </c>
      <c r="AXI32" s="319" t="str">
        <f t="shared" ref="AXI32" ca="1" si="10426">IF(AXA32&lt;&gt;"",VLOOKUP(AXA32,AWH4:AWN40,7,FALSE),"")</f>
        <v/>
      </c>
      <c r="AXJ32" s="319" t="str">
        <f t="shared" ref="AXJ32" ca="1" si="10427">IF(AXA32&lt;&gt;"",VLOOKUP(AXA32,AWH4:AWN40,5,FALSE),"")</f>
        <v/>
      </c>
      <c r="AXK32" s="319" t="str">
        <f t="shared" ref="AXK32" ca="1" si="10428">IF(AXA32&lt;&gt;"",VLOOKUP(AXA32,AWH4:AWP40,9,FALSE),"")</f>
        <v/>
      </c>
      <c r="AXL32" s="319" t="str">
        <f t="shared" ca="1" si="9998"/>
        <v/>
      </c>
      <c r="AXM32" s="319" t="str">
        <f t="shared" ref="AXM32" ca="1" si="10429">IF(AXA32&lt;&gt;"",RANK(AXL32,AXL31:AXL35),"")</f>
        <v/>
      </c>
      <c r="AXN32" s="319" t="str">
        <f t="shared" ref="AXN32" ca="1" si="10430">IF(AXA32&lt;&gt;"",SUMPRODUCT((AXL31:AXL35=AXL32)*(AXG31:AXG35&gt;AXG32)),"")</f>
        <v/>
      </c>
      <c r="AXO32" s="319" t="str">
        <f t="shared" ref="AXO32" ca="1" si="10431">IF(AXA32&lt;&gt;"",SUMPRODUCT((AXL31:AXL35=AXL32)*(AXG31:AXG35=AXG32)*(AXE31:AXE35&gt;AXE32)),"")</f>
        <v/>
      </c>
      <c r="AXP32" s="319" t="str">
        <f t="shared" ref="AXP32" ca="1" si="10432">IF(AXA32&lt;&gt;"",SUMPRODUCT((AXL31:AXL35=AXL32)*(AXG31:AXG35=AXG32)*(AXE31:AXE35=AXE32)*(AXI31:AXI35&gt;AXI32)),"")</f>
        <v/>
      </c>
      <c r="AXQ32" s="319" t="str">
        <f t="shared" ref="AXQ32" ca="1" si="10433">IF(AXA32&lt;&gt;"",SUMPRODUCT((AXL31:AXL35=AXL32)*(AXG31:AXG35=AXG32)*(AXE31:AXE35=AXE32)*(AXI31:AXI35=AXI32)*(AXJ31:AXJ35&gt;AXJ32)),"")</f>
        <v/>
      </c>
      <c r="AXR32" s="319" t="str">
        <f t="shared" ref="AXR32" ca="1" si="10434">IF(AXA32&lt;&gt;"",SUMPRODUCT((AXL31:AXL35=AXL32)*(AXG31:AXG35=AXG32)*(AXE31:AXE35=AXE32)*(AXI31:AXI35=AXI32)*(AXJ31:AXJ35=AXJ32)*(AXK31:AXK35&gt;AXK32)),"")</f>
        <v/>
      </c>
      <c r="AXS32" s="319" t="str">
        <f ca="1">IF(AXA32&lt;&gt;"",IF(AXS72&lt;&gt;"",IF(AWZ70=3,AXS72,AXS72+AWZ70),SUM(AXM32:AXR32)),"")</f>
        <v/>
      </c>
      <c r="AXT32" s="319" t="str">
        <f t="shared" ref="AXT32" ca="1" si="10435">IF(AXA32&lt;&gt;"",INDEX(AXA31:AXA35,MATCH(2,AXS31:AXS35,0),0),"")</f>
        <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Slovakia</v>
      </c>
      <c r="BAD32" s="319">
        <v>2</v>
      </c>
      <c r="BAE32" s="319">
        <v>30</v>
      </c>
      <c r="BAF32" s="319" t="str">
        <f t="shared" si="130"/>
        <v>Denmark</v>
      </c>
      <c r="BAG32" s="322">
        <f ca="1">IF(OFFSET('Player Game Board'!P39,0,BAG1)&lt;&gt;"",OFFSET('Player Game Board'!P39,0,BAG1),0)</f>
        <v>3</v>
      </c>
      <c r="BAH32" s="322">
        <f ca="1">IF(OFFSET('Player Game Board'!Q39,0,BAG1)&lt;&gt;"",OFFSET('Player Game Board'!Q39,0,BAG1),0)</f>
        <v>1</v>
      </c>
      <c r="BAI32" s="319" t="str">
        <f t="shared" si="131"/>
        <v>Serbia</v>
      </c>
      <c r="BAJ32" s="319" t="str">
        <f ca="1">IF(AND(OFFSET('Player Game Board'!P39,0,BAG1)&lt;&gt;"",OFFSET('Player Game Board'!Q39,0,BAG1)&lt;&gt;""),IF(BAG32&gt;BAH32,"W",IF(BAG32=BAH32,"D","L")),"")</f>
        <v>W</v>
      </c>
      <c r="BAK32" s="319" t="str">
        <f t="shared" ca="1" si="5885"/>
        <v>L</v>
      </c>
      <c r="BAL32" s="319"/>
      <c r="BAM32" s="319"/>
      <c r="BAN32" s="319"/>
      <c r="BAO32" s="320"/>
      <c r="BAP32" s="320"/>
      <c r="BAQ32" s="320"/>
      <c r="BAR32" s="320"/>
      <c r="BAS32" s="320"/>
      <c r="BAT32" s="320"/>
      <c r="BAU32" s="320"/>
      <c r="BAV32" s="319"/>
      <c r="BAW32" s="319"/>
      <c r="BAX32" s="319"/>
      <c r="BAY32" s="319"/>
      <c r="BAZ32" s="319"/>
      <c r="BBA32" s="319"/>
      <c r="BBB32" s="319" t="s">
        <v>110</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110</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2</v>
      </c>
      <c r="N33" s="319" t="str">
        <f>INDEX(B31:B35,MATCH(3,M31:M35,0),0)</f>
        <v>Ukraine</v>
      </c>
      <c r="O33" s="319">
        <f>INDEX(K31:K35,MATCH(N33,B31:B35,0),0)</f>
        <v>3</v>
      </c>
      <c r="P33" s="319" t="str">
        <f>IF(AND(P32&lt;&gt;"",O33=1),N33,"")</f>
        <v/>
      </c>
      <c r="Q33" s="319" t="str">
        <f>IF(AND(Q32&lt;&gt;"",O34=2),N34,"")</f>
        <v/>
      </c>
      <c r="R33" s="319" t="str">
        <f>IF(AND(R32&lt;&gt;"",O35=3),N35,"")</f>
        <v/>
      </c>
      <c r="S33" s="319"/>
      <c r="T33" s="319"/>
      <c r="U33" s="319" t="str">
        <f t="shared" si="10046"/>
        <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1000</v>
      </c>
      <c r="AB33" s="319" t="str">
        <f t="shared" si="9694"/>
        <v/>
      </c>
      <c r="AC33" s="319" t="str">
        <f>IF(U33&lt;&gt;"",VLOOKUP(U33,B4:H40,7,FALSE),"")</f>
        <v/>
      </c>
      <c r="AD33" s="319" t="str">
        <f>IF(U33&lt;&gt;"",VLOOKUP(U33,B4:H40,5,FALSE),"")</f>
        <v/>
      </c>
      <c r="AE33" s="319" t="str">
        <f>IF(U33&lt;&gt;"",VLOOKUP(U33,B4:J40,9,FALSE),"")</f>
        <v/>
      </c>
      <c r="AF33" s="319" t="str">
        <f t="shared" si="9695"/>
        <v/>
      </c>
      <c r="AG33" s="319" t="str">
        <f>IF(U33&lt;&gt;"",RANK(AF33,AF31:AF35),"")</f>
        <v/>
      </c>
      <c r="AH33" s="319" t="str">
        <f>IF(U33&lt;&gt;"",SUMPRODUCT((AF31:AF35=AF33)*(AA31:AA35&gt;AA33)),"")</f>
        <v/>
      </c>
      <c r="AI33" s="319" t="str">
        <f>IF(U33&lt;&gt;"",SUMPRODUCT((AF31:AF35=AF33)*(AA31:AA35=AA33)*(Y31:Y35&gt;Y33)),"")</f>
        <v/>
      </c>
      <c r="AJ33" s="319" t="str">
        <f>IF(U33&lt;&gt;"",SUMPRODUCT((AF31:AF35=AF33)*(AA31:AA35=AA33)*(Y31:Y35=Y33)*(AC31:AC35&gt;AC33)),"")</f>
        <v/>
      </c>
      <c r="AK33" s="319" t="str">
        <f>IF(U33&lt;&gt;"",SUMPRODUCT((AF31:AF35=AF33)*(AA31:AA35=AA33)*(Y31:Y35=Y33)*(AC31:AC35=AC33)*(AD31:AD35&gt;AD33)),"")</f>
        <v/>
      </c>
      <c r="AL33" s="319" t="str">
        <f>IF(U33&lt;&gt;"",SUMPRODUCT((AF31:AF35=AF33)*(AA31:AA35=AA33)*(Y31:Y35=Y33)*(AC31:AC35=AC33)*(AD31:AD35=AD33)*(AE31:AE35&gt;AE33)),"")</f>
        <v/>
      </c>
      <c r="AM33" s="319" t="str">
        <f>IF(U33&lt;&gt;"",IF(AM73&lt;&gt;"",IF(T70=3,AM73,AM73+T70),SUM(AG33:AL33)),"")</f>
        <v/>
      </c>
      <c r="AN33" s="319" t="str">
        <f>IF(U33&lt;&gt;"",INDEX(U31:U35,MATCH(3,AM31:AM35,0),0),"")</f>
        <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Ukraine</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f t="shared" ref="BP33:BP34" si="10507">IF(BI33&lt;&gt;"",BJ33*3+BK33*1,"")</f>
        <v>0</v>
      </c>
      <c r="BQ33" s="319">
        <f>IF(BI33&lt;&gt;"",VLOOKUP(BI33,B4:H40,7,FALSE),"")</f>
        <v>997</v>
      </c>
      <c r="BR33" s="319">
        <f>IF(BI33&lt;&gt;"",VLOOKUP(BI33,B4:H40,5,FALSE),"")</f>
        <v>0</v>
      </c>
      <c r="BS33" s="319">
        <f>IF(BI33&lt;&gt;"",VLOOKUP(BI33,B4:J40,9,FALSE),"")</f>
        <v>0</v>
      </c>
      <c r="BT33" s="319">
        <f t="shared" ref="BT33:BT34" si="10508">BP33</f>
        <v>0</v>
      </c>
      <c r="BU33" s="319">
        <f>IF(BI33&lt;&gt;"",RANK(BT33,BT32:BT35),"")</f>
        <v>1</v>
      </c>
      <c r="BV33" s="319">
        <f>IF(BI33&lt;&gt;"",SUMPRODUCT((BT31:BT35=BT33)*(BO31:BO35&gt;BO33)),"")</f>
        <v>0</v>
      </c>
      <c r="BW33" s="319">
        <f>IF(BI33&lt;&gt;"",SUMPRODUCT((BT31:BT35=BT33)*(BO31:BO35=BO33)*(BM31:BM35&gt;BM33)),"")</f>
        <v>0</v>
      </c>
      <c r="BX33" s="319">
        <f>IF(BI33&lt;&gt;"",SUMPRODUCT((BT31:BT35=BT33)*(BO31:BO35=BO33)*(BM31:BM35=BM33)*(BQ31:BQ35&gt;BQ33)),"")</f>
        <v>1</v>
      </c>
      <c r="BY33" s="319">
        <f>IF(BI33&lt;&gt;"",SUMPRODUCT((BT31:BT35=BT33)*(BO31:BO35=BO33)*(BM31:BM35=BM33)*(BQ31:BQ35=BQ33)*(BR31:BR35&gt;BR33)),"")</f>
        <v>0</v>
      </c>
      <c r="BZ33" s="319">
        <f>IF(BI33&lt;&gt;"",SUMPRODUCT((BT31:BT35=BT33)*(BO31:BO35=BO33)*(BM31:BM35=BM33)*(BQ31:BQ35=BQ33)*(BR31:BR35=BR33)*(BS31:BS35&gt;BS33)),"")</f>
        <v>0</v>
      </c>
      <c r="CA33" s="319">
        <f>IF(BI33&lt;&gt;"",SUM(BU33:BZ33)+2,"")</f>
        <v>4</v>
      </c>
      <c r="CB33" s="319" t="str">
        <f>IF(BI33&lt;&gt;"",INDEX(BI33:BI35,MATCH(3,CA33:CA35,0),0),"")</f>
        <v>Belgium</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Belgium</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4</v>
      </c>
      <c r="DZ33" s="319" t="str">
        <f t="shared" si="10049"/>
        <v>Romania</v>
      </c>
      <c r="EA33" s="319">
        <f ca="1">SUMPRODUCT((HX3:HX42=DZ33)*(IB3:IB42="W"))+SUMPRODUCT((IA3:IA42=DZ33)*(IC3:IC42="W"))</f>
        <v>0</v>
      </c>
      <c r="EB33" s="319">
        <f ca="1">SUMPRODUCT((HX3:HX42=DZ33)*(IB3:IB42="D"))+SUMPRODUCT((IA3:IA42=DZ33)*(IC3:IC42="D"))</f>
        <v>1</v>
      </c>
      <c r="EC33" s="319">
        <f ca="1">SUMPRODUCT((HX3:HX42=DZ33)*(IB3:IB42="L"))+SUMPRODUCT((IA3:IA42=DZ33)*(IC3:IC42="L"))</f>
        <v>2</v>
      </c>
      <c r="ED33" s="319">
        <f ca="1">SUMIF(HX3:HX60,DZ33,HY3:HY60)+SUMIF(IA3:IA60,DZ33,HZ3:HZ60)</f>
        <v>2</v>
      </c>
      <c r="EE33" s="319">
        <f ca="1">SUMIF(IA3:IA60,DZ33,HY3:HY60)+SUMIF(HX3:HX60,DZ33,HZ3:HZ60)</f>
        <v>5</v>
      </c>
      <c r="EF33" s="319">
        <f t="shared" ca="1" si="9696"/>
        <v>997</v>
      </c>
      <c r="EG33" s="319">
        <f t="shared" ca="1" si="9697"/>
        <v>1</v>
      </c>
      <c r="EH33" s="319">
        <f t="shared" si="609"/>
        <v>46</v>
      </c>
      <c r="EI33" s="319">
        <f ca="1">IF(COUNTIF(EG31:EG35,4)&lt;&gt;4,RANK(EG33,EG31:EG35),EG73)</f>
        <v>4</v>
      </c>
      <c r="EJ33" s="319"/>
      <c r="EK33" s="319">
        <f ca="1">SUMPRODUCT((EI31:EI34=EI33)*(EH31:EH34&lt;EH33))+EI33</f>
        <v>4</v>
      </c>
      <c r="EL33" s="319" t="str">
        <f ca="1">INDEX(DZ31:DZ35,MATCH(3,EK31:EK35,0),0)</f>
        <v>Ukraine</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2</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0</v>
      </c>
      <c r="JA33" s="319">
        <f ca="1">SUMPRODUCT((MV3:MV42=IX33)*(MZ3:MZ42="L"))+SUMPRODUCT((MY3:MY42=IX33)*(NA3:NA42="L"))</f>
        <v>3</v>
      </c>
      <c r="JB33" s="319">
        <f ca="1">SUMIF(MV3:MV60,IX33,MW3:MW60)+SUMIF(MY3:MY60,IX33,MX3:MX60)</f>
        <v>2</v>
      </c>
      <c r="JC33" s="319">
        <f ca="1">SUMIF(MY3:MY60,IX33,MW3:MW60)+SUMIF(MV3:MV60,IX33,MX3:MX60)</f>
        <v>8</v>
      </c>
      <c r="JD33" s="319">
        <f t="shared" ca="1" si="9700"/>
        <v>994</v>
      </c>
      <c r="JE33" s="319">
        <f t="shared" ca="1" si="9701"/>
        <v>0</v>
      </c>
      <c r="JF33" s="319">
        <f t="shared" si="618"/>
        <v>46</v>
      </c>
      <c r="JG33" s="319">
        <f ca="1">IF(COUNTIF(JE31:JE35,4)&lt;&gt;4,RANK(JE33,JE31:JE35),JE73)</f>
        <v>4</v>
      </c>
      <c r="JH33" s="319"/>
      <c r="JI33" s="319">
        <f ca="1">SUMPRODUCT((JG31:JG34=JG33)*(JF31:JF34&lt;JF33))+JG33</f>
        <v>4</v>
      </c>
      <c r="JJ33" s="319" t="str">
        <f ca="1">INDEX(IX31:IX35,MATCH(3,JI31:JI35,0),0)</f>
        <v>Slovakia</v>
      </c>
      <c r="JK33" s="319">
        <f ca="1">INDEX(JG31:JG35,MATCH(JJ33,IX31:IX35,0),0)</f>
        <v>2</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Slovakia</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1</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19">
        <f ca="1">KO33-KP33+1000</f>
        <v>1000</v>
      </c>
      <c r="KR33" s="319">
        <f t="shared" ca="1" si="10055"/>
        <v>1</v>
      </c>
      <c r="KS33" s="319">
        <f ca="1">IF(KK33&lt;&gt;"",VLOOKUP(KK33,IX4:JD40,7,FALSE),"")</f>
        <v>999</v>
      </c>
      <c r="KT33" s="319">
        <f ca="1">IF(KK33&lt;&gt;"",VLOOKUP(KK33,IX4:JD40,5,FALSE),"")</f>
        <v>3</v>
      </c>
      <c r="KU33" s="319">
        <f ca="1">IF(KK33&lt;&gt;"",VLOOKUP(KK33,IX4:JF40,9,FALSE),"")</f>
        <v>38</v>
      </c>
      <c r="KV33" s="319">
        <f t="shared" ca="1" si="10056"/>
        <v>1</v>
      </c>
      <c r="KW33" s="319">
        <f ca="1">IF(KK33&lt;&gt;"",RANK(KV33,KV31:KV35),"")</f>
        <v>1</v>
      </c>
      <c r="KX33" s="319">
        <f ca="1">IF(KK33&lt;&gt;"",SUMPRODUCT((KV31:KV35=KV33)*(KQ31:KQ35&gt;KQ33)),"")</f>
        <v>0</v>
      </c>
      <c r="KY33" s="319">
        <f ca="1">IF(KK33&lt;&gt;"",SUMPRODUCT((KV31:KV35=KV33)*(KQ31:KQ35=KQ33)*(KO31:KO35&gt;KO33)),"")</f>
        <v>0</v>
      </c>
      <c r="KZ33" s="319">
        <f ca="1">IF(KK33&lt;&gt;"",SUMPRODUCT((KV31:KV35=KV33)*(KQ31:KQ35=KQ33)*(KO31:KO35=KO33)*(KS31:KS35&gt;KS33)),"")</f>
        <v>1</v>
      </c>
      <c r="LA33" s="319">
        <f ca="1">IF(KK33&lt;&gt;"",SUMPRODUCT((KV31:KV35=KV33)*(KQ31:KQ35=KQ33)*(KO31:KO35=KO33)*(KS31:KS35=KS33)*(KT31:KT35&gt;KT33)),"")</f>
        <v>0</v>
      </c>
      <c r="LB33" s="319">
        <f ca="1">IF(KK33&lt;&gt;"",SUMPRODUCT((KV31:KV35=KV33)*(KQ31:KQ35=KQ33)*(KO31:KO35=KO33)*(KS31:KS35=KS33)*(KT31:KT35=KT33)*(KU31:KU35&gt;KU33)),"")</f>
        <v>0</v>
      </c>
      <c r="LC33" s="319">
        <f ca="1">IF(KK33&lt;&gt;"",IF(LC73&lt;&gt;"",IF(KJ70=3,LC73,LC73+KJ70),SUM(KW33:LB33)+1),"")</f>
        <v>3</v>
      </c>
      <c r="LD33" s="319" t="str">
        <f ca="1">IF(KK33&lt;&gt;"",INDEX(KK32:KK35,MATCH(3,LC32:LC35,0),0),"")</f>
        <v>Slovakia</v>
      </c>
      <c r="LE33" s="319" t="str">
        <f ca="1">IF(JN31&lt;&gt;"",JN31,"")</f>
        <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0</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19">
        <f ca="1">LI33-LJ33+1000</f>
        <v>1000</v>
      </c>
      <c r="LL33" s="319" t="str">
        <f t="shared" ref="LL33:LL34" ca="1" si="10511">IF(LE33&lt;&gt;"",LF33*3+LG33*1,"")</f>
        <v/>
      </c>
      <c r="LM33" s="319" t="str">
        <f ca="1">IF(LE33&lt;&gt;"",VLOOKUP(LE33,IX4:JD40,7,FALSE),"")</f>
        <v/>
      </c>
      <c r="LN33" s="319" t="str">
        <f ca="1">IF(LE33&lt;&gt;"",VLOOKUP(LE33,IX4:JD40,5,FALSE),"")</f>
        <v/>
      </c>
      <c r="LO33" s="319" t="str">
        <f ca="1">IF(LE33&lt;&gt;"",VLOOKUP(LE33,IX4:JF40,9,FALSE),"")</f>
        <v/>
      </c>
      <c r="LP33" s="319" t="str">
        <f t="shared" ref="LP33:LP34" ca="1" si="10512">LL33</f>
        <v/>
      </c>
      <c r="LQ33" s="319" t="str">
        <f ca="1">IF(LE33&lt;&gt;"",RANK(LP33,LP32:LP35),"")</f>
        <v/>
      </c>
      <c r="LR33" s="319" t="str">
        <f ca="1">IF(LE33&lt;&gt;"",SUMPRODUCT((LP31:LP35=LP33)*(LK31:LK35&gt;LK33)),"")</f>
        <v/>
      </c>
      <c r="LS33" s="319" t="str">
        <f ca="1">IF(LE33&lt;&gt;"",SUMPRODUCT((LP31:LP35=LP33)*(LK31:LK35=LK33)*(LI31:LI35&gt;LI33)),"")</f>
        <v/>
      </c>
      <c r="LT33" s="319" t="str">
        <f ca="1">IF(LE33&lt;&gt;"",SUMPRODUCT((LP31:LP35=LP33)*(LK31:LK35=LK33)*(LI31:LI35=LI33)*(LM31:LM35&gt;LM33)),"")</f>
        <v/>
      </c>
      <c r="LU33" s="319" t="str">
        <f ca="1">IF(LE33&lt;&gt;"",SUMPRODUCT((LP31:LP35=LP33)*(LK31:LK35=LK33)*(LI31:LI35=LI33)*(LM31:LM35=LM33)*(LN31:LN35&gt;LN33)),"")</f>
        <v/>
      </c>
      <c r="LV33" s="319" t="str">
        <f ca="1">IF(LE33&lt;&gt;"",SUMPRODUCT((LP31:LP35=LP33)*(LK31:LK35=LK33)*(LI31:LI35=LI33)*(LM31:LM35=LM33)*(LN31:LN35=LN33)*(LO31:LO35&gt;LO33)),"")</f>
        <v/>
      </c>
      <c r="LW33" s="319" t="str">
        <f ca="1">IF(LE33&lt;&gt;"",SUM(LQ33:LV33)+2,"")</f>
        <v/>
      </c>
      <c r="LX33" s="319" t="str">
        <f ca="1">IF(LE33&lt;&gt;"",INDEX(LE33:LE35,MATCH(3,LW33:LW35,0),0),"")</f>
        <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3</v>
      </c>
      <c r="MX33" s="322">
        <f ca="1">IF(OFFSET('Player Game Board'!Q40,0,MW1)&lt;&gt;"",OFFSET('Player Game Board'!Q40,0,MW1),0)</f>
        <v>0</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4</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3</v>
      </c>
      <c r="NZ33" s="319">
        <f t="shared" ref="NZ33" ca="1" si="10517">SUMIF(RT3:RT60,NV33,RU3:RU60)+SUMIF(RW3:RW60,NV33,RV3:RV60)</f>
        <v>0</v>
      </c>
      <c r="OA33" s="319">
        <f t="shared" ref="OA33" ca="1" si="10518">SUMIF(RW3:RW60,NV33,RU3:RU60)+SUMIF(RT3:RT60,NV33,RV3:RV60)</f>
        <v>5</v>
      </c>
      <c r="OB33" s="319">
        <f t="shared" ca="1" si="9711"/>
        <v>995</v>
      </c>
      <c r="OC33" s="319">
        <f t="shared" ca="1" si="9712"/>
        <v>0</v>
      </c>
      <c r="OD33" s="319">
        <f t="shared" si="630"/>
        <v>46</v>
      </c>
      <c r="OE33" s="319">
        <f t="shared" ref="OE33" ca="1" si="10519">IF(COUNTIF(OC31:OC35,4)&lt;&gt;4,RANK(OC33,OC31:OC35),OC73)</f>
        <v>4</v>
      </c>
      <c r="OF33" s="319"/>
      <c r="OG33" s="319">
        <f t="shared" ref="OG33" ca="1" si="10520">SUMPRODUCT((OE31:OE34=OE33)*(OD31:OD34&lt;OD33))+OE33</f>
        <v>4</v>
      </c>
      <c r="OH33" s="319" t="str">
        <f t="shared" ref="OH33" ca="1" si="10521">INDEX(NV31:NV35,MATCH(3,OG31:OG35,0),0)</f>
        <v>Slovakia</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2</v>
      </c>
      <c r="RV33" s="322">
        <f ca="1">IF(OFFSET('Player Game Board'!Q40,0,RU1)&lt;&gt;"",OFFSET('Player Game Board'!Q40,0,RU1),0)</f>
        <v>1</v>
      </c>
      <c r="RW33" s="319" t="str">
        <f t="shared" si="19"/>
        <v>Austria</v>
      </c>
      <c r="RX33" s="319" t="str">
        <f ca="1">IF(AND(OFFSET('Player Game Board'!P40,0,RU1)&lt;&gt;"",OFFSET('Player Game Board'!Q40,0,RU1)&lt;&gt;""),IF(RU33&gt;RV33,"W",IF(RU33=RV33,"D","L")),"")</f>
        <v>W</v>
      </c>
      <c r="RY33" s="319" t="str">
        <f t="shared" ca="1" si="5500"/>
        <v>L</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Georgia</v>
      </c>
      <c r="SR33" s="325">
        <f t="shared" ca="1" si="5095"/>
        <v>0</v>
      </c>
      <c r="SS33" s="319">
        <f t="shared" ref="SS33" ca="1" si="10578">VLOOKUP(ST33,WO31:WP35,2,FALSE)</f>
        <v>3</v>
      </c>
      <c r="ST33" s="319" t="str">
        <f t="shared" si="9743"/>
        <v>Romania</v>
      </c>
      <c r="SU33" s="319">
        <f t="shared" ref="SU33" ca="1" si="10579">SUMPRODUCT((WR3:WR42=ST33)*(WV3:WV42="W"))+SUMPRODUCT((WU3:WU42=ST33)*(WW3:WW42="W"))</f>
        <v>0</v>
      </c>
      <c r="SV33" s="319">
        <f t="shared" ref="SV33" ca="1" si="10580">SUMPRODUCT((WR3:WR42=ST33)*(WV3:WV42="D"))+SUMPRODUCT((WU3:WU42=ST33)*(WW3:WW42="D"))</f>
        <v>2</v>
      </c>
      <c r="SW33" s="319">
        <f t="shared" ref="SW33" ca="1" si="10581">SUMPRODUCT((WR3:WR42=ST33)*(WV3:WV42="L"))+SUMPRODUCT((WU3:WU42=ST33)*(WW3:WW42="L"))</f>
        <v>1</v>
      </c>
      <c r="SX33" s="319">
        <f t="shared" ref="SX33" ca="1" si="10582">SUMIF(WR3:WR60,ST33,WS3:WS60)+SUMIF(WU3:WU60,ST33,WT3:WT60)</f>
        <v>3</v>
      </c>
      <c r="SY33" s="319">
        <f t="shared" ref="SY33" ca="1" si="10583">SUMIF(WU3:WU60,ST33,WS3:WS60)+SUMIF(WR3:WR60,ST33,WT3:WT60)</f>
        <v>6</v>
      </c>
      <c r="SZ33" s="319">
        <f t="shared" ca="1" si="9749"/>
        <v>997</v>
      </c>
      <c r="TA33" s="319">
        <f t="shared" ca="1" si="9750"/>
        <v>2</v>
      </c>
      <c r="TB33" s="319">
        <f t="shared" si="690"/>
        <v>46</v>
      </c>
      <c r="TC33" s="319">
        <f t="shared" ref="TC33" ca="1" si="10584">IF(COUNTIF(TA31:TA35,4)&lt;&gt;4,RANK(TA33,TA31:TA35),TA73)</f>
        <v>3</v>
      </c>
      <c r="TD33" s="319"/>
      <c r="TE33" s="319">
        <f t="shared" ref="TE33" ca="1" si="10585">SUMPRODUCT((TC31:TC34=TC33)*(TB31:TB34&lt;TB33))+TC33</f>
        <v>3</v>
      </c>
      <c r="TF33" s="319" t="str">
        <f t="shared" ref="TF33" ca="1" si="10586">INDEX(ST31:ST35,MATCH(3,TE31:TE35,0),0)</f>
        <v>Romania</v>
      </c>
      <c r="TG33" s="319">
        <f t="shared" ref="TG33" ca="1" si="10587">INDEX(TC31:TC35,MATCH(TF33,ST31:ST35,0),0)</f>
        <v>3</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Romania</v>
      </c>
      <c r="WP33" s="319">
        <v>3</v>
      </c>
      <c r="WQ33" s="319">
        <v>31</v>
      </c>
      <c r="WR33" s="319" t="str">
        <f t="shared" si="34"/>
        <v>Netherlands</v>
      </c>
      <c r="WS33" s="322">
        <f ca="1">IF(OFFSET('Player Game Board'!P40,0,WS1)&lt;&gt;"",OFFSET('Player Game Board'!P40,0,WS1),0)</f>
        <v>2</v>
      </c>
      <c r="WT33" s="322">
        <f ca="1">IF(OFFSET('Player Game Board'!Q40,0,WS1)&lt;&gt;"",OFFSET('Player Game Board'!Q40,0,WS1),0)</f>
        <v>2</v>
      </c>
      <c r="WU33" s="319" t="str">
        <f t="shared" si="35"/>
        <v>Austria</v>
      </c>
      <c r="WV33" s="319" t="str">
        <f ca="1">IF(AND(OFFSET('Player Game Board'!P40,0,WS1)&lt;&gt;"",OFFSET('Player Game Board'!Q40,0,WS1)&lt;&gt;""),IF(WS33&gt;WT33,"W",IF(WS33=WT33,"D","L")),"")</f>
        <v>D</v>
      </c>
      <c r="WW33" s="319" t="str">
        <f t="shared" ca="1" si="5555"/>
        <v>D</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Czechia</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4</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3</v>
      </c>
      <c r="ACT33" s="319">
        <f t="shared" ref="ACT33" ca="1" si="10712">SUMIF(AGN3:AGN60,ACP33,AGO3:AGO60)+SUMIF(AGQ3:AGQ60,ACP33,AGP3:AGP60)</f>
        <v>0</v>
      </c>
      <c r="ACU33" s="319">
        <f t="shared" ref="ACU33" ca="1" si="10713">SUMIF(AGQ3:AGQ60,ACP33,AGO3:AGO60)+SUMIF(AGN3:AGN60,ACP33,AGP3:AGP60)</f>
        <v>5</v>
      </c>
      <c r="ACV33" s="319">
        <f t="shared" ca="1" si="9825"/>
        <v>995</v>
      </c>
      <c r="ACW33" s="319">
        <f t="shared" ca="1" si="9826"/>
        <v>0</v>
      </c>
      <c r="ACX33" s="319">
        <f t="shared" si="810"/>
        <v>46</v>
      </c>
      <c r="ACY33" s="319">
        <f t="shared" ref="ACY33" ca="1" si="10714">IF(COUNTIF(ACW31:ACW35,4)&lt;&gt;4,RANK(ACW33,ACW31:ACW35),ACW73)</f>
        <v>4</v>
      </c>
      <c r="ACZ33" s="319"/>
      <c r="ADA33" s="319">
        <f t="shared" ref="ADA33" ca="1" si="10715">SUMPRODUCT((ACY31:ACY34=ACY33)*(ACX31:ACX34&lt;ACX33))+ACY33</f>
        <v>4</v>
      </c>
      <c r="ADB33" s="319" t="str">
        <f t="shared" ref="ADB33" ca="1" si="10716">INDEX(ACP31:ACP35,MATCH(3,ADA31:ADA35,0),0)</f>
        <v>Ukraine</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Ukraine</v>
      </c>
      <c r="AGL33" s="319">
        <v>3</v>
      </c>
      <c r="AGM33" s="319">
        <v>31</v>
      </c>
      <c r="AGN33" s="319" t="str">
        <f t="shared" si="66"/>
        <v>Netherlands</v>
      </c>
      <c r="AGO33" s="322">
        <f ca="1">IF(OFFSET('Player Game Board'!P40,0,AGO1)&lt;&gt;"",OFFSET('Player Game Board'!P40,0,AGO1),0)</f>
        <v>2</v>
      </c>
      <c r="AGP33" s="322">
        <f ca="1">IF(OFFSET('Player Game Board'!Q40,0,AGO1)&lt;&gt;"",OFFSET('Player Game Board'!Q40,0,AGO1),0)</f>
        <v>0</v>
      </c>
      <c r="AGQ33" s="319" t="str">
        <f t="shared" si="67"/>
        <v>Austria</v>
      </c>
      <c r="AGR33" s="319" t="str">
        <f ca="1">IF(AND(OFFSET('Player Game Board'!P40,0,AGO1)&lt;&gt;"",OFFSET('Player Game Board'!Q40,0,AGO1)&lt;&gt;""),IF(AGO33&gt;AGP33,"W",IF(AGO33=AGP33,"D","L")),"")</f>
        <v>W</v>
      </c>
      <c r="AGS33" s="319" t="str">
        <f t="shared" ca="1" si="5665"/>
        <v>L</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1</v>
      </c>
      <c r="AHP33" s="319">
        <f t="shared" ref="AHP33" ca="1" si="10775">SUMPRODUCT((ALL3:ALL42=AHN33)*(ALP3:ALP42="D"))+SUMPRODUCT((ALO3:ALO42=AHN33)*(ALQ3:ALQ42="D"))</f>
        <v>1</v>
      </c>
      <c r="AHQ33" s="319">
        <f t="shared" ref="AHQ33" ca="1" si="10776">SUMPRODUCT((ALL3:ALL42=AHN33)*(ALP3:ALP42="L"))+SUMPRODUCT((ALO3:ALO42=AHN33)*(ALQ3:ALQ42="L"))</f>
        <v>1</v>
      </c>
      <c r="AHR33" s="319">
        <f t="shared" ref="AHR33" ca="1" si="10777">SUMIF(ALL3:ALL60,AHN33,ALM3:ALM60)+SUMIF(ALO3:ALO60,AHN33,ALN3:ALN60)</f>
        <v>1</v>
      </c>
      <c r="AHS33" s="319">
        <f t="shared" ref="AHS33" ca="1" si="10778">SUMIF(ALO3:ALO60,AHN33,ALM3:ALM60)+SUMIF(ALL3:ALL60,AHN33,ALN3:ALN60)</f>
        <v>1</v>
      </c>
      <c r="AHT33" s="319">
        <f t="shared" ca="1" si="9863"/>
        <v>1000</v>
      </c>
      <c r="AHU33" s="319">
        <f t="shared" ca="1" si="9864"/>
        <v>4</v>
      </c>
      <c r="AHV33" s="319">
        <f t="shared" si="870"/>
        <v>46</v>
      </c>
      <c r="AHW33" s="319">
        <f t="shared" ref="AHW33" ca="1" si="10779">IF(COUNTIF(AHU31:AHU35,4)&lt;&gt;4,RANK(AHU33,AHU31:AHU35),AHU73)</f>
        <v>2</v>
      </c>
      <c r="AHX33" s="319"/>
      <c r="AHY33" s="319">
        <f t="shared" ref="AHY33" ca="1" si="10780">SUMPRODUCT((AHW31:AHW34=AHW33)*(AHV31:AHV34&lt;AHV33))+AHW33</f>
        <v>2</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2</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4</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2</v>
      </c>
      <c r="AMO33" s="319">
        <f t="shared" ref="AMO33" ca="1" si="10841">SUMPRODUCT((AQJ3:AQJ42=AML33)*(AQN3:AQN42="L"))+SUMPRODUCT((AQM3:AQM42=AML33)*(AQO3:AQO42="L"))</f>
        <v>1</v>
      </c>
      <c r="AMP33" s="319">
        <f t="shared" ref="AMP33" ca="1" si="10842">SUMIF(AQJ3:AQJ60,AML33,AQK3:AQK60)+SUMIF(AQM3:AQM60,AML33,AQL3:AQL60)</f>
        <v>1</v>
      </c>
      <c r="AMQ33" s="319">
        <f t="shared" ref="AMQ33" ca="1" si="10843">SUMIF(AQM3:AQM60,AML33,AQK3:AQK60)+SUMIF(AQJ3:AQJ60,AML33,AQL3:AQL60)</f>
        <v>3</v>
      </c>
      <c r="AMR33" s="319">
        <f t="shared" ca="1" si="9901"/>
        <v>998</v>
      </c>
      <c r="AMS33" s="319">
        <f t="shared" ca="1" si="9902"/>
        <v>2</v>
      </c>
      <c r="AMT33" s="319">
        <f t="shared" si="930"/>
        <v>46</v>
      </c>
      <c r="AMU33" s="319">
        <f t="shared" ref="AMU33" ca="1" si="10844">IF(COUNTIF(AMS31:AMS35,4)&lt;&gt;4,RANK(AMS33,AMS31:AMS35),AMS73)</f>
        <v>2</v>
      </c>
      <c r="AMV33" s="319"/>
      <c r="AMW33" s="319">
        <f t="shared" ref="AMW33" ca="1" si="10845">SUMPRODUCT((AMU31:AMU34=AMU33)*(AMT31:AMT34&lt;AMT33))+AMU33</f>
        <v>4</v>
      </c>
      <c r="AMX33" s="319" t="str">
        <f t="shared" ref="AMX33" ca="1" si="10846">INDEX(AML31:AML35,MATCH(3,AMW31:AMW35,0),0)</f>
        <v>Slovakia</v>
      </c>
      <c r="AMY33" s="319">
        <f t="shared" ref="AMY33" ca="1" si="10847">INDEX(AMU31:AMU35,MATCH(AMX33,AML31:AML35,0),0)</f>
        <v>2</v>
      </c>
      <c r="AMZ33" s="319" t="str">
        <f t="shared" ref="AMZ33:AMZ34" ca="1" si="10848">IF(AND(AMZ32&lt;&gt;"",AMY33=1),AMX33,"")</f>
        <v/>
      </c>
      <c r="ANA33" s="319" t="str">
        <f t="shared" ref="ANA33:ANA34" ca="1" si="10849">IF(AND(ANA32&lt;&gt;"",AMY34=2),AMX34,"")</f>
        <v>Romania</v>
      </c>
      <c r="ANB33" s="319" t="str">
        <f t="shared" ref="ANB33" ca="1" si="10850">IF(AND(ANB32&lt;&gt;"",AMY35=3),AMX35,"")</f>
        <v/>
      </c>
      <c r="ANC33" s="319"/>
      <c r="AND33" s="319"/>
      <c r="ANE33" s="319" t="str">
        <f t="shared" ca="1" si="9911"/>
        <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t="str">
        <f t="shared" ca="1" si="9918"/>
        <v/>
      </c>
      <c r="ANM33" s="319" t="str">
        <f t="shared" ref="ANM33" ca="1" si="10856">IF(ANE33&lt;&gt;"",VLOOKUP(ANE33,AML4:AMR40,7,FALSE),"")</f>
        <v/>
      </c>
      <c r="ANN33" s="319" t="str">
        <f t="shared" ref="ANN33" ca="1" si="10857">IF(ANE33&lt;&gt;"",VLOOKUP(ANE33,AML4:AMR40,5,FALSE),"")</f>
        <v/>
      </c>
      <c r="ANO33" s="319" t="str">
        <f t="shared" ref="ANO33" ca="1" si="10858">IF(ANE33&lt;&gt;"",VLOOKUP(ANE33,AML4:AMT40,9,FALSE),"")</f>
        <v/>
      </c>
      <c r="ANP33" s="319" t="str">
        <f t="shared" ca="1" si="9922"/>
        <v/>
      </c>
      <c r="ANQ33" s="319" t="str">
        <f t="shared" ref="ANQ33" ca="1" si="10859">IF(ANE33&lt;&gt;"",RANK(ANP33,ANP31:ANP35),"")</f>
        <v/>
      </c>
      <c r="ANR33" s="319" t="str">
        <f t="shared" ref="ANR33" ca="1" si="10860">IF(ANE33&lt;&gt;"",SUMPRODUCT((ANP31:ANP35=ANP33)*(ANK31:ANK35&gt;ANK33)),"")</f>
        <v/>
      </c>
      <c r="ANS33" s="319" t="str">
        <f t="shared" ref="ANS33" ca="1" si="10861">IF(ANE33&lt;&gt;"",SUMPRODUCT((ANP31:ANP35=ANP33)*(ANK31:ANK35=ANK33)*(ANI31:ANI35&gt;ANI33)),"")</f>
        <v/>
      </c>
      <c r="ANT33" s="319" t="str">
        <f t="shared" ref="ANT33" ca="1" si="10862">IF(ANE33&lt;&gt;"",SUMPRODUCT((ANP31:ANP35=ANP33)*(ANK31:ANK35=ANK33)*(ANI31:ANI35=ANI33)*(ANM31:ANM35&gt;ANM33)),"")</f>
        <v/>
      </c>
      <c r="ANU33" s="319" t="str">
        <f t="shared" ref="ANU33" ca="1" si="10863">IF(ANE33&lt;&gt;"",SUMPRODUCT((ANP31:ANP35=ANP33)*(ANK31:ANK35=ANK33)*(ANI31:ANI35=ANI33)*(ANM31:ANM35=ANM33)*(ANN31:ANN35&gt;ANN33)),"")</f>
        <v/>
      </c>
      <c r="ANV33" s="319" t="str">
        <f t="shared" ref="ANV33" ca="1" si="10864">IF(ANE33&lt;&gt;"",SUMPRODUCT((ANP31:ANP35=ANP33)*(ANK31:ANK35=ANK33)*(ANI31:ANI35=ANI33)*(ANM31:ANM35=ANM33)*(ANN31:ANN35=ANN33)*(ANO31:ANO35&gt;ANO33)),"")</f>
        <v/>
      </c>
      <c r="ANW33" s="319" t="str">
        <f ca="1">IF(ANE33&lt;&gt;"",IF(ANW73&lt;&gt;"",IF(AND70=3,ANW73,ANW73+AND70),SUM(ANQ33:ANV33)),"")</f>
        <v/>
      </c>
      <c r="ANX33" s="319" t="str">
        <f t="shared" ref="ANX33" ca="1" si="10865">IF(ANE33&lt;&gt;"",INDEX(ANE31:ANE35,MATCH(3,ANW31:ANW35,0),0),"")</f>
        <v/>
      </c>
      <c r="ANY33" s="319" t="str">
        <f t="shared" ca="1" si="10336"/>
        <v>Slovakia</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19">
        <f t="shared" ca="1" si="10342"/>
        <v>1000</v>
      </c>
      <c r="AOF33" s="319">
        <f t="shared" ca="1" si="10343"/>
        <v>2</v>
      </c>
      <c r="AOG33" s="319">
        <f t="shared" ref="AOG33" ca="1" si="10871">IF(ANY33&lt;&gt;"",VLOOKUP(ANY33,AML4:AMR40,7,FALSE),"")</f>
        <v>999</v>
      </c>
      <c r="AOH33" s="319">
        <f t="shared" ref="AOH33" ca="1" si="10872">IF(ANY33&lt;&gt;"",VLOOKUP(ANY33,AML4:AMR40,5,FALSE),"")</f>
        <v>1</v>
      </c>
      <c r="AOI33" s="319">
        <f t="shared" ref="AOI33" ca="1" si="10873">IF(ANY33&lt;&gt;"",VLOOKUP(ANY33,AML4:AMT40,9,FALSE),"")</f>
        <v>38</v>
      </c>
      <c r="AOJ33" s="319">
        <f t="shared" ca="1" si="10347"/>
        <v>2</v>
      </c>
      <c r="AOK33" s="319">
        <f t="shared" ref="AOK33" ca="1" si="10874">IF(ANY33&lt;&gt;"",RANK(AOJ33,AOJ31:AOJ35),"")</f>
        <v>1</v>
      </c>
      <c r="AOL33" s="319">
        <f t="shared" ref="AOL33" ca="1" si="10875">IF(ANY33&lt;&gt;"",SUMPRODUCT((AOJ31:AOJ35=AOJ33)*(AOE31:AOE35&gt;AOE33)),"")</f>
        <v>0</v>
      </c>
      <c r="AOM33" s="319">
        <f t="shared" ref="AOM33" ca="1" si="10876">IF(ANY33&lt;&gt;"",SUMPRODUCT((AOJ31:AOJ35=AOJ33)*(AOE31:AOE35=AOE33)*(AOC31:AOC35&gt;AOC33)),"")</f>
        <v>0</v>
      </c>
      <c r="AON33" s="319">
        <f t="shared" ref="AON33" ca="1" si="10877">IF(ANY33&lt;&gt;"",SUMPRODUCT((AOJ31:AOJ35=AOJ33)*(AOE31:AOE35=AOE33)*(AOC31:AOC35=AOC33)*(AOG31:AOG35&gt;AOG33)),"")</f>
        <v>0</v>
      </c>
      <c r="AOO33" s="319">
        <f t="shared" ref="AOO33" ca="1" si="10878">IF(ANY33&lt;&gt;"",SUMPRODUCT((AOJ31:AOJ35=AOJ33)*(AOE31:AOE35=AOE33)*(AOC31:AOC35=AOC33)*(AOG31:AOG35=AOG33)*(AOH31:AOH35&gt;AOH33)),"")</f>
        <v>0</v>
      </c>
      <c r="AOP33" s="319">
        <f t="shared" ref="AOP33" ca="1" si="10879">IF(ANY33&lt;&gt;"",SUMPRODUCT((AOJ31:AOJ35=AOJ33)*(AOE31:AOE35=AOE33)*(AOC31:AOC35=AOC33)*(AOG31:AOG35=AOG33)*(AOH31:AOH35=AOH33)*(AOI31:AOI35&gt;AOI33)),"")</f>
        <v>0</v>
      </c>
      <c r="AOQ33" s="319">
        <f ca="1">IF(ANY33&lt;&gt;"",IF(AOQ73&lt;&gt;"",IF(ANX70=3,AOQ73,AOQ73+ANX70),SUM(AOK33:AOP33)+1),"")</f>
        <v>2</v>
      </c>
      <c r="AOR33" s="319" t="str">
        <f t="shared" ref="AOR33" ca="1" si="10880">IF(ANY33&lt;&gt;"",INDEX(ANY32:ANY35,MATCH(3,AOQ32:AOQ35,0),0),"")</f>
        <v>Ukraine</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Ukraine</v>
      </c>
      <c r="AQH33" s="319">
        <v>3</v>
      </c>
      <c r="AQI33" s="319">
        <v>31</v>
      </c>
      <c r="AQJ33" s="319" t="str">
        <f t="shared" si="98"/>
        <v>Netherlands</v>
      </c>
      <c r="AQK33" s="322">
        <f ca="1">IF(OFFSET('Player Game Board'!P40,0,AQK1)&lt;&gt;"",OFFSET('Player Game Board'!P40,0,AQK1),0)</f>
        <v>2</v>
      </c>
      <c r="AQL33" s="322">
        <f ca="1">IF(OFFSET('Player Game Board'!Q40,0,AQK1)&lt;&gt;"",OFFSET('Player Game Board'!Q40,0,AQK1),0)</f>
        <v>1</v>
      </c>
      <c r="AQM33" s="319" t="str">
        <f t="shared" si="99"/>
        <v>Austria</v>
      </c>
      <c r="AQN33" s="319" t="str">
        <f ca="1">IF(AND(OFFSET('Player Game Board'!P40,0,AQK1)&lt;&gt;"",OFFSET('Player Game Board'!Q40,0,AQK1)&lt;&gt;""),IF(AQK33&gt;AQL33,"W",IF(AQK33=AQL33,"D","L")),"")</f>
        <v>W</v>
      </c>
      <c r="AQO33" s="319" t="str">
        <f t="shared" ca="1" si="5775"/>
        <v>L</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Czechia</v>
      </c>
      <c r="ARH33" s="325">
        <f t="shared" ca="1" si="5310"/>
        <v>1</v>
      </c>
      <c r="ARI33" s="319">
        <f t="shared" ref="ARI33" ca="1" si="10903">VLOOKUP(ARJ33,AVE31:AVF35,2,FALSE)</f>
        <v>3</v>
      </c>
      <c r="ARJ33" s="319" t="str">
        <f t="shared" si="9933"/>
        <v>Romania</v>
      </c>
      <c r="ARK33" s="319">
        <f t="shared" ref="ARK33" ca="1" si="10904">SUMPRODUCT((AVH3:AVH42=ARJ33)*(AVL3:AVL42="W"))+SUMPRODUCT((AVK3:AVK42=ARJ33)*(AVM3:AVM42="W"))</f>
        <v>1</v>
      </c>
      <c r="ARL33" s="319">
        <f t="shared" ref="ARL33" ca="1" si="10905">SUMPRODUCT((AVH3:AVH42=ARJ33)*(AVL3:AVL42="D"))+SUMPRODUCT((AVK3:AVK42=ARJ33)*(AVM3:AVM42="D"))</f>
        <v>1</v>
      </c>
      <c r="ARM33" s="319">
        <f t="shared" ref="ARM33" ca="1" si="10906">SUMPRODUCT((AVH3:AVH42=ARJ33)*(AVL3:AVL42="L"))+SUMPRODUCT((AVK3:AVK42=ARJ33)*(AVM3:AVM42="L"))</f>
        <v>1</v>
      </c>
      <c r="ARN33" s="319">
        <f t="shared" ref="ARN33" ca="1" si="10907">SUMIF(AVH3:AVH60,ARJ33,AVI3:AVI60)+SUMIF(AVK3:AVK60,ARJ33,AVJ3:AVJ60)</f>
        <v>5</v>
      </c>
      <c r="ARO33" s="319">
        <f t="shared" ref="ARO33" ca="1" si="10908">SUMIF(AVK3:AVK60,ARJ33,AVI3:AVI60)+SUMIF(AVH3:AVH60,ARJ33,AVJ3:AVJ60)</f>
        <v>2</v>
      </c>
      <c r="ARP33" s="319">
        <f t="shared" ca="1" si="9939"/>
        <v>1003</v>
      </c>
      <c r="ARQ33" s="319">
        <f t="shared" ca="1" si="9940"/>
        <v>4</v>
      </c>
      <c r="ARR33" s="319">
        <f t="shared" si="990"/>
        <v>46</v>
      </c>
      <c r="ARS33" s="319">
        <f t="shared" ref="ARS33" ca="1" si="10909">IF(COUNTIF(ARQ31:ARQ35,4)&lt;&gt;4,RANK(ARQ33,ARQ31:ARQ35),ARQ73)</f>
        <v>3</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3</v>
      </c>
      <c r="ARX33" s="319" t="str">
        <f t="shared" ref="ARX33:ARX34" ca="1" si="10913">IF(AND(ARX32&lt;&gt;"",ARW33=1),ARV33,"")</f>
        <v/>
      </c>
      <c r="ARY33" s="319" t="str">
        <f t="shared" ref="ARY33:ARY34" ca="1" si="10914">IF(AND(ARY32&lt;&gt;"",ARW34=2),ARV34,"")</f>
        <v/>
      </c>
      <c r="ARZ33" s="319" t="str">
        <f t="shared" ref="ARZ33" ca="1" si="10915">IF(AND(ARZ32&lt;&gt;"",ARW35=3),ARV35,"")</f>
        <v/>
      </c>
      <c r="ASA33" s="319"/>
      <c r="ASB33" s="319"/>
      <c r="ASC33" s="319" t="str">
        <f t="shared" ca="1" si="9949"/>
        <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t="str">
        <f t="shared" ca="1" si="9956"/>
        <v/>
      </c>
      <c r="ASK33" s="319" t="str">
        <f t="shared" ref="ASK33" ca="1" si="10921">IF(ASC33&lt;&gt;"",VLOOKUP(ASC33,ARJ4:ARP40,7,FALSE),"")</f>
        <v/>
      </c>
      <c r="ASL33" s="319" t="str">
        <f t="shared" ref="ASL33" ca="1" si="10922">IF(ASC33&lt;&gt;"",VLOOKUP(ASC33,ARJ4:ARP40,5,FALSE),"")</f>
        <v/>
      </c>
      <c r="ASM33" s="319" t="str">
        <f t="shared" ref="ASM33" ca="1" si="10923">IF(ASC33&lt;&gt;"",VLOOKUP(ASC33,ARJ4:ARR40,9,FALSE),"")</f>
        <v/>
      </c>
      <c r="ASN33" s="319" t="str">
        <f t="shared" ca="1" si="9960"/>
        <v/>
      </c>
      <c r="ASO33" s="319" t="str">
        <f t="shared" ref="ASO33" ca="1" si="10924">IF(ASC33&lt;&gt;"",RANK(ASN33,ASN31:ASN35),"")</f>
        <v/>
      </c>
      <c r="ASP33" s="319" t="str">
        <f t="shared" ref="ASP33" ca="1" si="10925">IF(ASC33&lt;&gt;"",SUMPRODUCT((ASN31:ASN35=ASN33)*(ASI31:ASI35&gt;ASI33)),"")</f>
        <v/>
      </c>
      <c r="ASQ33" s="319" t="str">
        <f t="shared" ref="ASQ33" ca="1" si="10926">IF(ASC33&lt;&gt;"",SUMPRODUCT((ASN31:ASN35=ASN33)*(ASI31:ASI35=ASI33)*(ASG31:ASG35&gt;ASG33)),"")</f>
        <v/>
      </c>
      <c r="ASR33" s="319" t="str">
        <f t="shared" ref="ASR33" ca="1" si="10927">IF(ASC33&lt;&gt;"",SUMPRODUCT((ASN31:ASN35=ASN33)*(ASI31:ASI35=ASI33)*(ASG31:ASG35=ASG33)*(ASK31:ASK35&gt;ASK33)),"")</f>
        <v/>
      </c>
      <c r="ASS33" s="319" t="str">
        <f t="shared" ref="ASS33" ca="1" si="10928">IF(ASC33&lt;&gt;"",SUMPRODUCT((ASN31:ASN35=ASN33)*(ASI31:ASI35=ASI33)*(ASG31:ASG35=ASG33)*(ASK31:ASK35=ASK33)*(ASL31:ASL35&gt;ASL33)),"")</f>
        <v/>
      </c>
      <c r="AST33" s="319" t="str">
        <f t="shared" ref="AST33" ca="1" si="10929">IF(ASC33&lt;&gt;"",SUMPRODUCT((ASN31:ASN35=ASN33)*(ASI31:ASI35=ASI33)*(ASG31:ASG35=ASG33)*(ASK31:ASK35=ASK33)*(ASL31:ASL35=ASL33)*(ASM31:ASM35&gt;ASM33)),"")</f>
        <v/>
      </c>
      <c r="ASU33" s="319" t="str">
        <f ca="1">IF(ASC33&lt;&gt;"",IF(ASU73&lt;&gt;"",IF(ASB70=3,ASU73,ASU73+ASB70),SUM(ASO33:AST33)),"")</f>
        <v/>
      </c>
      <c r="ASV33" s="319" t="str">
        <f t="shared" ref="ASV33" ca="1" si="10930">IF(ASC33&lt;&gt;"",INDEX(ASC31:ASC35,MATCH(3,ASU31:ASU35,0),0),"")</f>
        <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Romania</v>
      </c>
      <c r="AVF33" s="319">
        <v>3</v>
      </c>
      <c r="AVG33" s="319">
        <v>31</v>
      </c>
      <c r="AVH33" s="319" t="str">
        <f t="shared" si="114"/>
        <v>Netherlands</v>
      </c>
      <c r="AVI33" s="322">
        <f ca="1">IF(OFFSET('Player Game Board'!P40,0,AVI1)&lt;&gt;"",OFFSET('Player Game Board'!P40,0,AVI1),0)</f>
        <v>2</v>
      </c>
      <c r="AVJ33" s="322">
        <f ca="1">IF(OFFSET('Player Game Board'!Q40,0,AVI1)&lt;&gt;"",OFFSET('Player Game Board'!Q40,0,AVI1),0)</f>
        <v>1</v>
      </c>
      <c r="AVK33" s="319" t="str">
        <f t="shared" si="115"/>
        <v>Austria</v>
      </c>
      <c r="AVL33" s="319" t="str">
        <f ca="1">IF(AND(OFFSET('Player Game Board'!P40,0,AVI1)&lt;&gt;"",OFFSET('Player Game Board'!Q40,0,AVI1)&lt;&gt;""),IF(AVI33&gt;AVJ33,"W",IF(AVI33=AVJ33,"D","L")),"")</f>
        <v>W</v>
      </c>
      <c r="AVM33" s="319" t="str">
        <f t="shared" ca="1" si="5830"/>
        <v>L</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Czechia</v>
      </c>
      <c r="AWF33" s="325">
        <f t="shared" ca="1" si="5353"/>
        <v>1</v>
      </c>
      <c r="AWG33" s="319">
        <f t="shared" ref="AWG33" ca="1" si="10968">VLOOKUP(AWH33,BAC31:BAD35,2,FALSE)</f>
        <v>3</v>
      </c>
      <c r="AWH33" s="319" t="str">
        <f t="shared" si="9971"/>
        <v>Romania</v>
      </c>
      <c r="AWI33" s="319">
        <f t="shared" ref="AWI33" ca="1" si="10969">SUMPRODUCT((BAF3:BAF42=AWH33)*(BAJ3:BAJ42="W"))+SUMPRODUCT((BAI3:BAI42=AWH33)*(BAK3:BAK42="W"))</f>
        <v>1</v>
      </c>
      <c r="AWJ33" s="319">
        <f t="shared" ref="AWJ33" ca="1" si="10970">SUMPRODUCT((BAF3:BAF42=AWH33)*(BAJ3:BAJ42="D"))+SUMPRODUCT((BAI3:BAI42=AWH33)*(BAK3:BAK42="D"))</f>
        <v>0</v>
      </c>
      <c r="AWK33" s="319">
        <f t="shared" ref="AWK33" ca="1" si="10971">SUMPRODUCT((BAF3:BAF42=AWH33)*(BAJ3:BAJ42="L"))+SUMPRODUCT((BAI3:BAI42=AWH33)*(BAK3:BAK42="L"))</f>
        <v>2</v>
      </c>
      <c r="AWL33" s="319">
        <f t="shared" ref="AWL33" ca="1" si="10972">SUMIF(BAF3:BAF60,AWH33,BAG3:BAG60)+SUMIF(BAI3:BAI60,AWH33,BAH3:BAH60)</f>
        <v>5</v>
      </c>
      <c r="AWM33" s="319">
        <f t="shared" ref="AWM33" ca="1" si="10973">SUMIF(BAI3:BAI60,AWH33,BAG3:BAG60)+SUMIF(BAF3:BAF60,AWH33,BAH3:BAH60)</f>
        <v>7</v>
      </c>
      <c r="AWN33" s="319">
        <f t="shared" ca="1" si="9977"/>
        <v>998</v>
      </c>
      <c r="AWO33" s="319">
        <f t="shared" ca="1" si="9978"/>
        <v>3</v>
      </c>
      <c r="AWP33" s="319">
        <f t="shared" si="1050"/>
        <v>46</v>
      </c>
      <c r="AWQ33" s="319">
        <f t="shared" ref="AWQ33" ca="1" si="10974">IF(COUNTIF(AWO31:AWO35,4)&lt;&gt;4,RANK(AWO33,AWO31:AWO35),AWO73)</f>
        <v>3</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3</v>
      </c>
      <c r="AWV33" s="319" t="str">
        <f t="shared" ref="AWV33:AWV34" ca="1" si="10978">IF(AND(AWV32&lt;&gt;"",AWU33=1),AWT33,"")</f>
        <v/>
      </c>
      <c r="AWW33" s="319" t="str">
        <f t="shared" ref="AWW33:AWW34" ca="1" si="10979">IF(AND(AWW32&lt;&gt;"",AWU34=2),AWT34,"")</f>
        <v/>
      </c>
      <c r="AWX33" s="319" t="str">
        <f t="shared" ref="AWX33" ca="1" si="10980">IF(AND(AWX32&lt;&gt;"",AWU35=3),AWT35,"")</f>
        <v/>
      </c>
      <c r="AWY33" s="319"/>
      <c r="AWZ33" s="319"/>
      <c r="AXA33" s="319" t="str">
        <f t="shared" ca="1" si="9987"/>
        <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t="str">
        <f t="shared" ca="1" si="9994"/>
        <v/>
      </c>
      <c r="AXI33" s="319" t="str">
        <f t="shared" ref="AXI33" ca="1" si="10986">IF(AXA33&lt;&gt;"",VLOOKUP(AXA33,AWH4:AWN40,7,FALSE),"")</f>
        <v/>
      </c>
      <c r="AXJ33" s="319" t="str">
        <f t="shared" ref="AXJ33" ca="1" si="10987">IF(AXA33&lt;&gt;"",VLOOKUP(AXA33,AWH4:AWN40,5,FALSE),"")</f>
        <v/>
      </c>
      <c r="AXK33" s="319" t="str">
        <f t="shared" ref="AXK33" ca="1" si="10988">IF(AXA33&lt;&gt;"",VLOOKUP(AXA33,AWH4:AWP40,9,FALSE),"")</f>
        <v/>
      </c>
      <c r="AXL33" s="319" t="str">
        <f t="shared" ca="1" si="9998"/>
        <v/>
      </c>
      <c r="AXM33" s="319" t="str">
        <f t="shared" ref="AXM33" ca="1" si="10989">IF(AXA33&lt;&gt;"",RANK(AXL33,AXL31:AXL35),"")</f>
        <v/>
      </c>
      <c r="AXN33" s="319" t="str">
        <f t="shared" ref="AXN33" ca="1" si="10990">IF(AXA33&lt;&gt;"",SUMPRODUCT((AXL31:AXL35=AXL33)*(AXG31:AXG35&gt;AXG33)),"")</f>
        <v/>
      </c>
      <c r="AXO33" s="319" t="str">
        <f t="shared" ref="AXO33" ca="1" si="10991">IF(AXA33&lt;&gt;"",SUMPRODUCT((AXL31:AXL35=AXL33)*(AXG31:AXG35=AXG33)*(AXE31:AXE35&gt;AXE33)),"")</f>
        <v/>
      </c>
      <c r="AXP33" s="319" t="str">
        <f t="shared" ref="AXP33" ca="1" si="10992">IF(AXA33&lt;&gt;"",SUMPRODUCT((AXL31:AXL35=AXL33)*(AXG31:AXG35=AXG33)*(AXE31:AXE35=AXE33)*(AXI31:AXI35&gt;AXI33)),"")</f>
        <v/>
      </c>
      <c r="AXQ33" s="319" t="str">
        <f t="shared" ref="AXQ33" ca="1" si="10993">IF(AXA33&lt;&gt;"",SUMPRODUCT((AXL31:AXL35=AXL33)*(AXG31:AXG35=AXG33)*(AXE31:AXE35=AXE33)*(AXI31:AXI35=AXI33)*(AXJ31:AXJ35&gt;AXJ33)),"")</f>
        <v/>
      </c>
      <c r="AXR33" s="319" t="str">
        <f t="shared" ref="AXR33" ca="1" si="10994">IF(AXA33&lt;&gt;"",SUMPRODUCT((AXL31:AXL35=AXL33)*(AXG31:AXG35=AXG33)*(AXE31:AXE35=AXE33)*(AXI31:AXI35=AXI33)*(AXJ31:AXJ35=AXJ33)*(AXK31:AXK35&gt;AXK33)),"")</f>
        <v/>
      </c>
      <c r="AXS33" s="319" t="str">
        <f ca="1">IF(AXA33&lt;&gt;"",IF(AXS73&lt;&gt;"",IF(AWZ70=3,AXS73,AXS73+AWZ70),SUM(AXM33:AXR33)),"")</f>
        <v/>
      </c>
      <c r="AXT33" s="319" t="str">
        <f t="shared" ref="AXT33" ca="1" si="10995">IF(AXA33&lt;&gt;"",INDEX(AXA31:AXA35,MATCH(3,AXS31:AXS35,0),0),"")</f>
        <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Romania</v>
      </c>
      <c r="BAD33" s="319">
        <v>3</v>
      </c>
      <c r="BAE33" s="319">
        <v>31</v>
      </c>
      <c r="BAF33" s="319" t="str">
        <f t="shared" si="130"/>
        <v>Netherlands</v>
      </c>
      <c r="BAG33" s="322">
        <f ca="1">IF(OFFSET('Player Game Board'!P40,0,BAG1)&lt;&gt;"",OFFSET('Player Game Board'!P40,0,BAG1),0)</f>
        <v>3</v>
      </c>
      <c r="BAH33" s="322">
        <f ca="1">IF(OFFSET('Player Game Board'!Q40,0,BAG1)&lt;&gt;"",OFFSET('Player Game Board'!Q40,0,BAG1),0)</f>
        <v>1</v>
      </c>
      <c r="BAI33" s="319" t="str">
        <f t="shared" si="131"/>
        <v>Austria</v>
      </c>
      <c r="BAJ33" s="319" t="str">
        <f ca="1">IF(AND(OFFSET('Player Game Board'!P40,0,BAG1)&lt;&gt;"",OFFSET('Player Game Board'!Q40,0,BAG1)&lt;&gt;""),IF(BAG33&gt;BAH33,"W",IF(BAG33=BAH33,"D","L")),"")</f>
        <v>W</v>
      </c>
      <c r="BAK33" s="319" t="str">
        <f t="shared" ca="1" si="5885"/>
        <v>L</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0</v>
      </c>
      <c r="D34" s="319">
        <f>SUMPRODUCT((CZ3:CZ42=B34)*(DD3:DD42="D"))+SUMPRODUCT((DC3:DC42=B34)*(DE3:DE42="D"))</f>
        <v>0</v>
      </c>
      <c r="E34" s="319">
        <f>SUMPRODUCT((CZ3:CZ42=B34)*(DD3:DD42="L"))+SUMPRODUCT((DC3:DC42=B34)*(DE3:DE42="L"))</f>
        <v>1</v>
      </c>
      <c r="F34" s="319">
        <f>SUMIF(CZ3:CZ60,B34,DA3:DA60)+SUMIF(DC3:DC60,B34,DB3:DB60)</f>
        <v>0</v>
      </c>
      <c r="G34" s="319">
        <f>SUMIF(DC3:DC60,B34,DA3:DA60)+SUMIF(CZ3:CZ60,B34,DB3:DB60)</f>
        <v>3</v>
      </c>
      <c r="H34" s="319">
        <f t="shared" si="9692"/>
        <v>997</v>
      </c>
      <c r="I34" s="319">
        <f t="shared" si="9693"/>
        <v>0</v>
      </c>
      <c r="J34" s="319">
        <v>0</v>
      </c>
      <c r="K34" s="319">
        <f>IF(COUNTIF(I31:I35,4)&lt;&gt;4,RANK(I34,I31:I35),I74)</f>
        <v>3</v>
      </c>
      <c r="L34" s="319"/>
      <c r="M34" s="319">
        <f>SUMPRODUCT((K31:K34=K34)*(J31:J34&lt;J34))+K34</f>
        <v>3</v>
      </c>
      <c r="N34" s="319" t="str">
        <f>INDEX(B31:B35,MATCH(4,M31:M35,0),0)</f>
        <v>Belgium</v>
      </c>
      <c r="O34" s="319">
        <f>INDEX(K31:K35,MATCH(N34,B31:B35,0),0)</f>
        <v>3</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Belgium</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f t="shared" si="10507"/>
        <v>0</v>
      </c>
      <c r="BQ34" s="319">
        <f>IF(BI34&lt;&gt;"",VLOOKUP(BI34,B4:H40,7,FALSE),"")</f>
        <v>999</v>
      </c>
      <c r="BR34" s="319">
        <f>IF(BI34&lt;&gt;"",VLOOKUP(BI34,B4:H40,5,FALSE),"")</f>
        <v>0</v>
      </c>
      <c r="BS34" s="319">
        <f>IF(BI34&lt;&gt;"",VLOOKUP(BI34,B4:J40,9,FALSE),"")</f>
        <v>50</v>
      </c>
      <c r="BT34" s="319">
        <f t="shared" si="10508"/>
        <v>0</v>
      </c>
      <c r="BU34" s="319">
        <f>IF(BI34&lt;&gt;"",RANK(BT34,BT32:BT35),"")</f>
        <v>1</v>
      </c>
      <c r="BV34" s="319">
        <f>IF(BI34&lt;&gt;"",SUMPRODUCT((BT31:BT35=BT34)*(BO31:BO35&gt;BO34)),"")</f>
        <v>0</v>
      </c>
      <c r="BW34" s="319">
        <f>IF(BI34&lt;&gt;"",SUMPRODUCT((BT31:BT35=BT34)*(BO31:BO35=BO34)*(BM31:BM35&gt;BM34)),"")</f>
        <v>0</v>
      </c>
      <c r="BX34" s="319">
        <f>IF(BI34&lt;&gt;"",SUMPRODUCT((BT31:BT35=BT34)*(BO31:BO35=BO34)*(BM31:BM35=BM34)*(BQ31:BQ35&gt;BQ34)),"")</f>
        <v>0</v>
      </c>
      <c r="BY34" s="319">
        <f>IF(BI34&lt;&gt;"",SUMPRODUCT((BT31:BT35=BT34)*(BO31:BO35=BO34)*(BM31:BM35=BM34)*(BQ31:BQ35=BQ34)*(BR31:BR35&gt;BR34)),"")</f>
        <v>0</v>
      </c>
      <c r="BZ34" s="319">
        <f>IF(BI34&lt;&gt;"",SUMPRODUCT((BT31:BT35=BT34)*(BO31:BO35=BO34)*(BM31:BM35=BM34)*(BQ31:BQ35=BQ34)*(BR31:BR35=BR34)*(BS31:BS35&gt;BS34)),"")</f>
        <v>0</v>
      </c>
      <c r="CA34" s="319">
        <f>IF(BI34&lt;&gt;"",SUM(BU34:BZ34)+2,"")</f>
        <v>3</v>
      </c>
      <c r="CB34" s="319" t="str">
        <f>IF(BI34&lt;&gt;"",INDEX(BI33:BI35,MATCH(4,CA33:CA35,0),0),"")</f>
        <v>Ukraine</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3</v>
      </c>
      <c r="EE34" s="319">
        <f ca="1">SUMIF(IA3:IA60,DZ34,HY3:HY60)+SUMIF(HX3:HX60,DZ34,HZ3:HZ60)</f>
        <v>4</v>
      </c>
      <c r="EF34" s="319">
        <f t="shared" ca="1" si="9696"/>
        <v>999</v>
      </c>
      <c r="EG34" s="319">
        <f t="shared" ca="1" si="9697"/>
        <v>2</v>
      </c>
      <c r="EH34" s="319">
        <f t="shared" si="609"/>
        <v>0</v>
      </c>
      <c r="EI34" s="319">
        <f ca="1">IF(COUNTIF(EG31:EG35,4)&lt;&gt;4,RANK(EG34,EG31:EG35),EG74)</f>
        <v>3</v>
      </c>
      <c r="EJ34" s="319"/>
      <c r="EK34" s="319">
        <f ca="1">SUMPRODUCT((EI31:EI34=EI34)*(EH31:EH34&lt;EH34))+EI34</f>
        <v>3</v>
      </c>
      <c r="EL34" s="319" t="str">
        <f ca="1">INDEX(DZ31:DZ35,MATCH(4,EK31:EK35,0),0)</f>
        <v>Romania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13</v>
      </c>
      <c r="IW34" s="319">
        <f ca="1">VLOOKUP(IX34,MS31:MT35,2,FALSE)</f>
        <v>2</v>
      </c>
      <c r="IX34" s="319" t="str">
        <f t="shared" si="10053"/>
        <v>Ukraine</v>
      </c>
      <c r="IY34" s="319">
        <f ca="1">SUMPRODUCT((MV3:MV42=IX34)*(MZ3:MZ42="W"))+SUMPRODUCT((MY3:MY42=IX34)*(NA3:NA42="W"))</f>
        <v>1</v>
      </c>
      <c r="IZ34" s="319">
        <f ca="1">SUMPRODUCT((MV3:MV42=IX34)*(MZ3:MZ42="D"))+SUMPRODUCT((MY3:MY42=IX34)*(NA3:NA42="D"))</f>
        <v>1</v>
      </c>
      <c r="JA34" s="319">
        <f ca="1">SUMPRODUCT((MV3:MV42=IX34)*(MZ3:MZ42="L"))+SUMPRODUCT((MY3:MY42=IX34)*(NA3:NA42="L"))</f>
        <v>1</v>
      </c>
      <c r="JB34" s="319">
        <f ca="1">SUMIF(MV3:MV60,IX34,MW3:MW60)+SUMIF(MY3:MY60,IX34,MX3:MX60)</f>
        <v>5</v>
      </c>
      <c r="JC34" s="319">
        <f ca="1">SUMIF(MY3:MY60,IX34,MW3:MW60)+SUMIF(MV3:MV60,IX34,MX3:MX60)</f>
        <v>5</v>
      </c>
      <c r="JD34" s="319">
        <f t="shared" ca="1" si="9700"/>
        <v>1000</v>
      </c>
      <c r="JE34" s="319">
        <f t="shared" ca="1" si="9701"/>
        <v>4</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4</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0</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19">
        <f ca="1">LI34-LJ34+1000</f>
        <v>1000</v>
      </c>
      <c r="LL34" s="319" t="str">
        <f t="shared" ca="1" si="10511"/>
        <v/>
      </c>
      <c r="LM34" s="319" t="str">
        <f ca="1">IF(LE34&lt;&gt;"",VLOOKUP(LE34,IX4:JD40,7,FALSE),"")</f>
        <v/>
      </c>
      <c r="LN34" s="319" t="str">
        <f ca="1">IF(LE34&lt;&gt;"",VLOOKUP(LE34,IX4:JD40,5,FALSE),"")</f>
        <v/>
      </c>
      <c r="LO34" s="319" t="str">
        <f ca="1">IF(LE34&lt;&gt;"",VLOOKUP(LE34,IX4:JF40,9,FALSE),"")</f>
        <v/>
      </c>
      <c r="LP34" s="319" t="str">
        <f t="shared" ca="1" si="10512"/>
        <v/>
      </c>
      <c r="LQ34" s="319" t="str">
        <f ca="1">IF(LE34&lt;&gt;"",RANK(LP34,LP32:LP35),"")</f>
        <v/>
      </c>
      <c r="LR34" s="319" t="str">
        <f ca="1">IF(LE34&lt;&gt;"",SUMPRODUCT((LP31:LP35=LP34)*(LK31:LK35&gt;LK34)),"")</f>
        <v/>
      </c>
      <c r="LS34" s="319" t="str">
        <f ca="1">IF(LE34&lt;&gt;"",SUMPRODUCT((LP31:LP35=LP34)*(LK31:LK35=LK34)*(LI31:LI35&gt;LI34)),"")</f>
        <v/>
      </c>
      <c r="LT34" s="319" t="str">
        <f ca="1">IF(LE34&lt;&gt;"",SUMPRODUCT((LP31:LP35=LP34)*(LK31:LK35=LK34)*(LI31:LI35=LI34)*(LM31:LM35&gt;LM34)),"")</f>
        <v/>
      </c>
      <c r="LU34" s="319" t="str">
        <f ca="1">IF(LE34&lt;&gt;"",SUMPRODUCT((LP31:LP35=LP34)*(LK31:LK35=LK34)*(LI31:LI35=LI34)*(LM31:LM35=LM34)*(LN31:LN35&gt;LN34)),"")</f>
        <v/>
      </c>
      <c r="LV34" s="319" t="str">
        <f ca="1">IF(LE34&lt;&gt;"",SUMPRODUCT((LP31:LP35=LP34)*(LK31:LK35=LK34)*(LI31:LI35=LI34)*(LM31:LM35=LM34)*(LN31:LN35=LN34)*(LO31:LO35&gt;LO34)),"")</f>
        <v/>
      </c>
      <c r="LW34" s="319" t="str">
        <f ca="1">IF(LE34&lt;&gt;"",SUM(LQ34:LV34)+2,"")</f>
        <v/>
      </c>
      <c r="LX34" s="319" t="str">
        <f ca="1">IF(LE34&lt;&gt;"",INDEX(LE33:LE35,MATCH(4,LW33:LW35,0),0),"")</f>
        <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2</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2</v>
      </c>
      <c r="NX34" s="319">
        <f t="shared" ref="NX34" ca="1" si="11106">SUMPRODUCT((RT3:RT42=NV34)*(RX3:RX42="D"))+SUMPRODUCT((RW3:RW42=NV34)*(RY3:RY42="D"))</f>
        <v>0</v>
      </c>
      <c r="NY34" s="319">
        <f t="shared" ref="NY34" ca="1" si="11107">SUMPRODUCT((RT3:RT42=NV34)*(RX3:RX42="L"))+SUMPRODUCT((RW3:RW42=NV34)*(RY3:RY42="L"))</f>
        <v>1</v>
      </c>
      <c r="NZ34" s="319">
        <f t="shared" ref="NZ34" ca="1" si="11108">SUMIF(RT3:RT60,NV34,RU3:RU60)+SUMIF(RW3:RW60,NV34,RV3:RV60)</f>
        <v>4</v>
      </c>
      <c r="OA34" s="319">
        <f t="shared" ref="OA34" ca="1" si="11109">SUMIF(RW3:RW60,NV34,RU3:RU60)+SUMIF(RT3:RT60,NV34,RV3:RV60)</f>
        <v>3</v>
      </c>
      <c r="OB34" s="319">
        <f t="shared" ca="1" si="9711"/>
        <v>1001</v>
      </c>
      <c r="OC34" s="319">
        <f t="shared" ca="1" si="9712"/>
        <v>6</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Romania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Romania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11</v>
      </c>
      <c r="SS34" s="319">
        <f t="shared" ref="SS34" ca="1" si="11180">VLOOKUP(ST34,WO31:WP35,2,FALSE)</f>
        <v>2</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4</v>
      </c>
      <c r="SY34" s="319">
        <f t="shared" ref="SY34" ca="1" si="11185">SUMIF(WU3:WU60,ST34,WS3:WS60)+SUMIF(WR3:WR60,ST34,WT3:WT60)</f>
        <v>5</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3</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11</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3</v>
      </c>
      <c r="ACP34" s="319" t="str">
        <f t="shared" si="9819"/>
        <v>Ukraine</v>
      </c>
      <c r="ACQ34" s="319">
        <f t="shared" ref="ACQ34" ca="1" si="11333">SUMPRODUCT((AGN3:AGN42=ACP34)*(AGR3:AGR42="W"))+SUMPRODUCT((AGQ3:AGQ42=ACP34)*(AGS3:AGS42="W"))</f>
        <v>1</v>
      </c>
      <c r="ACR34" s="319">
        <f t="shared" ref="ACR34" ca="1" si="11334">SUMPRODUCT((AGN3:AGN42=ACP34)*(AGR3:AGR42="D"))+SUMPRODUCT((AGQ3:AGQ42=ACP34)*(AGS3:AGS42="D"))</f>
        <v>0</v>
      </c>
      <c r="ACS34" s="319">
        <f t="shared" ref="ACS34" ca="1" si="11335">SUMPRODUCT((AGN3:AGN42=ACP34)*(AGR3:AGR42="L"))+SUMPRODUCT((AGQ3:AGQ42=ACP34)*(AGS3:AGS42="L"))</f>
        <v>2</v>
      </c>
      <c r="ACT34" s="319">
        <f t="shared" ref="ACT34" ca="1" si="11336">SUMIF(AGN3:AGN60,ACP34,AGO3:AGO60)+SUMIF(AGQ3:AGQ60,ACP34,AGP3:AGP60)</f>
        <v>3</v>
      </c>
      <c r="ACU34" s="319">
        <f t="shared" ref="ACU34" ca="1" si="11337">SUMIF(AGQ3:AGQ60,ACP34,AGO3:AGO60)+SUMIF(AGN3:AGN60,ACP34,AGP3:AGP60)</f>
        <v>4</v>
      </c>
      <c r="ACV34" s="319">
        <f t="shared" ca="1" si="9825"/>
        <v>999</v>
      </c>
      <c r="ACW34" s="319">
        <f t="shared" ca="1" si="9826"/>
        <v>3</v>
      </c>
      <c r="ACX34" s="319">
        <f t="shared" si="810"/>
        <v>0</v>
      </c>
      <c r="ACY34" s="319">
        <f t="shared" ref="ACY34" ca="1" si="11338">IF(COUNTIF(ACW31:ACW35,4)&lt;&gt;4,RANK(ACW34,ACW31:ACW35),ACW74)</f>
        <v>3</v>
      </c>
      <c r="ACZ34" s="319"/>
      <c r="ADA34" s="319">
        <f t="shared" ref="ADA34" ca="1" si="11339">SUMPRODUCT((ACY31:ACY34=ACY34)*(ACX31:ACX34&lt;ACX34))+ACY34</f>
        <v>3</v>
      </c>
      <c r="ADB34" s="319" t="str">
        <f t="shared" ref="ADB34" ca="1" si="11340">INDEX(ACP31:ACP35,MATCH(4,ADA31:ADA35,0),0)</f>
        <v>Romania</v>
      </c>
      <c r="ADC34" s="319">
        <f t="shared" ref="ADC34" ca="1" si="11341">INDEX(ACY31:ACY35,MATCH(ADB34,ACP31:ACP35,0),0)</f>
        <v>4</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Romania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13</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1</v>
      </c>
      <c r="AHQ34" s="319">
        <f t="shared" ref="AHQ34" ca="1" si="11411">SUMPRODUCT((ALL3:ALL42=AHN34)*(ALP3:ALP42="L"))+SUMPRODUCT((ALO3:ALO42=AHN34)*(ALQ3:ALQ42="L"))</f>
        <v>2</v>
      </c>
      <c r="AHR34" s="319">
        <f t="shared" ref="AHR34" ca="1" si="11412">SUMIF(ALL3:ALL60,AHN34,ALM3:ALM60)+SUMIF(ALO3:ALO60,AHN34,ALN3:ALN60)</f>
        <v>0</v>
      </c>
      <c r="AHS34" s="319">
        <f t="shared" ref="AHS34" ca="1" si="11413">SUMIF(ALO3:ALO60,AHN34,ALM3:ALM60)+SUMIF(ALL3:ALL60,AHN34,ALN3:ALN60)</f>
        <v>3</v>
      </c>
      <c r="AHT34" s="319">
        <f t="shared" ca="1" si="9863"/>
        <v>997</v>
      </c>
      <c r="AHU34" s="319">
        <f t="shared" ca="1" si="9864"/>
        <v>1</v>
      </c>
      <c r="AHV34" s="319">
        <f t="shared" si="870"/>
        <v>0</v>
      </c>
      <c r="AHW34" s="319">
        <f t="shared" ref="AHW34" ca="1" si="11414">IF(COUNTIF(AHU31:AHU35,4)&lt;&gt;4,RANK(AHU34,AHU31:AHU35),AHU74)</f>
        <v>4</v>
      </c>
      <c r="AHX34" s="319"/>
      <c r="AHY34" s="319">
        <f t="shared" ref="AHY34" ca="1" si="11415">SUMPRODUCT((AHW31:AHW34=AHW34)*(AHV31:AHV34&lt;AHV34))+AHW34</f>
        <v>4</v>
      </c>
      <c r="AHZ34" s="319" t="str">
        <f t="shared" ref="AHZ34" ca="1" si="11416">INDEX(AHN31:AHN35,MATCH(4,AHY31:AHY35,0),0)</f>
        <v>Ukraine</v>
      </c>
      <c r="AIA34" s="319">
        <f t="shared" ref="AIA34" ca="1" si="11417">INDEX(AHW31:AHW35,MATCH(AHZ34,AHN31:AHN35,0),0)</f>
        <v>4</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13</v>
      </c>
      <c r="AMK34" s="319">
        <f t="shared" ref="AMK34" ca="1" si="11484">VLOOKUP(AML34,AQG31:AQH35,2,FALSE)</f>
        <v>3</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2</v>
      </c>
      <c r="AMO34" s="319">
        <f t="shared" ref="AMO34" ca="1" si="11487">SUMPRODUCT((AQJ3:AQJ42=AML34)*(AQN3:AQN42="L"))+SUMPRODUCT((AQM3:AQM42=AML34)*(AQO3:AQO42="L"))</f>
        <v>1</v>
      </c>
      <c r="AMP34" s="319">
        <f t="shared" ref="AMP34" ca="1" si="11488">SUMIF(AQJ3:AQJ60,AML34,AQK3:AQK60)+SUMIF(AQM3:AQM60,AML34,AQL3:AQL60)</f>
        <v>1</v>
      </c>
      <c r="AMQ34" s="319">
        <f t="shared" ref="AMQ34" ca="1" si="11489">SUMIF(AQM3:AQM60,AML34,AQK3:AQK60)+SUMIF(AQJ3:AQJ60,AML34,AQL3:AQL60)</f>
        <v>4</v>
      </c>
      <c r="AMR34" s="319">
        <f t="shared" ca="1" si="9901"/>
        <v>997</v>
      </c>
      <c r="AMS34" s="319">
        <f t="shared" ca="1" si="9902"/>
        <v>2</v>
      </c>
      <c r="AMT34" s="319">
        <f t="shared" si="930"/>
        <v>0</v>
      </c>
      <c r="AMU34" s="319">
        <f t="shared" ref="AMU34" ca="1" si="11490">IF(COUNTIF(AMS31:AMS35,4)&lt;&gt;4,RANK(AMS34,AMS31:AMS35),AMS74)</f>
        <v>2</v>
      </c>
      <c r="AMV34" s="319"/>
      <c r="AMW34" s="319">
        <f t="shared" ref="AMW34" ca="1" si="11491">SUMPRODUCT((AMU31:AMU34=AMU34)*(AMT31:AMT34&lt;AMT34))+AMU34</f>
        <v>2</v>
      </c>
      <c r="AMX34" s="319" t="str">
        <f t="shared" ref="AMX34" ca="1" si="11492">INDEX(AML31:AML35,MATCH(4,AMW31:AMW35,0),0)</f>
        <v>Romania</v>
      </c>
      <c r="AMY34" s="319">
        <f t="shared" ref="AMY34" ca="1" si="11493">INDEX(AMU31:AMU35,MATCH(AMX34,AML31:AML35,0),0)</f>
        <v>2</v>
      </c>
      <c r="AMZ34" s="319" t="str">
        <f t="shared" ca="1" si="10848"/>
        <v/>
      </c>
      <c r="ANA34" s="319" t="str">
        <f t="shared" ca="1" si="10849"/>
        <v/>
      </c>
      <c r="ANB34" s="319"/>
      <c r="ANC34" s="319"/>
      <c r="AND34" s="319"/>
      <c r="ANE34" s="319" t="str">
        <f t="shared" ca="1" si="9911"/>
        <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t="str">
        <f t="shared" ca="1" si="9918"/>
        <v/>
      </c>
      <c r="ANM34" s="319" t="str">
        <f t="shared" ref="ANM34" ca="1" si="11499">IF(ANE34&lt;&gt;"",VLOOKUP(ANE34,AML4:AMR40,7,FALSE),"")</f>
        <v/>
      </c>
      <c r="ANN34" s="319" t="str">
        <f t="shared" ref="ANN34" ca="1" si="11500">IF(ANE34&lt;&gt;"",VLOOKUP(ANE34,AML4:AMR40,5,FALSE),"")</f>
        <v/>
      </c>
      <c r="ANO34" s="319" t="str">
        <f t="shared" ref="ANO34" ca="1" si="11501">IF(ANE34&lt;&gt;"",VLOOKUP(ANE34,AML4:AMT40,9,FALSE),"")</f>
        <v/>
      </c>
      <c r="ANP34" s="319" t="str">
        <f t="shared" ca="1" si="9922"/>
        <v/>
      </c>
      <c r="ANQ34" s="319" t="str">
        <f t="shared" ref="ANQ34" ca="1" si="11502">IF(ANE34&lt;&gt;"",RANK(ANP34,ANP31:ANP35),"")</f>
        <v/>
      </c>
      <c r="ANR34" s="319" t="str">
        <f t="shared" ref="ANR34" ca="1" si="11503">IF(ANE34&lt;&gt;"",SUMPRODUCT((ANP31:ANP35=ANP34)*(ANK31:ANK35&gt;ANK34)),"")</f>
        <v/>
      </c>
      <c r="ANS34" s="319" t="str">
        <f t="shared" ref="ANS34" ca="1" si="11504">IF(ANE34&lt;&gt;"",SUMPRODUCT((ANP31:ANP35=ANP34)*(ANK31:ANK35=ANK34)*(ANI31:ANI35&gt;ANI34)),"")</f>
        <v/>
      </c>
      <c r="ANT34" s="319" t="str">
        <f t="shared" ref="ANT34" ca="1" si="11505">IF(ANE34&lt;&gt;"",SUMPRODUCT((ANP31:ANP35=ANP34)*(ANK31:ANK35=ANK34)*(ANI31:ANI35=ANI34)*(ANM31:ANM35&gt;ANM34)),"")</f>
        <v/>
      </c>
      <c r="ANU34" s="319" t="str">
        <f t="shared" ref="ANU34" ca="1" si="11506">IF(ANE34&lt;&gt;"",SUMPRODUCT((ANP31:ANP35=ANP34)*(ANK31:ANK35=ANK34)*(ANI31:ANI35=ANI34)*(ANM31:ANM35=ANM34)*(ANN31:ANN35&gt;ANN34)),"")</f>
        <v/>
      </c>
      <c r="ANV34" s="319" t="str">
        <f t="shared" ref="ANV34" ca="1" si="11507">IF(ANE34&lt;&gt;"",SUMPRODUCT((ANP31:ANP35=ANP34)*(ANK31:ANK35=ANK34)*(ANI31:ANI35=ANI34)*(ANM31:ANM35=ANM34)*(ANN31:ANN35=ANN34)*(ANO31:ANO35&gt;ANO34)),"")</f>
        <v/>
      </c>
      <c r="ANW34" s="319" t="str">
        <f ca="1">IF(ANE34&lt;&gt;"",IF(ANW74&lt;&gt;"",IF(AND70=3,ANW74,ANW74+AND70),SUM(ANQ34:ANV34)),"")</f>
        <v/>
      </c>
      <c r="ANX34" s="319" t="str">
        <f t="shared" ref="ANX34" ca="1" si="11508">IF(ANE34&lt;&gt;"",INDEX(ANE31:ANE35,MATCH(4,ANW31:ANW35,0),0),"")</f>
        <v/>
      </c>
      <c r="ANY34" s="319" t="str">
        <f t="shared" ca="1" si="10336"/>
        <v>Romania</v>
      </c>
      <c r="ANZ34" s="319">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19">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19">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f t="shared" ca="1" si="10343"/>
        <v>2</v>
      </c>
      <c r="AOG34" s="319">
        <f t="shared" ref="AOG34" ca="1" si="11514">IF(ANY34&lt;&gt;"",VLOOKUP(ANY34,AML4:AMR40,7,FALSE),"")</f>
        <v>998</v>
      </c>
      <c r="AOH34" s="319">
        <f t="shared" ref="AOH34" ca="1" si="11515">IF(ANY34&lt;&gt;"",VLOOKUP(ANY34,AML4:AMR40,5,FALSE),"")</f>
        <v>1</v>
      </c>
      <c r="AOI34" s="319">
        <f t="shared" ref="AOI34" ca="1" si="11516">IF(ANY34&lt;&gt;"",VLOOKUP(ANY34,AML4:AMT40,9,FALSE),"")</f>
        <v>46</v>
      </c>
      <c r="AOJ34" s="319">
        <f t="shared" ca="1" si="10347"/>
        <v>2</v>
      </c>
      <c r="AOK34" s="319">
        <f t="shared" ref="AOK34" ca="1" si="11517">IF(ANY34&lt;&gt;"",RANK(AOJ34,AOJ31:AOJ35),"")</f>
        <v>1</v>
      </c>
      <c r="AOL34" s="319">
        <f t="shared" ref="AOL34" ca="1" si="11518">IF(ANY34&lt;&gt;"",SUMPRODUCT((AOJ31:AOJ35=AOJ34)*(AOE31:AOE35&gt;AOE34)),"")</f>
        <v>0</v>
      </c>
      <c r="AOM34" s="319">
        <f t="shared" ref="AOM34" ca="1" si="11519">IF(ANY34&lt;&gt;"",SUMPRODUCT((AOJ31:AOJ35=AOJ34)*(AOE31:AOE35=AOE34)*(AOC31:AOC35&gt;AOC34)),"")</f>
        <v>2</v>
      </c>
      <c r="AON34" s="319">
        <f t="shared" ref="AON34" ca="1" si="11520">IF(ANY34&lt;&gt;"",SUMPRODUCT((AOJ31:AOJ35=AOJ34)*(AOE31:AOE35=AOE34)*(AOC31:AOC35=AOC34)*(AOG31:AOG35&gt;AOG34)),"")</f>
        <v>0</v>
      </c>
      <c r="AOO34" s="319">
        <f t="shared" ref="AOO34" ca="1" si="11521">IF(ANY34&lt;&gt;"",SUMPRODUCT((AOJ31:AOJ35=AOJ34)*(AOE31:AOE35=AOE34)*(AOC31:AOC35=AOC34)*(AOG31:AOG35=AOG34)*(AOH31:AOH35&gt;AOH34)),"")</f>
        <v>0</v>
      </c>
      <c r="AOP34" s="319">
        <f t="shared" ref="AOP34" ca="1" si="11522">IF(ANY34&lt;&gt;"",SUMPRODUCT((AOJ31:AOJ35=AOJ34)*(AOE31:AOE35=AOE34)*(AOC31:AOC35=AOC34)*(AOG31:AOG35=AOG34)*(AOH31:AOH35=AOH34)*(AOI31:AOI35&gt;AOI34)),"")</f>
        <v>0</v>
      </c>
      <c r="AOQ34" s="319">
        <f ca="1">IF(ANY34&lt;&gt;"",IF(AOQ74&lt;&gt;"",IF(ANX70=3,AOQ74,AOQ74+ANX70),SUM(AOK34:AOP34)+1),"")</f>
        <v>4</v>
      </c>
      <c r="AOR34" s="319" t="str">
        <f t="shared" ref="AOR34" ca="1" si="11523">IF(ANY34&lt;&gt;"",INDEX(ANY32:ANY35,MATCH(4,AOQ32:AOQ35,0),0),"")</f>
        <v>Romania</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Romania</v>
      </c>
      <c r="AQH34" s="319">
        <v>4</v>
      </c>
      <c r="AQI34" s="319">
        <v>32</v>
      </c>
      <c r="AQJ34" s="319" t="str">
        <f t="shared" si="98"/>
        <v>France</v>
      </c>
      <c r="AQK34" s="322">
        <f ca="1">IF(OFFSET('Player Game Board'!P41,0,AQK1)&lt;&gt;"",OFFSET('Player Game Board'!P41,0,AQK1),0)</f>
        <v>3</v>
      </c>
      <c r="AQL34" s="322">
        <f ca="1">IF(OFFSET('Player Game Board'!Q41,0,AQK1)&lt;&gt;"",OFFSET('Player Game Board'!Q41,0,AQK1),0)</f>
        <v>0</v>
      </c>
      <c r="AQM34" s="319" t="str">
        <f t="shared" si="99"/>
        <v>Poland</v>
      </c>
      <c r="AQN34" s="319" t="str">
        <f ca="1">IF(AND(OFFSET('Player Game Board'!P41,0,AQK1)&lt;&gt;"",OFFSET('Player Game Board'!Q41,0,AQK1)&lt;&gt;""),IF(AQK34&gt;AQL34,"W",IF(AQK34=AQL34,"D","L")),"")</f>
        <v>W</v>
      </c>
      <c r="AQO34" s="319" t="str">
        <f t="shared" ca="1" si="5775"/>
        <v>L</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3</v>
      </c>
      <c r="ARN34" s="319">
        <f t="shared" ref="ARN34" ca="1" si="11564">SUMIF(AVH3:AVH60,ARJ34,AVI3:AVI60)+SUMIF(AVK3:AVK60,ARJ34,AVJ3:AVJ60)</f>
        <v>3</v>
      </c>
      <c r="ARO34" s="319">
        <f t="shared" ref="ARO34" ca="1" si="11565">SUMIF(AVK3:AVK60,ARJ34,AVI3:AVI60)+SUMIF(AVH3:AVH60,ARJ34,AVJ3:AVJ60)</f>
        <v>10</v>
      </c>
      <c r="ARP34" s="319">
        <f t="shared" ca="1" si="9939"/>
        <v>993</v>
      </c>
      <c r="ARQ34" s="319">
        <f t="shared" ca="1" si="9940"/>
        <v>0</v>
      </c>
      <c r="ARR34" s="319">
        <f t="shared" si="990"/>
        <v>0</v>
      </c>
      <c r="ARS34" s="319">
        <f t="shared" ref="ARS34" ca="1" si="11566">IF(COUNTIF(ARQ31:ARQ35,4)&lt;&gt;4,RANK(ARQ34,ARQ31:ARQ35),ARQ74)</f>
        <v>4</v>
      </c>
      <c r="ART34" s="319"/>
      <c r="ARU34" s="319">
        <f t="shared" ref="ARU34" ca="1" si="11567">SUMPRODUCT((ARS31:ARS34=ARS34)*(ARR31:ARR34&lt;ARR34))+ARS34</f>
        <v>4</v>
      </c>
      <c r="ARV34" s="319" t="str">
        <f t="shared" ref="ARV34" ca="1" si="11568">INDEX(ARJ31:ARJ35,MATCH(4,ARU31:ARU35,0),0)</f>
        <v>Ukraine</v>
      </c>
      <c r="ARW34" s="319">
        <f t="shared" ref="ARW34" ca="1" si="11569">INDEX(ARS31:ARS35,MATCH(ARV34,ARJ31:ARJ35,0),0)</f>
        <v>4</v>
      </c>
      <c r="ARX34" s="319" t="str">
        <f t="shared" ca="1" si="10913"/>
        <v/>
      </c>
      <c r="ARY34" s="319" t="str">
        <f t="shared" ca="1" si="10914"/>
        <v/>
      </c>
      <c r="ARZ34" s="319"/>
      <c r="ASA34" s="319"/>
      <c r="ASB34" s="319"/>
      <c r="ASC34" s="319" t="str">
        <f t="shared" ca="1" si="9949"/>
        <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t="str">
        <f t="shared" ca="1" si="9956"/>
        <v/>
      </c>
      <c r="ASK34" s="319" t="str">
        <f t="shared" ref="ASK34" ca="1" si="11575">IF(ASC34&lt;&gt;"",VLOOKUP(ASC34,ARJ4:ARP40,7,FALSE),"")</f>
        <v/>
      </c>
      <c r="ASL34" s="319" t="str">
        <f t="shared" ref="ASL34" ca="1" si="11576">IF(ASC34&lt;&gt;"",VLOOKUP(ASC34,ARJ4:ARP40,5,FALSE),"")</f>
        <v/>
      </c>
      <c r="ASM34" s="319" t="str">
        <f t="shared" ref="ASM34" ca="1" si="11577">IF(ASC34&lt;&gt;"",VLOOKUP(ASC34,ARJ4:ARR40,9,FALSE),"")</f>
        <v/>
      </c>
      <c r="ASN34" s="319" t="str">
        <f t="shared" ca="1" si="9960"/>
        <v/>
      </c>
      <c r="ASO34" s="319" t="str">
        <f t="shared" ref="ASO34" ca="1" si="11578">IF(ASC34&lt;&gt;"",RANK(ASN34,ASN31:ASN35),"")</f>
        <v/>
      </c>
      <c r="ASP34" s="319" t="str">
        <f t="shared" ref="ASP34" ca="1" si="11579">IF(ASC34&lt;&gt;"",SUMPRODUCT((ASN31:ASN35=ASN34)*(ASI31:ASI35&gt;ASI34)),"")</f>
        <v/>
      </c>
      <c r="ASQ34" s="319" t="str">
        <f t="shared" ref="ASQ34" ca="1" si="11580">IF(ASC34&lt;&gt;"",SUMPRODUCT((ASN31:ASN35=ASN34)*(ASI31:ASI35=ASI34)*(ASG31:ASG35&gt;ASG34)),"")</f>
        <v/>
      </c>
      <c r="ASR34" s="319" t="str">
        <f t="shared" ref="ASR34" ca="1" si="11581">IF(ASC34&lt;&gt;"",SUMPRODUCT((ASN31:ASN35=ASN34)*(ASI31:ASI35=ASI34)*(ASG31:ASG35=ASG34)*(ASK31:ASK35&gt;ASK34)),"")</f>
        <v/>
      </c>
      <c r="ASS34" s="319" t="str">
        <f t="shared" ref="ASS34" ca="1" si="11582">IF(ASC34&lt;&gt;"",SUMPRODUCT((ASN31:ASN35=ASN34)*(ASI31:ASI35=ASI34)*(ASG31:ASG35=ASG34)*(ASK31:ASK35=ASK34)*(ASL31:ASL35&gt;ASL34)),"")</f>
        <v/>
      </c>
      <c r="AST34" s="319" t="str">
        <f t="shared" ref="AST34" ca="1" si="11583">IF(ASC34&lt;&gt;"",SUMPRODUCT((ASN31:ASN35=ASN34)*(ASI31:ASI35=ASI34)*(ASG31:ASG35=ASG34)*(ASK31:ASK35=ASK34)*(ASL31:ASL35=ASL34)*(ASM31:ASM35&gt;ASM34)),"")</f>
        <v/>
      </c>
      <c r="ASU34" s="319" t="str">
        <f ca="1">IF(ASC34&lt;&gt;"",IF(ASU74&lt;&gt;"",IF(ASB70=3,ASU74,ASU74+ASB70),SUM(ASO34:AST34)),"")</f>
        <v/>
      </c>
      <c r="ASV34" s="319" t="str">
        <f t="shared" ref="ASV34" ca="1" si="11584">IF(ASC34&lt;&gt;"",INDEX(ASC31:ASC35,MATCH(4,ASU31:ASU35,0),0),"")</f>
        <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3</v>
      </c>
      <c r="AVJ34" s="322">
        <f ca="1">IF(OFFSET('Player Game Board'!Q41,0,AVI1)&lt;&gt;"",OFFSET('Player Game Board'!Q41,0,AVI1),0)</f>
        <v>0</v>
      </c>
      <c r="AVK34" s="319" t="str">
        <f t="shared" si="115"/>
        <v>Poland</v>
      </c>
      <c r="AVL34" s="319" t="str">
        <f ca="1">IF(AND(OFFSET('Player Game Board'!P41,0,AVI1)&lt;&gt;"",OFFSET('Player Game Board'!Q41,0,AVI1)&lt;&gt;""),IF(AVI34&gt;AVJ34,"W",IF(AVI34=AVJ34,"D","L")),"")</f>
        <v>W</v>
      </c>
      <c r="AVM34" s="319" t="str">
        <f t="shared" ca="1" si="5830"/>
        <v>L</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3</v>
      </c>
      <c r="AWL34" s="319">
        <f t="shared" ref="AWL34" ca="1" si="11640">SUMIF(BAF3:BAF60,AWH34,BAG3:BAG60)+SUMIF(BAI3:BAI60,AWH34,BAH3:BAH60)</f>
        <v>2</v>
      </c>
      <c r="AWM34" s="319">
        <f t="shared" ref="AWM34" ca="1" si="11641">SUMIF(BAI3:BAI60,AWH34,BAG3:BAG60)+SUMIF(BAF3:BAF60,AWH34,BAH3:BAH60)</f>
        <v>7</v>
      </c>
      <c r="AWN34" s="319">
        <f t="shared" ca="1" si="9977"/>
        <v>995</v>
      </c>
      <c r="AWO34" s="319">
        <f t="shared" ca="1" si="9978"/>
        <v>0</v>
      </c>
      <c r="AWP34" s="319">
        <f t="shared" si="1050"/>
        <v>0</v>
      </c>
      <c r="AWQ34" s="319">
        <f t="shared" ref="AWQ34" ca="1" si="11642">IF(COUNTIF(AWO31:AWO35,4)&lt;&gt;4,RANK(AWO34,AWO31:AWO35),AWO74)</f>
        <v>4</v>
      </c>
      <c r="AWR34" s="319"/>
      <c r="AWS34" s="319">
        <f t="shared" ref="AWS34" ca="1" si="11643">SUMPRODUCT((AWQ31:AWQ34=AWQ34)*(AWP31:AWP34&lt;AWP34))+AWQ34</f>
        <v>4</v>
      </c>
      <c r="AWT34" s="319" t="str">
        <f t="shared" ref="AWT34" ca="1" si="11644">INDEX(AWH31:AWH35,MATCH(4,AWS31:AWS35,0),0)</f>
        <v>Ukraine</v>
      </c>
      <c r="AWU34" s="319">
        <f t="shared" ref="AWU34" ca="1" si="11645">INDEX(AWQ31:AWQ35,MATCH(AWT34,AWH31:AWH35,0),0)</f>
        <v>4</v>
      </c>
      <c r="AWV34" s="319" t="str">
        <f t="shared" ca="1" si="10978"/>
        <v/>
      </c>
      <c r="AWW34" s="319" t="str">
        <f t="shared" ca="1" si="10979"/>
        <v/>
      </c>
      <c r="AWX34" s="319"/>
      <c r="AWY34" s="319"/>
      <c r="AWZ34" s="319"/>
      <c r="AXA34" s="319" t="str">
        <f t="shared" ca="1" si="9987"/>
        <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t="str">
        <f t="shared" ca="1" si="9994"/>
        <v/>
      </c>
      <c r="AXI34" s="319" t="str">
        <f t="shared" ref="AXI34" ca="1" si="11651">IF(AXA34&lt;&gt;"",VLOOKUP(AXA34,AWH4:AWN40,7,FALSE),"")</f>
        <v/>
      </c>
      <c r="AXJ34" s="319" t="str">
        <f t="shared" ref="AXJ34" ca="1" si="11652">IF(AXA34&lt;&gt;"",VLOOKUP(AXA34,AWH4:AWN40,5,FALSE),"")</f>
        <v/>
      </c>
      <c r="AXK34" s="319" t="str">
        <f t="shared" ref="AXK34" ca="1" si="11653">IF(AXA34&lt;&gt;"",VLOOKUP(AXA34,AWH4:AWP40,9,FALSE),"")</f>
        <v/>
      </c>
      <c r="AXL34" s="319" t="str">
        <f t="shared" ca="1" si="9998"/>
        <v/>
      </c>
      <c r="AXM34" s="319" t="str">
        <f t="shared" ref="AXM34" ca="1" si="11654">IF(AXA34&lt;&gt;"",RANK(AXL34,AXL31:AXL35),"")</f>
        <v/>
      </c>
      <c r="AXN34" s="319" t="str">
        <f t="shared" ref="AXN34" ca="1" si="11655">IF(AXA34&lt;&gt;"",SUMPRODUCT((AXL31:AXL35=AXL34)*(AXG31:AXG35&gt;AXG34)),"")</f>
        <v/>
      </c>
      <c r="AXO34" s="319" t="str">
        <f t="shared" ref="AXO34" ca="1" si="11656">IF(AXA34&lt;&gt;"",SUMPRODUCT((AXL31:AXL35=AXL34)*(AXG31:AXG35=AXG34)*(AXE31:AXE35&gt;AXE34)),"")</f>
        <v/>
      </c>
      <c r="AXP34" s="319" t="str">
        <f t="shared" ref="AXP34" ca="1" si="11657">IF(AXA34&lt;&gt;"",SUMPRODUCT((AXL31:AXL35=AXL34)*(AXG31:AXG35=AXG34)*(AXE31:AXE35=AXE34)*(AXI31:AXI35&gt;AXI34)),"")</f>
        <v/>
      </c>
      <c r="AXQ34" s="319" t="str">
        <f t="shared" ref="AXQ34" ca="1" si="11658">IF(AXA34&lt;&gt;"",SUMPRODUCT((AXL31:AXL35=AXL34)*(AXG31:AXG35=AXG34)*(AXE31:AXE35=AXE34)*(AXI31:AXI35=AXI34)*(AXJ31:AXJ35&gt;AXJ34)),"")</f>
        <v/>
      </c>
      <c r="AXR34" s="319" t="str">
        <f t="shared" ref="AXR34" ca="1" si="11659">IF(AXA34&lt;&gt;"",SUMPRODUCT((AXL31:AXL35=AXL34)*(AXG31:AXG35=AXG34)*(AXE31:AXE35=AXE34)*(AXI31:AXI35=AXI34)*(AXJ31:AXJ35=AXJ34)*(AXK31:AXK35&gt;AXK34)),"")</f>
        <v/>
      </c>
      <c r="AXS34" s="319" t="str">
        <f ca="1">IF(AXA34&lt;&gt;"",IF(AXS74&lt;&gt;"",IF(AWZ70=3,AXS74,AXS74+AWZ70),SUM(AXM34:AXR34)),"")</f>
        <v/>
      </c>
      <c r="AXT34" s="319" t="str">
        <f t="shared" ref="AXT34" ca="1" si="11660">IF(AXA34&lt;&gt;"",INDEX(AXA31:AXA35,MATCH(4,AXS31:AXS35,0),0),"")</f>
        <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4</v>
      </c>
      <c r="BAH34" s="322">
        <f ca="1">IF(OFFSET('Player Game Board'!Q41,0,BAG1)&lt;&gt;"",OFFSET('Player Game Board'!Q41,0,BAG1),0)</f>
        <v>0</v>
      </c>
      <c r="BAI34" s="319" t="str">
        <f t="shared" si="131"/>
        <v>Poland</v>
      </c>
      <c r="BAJ34" s="319" t="str">
        <f ca="1">IF(AND(OFFSET('Player Game Board'!P41,0,BAG1)&lt;&gt;"",OFFSET('Player Game Board'!Q41,0,BAG1)&lt;&gt;""),IF(BAG34&gt;BAH34,"W",IF(BAG34=BAH34,"D","L")),"")</f>
        <v>W</v>
      </c>
      <c r="BAK34" s="319" t="str">
        <f t="shared" ca="1" si="5885"/>
        <v>L</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0</v>
      </c>
      <c r="IA35" s="319" t="str">
        <f t="shared" si="165"/>
        <v>Romania</v>
      </c>
      <c r="IB35" s="319" t="str">
        <f ca="1">IF(AND(OFFSET('Player Game Board'!P42,0,HY1)&lt;&gt;"",OFFSET('Player Game Board'!Q42,0,HY1)&lt;&gt;""),IF(HY35&gt;HZ35,"W",IF(HY35=HZ35,"D","L")),"")</f>
        <v>W</v>
      </c>
      <c r="IC35" s="319" t="str">
        <f t="shared" ca="1" si="166"/>
        <v>L</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2</v>
      </c>
      <c r="MX35" s="322">
        <f ca="1">IF(OFFSET('Player Game Board'!Q42,0,MW1)&lt;&gt;"",OFFSET('Player Game Board'!Q42,0,MW1),0)</f>
        <v>1</v>
      </c>
      <c r="MY35" s="319" t="str">
        <f t="shared" si="171"/>
        <v>Romania</v>
      </c>
      <c r="MZ35" s="319" t="str">
        <f ca="1">IF(AND(OFFSET('Player Game Board'!P42,0,MW1)&lt;&gt;"",OFFSET('Player Game Board'!Q42,0,MW1)&lt;&gt;""),IF(MW35&gt;MX35,"W",IF(MW35=MX35,"D","L")),"")</f>
        <v>W</v>
      </c>
      <c r="NA35" s="319" t="str">
        <f t="shared" ca="1" si="172"/>
        <v>L</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2</v>
      </c>
      <c r="RV35" s="322">
        <f ca="1">IF(OFFSET('Player Game Board'!Q42,0,RU1)&lt;&gt;"",OFFSET('Player Game Board'!Q42,0,RU1),0)</f>
        <v>0</v>
      </c>
      <c r="RW35" s="319" t="str">
        <f t="shared" si="19"/>
        <v>Romania</v>
      </c>
      <c r="RX35" s="319" t="str">
        <f ca="1">IF(AND(OFFSET('Player Game Board'!P42,0,RU1)&lt;&gt;"",OFFSET('Player Game Board'!Q42,0,RU1)&lt;&gt;""),IF(RU35&gt;RV35,"W",IF(RU35=RV35,"D","L")),"")</f>
        <v>W</v>
      </c>
      <c r="RY35" s="319" t="str">
        <f t="shared" ca="1" si="5500"/>
        <v>L</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1</v>
      </c>
      <c r="WT35" s="322">
        <f ca="1">IF(OFFSET('Player Game Board'!Q42,0,WS1)&lt;&gt;"",OFFSET('Player Game Board'!Q42,0,WS1),0)</f>
        <v>1</v>
      </c>
      <c r="WU35" s="319" t="str">
        <f t="shared" si="35"/>
        <v>Romania</v>
      </c>
      <c r="WV35" s="319" t="str">
        <f ca="1">IF(AND(OFFSET('Player Game Board'!P42,0,WS1)&lt;&gt;"",OFFSET('Player Game Board'!Q42,0,WS1)&lt;&gt;""),IF(WS35&gt;WT35,"W",IF(WS35=WT35,"D","L")),"")</f>
        <v>D</v>
      </c>
      <c r="WW35" s="319" t="str">
        <f t="shared" ca="1" si="5555"/>
        <v>D</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0</v>
      </c>
      <c r="AGQ35" s="319" t="str">
        <f t="shared" si="67"/>
        <v>Romania</v>
      </c>
      <c r="AGR35" s="319" t="str">
        <f ca="1">IF(AND(OFFSET('Player Game Board'!P42,0,AGO1)&lt;&gt;"",OFFSET('Player Game Board'!Q42,0,AGO1)&lt;&gt;""),IF(AGO35&gt;AGP35,"W",IF(AGO35=AGP35,"D","L")),"")</f>
        <v>W</v>
      </c>
      <c r="AGS35" s="319" t="str">
        <f t="shared" ca="1" si="5665"/>
        <v>L</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D</v>
      </c>
      <c r="AQO35" s="319" t="str">
        <f t="shared" ca="1" si="5775"/>
        <v>D</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1</v>
      </c>
      <c r="AVJ35" s="322">
        <f ca="1">IF(OFFSET('Player Game Board'!Q42,0,AVI1)&lt;&gt;"",OFFSET('Player Game Board'!Q42,0,AVI1),0)</f>
        <v>1</v>
      </c>
      <c r="AVK35" s="319" t="str">
        <f t="shared" si="115"/>
        <v>Romania</v>
      </c>
      <c r="AVL35" s="319" t="str">
        <f ca="1">IF(AND(OFFSET('Player Game Board'!P42,0,AVI1)&lt;&gt;"",OFFSET('Player Game Board'!Q42,0,AVI1)&lt;&gt;""),IF(AVI35&gt;AVJ35,"W",IF(AVI35=AVJ35,"D","L")),"")</f>
        <v>D</v>
      </c>
      <c r="AVM35" s="319" t="str">
        <f t="shared" ca="1" si="5830"/>
        <v>D</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2</v>
      </c>
      <c r="BAH35" s="322">
        <f ca="1">IF(OFFSET('Player Game Board'!Q42,0,BAG1)&lt;&gt;"",OFFSET('Player Game Board'!Q42,0,BAG1),0)</f>
        <v>1</v>
      </c>
      <c r="BAI35" s="319" t="str">
        <f t="shared" si="131"/>
        <v>Romania</v>
      </c>
      <c r="BAJ35" s="319" t="str">
        <f ca="1">IF(AND(OFFSET('Player Game Board'!P42,0,BAG1)&lt;&gt;"",OFFSET('Player Game Board'!Q42,0,BAG1)&lt;&gt;""),IF(BAG35&gt;BAH35,"W",IF(BAG35=BAH35,"D","L")),"")</f>
        <v>W</v>
      </c>
      <c r="BAK35" s="319" t="str">
        <f t="shared" ca="1" si="5885"/>
        <v>L</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3</v>
      </c>
      <c r="MY36" s="319" t="str">
        <f t="shared" si="171"/>
        <v>Belgium</v>
      </c>
      <c r="MZ36" s="319" t="str">
        <f ca="1">IF(AND(OFFSET('Player Game Board'!P43,0,MW1)&lt;&gt;"",OFFSET('Player Game Board'!Q43,0,MW1)&lt;&gt;""),IF(MW36&gt;MX36,"W",IF(MW36=MX36,"D","L")),"")</f>
        <v>L</v>
      </c>
      <c r="NA36" s="319" t="str">
        <f t="shared" ca="1" si="172"/>
        <v>W</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2</v>
      </c>
      <c r="RV36" s="322">
        <f ca="1">IF(OFFSET('Player Game Board'!Q43,0,RU1)&lt;&gt;"",OFFSET('Player Game Board'!Q43,0,RU1),0)</f>
        <v>3</v>
      </c>
      <c r="RW36" s="319" t="str">
        <f t="shared" si="19"/>
        <v>Belgium</v>
      </c>
      <c r="RX36" s="319" t="str">
        <f ca="1">IF(AND(OFFSET('Player Game Board'!P43,0,RU1)&lt;&gt;"",OFFSET('Player Game Board'!Q43,0,RU1)&lt;&gt;""),IF(RU36&gt;RV36,"W",IF(RU36=RV36,"D","L")),"")</f>
        <v>L</v>
      </c>
      <c r="RY36" s="319" t="str">
        <f t="shared" ca="1" si="5500"/>
        <v>W</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2</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2</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3</v>
      </c>
      <c r="AQM36" s="319" t="str">
        <f t="shared" si="99"/>
        <v>Belgium</v>
      </c>
      <c r="AQN36" s="319" t="str">
        <f ca="1">IF(AND(OFFSET('Player Game Board'!P43,0,AQK1)&lt;&gt;"",OFFSET('Player Game Board'!Q43,0,AQK1)&lt;&gt;""),IF(AQK36&gt;AQL36,"W",IF(AQK36=AQL36,"D","L")),"")</f>
        <v>L</v>
      </c>
      <c r="AQO36" s="319" t="str">
        <f t="shared" ca="1" si="5775"/>
        <v>W</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1</v>
      </c>
      <c r="AVJ36" s="322">
        <f ca="1">IF(OFFSET('Player Game Board'!Q43,0,AVI1)&lt;&gt;"",OFFSET('Player Game Board'!Q43,0,AVI1),0)</f>
        <v>3</v>
      </c>
      <c r="AVK36" s="319" t="str">
        <f t="shared" si="115"/>
        <v>Belgium</v>
      </c>
      <c r="AVL36" s="319" t="str">
        <f ca="1">IF(AND(OFFSET('Player Game Board'!P43,0,AVI1)&lt;&gt;"",OFFSET('Player Game Board'!Q43,0,AVI1)&lt;&gt;""),IF(AVI36&gt;AVJ36,"W",IF(AVI36=AVJ36,"D","L")),"")</f>
        <v>L</v>
      </c>
      <c r="AVM36" s="319" t="str">
        <f t="shared" ca="1" si="5830"/>
        <v>W</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1</v>
      </c>
      <c r="BAH36" s="322">
        <f ca="1">IF(OFFSET('Player Game Board'!Q43,0,BAG1)&lt;&gt;"",OFFSET('Player Game Board'!Q43,0,BAG1),0)</f>
        <v>3</v>
      </c>
      <c r="BAI36" s="319" t="str">
        <f t="shared" si="131"/>
        <v>Belgium</v>
      </c>
      <c r="BAJ36" s="319" t="str">
        <f ca="1">IF(AND(OFFSET('Player Game Board'!P43,0,BAG1)&lt;&gt;"",OFFSET('Player Game Board'!Q43,0,BAG1)&lt;&gt;""),IF(BAG36&gt;BAH36,"W",IF(BAG36=BAH36,"D","L")),"")</f>
        <v>L</v>
      </c>
      <c r="BAK36" s="319" t="str">
        <f t="shared" ca="1" si="5885"/>
        <v>W</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2</v>
      </c>
      <c r="EF37" s="319">
        <f t="shared" ref="EF37:EF40" ca="1" si="11792">ED37-EE37+1000</f>
        <v>1005</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3</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3</v>
      </c>
      <c r="IZ37" s="319">
        <f ca="1">SUMPRODUCT((MV3:MV42=IX37)*(MZ3:MZ42="D"))+SUMPRODUCT((MY3:MY42=IX37)*(NA3:NA42="D"))</f>
        <v>0</v>
      </c>
      <c r="JA37" s="319">
        <f ca="1">SUMPRODUCT((MV3:MV42=IX37)*(MZ3:MZ42="L"))+SUMPRODUCT((MY3:MY42=IX37)*(NA3:NA42="L"))</f>
        <v>0</v>
      </c>
      <c r="JB37" s="319">
        <f ca="1">SUMIF(MV3:MV60,IX37,MW3:MW60)+SUMIF(MY3:MY60,IX37,MX3:MX60)</f>
        <v>5</v>
      </c>
      <c r="JC37" s="319">
        <f ca="1">SUMIF(MY3:MY60,IX37,MW3:MW60)+SUMIF(MV3:MV60,IX37,MX3:MX60)</f>
        <v>1</v>
      </c>
      <c r="JD37" s="319">
        <f t="shared" ref="JD37:JD40" ca="1" si="11796">JB37-JC37+1000</f>
        <v>1004</v>
      </c>
      <c r="JE37" s="319">
        <f t="shared" ref="JE37:JE40" ca="1" si="11797">IY37*3+IZ37*1</f>
        <v>9</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3</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6</v>
      </c>
      <c r="OA37" s="319">
        <f t="shared" ref="OA37" ca="1" si="11806">SUMIF(RW3:RW60,NV37,RU3:RU60)+SUMIF(RT3:RT60,NV37,RV3:RV60)</f>
        <v>0</v>
      </c>
      <c r="OB37" s="319">
        <f t="shared" ref="OB37:OB40" ca="1" si="11807">NZ37-OA37+1000</f>
        <v>1006</v>
      </c>
      <c r="OC37" s="319">
        <f t="shared" ref="OC37:OC40" ca="1" si="11808">NW37*3+NX37*1</f>
        <v>9</v>
      </c>
      <c r="OD37" s="319">
        <f t="shared" si="630"/>
        <v>53</v>
      </c>
      <c r="OE37" s="319">
        <f t="shared" ref="OE37" ca="1" si="11809">IF(COUNTIF(OC37:OC41,4)&lt;&gt;4,RANK(OC37,OC37:OC41),OC77)</f>
        <v>1</v>
      </c>
      <c r="OF37" s="319"/>
      <c r="OG37" s="319">
        <f t="shared" ref="OG37" ca="1" si="11810">SUMPRODUCT((OE37:OE40=OE37)*(OD37:OD40&lt;OD37))+OE37</f>
        <v>1</v>
      </c>
      <c r="OH37" s="319" t="str">
        <f t="shared" ref="OH37" ca="1" si="11811">INDEX(NV37:NV41,MATCH(1,OG37:OG41,0),0)</f>
        <v>Portugal</v>
      </c>
      <c r="OI37" s="319">
        <f t="shared" ref="OI37" ca="1" si="11812">INDEX(OE37:OE41,MATCH(OH37,NV37:NV41,0),0)</f>
        <v>1</v>
      </c>
      <c r="OJ37" s="319" t="str">
        <f t="shared" ref="OJ37" ca="1" si="11813">IF(OI38=1,OH37,"")</f>
        <v/>
      </c>
      <c r="OK37" s="319" t="str">
        <f t="shared" ref="OK37" ca="1" si="11814">IF(OI39=2,OH38,"")</f>
        <v/>
      </c>
      <c r="OL37" s="319" t="str">
        <f t="shared" ref="OL37" ca="1" si="11815">IF(OI40=3,OH39,"")</f>
        <v/>
      </c>
      <c r="OM37" s="319" t="str">
        <f t="shared" ref="OM37" si="11816">IF(OI41=4,OH40,"")</f>
        <v/>
      </c>
      <c r="ON37" s="319"/>
      <c r="OO37" s="319" t="str">
        <f t="shared" ref="OO37:OO40" ca="1" si="11817">IF(OJ37&lt;&gt;"",OJ37,"")</f>
        <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t="str">
        <f t="shared" ref="OV37:OV40" ca="1" si="11824">IF(OO37&lt;&gt;"",OP37*3+OQ37*1,"")</f>
        <v/>
      </c>
      <c r="OW37" s="319" t="str">
        <f t="shared" ref="OW37" ca="1" si="11825">IF(OO37&lt;&gt;"",VLOOKUP(OO37,NV4:OB40,7,FALSE),"")</f>
        <v/>
      </c>
      <c r="OX37" s="319" t="str">
        <f t="shared" ref="OX37" ca="1" si="11826">IF(OO37&lt;&gt;"",VLOOKUP(OO37,NV4:OB40,5,FALSE),"")</f>
        <v/>
      </c>
      <c r="OY37" s="319" t="str">
        <f t="shared" ref="OY37" ca="1" si="11827">IF(OO37&lt;&gt;"",VLOOKUP(OO37,NV4:OD40,9,FALSE),"")</f>
        <v/>
      </c>
      <c r="OZ37" s="319" t="str">
        <f t="shared" ref="OZ37:OZ40" ca="1" si="11828">OV37</f>
        <v/>
      </c>
      <c r="PA37" s="319" t="str">
        <f t="shared" ref="PA37" ca="1" si="11829">IF(OO37&lt;&gt;"",RANK(OZ37,OZ37:OZ41),"")</f>
        <v/>
      </c>
      <c r="PB37" s="319" t="str">
        <f t="shared" ref="PB37" ca="1" si="11830">IF(OO37&lt;&gt;"",SUMPRODUCT((OZ37:OZ41=OZ37)*(OU37:OU41&gt;OU37)),"")</f>
        <v/>
      </c>
      <c r="PC37" s="319" t="str">
        <f t="shared" ref="PC37" ca="1" si="11831">IF(OO37&lt;&gt;"",SUMPRODUCT((OZ37:OZ41=OZ37)*(OU37:OU41=OU37)*(OS37:OS41&gt;OS37)),"")</f>
        <v/>
      </c>
      <c r="PD37" s="319" t="str">
        <f t="shared" ref="PD37" ca="1" si="11832">IF(OO37&lt;&gt;"",SUMPRODUCT((OZ37:OZ41=OZ37)*(OU37:OU41=OU37)*(OS37:OS41=OS37)*(OW37:OW41&gt;OW37)),"")</f>
        <v/>
      </c>
      <c r="PE37" s="319" t="str">
        <f t="shared" ref="PE37" ca="1" si="11833">IF(OO37&lt;&gt;"",SUMPRODUCT((OZ37:OZ41=OZ37)*(OU37:OU41=OU37)*(OS37:OS41=OS37)*(OW37:OW41=OW37)*(OX37:OX41&gt;OX37)),"")</f>
        <v/>
      </c>
      <c r="PF37" s="319" t="str">
        <f t="shared" ref="PF37" ca="1" si="11834">IF(OO37&lt;&gt;"",SUMPRODUCT((OZ37:OZ41=OZ37)*(OU37:OU41=OU37)*(OS37:OS41=OS37)*(OW37:OW41=OW37)*(OX37:OX41=OX37)*(OY37:OY41&gt;OY37)),"")</f>
        <v/>
      </c>
      <c r="PG37" s="319" t="str">
        <f ca="1">IF(OO37&lt;&gt;"",IF(PG77&lt;&gt;"",IF(ON76=3,PG77,PG77+ON76),SUM(PA37:PF37)),"")</f>
        <v/>
      </c>
      <c r="PH37" s="319" t="str">
        <f t="shared" ref="PH37" ca="1" si="11835">IF(OO37&lt;&gt;"",INDEX(OO37:OO41,MATCH(1,PG37:PG41,0),0),"")</f>
        <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2</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3</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9</v>
      </c>
      <c r="SY37" s="319">
        <f t="shared" ref="SY37" ca="1" si="11843">SUMIF(WU3:WU60,ST37,WS3:WS60)+SUMIF(WR3:WR60,ST37,WT3:WT60)</f>
        <v>3</v>
      </c>
      <c r="SZ37" s="319">
        <f t="shared" ref="SZ37:SZ40" ca="1" si="11844">SX37-SY37+1000</f>
        <v>1006</v>
      </c>
      <c r="TA37" s="319">
        <f t="shared" ref="TA37:TA40" ca="1" si="11845">SU37*3+SV37*1</f>
        <v>9</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Czechia</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1</v>
      </c>
      <c r="WT37" s="322">
        <f ca="1">IF(OFFSET('Player Game Board'!Q44,0,WS1)&lt;&gt;"",OFFSET('Player Game Board'!Q44,0,WS1),0)</f>
        <v>4</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3</v>
      </c>
      <c r="ACP37" s="319" t="str">
        <f t="shared" ref="ACP37:ACP40" si="11912">XR37</f>
        <v>Portugal</v>
      </c>
      <c r="ACQ37" s="319">
        <f t="shared" ref="ACQ37" ca="1" si="11913">SUMPRODUCT((AGN3:AGN42=ACP37)*(AGR3:AGR42="W"))+SUMPRODUCT((AGQ3:AGQ42=ACP37)*(AGS3:AGS42="W"))</f>
        <v>1</v>
      </c>
      <c r="ACR37" s="319">
        <f t="shared" ref="ACR37" ca="1" si="11914">SUMPRODUCT((AGN3:AGN42=ACP37)*(AGR3:AGR42="D"))+SUMPRODUCT((AGQ3:AGQ42=ACP37)*(AGS3:AGS42="D"))</f>
        <v>0</v>
      </c>
      <c r="ACS37" s="319">
        <f t="shared" ref="ACS37" ca="1" si="11915">SUMPRODUCT((AGN3:AGN42=ACP37)*(AGR3:AGR42="L"))+SUMPRODUCT((AGQ3:AGQ42=ACP37)*(AGS3:AGS42="L"))</f>
        <v>2</v>
      </c>
      <c r="ACT37" s="319">
        <f t="shared" ref="ACT37" ca="1" si="11916">SUMIF(AGN3:AGN60,ACP37,AGO3:AGO60)+SUMIF(AGQ3:AGQ60,ACP37,AGP3:AGP60)</f>
        <v>3</v>
      </c>
      <c r="ACU37" s="319">
        <f t="shared" ref="ACU37" ca="1" si="11917">SUMIF(AGQ3:AGQ60,ACP37,AGO3:AGO60)+SUMIF(AGN3:AGN60,ACP37,AGP3:AGP60)</f>
        <v>4</v>
      </c>
      <c r="ACV37" s="319">
        <f t="shared" ref="ACV37:ACV40" ca="1" si="11918">ACT37-ACU37+1000</f>
        <v>999</v>
      </c>
      <c r="ACW37" s="319">
        <f t="shared" ref="ACW37:ACW40" ca="1" si="11919">ACQ37*3+ACR37*1</f>
        <v>3</v>
      </c>
      <c r="ACX37" s="319">
        <f t="shared" si="810"/>
        <v>53</v>
      </c>
      <c r="ACY37" s="319">
        <f t="shared" ref="ACY37" ca="1" si="11920">IF(COUNTIF(ACW37:ACW41,4)&lt;&gt;4,RANK(ACW37,ACW37:ACW41),ACW77)</f>
        <v>3</v>
      </c>
      <c r="ACZ37" s="319"/>
      <c r="ADA37" s="319">
        <f t="shared" ref="ADA37" ca="1" si="11921">SUMPRODUCT((ACY37:ACY40=ACY37)*(ACX37:ACX40&lt;ACX37))+ACY37</f>
        <v>3</v>
      </c>
      <c r="ADB37" s="319" t="str">
        <f t="shared" ref="ADB37" ca="1" si="11922">INDEX(ACP37:ACP41,MATCH(1,ADA37:ADA41,0),0)</f>
        <v>Czechia</v>
      </c>
      <c r="ADC37" s="319">
        <f t="shared" ref="ADC37" ca="1" si="11923">INDEX(ACY37:ACY41,MATCH(ADB37,ACP37:ACP41,0),0)</f>
        <v>1</v>
      </c>
      <c r="ADD37" s="319" t="str">
        <f t="shared" ref="ADD37" ca="1" si="11924">IF(ADC38=1,ADB37,"")</f>
        <v>Czechia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Czechia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19">
        <f t="shared" ref="ADO37:ADO40" ca="1" si="11934">ADM37-ADN37+1000</f>
        <v>1000</v>
      </c>
      <c r="ADP37" s="319">
        <f t="shared" ref="ADP37:ADP40" ca="1" si="11935">IF(ADI37&lt;&gt;"",ADJ37*3+ADK37*1,"")</f>
        <v>1</v>
      </c>
      <c r="ADQ37" s="319">
        <f t="shared" ref="ADQ37" ca="1" si="11936">IF(ADI37&lt;&gt;"",VLOOKUP(ADI37,ACP4:ACV40,7,FALSE),"")</f>
        <v>1003</v>
      </c>
      <c r="ADR37" s="319">
        <f t="shared" ref="ADR37" ca="1" si="11937">IF(ADI37&lt;&gt;"",VLOOKUP(ADI37,ACP4:ACV40,5,FALSE),"")</f>
        <v>5</v>
      </c>
      <c r="ADS37" s="319">
        <f t="shared" ref="ADS37" ca="1" si="11938">IF(ADI37&lt;&gt;"",VLOOKUP(ADI37,ACP4:ACX40,9,FALSE),"")</f>
        <v>37</v>
      </c>
      <c r="ADT37" s="319">
        <f t="shared" ref="ADT37:ADT40" ca="1" si="11939">ADP37</f>
        <v>1</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1</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0</v>
      </c>
      <c r="AEA37" s="319">
        <f ca="1">IF(ADI37&lt;&gt;"",IF(AEA77&lt;&gt;"",IF(ADH76=3,AEA77,AEA77+ADH76),SUM(ADU37:ADZ37)),"")</f>
        <v>2</v>
      </c>
      <c r="AEB37" s="319" t="str">
        <f t="shared" ref="AEB37" ca="1" si="11946">IF(ADI37&lt;&gt;"",INDEX(ADI37:ADI41,MATCH(1,AEA37:AEA41,0),0),"")</f>
        <v>Türkiye</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Türkiye</v>
      </c>
      <c r="AGL37" s="319">
        <v>1</v>
      </c>
      <c r="AGM37" s="319">
        <v>35</v>
      </c>
      <c r="AGN37" s="319" t="str">
        <f t="shared" si="66"/>
        <v>Georgia</v>
      </c>
      <c r="AGO37" s="322">
        <f ca="1">IF(OFFSET('Player Game Board'!P44,0,AGO1)&lt;&gt;"",OFFSET('Player Game Board'!P44,0,AGO1),0)</f>
        <v>0</v>
      </c>
      <c r="AGP37" s="322">
        <f ca="1">IF(OFFSET('Player Game Board'!Q44,0,AGO1)&lt;&gt;"",OFFSET('Player Game Board'!Q44,0,AGO1),0)</f>
        <v>1</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3</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6</v>
      </c>
      <c r="AHS37" s="319">
        <f t="shared" ref="AHS37" ca="1" si="11954">SUMIF(ALO3:ALO60,AHN37,ALM3:ALM60)+SUMIF(ALL3:ALL60,AHN37,ALN3:ALN60)</f>
        <v>0</v>
      </c>
      <c r="AHT37" s="319">
        <f t="shared" ref="AHT37:AHT40" ca="1" si="11955">AHR37-AHS37+1000</f>
        <v>1006</v>
      </c>
      <c r="AHU37" s="319">
        <f t="shared" ref="AHU37:AHU40" ca="1" si="11956">AHO37*3+AHP37*1</f>
        <v>9</v>
      </c>
      <c r="AHV37" s="319">
        <f t="shared" si="870"/>
        <v>53</v>
      </c>
      <c r="AHW37" s="319">
        <f t="shared" ref="AHW37" ca="1" si="11957">IF(COUNTIF(AHU37:AHU41,4)&lt;&gt;4,RANK(AHU37,AHU37:AHU41),AHU77)</f>
        <v>1</v>
      </c>
      <c r="AHX37" s="319"/>
      <c r="AHY37" s="319">
        <f t="shared" ref="AHY37" ca="1" si="11958">SUMPRODUCT((AHW37:AHW40=AHW37)*(AHV37:AHV40&lt;AHV37))+AHW37</f>
        <v>1</v>
      </c>
      <c r="AHZ37" s="319" t="str">
        <f t="shared" ref="AHZ37" ca="1" si="11959">INDEX(AHN37:AHN41,MATCH(1,AHY37:AHY41,0),0)</f>
        <v>Portugal</v>
      </c>
      <c r="AIA37" s="319">
        <f t="shared" ref="AIA37" ca="1" si="11960">INDEX(AHW37:AHW41,MATCH(AHZ37,AHN37:AHN41,0),0)</f>
        <v>1</v>
      </c>
      <c r="AIB37" s="319" t="str">
        <f t="shared" ref="AIB37" ca="1" si="11961">IF(AIA38=1,AHZ37,"")</f>
        <v/>
      </c>
      <c r="AIC37" s="319" t="str">
        <f t="shared" ref="AIC37" ca="1" si="11962">IF(AIA39=2,AHZ38,"")</f>
        <v/>
      </c>
      <c r="AID37" s="319" t="str">
        <f t="shared" ref="AID37" ca="1" si="11963">IF(AIA40=3,AHZ39,"")</f>
        <v>Georgia</v>
      </c>
      <c r="AIE37" s="319" t="str">
        <f t="shared" ref="AIE37" si="11964">IF(AIA41=4,AHZ40,"")</f>
        <v/>
      </c>
      <c r="AIF37" s="319"/>
      <c r="AIG37" s="319" t="str">
        <f t="shared" ref="AIG37:AIG40" ca="1" si="11965">IF(AIB37&lt;&gt;"",AIB37,"")</f>
        <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t="str">
        <f t="shared" ref="AIN37:AIN40" ca="1" si="11972">IF(AIG37&lt;&gt;"",AIH37*3+AII37*1,"")</f>
        <v/>
      </c>
      <c r="AIO37" s="319" t="str">
        <f t="shared" ref="AIO37" ca="1" si="11973">IF(AIG37&lt;&gt;"",VLOOKUP(AIG37,AHN4:AHT40,7,FALSE),"")</f>
        <v/>
      </c>
      <c r="AIP37" s="319" t="str">
        <f t="shared" ref="AIP37" ca="1" si="11974">IF(AIG37&lt;&gt;"",VLOOKUP(AIG37,AHN4:AHT40,5,FALSE),"")</f>
        <v/>
      </c>
      <c r="AIQ37" s="319" t="str">
        <f t="shared" ref="AIQ37" ca="1" si="11975">IF(AIG37&lt;&gt;"",VLOOKUP(AIG37,AHN4:AHV40,9,FALSE),"")</f>
        <v/>
      </c>
      <c r="AIR37" s="319" t="str">
        <f t="shared" ref="AIR37:AIR40" ca="1" si="11976">AIN37</f>
        <v/>
      </c>
      <c r="AIS37" s="319" t="str">
        <f t="shared" ref="AIS37" ca="1" si="11977">IF(AIG37&lt;&gt;"",RANK(AIR37,AIR37:AIR41),"")</f>
        <v/>
      </c>
      <c r="AIT37" s="319" t="str">
        <f t="shared" ref="AIT37" ca="1" si="11978">IF(AIG37&lt;&gt;"",SUMPRODUCT((AIR37:AIR41=AIR37)*(AIM37:AIM41&gt;AIM37)),"")</f>
        <v/>
      </c>
      <c r="AIU37" s="319" t="str">
        <f t="shared" ref="AIU37" ca="1" si="11979">IF(AIG37&lt;&gt;"",SUMPRODUCT((AIR37:AIR41=AIR37)*(AIM37:AIM41=AIM37)*(AIK37:AIK41&gt;AIK37)),"")</f>
        <v/>
      </c>
      <c r="AIV37" s="319" t="str">
        <f t="shared" ref="AIV37" ca="1" si="11980">IF(AIG37&lt;&gt;"",SUMPRODUCT((AIR37:AIR41=AIR37)*(AIM37:AIM41=AIM37)*(AIK37:AIK41=AIK37)*(AIO37:AIO41&gt;AIO37)),"")</f>
        <v/>
      </c>
      <c r="AIW37" s="319" t="str">
        <f t="shared" ref="AIW37" ca="1" si="11981">IF(AIG37&lt;&gt;"",SUMPRODUCT((AIR37:AIR41=AIR37)*(AIM37:AIM41=AIM37)*(AIK37:AIK41=AIK37)*(AIO37:AIO41=AIO37)*(AIP37:AIP41&gt;AIP37)),"")</f>
        <v/>
      </c>
      <c r="AIX37" s="319" t="str">
        <f t="shared" ref="AIX37" ca="1" si="11982">IF(AIG37&lt;&gt;"",SUMPRODUCT((AIR37:AIR41=AIR37)*(AIM37:AIM41=AIM37)*(AIK37:AIK41=AIK37)*(AIO37:AIO41=AIO37)*(AIP37:AIP41=AIP37)*(AIQ37:AIQ41&gt;AIQ37)),"")</f>
        <v/>
      </c>
      <c r="AIY37" s="319" t="str">
        <f ca="1">IF(AIG37&lt;&gt;"",IF(AIY77&lt;&gt;"",IF(AIF76=3,AIY77,AIY77+AIF76),SUM(AIS37:AIX37)),"")</f>
        <v/>
      </c>
      <c r="AIZ37" s="319" t="str">
        <f t="shared" ref="AIZ37" ca="1" si="11983">IF(AIG37&lt;&gt;"",INDEX(AIG37:AIG41,MATCH(1,AIY37:AIY41,0),0),"")</f>
        <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2</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3</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6</v>
      </c>
      <c r="AMQ37" s="319">
        <f t="shared" ref="AMQ37" ca="1" si="11991">SUMIF(AQM3:AQM60,AML37,AQK3:AQK60)+SUMIF(AQJ3:AQJ60,AML37,AQL3:AQL60)</f>
        <v>1</v>
      </c>
      <c r="AMR37" s="319">
        <f t="shared" ref="AMR37:AMR40" ca="1" si="11992">AMP37-AMQ37+1000</f>
        <v>1005</v>
      </c>
      <c r="AMS37" s="319">
        <f t="shared" ref="AMS37:AMS40" ca="1" si="11993">AMM37*3+AMN37*1</f>
        <v>9</v>
      </c>
      <c r="AMT37" s="319">
        <f t="shared" si="930"/>
        <v>53</v>
      </c>
      <c r="AMU37" s="319">
        <f t="shared" ref="AMU37" ca="1" si="11994">IF(COUNTIF(AMS37:AMS41,4)&lt;&gt;4,RANK(AMS37,AMS37:AMS41),AMS77)</f>
        <v>1</v>
      </c>
      <c r="AMV37" s="319"/>
      <c r="AMW37" s="319">
        <f t="shared" ref="AMW37" ca="1" si="11995">SUMPRODUCT((AMU37:AMU40=AMU37)*(AMT37:AMT40&lt;AMT37))+AMU37</f>
        <v>1</v>
      </c>
      <c r="AMX37" s="319" t="str">
        <f t="shared" ref="AMX37" ca="1" si="11996">INDEX(AML37:AML41,MATCH(1,AMW37:AMW41,0),0)</f>
        <v>Portugal</v>
      </c>
      <c r="AMY37" s="319">
        <f t="shared" ref="AMY37" ca="1" si="11997">INDEX(AMU37:AMU41,MATCH(AMX37,AML37:AML41,0),0)</f>
        <v>1</v>
      </c>
      <c r="AMZ37" s="319" t="str">
        <f t="shared" ref="AMZ37" ca="1" si="11998">IF(AMY38=1,AMX37,"")</f>
        <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t="str">
        <f t="shared" ref="ANL37:ANL40" ca="1" si="12009">IF(ANE37&lt;&gt;"",ANF37*3+ANG37*1,"")</f>
        <v/>
      </c>
      <c r="ANM37" s="319" t="str">
        <f t="shared" ref="ANM37" ca="1" si="12010">IF(ANE37&lt;&gt;"",VLOOKUP(ANE37,AML4:AMR40,7,FALSE),"")</f>
        <v/>
      </c>
      <c r="ANN37" s="319" t="str">
        <f t="shared" ref="ANN37" ca="1" si="12011">IF(ANE37&lt;&gt;"",VLOOKUP(ANE37,AML4:AMR40,5,FALSE),"")</f>
        <v/>
      </c>
      <c r="ANO37" s="319" t="str">
        <f t="shared" ref="ANO37" ca="1" si="12012">IF(ANE37&lt;&gt;"",VLOOKUP(ANE37,AML4:AMT40,9,FALSE),"")</f>
        <v/>
      </c>
      <c r="ANP37" s="319" t="str">
        <f t="shared" ref="ANP37:ANP40" ca="1" si="12013">ANL37</f>
        <v/>
      </c>
      <c r="ANQ37" s="319" t="str">
        <f t="shared" ref="ANQ37" ca="1" si="12014">IF(ANE37&lt;&gt;"",RANK(ANP37,ANP37:ANP41),"")</f>
        <v/>
      </c>
      <c r="ANR37" s="319" t="str">
        <f t="shared" ref="ANR37" ca="1" si="12015">IF(ANE37&lt;&gt;"",SUMPRODUCT((ANP37:ANP41=ANP37)*(ANK37:ANK41&gt;ANK37)),"")</f>
        <v/>
      </c>
      <c r="ANS37" s="319" t="str">
        <f t="shared" ref="ANS37" ca="1" si="12016">IF(ANE37&lt;&gt;"",SUMPRODUCT((ANP37:ANP41=ANP37)*(ANK37:ANK41=ANK37)*(ANI37:ANI41&gt;ANI37)),"")</f>
        <v/>
      </c>
      <c r="ANT37" s="319" t="str">
        <f t="shared" ref="ANT37" ca="1" si="12017">IF(ANE37&lt;&gt;"",SUMPRODUCT((ANP37:ANP41=ANP37)*(ANK37:ANK41=ANK37)*(ANI37:ANI41=ANI37)*(ANM37:ANM41&gt;ANM37)),"")</f>
        <v/>
      </c>
      <c r="ANU37" s="319" t="str">
        <f t="shared" ref="ANU37" ca="1" si="12018">IF(ANE37&lt;&gt;"",SUMPRODUCT((ANP37:ANP41=ANP37)*(ANK37:ANK41=ANK37)*(ANI37:ANI41=ANI37)*(ANM37:ANM41=ANM37)*(ANN37:ANN41&gt;ANN37)),"")</f>
        <v/>
      </c>
      <c r="ANV37" s="319" t="str">
        <f t="shared" ref="ANV37" ca="1" si="12019">IF(ANE37&lt;&gt;"",SUMPRODUCT((ANP37:ANP41=ANP37)*(ANK37:ANK41=ANK37)*(ANI37:ANI41=ANI37)*(ANM37:ANM41=ANM37)*(ANN37:ANN41=ANN37)*(ANO37:ANO41&gt;ANO37)),"")</f>
        <v/>
      </c>
      <c r="ANW37" s="319" t="str">
        <f ca="1">IF(ANE37&lt;&gt;"",IF(ANW77&lt;&gt;"",IF(AND76=3,ANW77,ANW77+AND76),SUM(ANQ37:ANV37)),"")</f>
        <v/>
      </c>
      <c r="ANX37" s="319" t="str">
        <f t="shared" ref="ANX37" ca="1" si="12020">IF(ANE37&lt;&gt;"",INDEX(ANE37:ANE41,MATCH(1,ANW37:ANW41,0),0),"")</f>
        <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2</v>
      </c>
      <c r="AQM37" s="319" t="str">
        <f t="shared" si="99"/>
        <v>Portugal</v>
      </c>
      <c r="AQN37" s="319" t="str">
        <f ca="1">IF(AND(OFFSET('Player Game Board'!P44,0,AQK1)&lt;&gt;"",OFFSET('Player Game Board'!Q44,0,AQK1)&lt;&gt;""),IF(AQK37&gt;AQL37,"W",IF(AQK37=AQL37,"D","L")),"")</f>
        <v>L</v>
      </c>
      <c r="AQO37" s="319" t="str">
        <f t="shared" ca="1" si="5775"/>
        <v>W</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4</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1</v>
      </c>
      <c r="ARM37" s="319">
        <f t="shared" ref="ARM37" ca="1" si="12026">SUMPRODUCT((AVH3:AVH42=ARJ37)*(AVL3:AVL42="L"))+SUMPRODUCT((AVK3:AVK42=ARJ37)*(AVM3:AVM42="L"))</f>
        <v>2</v>
      </c>
      <c r="ARN37" s="319">
        <f t="shared" ref="ARN37" ca="1" si="12027">SUMIF(AVH3:AVH60,ARJ37,AVI3:AVI60)+SUMIF(AVK3:AVK60,ARJ37,AVJ3:AVJ60)</f>
        <v>2</v>
      </c>
      <c r="ARO37" s="319">
        <f t="shared" ref="ARO37" ca="1" si="12028">SUMIF(AVK3:AVK60,ARJ37,AVI3:AVI60)+SUMIF(AVH3:AVH60,ARJ37,AVJ3:AVJ60)</f>
        <v>6</v>
      </c>
      <c r="ARP37" s="319">
        <f t="shared" ref="ARP37:ARP40" ca="1" si="12029">ARN37-ARO37+1000</f>
        <v>996</v>
      </c>
      <c r="ARQ37" s="319">
        <f t="shared" ref="ARQ37:ARQ40" ca="1" si="12030">ARK37*3+ARL37*1</f>
        <v>1</v>
      </c>
      <c r="ARR37" s="319">
        <f t="shared" si="990"/>
        <v>53</v>
      </c>
      <c r="ARS37" s="319">
        <f t="shared" ref="ARS37" ca="1" si="12031">IF(COUNTIF(ARQ37:ARQ41,4)&lt;&gt;4,RANK(ARQ37,ARQ37:ARQ41),ARQ77)</f>
        <v>4</v>
      </c>
      <c r="ART37" s="319"/>
      <c r="ARU37" s="319">
        <f t="shared" ref="ARU37" ca="1" si="12032">SUMPRODUCT((ARS37:ARS40=ARS37)*(ARR37:ARR40&lt;ARR37))+ARS37</f>
        <v>4</v>
      </c>
      <c r="ARV37" s="319" t="str">
        <f t="shared" ref="ARV37" ca="1" si="12033">INDEX(ARJ37:ARJ41,MATCH(1,ARU37:ARU41,0),0)</f>
        <v>Türkiye</v>
      </c>
      <c r="ARW37" s="319">
        <f t="shared" ref="ARW37" ca="1" si="12034">INDEX(ARS37:ARS41,MATCH(ARV37,ARJ37:ARJ41,0),0)</f>
        <v>1</v>
      </c>
      <c r="ARX37" s="319" t="str">
        <f t="shared" ref="ARX37" ca="1" si="12035">IF(ARW38=1,ARV37,"")</f>
        <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t="str">
        <f t="shared" ref="ASJ37:ASJ40" ca="1" si="12046">IF(ASC37&lt;&gt;"",ASD37*3+ASE37*1,"")</f>
        <v/>
      </c>
      <c r="ASK37" s="319" t="str">
        <f t="shared" ref="ASK37" ca="1" si="12047">IF(ASC37&lt;&gt;"",VLOOKUP(ASC37,ARJ4:ARP40,7,FALSE),"")</f>
        <v/>
      </c>
      <c r="ASL37" s="319" t="str">
        <f t="shared" ref="ASL37" ca="1" si="12048">IF(ASC37&lt;&gt;"",VLOOKUP(ASC37,ARJ4:ARP40,5,FALSE),"")</f>
        <v/>
      </c>
      <c r="ASM37" s="319" t="str">
        <f t="shared" ref="ASM37" ca="1" si="12049">IF(ASC37&lt;&gt;"",VLOOKUP(ASC37,ARJ4:ARR40,9,FALSE),"")</f>
        <v/>
      </c>
      <c r="ASN37" s="319" t="str">
        <f t="shared" ref="ASN37:ASN40" ca="1" si="12050">ASJ37</f>
        <v/>
      </c>
      <c r="ASO37" s="319" t="str">
        <f t="shared" ref="ASO37" ca="1" si="12051">IF(ASC37&lt;&gt;"",RANK(ASN37,ASN37:ASN41),"")</f>
        <v/>
      </c>
      <c r="ASP37" s="319" t="str">
        <f t="shared" ref="ASP37" ca="1" si="12052">IF(ASC37&lt;&gt;"",SUMPRODUCT((ASN37:ASN41=ASN37)*(ASI37:ASI41&gt;ASI37)),"")</f>
        <v/>
      </c>
      <c r="ASQ37" s="319" t="str">
        <f t="shared" ref="ASQ37" ca="1" si="12053">IF(ASC37&lt;&gt;"",SUMPRODUCT((ASN37:ASN41=ASN37)*(ASI37:ASI41=ASI37)*(ASG37:ASG41&gt;ASG37)),"")</f>
        <v/>
      </c>
      <c r="ASR37" s="319" t="str">
        <f t="shared" ref="ASR37" ca="1" si="12054">IF(ASC37&lt;&gt;"",SUMPRODUCT((ASN37:ASN41=ASN37)*(ASI37:ASI41=ASI37)*(ASG37:ASG41=ASG37)*(ASK37:ASK41&gt;ASK37)),"")</f>
        <v/>
      </c>
      <c r="ASS37" s="319" t="str">
        <f t="shared" ref="ASS37" ca="1" si="12055">IF(ASC37&lt;&gt;"",SUMPRODUCT((ASN37:ASN41=ASN37)*(ASI37:ASI41=ASI37)*(ASG37:ASG41=ASG37)*(ASK37:ASK41=ASK37)*(ASL37:ASL41&gt;ASL37)),"")</f>
        <v/>
      </c>
      <c r="AST37" s="319" t="str">
        <f t="shared" ref="AST37" ca="1" si="12056">IF(ASC37&lt;&gt;"",SUMPRODUCT((ASN37:ASN41=ASN37)*(ASI37:ASI41=ASI37)*(ASG37:ASG41=ASG37)*(ASK37:ASK41=ASK37)*(ASL37:ASL41=ASL37)*(ASM37:ASM41&gt;ASM37)),"")</f>
        <v/>
      </c>
      <c r="ASU37" s="319" t="str">
        <f ca="1">IF(ASC37&lt;&gt;"",IF(ASU77&lt;&gt;"",IF(ASB76=3,ASU77,ASU77+ASB76),SUM(ASO37:AST37)),"")</f>
        <v/>
      </c>
      <c r="ASV37" s="319" t="str">
        <f t="shared" ref="ASV37" ca="1" si="12057">IF(ASC37&lt;&gt;"",INDEX(ASC37:ASC41,MATCH(1,ASU37:ASU41,0),0),"")</f>
        <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Türkiye</v>
      </c>
      <c r="AVF37" s="319">
        <v>1</v>
      </c>
      <c r="AVG37" s="319">
        <v>35</v>
      </c>
      <c r="AVH37" s="319" t="str">
        <f t="shared" si="114"/>
        <v>Georgia</v>
      </c>
      <c r="AVI37" s="322">
        <f ca="1">IF(OFFSET('Player Game Board'!P44,0,AVI1)&lt;&gt;"",OFFSET('Player Game Board'!P44,0,AVI1),0)</f>
        <v>2</v>
      </c>
      <c r="AVJ37" s="322">
        <f ca="1">IF(OFFSET('Player Game Board'!Q44,0,AVI1)&lt;&gt;"",OFFSET('Player Game Board'!Q44,0,AVI1),0)</f>
        <v>2</v>
      </c>
      <c r="AVK37" s="319" t="str">
        <f t="shared" si="115"/>
        <v>Portugal</v>
      </c>
      <c r="AVL37" s="319" t="str">
        <f ca="1">IF(AND(OFFSET('Player Game Board'!P44,0,AVI1)&lt;&gt;"",OFFSET('Player Game Board'!Q44,0,AVI1)&lt;&gt;""),IF(AVI37&gt;AVJ37,"W",IF(AVI37=AVJ37,"D","L")),"")</f>
        <v>D</v>
      </c>
      <c r="AVM37" s="319" t="str">
        <f t="shared" ca="1" si="5830"/>
        <v>D</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3</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8</v>
      </c>
      <c r="AWM37" s="319">
        <f t="shared" ref="AWM37" ca="1" si="12065">SUMIF(BAI3:BAI60,AWH37,BAG3:BAG60)+SUMIF(BAF3:BAF60,AWH37,BAH3:BAH60)</f>
        <v>3</v>
      </c>
      <c r="AWN37" s="319">
        <f t="shared" ref="AWN37:AWN40" ca="1" si="12066">AWL37-AWM37+1000</f>
        <v>1005</v>
      </c>
      <c r="AWO37" s="319">
        <f t="shared" ref="AWO37:AWO40" ca="1" si="12067">AWI37*3+AWJ37*1</f>
        <v>9</v>
      </c>
      <c r="AWP37" s="319">
        <f t="shared" si="1050"/>
        <v>53</v>
      </c>
      <c r="AWQ37" s="319">
        <f t="shared" ref="AWQ37" ca="1" si="12068">IF(COUNTIF(AWO37:AWO41,4)&lt;&gt;4,RANK(AWO37,AWO37:AWO41),AWO77)</f>
        <v>1</v>
      </c>
      <c r="AWR37" s="319"/>
      <c r="AWS37" s="319">
        <f t="shared" ref="AWS37" ca="1" si="12069">SUMPRODUCT((AWQ37:AWQ40=AWQ37)*(AWP37:AWP40&lt;AWP37))+AWQ37</f>
        <v>1</v>
      </c>
      <c r="AWT37" s="319" t="str">
        <f t="shared" ref="AWT37" ca="1" si="12070">INDEX(AWH37:AWH41,MATCH(1,AWS37:AWS41,0),0)</f>
        <v>Portugal</v>
      </c>
      <c r="AWU37" s="319">
        <f t="shared" ref="AWU37" ca="1" si="12071">INDEX(AWQ37:AWQ41,MATCH(AWT37,AWH37:AWH41,0),0)</f>
        <v>1</v>
      </c>
      <c r="AWV37" s="319" t="str">
        <f t="shared" ref="AWV37" ca="1" si="12072">IF(AWU38=1,AWT37,"")</f>
        <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t="str">
        <f t="shared" ref="AXH37:AXH40" ca="1" si="12083">IF(AXA37&lt;&gt;"",AXB37*3+AXC37*1,"")</f>
        <v/>
      </c>
      <c r="AXI37" s="319" t="str">
        <f t="shared" ref="AXI37" ca="1" si="12084">IF(AXA37&lt;&gt;"",VLOOKUP(AXA37,AWH4:AWN40,7,FALSE),"")</f>
        <v/>
      </c>
      <c r="AXJ37" s="319" t="str">
        <f t="shared" ref="AXJ37" ca="1" si="12085">IF(AXA37&lt;&gt;"",VLOOKUP(AXA37,AWH4:AWN40,5,FALSE),"")</f>
        <v/>
      </c>
      <c r="AXK37" s="319" t="str">
        <f t="shared" ref="AXK37" ca="1" si="12086">IF(AXA37&lt;&gt;"",VLOOKUP(AXA37,AWH4:AWP40,9,FALSE),"")</f>
        <v/>
      </c>
      <c r="AXL37" s="319" t="str">
        <f t="shared" ref="AXL37:AXL40" ca="1" si="12087">AXH37</f>
        <v/>
      </c>
      <c r="AXM37" s="319" t="str">
        <f t="shared" ref="AXM37" ca="1" si="12088">IF(AXA37&lt;&gt;"",RANK(AXL37,AXL37:AXL41),"")</f>
        <v/>
      </c>
      <c r="AXN37" s="319" t="str">
        <f t="shared" ref="AXN37" ca="1" si="12089">IF(AXA37&lt;&gt;"",SUMPRODUCT((AXL37:AXL41=AXL37)*(AXG37:AXG41&gt;AXG37)),"")</f>
        <v/>
      </c>
      <c r="AXO37" s="319" t="str">
        <f t="shared" ref="AXO37" ca="1" si="12090">IF(AXA37&lt;&gt;"",SUMPRODUCT((AXL37:AXL41=AXL37)*(AXG37:AXG41=AXG37)*(AXE37:AXE41&gt;AXE37)),"")</f>
        <v/>
      </c>
      <c r="AXP37" s="319" t="str">
        <f t="shared" ref="AXP37" ca="1" si="12091">IF(AXA37&lt;&gt;"",SUMPRODUCT((AXL37:AXL41=AXL37)*(AXG37:AXG41=AXG37)*(AXE37:AXE41=AXE37)*(AXI37:AXI41&gt;AXI37)),"")</f>
        <v/>
      </c>
      <c r="AXQ37" s="319" t="str">
        <f t="shared" ref="AXQ37" ca="1" si="12092">IF(AXA37&lt;&gt;"",SUMPRODUCT((AXL37:AXL41=AXL37)*(AXG37:AXG41=AXG37)*(AXE37:AXE41=AXE37)*(AXI37:AXI41=AXI37)*(AXJ37:AXJ41&gt;AXJ37)),"")</f>
        <v/>
      </c>
      <c r="AXR37" s="319" t="str">
        <f t="shared" ref="AXR37" ca="1" si="12093">IF(AXA37&lt;&gt;"",SUMPRODUCT((AXL37:AXL41=AXL37)*(AXG37:AXG41=AXG37)*(AXE37:AXE41=AXE37)*(AXI37:AXI41=AXI37)*(AXJ37:AXJ41=AXJ37)*(AXK37:AXK41&gt;AXK37)),"")</f>
        <v/>
      </c>
      <c r="AXS37" s="319" t="str">
        <f ca="1">IF(AXA37&lt;&gt;"",IF(AXS77&lt;&gt;"",IF(AWZ76=3,AXS77,AXS77+AWZ76),SUM(AXM37:AXR37)),"")</f>
        <v/>
      </c>
      <c r="AXT37" s="319" t="str">
        <f t="shared" ref="AXT37" ca="1" si="12094">IF(AXA37&lt;&gt;"",INDEX(AXA37:AXA41,MATCH(1,AXS37:AXS41,0),0),"")</f>
        <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1</v>
      </c>
      <c r="BAH37" s="322">
        <f ca="1">IF(OFFSET('Player Game Board'!Q44,0,BAG1)&lt;&gt;"",OFFSET('Player Game Board'!Q44,0,BAG1),0)</f>
        <v>3</v>
      </c>
      <c r="BAI37" s="319" t="str">
        <f t="shared" si="131"/>
        <v>Portugal</v>
      </c>
      <c r="BAJ37" s="319" t="str">
        <f ca="1">IF(AND(OFFSET('Player Game Board'!P44,0,BAG1)&lt;&gt;"",OFFSET('Player Game Board'!Q44,0,BAG1)&lt;&gt;""),IF(BAG37&gt;BAH37,"W",IF(BAG37=BAH37,"D","L")),"")</f>
        <v>L</v>
      </c>
      <c r="BAK37" s="319" t="str">
        <f t="shared" ca="1" si="5885"/>
        <v>W</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4</v>
      </c>
      <c r="EE38" s="319">
        <f ca="1">SUMIF(IA3:IA60,DZ38,HY3:HY60)+SUMIF(HX3:HX60,DZ38,HZ3:HZ60)</f>
        <v>3</v>
      </c>
      <c r="EF38" s="319">
        <f t="shared" ca="1" si="11792"/>
        <v>1001</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19">
        <f ca="1">FQ38-FR38+1000</f>
        <v>1000</v>
      </c>
      <c r="FT38" s="319">
        <f t="shared" ref="FT38:FT40" ca="1" si="12138">IF(FM38&lt;&gt;"",FN38*3+FO38*1,"")</f>
        <v>1</v>
      </c>
      <c r="FU38" s="319">
        <f ca="1">IF(FM38&lt;&gt;"",VLOOKUP(FM38,DZ4:EF40,7,FALSE),"")</f>
        <v>1001</v>
      </c>
      <c r="FV38" s="319">
        <f ca="1">IF(FM38&lt;&gt;"",VLOOKUP(FM38,DZ4:EF40,5,FALSE),"")</f>
        <v>4</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0</v>
      </c>
      <c r="GC38" s="319">
        <f ca="1">IF(FM38&lt;&gt;"",SUMPRODUCT((FX37:FX41=FX38)*(FS37:FS41=FS38)*(FQ37:FQ41=FQ38)*(FU37:FU41=FU38)*(FV37:FV41&gt;FV38)),"")</f>
        <v>0</v>
      </c>
      <c r="GD38" s="319">
        <f ca="1">IF(FM38&lt;&gt;"",SUMPRODUCT((FX37:FX41=FX38)*(FS37:FS41=FS38)*(FQ37:FQ41=FQ38)*(FU37:FU41=FU38)*(FV37:FV41=FV38)*(FW37:FW41&gt;FW38)),"")</f>
        <v>1</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1</v>
      </c>
      <c r="HZ38" s="322">
        <f ca="1">IF(OFFSET('Player Game Board'!Q45,0,HY1)&lt;&gt;"",OFFSET('Player Game Board'!Q45,0,HY1),0)</f>
        <v>1</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0</v>
      </c>
      <c r="IZ38" s="319">
        <f ca="1">SUMPRODUCT((MV3:MV42=IX38)*(MZ3:MZ42="D"))+SUMPRODUCT((MY3:MY42=IX38)*(NA3:NA42="D"))</f>
        <v>2</v>
      </c>
      <c r="JA38" s="319">
        <f ca="1">SUMPRODUCT((MV3:MV42=IX38)*(MZ3:MZ42="L"))+SUMPRODUCT((MY3:MY42=IX38)*(NA3:NA42="L"))</f>
        <v>1</v>
      </c>
      <c r="JB38" s="319">
        <f ca="1">SUMIF(MV3:MV60,IX38,MW3:MW60)+SUMIF(MY3:MY60,IX38,MX3:MX60)</f>
        <v>3</v>
      </c>
      <c r="JC38" s="319">
        <f ca="1">SUMIF(MY3:MY60,IX38,MW3:MW60)+SUMIF(MV3:MV60,IX38,MX3:MX60)</f>
        <v>4</v>
      </c>
      <c r="JD38" s="319">
        <f t="shared" ca="1" si="11796"/>
        <v>999</v>
      </c>
      <c r="JE38" s="319">
        <f t="shared" ca="1" si="11797"/>
        <v>2</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105</v>
      </c>
      <c r="NT38" s="319"/>
      <c r="NU38" s="319">
        <f t="shared" ref="NU38" ca="1" si="12144">VLOOKUP(NV38,RQ37:RR41,2,FALSE)</f>
        <v>4</v>
      </c>
      <c r="NV38" s="319" t="str">
        <f t="shared" si="11801"/>
        <v>Czechia</v>
      </c>
      <c r="NW38" s="319">
        <f t="shared" ref="NW38" ca="1" si="12145">SUMPRODUCT((RT3:RT42=NV38)*(RX3:RX42="W"))+SUMPRODUCT((RW3:RW42=NV38)*(RY3:RY42="W"))</f>
        <v>0</v>
      </c>
      <c r="NX38" s="319">
        <f t="shared" ref="NX38" ca="1" si="12146">SUMPRODUCT((RT3:RT42=NV38)*(RX3:RX42="D"))+SUMPRODUCT((RW3:RW42=NV38)*(RY3:RY42="D"))</f>
        <v>1</v>
      </c>
      <c r="NY38" s="319">
        <f t="shared" ref="NY38" ca="1" si="12147">SUMPRODUCT((RT3:RT42=NV38)*(RX3:RX42="L"))+SUMPRODUCT((RW3:RW42=NV38)*(RY3:RY42="L"))</f>
        <v>2</v>
      </c>
      <c r="NZ38" s="319">
        <f t="shared" ref="NZ38" ca="1" si="12148">SUMIF(RT3:RT60,NV38,RU3:RU60)+SUMIF(RW3:RW60,NV38,RV3:RV60)</f>
        <v>0</v>
      </c>
      <c r="OA38" s="319">
        <f t="shared" ref="OA38" ca="1" si="12149">SUMIF(RW3:RW60,NV38,RU3:RU60)+SUMIF(RT3:RT60,NV38,RV3:RV60)</f>
        <v>4</v>
      </c>
      <c r="OB38" s="319">
        <f t="shared" ca="1" si="11807"/>
        <v>996</v>
      </c>
      <c r="OC38" s="319">
        <f t="shared" ca="1" si="11808"/>
        <v>1</v>
      </c>
      <c r="OD38" s="319">
        <f t="shared" si="630"/>
        <v>37</v>
      </c>
      <c r="OE38" s="319">
        <f t="shared" ref="OE38" ca="1" si="12150">IF(COUNTIF(OC37:OC41,4)&lt;&gt;4,RANK(OC38,OC37:OC41),OC78)</f>
        <v>4</v>
      </c>
      <c r="OF38" s="319"/>
      <c r="OG38" s="319">
        <f t="shared" ref="OG38" ca="1" si="12151">SUMPRODUCT((OE37:OE40=OE38)*(OD37:OD40&lt;OD38))+OE38</f>
        <v>4</v>
      </c>
      <c r="OH38" s="319" t="str">
        <f t="shared" ref="OH38" ca="1" si="12152">INDEX(NV37:NV41,MATCH(2,OG37:OG41,0),0)</f>
        <v>Georgia</v>
      </c>
      <c r="OI38" s="319">
        <f t="shared" ref="OI38" ca="1" si="12153">INDEX(OE37:OE41,MATCH(OH38,NV37:NV41,0),0)</f>
        <v>2</v>
      </c>
      <c r="OJ38" s="319" t="str">
        <f t="shared" ref="OJ38" ca="1" si="12154">IF(OJ37&lt;&gt;"",OH38,"")</f>
        <v/>
      </c>
      <c r="OK38" s="319" t="str">
        <f t="shared" ref="OK38" ca="1" si="12155">IF(OK37&lt;&gt;"",OH39,"")</f>
        <v/>
      </c>
      <c r="OL38" s="319" t="str">
        <f t="shared" ref="OL38" ca="1" si="12156">IF(OL37&lt;&gt;"",OH40,"")</f>
        <v/>
      </c>
      <c r="OM38" s="319" t="str">
        <f t="shared" ref="OM38" si="12157">IF(OM37&lt;&gt;"",OH41,"")</f>
        <v/>
      </c>
      <c r="ON38" s="319"/>
      <c r="OO38" s="319" t="str">
        <f t="shared" ca="1" si="11817"/>
        <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t="str">
        <f t="shared" ca="1" si="11824"/>
        <v/>
      </c>
      <c r="OW38" s="319" t="str">
        <f t="shared" ref="OW38" ca="1" si="12163">IF(OO38&lt;&gt;"",VLOOKUP(OO38,NV4:OB40,7,FALSE),"")</f>
        <v/>
      </c>
      <c r="OX38" s="319" t="str">
        <f t="shared" ref="OX38" ca="1" si="12164">IF(OO38&lt;&gt;"",VLOOKUP(OO38,NV4:OB40,5,FALSE),"")</f>
        <v/>
      </c>
      <c r="OY38" s="319" t="str">
        <f t="shared" ref="OY38" ca="1" si="12165">IF(OO38&lt;&gt;"",VLOOKUP(OO38,NV4:OD40,9,FALSE),"")</f>
        <v/>
      </c>
      <c r="OZ38" s="319" t="str">
        <f t="shared" ca="1" si="11828"/>
        <v/>
      </c>
      <c r="PA38" s="319" t="str">
        <f t="shared" ref="PA38" ca="1" si="12166">IF(OO38&lt;&gt;"",RANK(OZ38,OZ37:OZ41),"")</f>
        <v/>
      </c>
      <c r="PB38" s="319" t="str">
        <f t="shared" ref="PB38" ca="1" si="12167">IF(OO38&lt;&gt;"",SUMPRODUCT((OZ37:OZ41=OZ38)*(OU37:OU41&gt;OU38)),"")</f>
        <v/>
      </c>
      <c r="PC38" s="319" t="str">
        <f t="shared" ref="PC38" ca="1" si="12168">IF(OO38&lt;&gt;"",SUMPRODUCT((OZ37:OZ41=OZ38)*(OU37:OU41=OU38)*(OS37:OS41&gt;OS38)),"")</f>
        <v/>
      </c>
      <c r="PD38" s="319" t="str">
        <f t="shared" ref="PD38" ca="1" si="12169">IF(OO38&lt;&gt;"",SUMPRODUCT((OZ37:OZ41=OZ38)*(OU37:OU41=OU38)*(OS37:OS41=OS38)*(OW37:OW41&gt;OW38)),"")</f>
        <v/>
      </c>
      <c r="PE38" s="319" t="str">
        <f t="shared" ref="PE38" ca="1" si="12170">IF(OO38&lt;&gt;"",SUMPRODUCT((OZ37:OZ41=OZ38)*(OU37:OU41=OU38)*(OS37:OS41=OS38)*(OW37:OW41=OW38)*(OX37:OX41&gt;OX38)),"")</f>
        <v/>
      </c>
      <c r="PF38" s="319" t="str">
        <f t="shared" ref="PF38" ca="1" si="12171">IF(OO38&lt;&gt;"",SUMPRODUCT((OZ37:OZ41=OZ38)*(OU37:OU41=OU38)*(OS37:OS41=OS38)*(OW37:OW41=OW38)*(OX37:OX41=OX38)*(OY37:OY41&gt;OY38)),"")</f>
        <v/>
      </c>
      <c r="PG38" s="319" t="str">
        <f ca="1">IF(OO38&lt;&gt;"",IF(PG78&lt;&gt;"",IF(ON76=3,PG78,PG78+ON76),SUM(PA38:PF38)),"")</f>
        <v/>
      </c>
      <c r="PH38" s="319" t="str">
        <f t="shared" ref="PH38" ca="1" si="12172">IF(OO38&lt;&gt;"",INDEX(OO37:OO41,MATCH(2,PG37:PG41,0),0),"")</f>
        <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Georgia</v>
      </c>
      <c r="RR38" s="319">
        <v>2</v>
      </c>
      <c r="RS38" s="319">
        <v>36</v>
      </c>
      <c r="RT38" s="319" t="str">
        <f t="shared" si="18"/>
        <v>Czechia</v>
      </c>
      <c r="RU38" s="322">
        <f ca="1">IF(OFFSET('Player Game Board'!P45,0,RU1)&lt;&gt;"",OFFSET('Player Game Board'!P45,0,RU1),0)</f>
        <v>0</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105</v>
      </c>
      <c r="SR38" s="319"/>
      <c r="SS38" s="319">
        <f t="shared" ref="SS38" ca="1" si="12193">VLOOKUP(ST38,WO37:WP41,2,FALSE)</f>
        <v>2</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5</v>
      </c>
      <c r="SY38" s="319">
        <f t="shared" ref="SY38" ca="1" si="12198">SUMIF(WU3:WU60,ST38,WS3:WS60)+SUMIF(WR3:WR60,ST38,WT3:WT60)</f>
        <v>5</v>
      </c>
      <c r="SZ38" s="319">
        <f t="shared" ca="1" si="11844"/>
        <v>1000</v>
      </c>
      <c r="TA38" s="319">
        <f t="shared" ca="1" si="11845"/>
        <v>4</v>
      </c>
      <c r="TB38" s="319">
        <f t="shared" si="690"/>
        <v>37</v>
      </c>
      <c r="TC38" s="319">
        <f t="shared" ref="TC38" ca="1" si="12199">IF(COUNTIF(TA37:TA41,4)&lt;&gt;4,RANK(TA38,TA37:TA41),TA78)</f>
        <v>2</v>
      </c>
      <c r="TD38" s="319"/>
      <c r="TE38" s="319">
        <f t="shared" ref="TE38" ca="1" si="12200">SUMPRODUCT((TC37:TC40=TC38)*(TB37:TB40&lt;TB38))+TC38</f>
        <v>2</v>
      </c>
      <c r="TF38" s="319" t="str">
        <f t="shared" ref="TF38" ca="1" si="12201">INDEX(ST37:ST41,MATCH(2,TE37:TE41,0),0)</f>
        <v>Czechia</v>
      </c>
      <c r="TG38" s="319">
        <f t="shared" ref="TG38" ca="1" si="12202">INDEX(TC37:TC41,MATCH(TF38,ST37:ST41,0),0)</f>
        <v>2</v>
      </c>
      <c r="TH38" s="319" t="str">
        <f t="shared" ref="TH38" ca="1" si="12203">IF(TH37&lt;&gt;"",TF38,"")</f>
        <v/>
      </c>
      <c r="TI38" s="319" t="str">
        <f t="shared" ref="TI38" ca="1" si="12204">IF(TI37&lt;&gt;"",TF39,"")</f>
        <v>Türkiye</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Czechia</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19">
        <f t="shared" ref="UM38:UM40" ca="1" si="12228">UK38-UL38+1000</f>
        <v>1000</v>
      </c>
      <c r="UN38" s="319">
        <f t="shared" ref="UN38:UN40" ca="1" si="12229">IF(UG38&lt;&gt;"",UH38*3+UI38*1,"")</f>
        <v>1</v>
      </c>
      <c r="UO38" s="319">
        <f t="shared" ref="UO38" ca="1" si="12230">IF(UG38&lt;&gt;"",VLOOKUP(UG38,ST4:SZ40,7,FALSE),"")</f>
        <v>1000</v>
      </c>
      <c r="UP38" s="319">
        <f t="shared" ref="UP38" ca="1" si="12231">IF(UG38&lt;&gt;"",VLOOKUP(UG38,ST4:SZ40,5,FALSE),"")</f>
        <v>5</v>
      </c>
      <c r="UQ38" s="319">
        <f t="shared" ref="UQ38" ca="1" si="12232">IF(UG38&lt;&gt;"",VLOOKUP(UG38,ST4:TB40,9,FALSE),"")</f>
        <v>37</v>
      </c>
      <c r="UR38" s="319">
        <f t="shared" ref="UR38:UR40" ca="1" si="12233">UN38</f>
        <v>1</v>
      </c>
      <c r="US38" s="319">
        <f t="shared" ref="US38" ca="1" si="12234">IF(UG38&lt;&gt;"",RANK(UR38,UR37:UR40),"")</f>
        <v>1</v>
      </c>
      <c r="UT38" s="319">
        <f t="shared" ref="UT38" ca="1" si="12235">IF(UG38&lt;&gt;"",SUMPRODUCT((UR37:UR41=UR38)*(UM37:UM41&gt;UM38)),"")</f>
        <v>0</v>
      </c>
      <c r="UU38" s="319">
        <f t="shared" ref="UU38" ca="1" si="12236">IF(UG38&lt;&gt;"",SUMPRODUCT((UR37:UR41=UR38)*(UM37:UM41=UM38)*(UK37:UK41&gt;UK38)),"")</f>
        <v>0</v>
      </c>
      <c r="UV38" s="319">
        <f t="shared" ref="UV38" ca="1" si="12237">IF(UG38&lt;&gt;"",SUMPRODUCT((UR37:UR41=UR38)*(UM37:UM41=UM38)*(UK37:UK41=UK38)*(UO37:UO41&gt;UO38)),"")</f>
        <v>0</v>
      </c>
      <c r="UW38" s="319">
        <f t="shared" ref="UW38" ca="1" si="12238">IF(UG38&lt;&gt;"",SUMPRODUCT((UR37:UR41=UR38)*(UM37:UM41=UM38)*(UK37:UK41=UK38)*(UO37:UO41=UO38)*(UP37:UP41&gt;UP38)),"")</f>
        <v>0</v>
      </c>
      <c r="UX38" s="319">
        <f t="shared" ref="UX38" ca="1" si="12239">IF(UG38&lt;&gt;"",SUMPRODUCT((UR37:UR41=UR38)*(UM37:UM41=UM38)*(UK37:UK41=UK38)*(UO37:UO41=UO38)*(UP37:UP41=UP38)*(UQ37:UQ41&gt;UQ38)),"")</f>
        <v>0</v>
      </c>
      <c r="UY38" s="319">
        <f ca="1">IF(UG38&lt;&gt;"",IF(UY78&lt;&gt;"",IF(UF76=3,UY78,UY78+UF76),SUM(US38:UX38)+1),"")</f>
        <v>2</v>
      </c>
      <c r="UZ38" s="319" t="str">
        <f t="shared" ref="UZ38" ca="1" si="12240">IF(UG38&lt;&gt;"",INDEX(UG38:UG41,MATCH(2,UY38:UY41,0),0),"")</f>
        <v>Czechia</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Czechia</v>
      </c>
      <c r="WP38" s="319">
        <v>2</v>
      </c>
      <c r="WQ38" s="319">
        <v>36</v>
      </c>
      <c r="WR38" s="319" t="str">
        <f t="shared" si="34"/>
        <v>Czechia</v>
      </c>
      <c r="WS38" s="322">
        <f ca="1">IF(OFFSET('Player Game Board'!P45,0,WS1)&lt;&gt;"",OFFSET('Player Game Board'!P45,0,WS1),0)</f>
        <v>2</v>
      </c>
      <c r="WT38" s="322">
        <f ca="1">IF(OFFSET('Player Game Board'!Q45,0,WS1)&lt;&gt;"",OFFSET('Player Game Board'!Q45,0,WS1),0)</f>
        <v>2</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105</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105</v>
      </c>
      <c r="ACN38" s="319"/>
      <c r="ACO38" s="319">
        <f t="shared" ref="ACO38" ca="1" si="12291">VLOOKUP(ACP38,AGK37:AGL41,2,FALSE)</f>
        <v>2</v>
      </c>
      <c r="ACP38" s="319" t="str">
        <f t="shared" si="11912"/>
        <v>Czechia</v>
      </c>
      <c r="ACQ38" s="319">
        <f t="shared" ref="ACQ38" ca="1" si="12292">SUMPRODUCT((AGN3:AGN42=ACP38)*(AGR3:AGR42="W"))+SUMPRODUCT((AGQ3:AGQ42=ACP38)*(AGS3:AGS42="W"))</f>
        <v>2</v>
      </c>
      <c r="ACR38" s="319">
        <f t="shared" ref="ACR38" ca="1" si="12293">SUMPRODUCT((AGN3:AGN42=ACP38)*(AGR3:AGR42="D"))+SUMPRODUCT((AGQ3:AGQ42=ACP38)*(AGS3:AGS42="D"))</f>
        <v>1</v>
      </c>
      <c r="ACS38" s="319">
        <f t="shared" ref="ACS38" ca="1" si="12294">SUMPRODUCT((AGN3:AGN42=ACP38)*(AGR3:AGR42="L"))+SUMPRODUCT((AGQ3:AGQ42=ACP38)*(AGS3:AGS42="L"))</f>
        <v>0</v>
      </c>
      <c r="ACT38" s="319">
        <f t="shared" ref="ACT38" ca="1" si="12295">SUMIF(AGN3:AGN60,ACP38,AGO3:AGO60)+SUMIF(AGQ3:AGQ60,ACP38,AGP3:AGP60)</f>
        <v>5</v>
      </c>
      <c r="ACU38" s="319">
        <f t="shared" ref="ACU38" ca="1" si="12296">SUMIF(AGQ3:AGQ60,ACP38,AGO3:AGO60)+SUMIF(AGN3:AGN60,ACP38,AGP3:AGP60)</f>
        <v>2</v>
      </c>
      <c r="ACV38" s="319">
        <f t="shared" ca="1" si="11918"/>
        <v>1003</v>
      </c>
      <c r="ACW38" s="319">
        <f t="shared" ca="1" si="11919"/>
        <v>7</v>
      </c>
      <c r="ACX38" s="319">
        <f t="shared" si="810"/>
        <v>37</v>
      </c>
      <c r="ACY38" s="319">
        <f t="shared" ref="ACY38" ca="1" si="12297">IF(COUNTIF(ACW37:ACW41,4)&lt;&gt;4,RANK(ACW38,ACW37:ACW41),ACW78)</f>
        <v>1</v>
      </c>
      <c r="ACZ38" s="319"/>
      <c r="ADA38" s="319">
        <f t="shared" ref="ADA38" ca="1" si="12298">SUMPRODUCT((ACY37:ACY40=ACY38)*(ACX37:ACX40&lt;ACX38))+ACY38</f>
        <v>1</v>
      </c>
      <c r="ADB38" s="319" t="str">
        <f t="shared" ref="ADB38" ca="1" si="12299">INDEX(ACP37:ACP41,MATCH(2,ADA37:ADA41,0),0)</f>
        <v>Türkiye</v>
      </c>
      <c r="ADC38" s="319">
        <f t="shared" ref="ADC38" ca="1" si="12300">INDEX(ACY37:ACY41,MATCH(ADB38,ACP37:ACP41,0),0)</f>
        <v>1</v>
      </c>
      <c r="ADD38" s="319" t="str">
        <f t="shared" ref="ADD38" ca="1" si="12301">IF(ADD37&lt;&gt;"",ADB38,"")</f>
        <v>Türkiye</v>
      </c>
      <c r="ADE38" s="319" t="str">
        <f t="shared" ref="ADE38" ca="1" si="12302">IF(ADE37&lt;&gt;"",ADB39,"")</f>
        <v/>
      </c>
      <c r="ADF38" s="319" t="str">
        <f t="shared" ref="ADF38" ca="1" si="12303">IF(ADF37&lt;&gt;"",ADB40,"")</f>
        <v/>
      </c>
      <c r="ADG38" s="319" t="str">
        <f t="shared" ref="ADG38" si="12304">IF(ADG37&lt;&gt;"",ADB41,"")</f>
        <v/>
      </c>
      <c r="ADH38" s="319"/>
      <c r="ADI38" s="319" t="str">
        <f t="shared" ca="1" si="11928"/>
        <v>Türkiye</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19">
        <f t="shared" ca="1" si="11934"/>
        <v>1000</v>
      </c>
      <c r="ADP38" s="319">
        <f t="shared" ca="1" si="11935"/>
        <v>1</v>
      </c>
      <c r="ADQ38" s="319">
        <f t="shared" ref="ADQ38" ca="1" si="12310">IF(ADI38&lt;&gt;"",VLOOKUP(ADI38,ACP4:ACV40,7,FALSE),"")</f>
        <v>1004</v>
      </c>
      <c r="ADR38" s="319">
        <f t="shared" ref="ADR38" ca="1" si="12311">IF(ADI38&lt;&gt;"",VLOOKUP(ADI38,ACP4:ACV40,5,FALSE),"")</f>
        <v>6</v>
      </c>
      <c r="ADS38" s="319">
        <f t="shared" ref="ADS38" ca="1" si="12312">IF(ADI38&lt;&gt;"",VLOOKUP(ADI38,ACP4:ACX40,9,FALSE),"")</f>
        <v>47</v>
      </c>
      <c r="ADT38" s="319">
        <f t="shared" ca="1" si="11939"/>
        <v>1</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0</v>
      </c>
      <c r="AEA38" s="319">
        <f ca="1">IF(ADI38&lt;&gt;"",IF(AEA78&lt;&gt;"",IF(ADH76=3,AEA78,AEA78+ADH76),SUM(ADU38:ADZ38)),"")</f>
        <v>1</v>
      </c>
      <c r="AEB38" s="319" t="str">
        <f t="shared" ref="AEB38" ca="1" si="12319">IF(ADI38&lt;&gt;"",INDEX(ADI37:ADI41,MATCH(2,AEA37:AEA41,0),0),"")</f>
        <v>Czechia</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105</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1</v>
      </c>
      <c r="AHQ38" s="319">
        <f t="shared" ref="AHQ38" ca="1" si="12343">SUMPRODUCT((ALL3:ALL42=AHN38)*(ALP3:ALP42="L"))+SUMPRODUCT((ALO3:ALO42=AHN38)*(ALQ3:ALQ42="L"))</f>
        <v>2</v>
      </c>
      <c r="AHR38" s="319">
        <f t="shared" ref="AHR38" ca="1" si="12344">SUMIF(ALL3:ALL60,AHN38,ALM3:ALM60)+SUMIF(ALO3:ALO60,AHN38,ALN3:ALN60)</f>
        <v>0</v>
      </c>
      <c r="AHS38" s="319">
        <f t="shared" ref="AHS38" ca="1" si="12345">SUMIF(ALO3:ALO60,AHN38,ALM3:ALM60)+SUMIF(ALL3:ALL60,AHN38,ALN3:ALN60)</f>
        <v>3</v>
      </c>
      <c r="AHT38" s="319">
        <f t="shared" ca="1" si="11955"/>
        <v>997</v>
      </c>
      <c r="AHU38" s="319">
        <f t="shared" ca="1" si="11956"/>
        <v>1</v>
      </c>
      <c r="AHV38" s="319">
        <f t="shared" si="870"/>
        <v>37</v>
      </c>
      <c r="AHW38" s="319">
        <f t="shared" ref="AHW38" ca="1" si="12346">IF(COUNTIF(AHU37:AHU41,4)&lt;&gt;4,RANK(AHU38,AHU37:AHU41),AHU78)</f>
        <v>3</v>
      </c>
      <c r="AHX38" s="319"/>
      <c r="AHY38" s="319">
        <f t="shared" ref="AHY38" ca="1" si="12347">SUMPRODUCT((AHW37:AHW40=AHW38)*(AHV37:AHV40&lt;AHV38))+AHW38</f>
        <v>4</v>
      </c>
      <c r="AHZ38" s="319" t="str">
        <f t="shared" ref="AHZ38" ca="1" si="12348">INDEX(AHN37:AHN41,MATCH(2,AHY37:AHY41,0),0)</f>
        <v>Türkiye</v>
      </c>
      <c r="AIA38" s="319">
        <f t="shared" ref="AIA38" ca="1" si="12349">INDEX(AHW37:AHW41,MATCH(AHZ38,AHN37:AHN41,0),0)</f>
        <v>2</v>
      </c>
      <c r="AIB38" s="319" t="str">
        <f t="shared" ref="AIB38" ca="1" si="12350">IF(AIB37&lt;&gt;"",AHZ38,"")</f>
        <v/>
      </c>
      <c r="AIC38" s="319" t="str">
        <f t="shared" ref="AIC38" ca="1" si="12351">IF(AIC37&lt;&gt;"",AHZ39,"")</f>
        <v/>
      </c>
      <c r="AID38" s="319" t="str">
        <f t="shared" ref="AID38" ca="1" si="12352">IF(AID37&lt;&gt;"",AHZ40,"")</f>
        <v>Czechia</v>
      </c>
      <c r="AIE38" s="319" t="str">
        <f t="shared" ref="AIE38" si="12353">IF(AIE37&lt;&gt;"",AHZ41,"")</f>
        <v/>
      </c>
      <c r="AIF38" s="319"/>
      <c r="AIG38" s="319" t="str">
        <f t="shared" ca="1" si="11965"/>
        <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t="str">
        <f t="shared" ca="1" si="11972"/>
        <v/>
      </c>
      <c r="AIO38" s="319" t="str">
        <f t="shared" ref="AIO38" ca="1" si="12359">IF(AIG38&lt;&gt;"",VLOOKUP(AIG38,AHN4:AHT40,7,FALSE),"")</f>
        <v/>
      </c>
      <c r="AIP38" s="319" t="str">
        <f t="shared" ref="AIP38" ca="1" si="12360">IF(AIG38&lt;&gt;"",VLOOKUP(AIG38,AHN4:AHT40,5,FALSE),"")</f>
        <v/>
      </c>
      <c r="AIQ38" s="319" t="str">
        <f t="shared" ref="AIQ38" ca="1" si="12361">IF(AIG38&lt;&gt;"",VLOOKUP(AIG38,AHN4:AHV40,9,FALSE),"")</f>
        <v/>
      </c>
      <c r="AIR38" s="319" t="str">
        <f t="shared" ca="1" si="11976"/>
        <v/>
      </c>
      <c r="AIS38" s="319" t="str">
        <f t="shared" ref="AIS38" ca="1" si="12362">IF(AIG38&lt;&gt;"",RANK(AIR38,AIR37:AIR41),"")</f>
        <v/>
      </c>
      <c r="AIT38" s="319" t="str">
        <f t="shared" ref="AIT38" ca="1" si="12363">IF(AIG38&lt;&gt;"",SUMPRODUCT((AIR37:AIR41=AIR38)*(AIM37:AIM41&gt;AIM38)),"")</f>
        <v/>
      </c>
      <c r="AIU38" s="319" t="str">
        <f t="shared" ref="AIU38" ca="1" si="12364">IF(AIG38&lt;&gt;"",SUMPRODUCT((AIR37:AIR41=AIR38)*(AIM37:AIM41=AIM38)*(AIK37:AIK41&gt;AIK38)),"")</f>
        <v/>
      </c>
      <c r="AIV38" s="319" t="str">
        <f t="shared" ref="AIV38" ca="1" si="12365">IF(AIG38&lt;&gt;"",SUMPRODUCT((AIR37:AIR41=AIR38)*(AIM37:AIM41=AIM38)*(AIK37:AIK41=AIK38)*(AIO37:AIO41&gt;AIO38)),"")</f>
        <v/>
      </c>
      <c r="AIW38" s="319" t="str">
        <f t="shared" ref="AIW38" ca="1" si="12366">IF(AIG38&lt;&gt;"",SUMPRODUCT((AIR37:AIR41=AIR38)*(AIM37:AIM41=AIM38)*(AIK37:AIK41=AIK38)*(AIO37:AIO41=AIO38)*(AIP37:AIP41&gt;AIP38)),"")</f>
        <v/>
      </c>
      <c r="AIX38" s="319" t="str">
        <f t="shared" ref="AIX38" ca="1" si="12367">IF(AIG38&lt;&gt;"",SUMPRODUCT((AIR37:AIR41=AIR38)*(AIM37:AIM41=AIM38)*(AIK37:AIK41=AIK38)*(AIO37:AIO41=AIO38)*(AIP37:AIP41=AIP38)*(AIQ37:AIQ41&gt;AIQ38)),"")</f>
        <v/>
      </c>
      <c r="AIY38" s="319" t="str">
        <f ca="1">IF(AIG38&lt;&gt;"",IF(AIY78&lt;&gt;"",IF(AIF76=3,AIY78,AIY78+AIF76),SUM(AIS38:AIX38)),"")</f>
        <v/>
      </c>
      <c r="AIZ38" s="319" t="str">
        <f t="shared" ref="AIZ38" ca="1" si="12368">IF(AIG38&lt;&gt;"",INDEX(AIG37:AIG41,MATCH(2,AIY37:AIY41,0),0),"")</f>
        <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1</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105</v>
      </c>
      <c r="AMJ38" s="319"/>
      <c r="AMK38" s="319">
        <f t="shared" ref="AMK38" ca="1" si="12389">VLOOKUP(AML38,AQG37:AQH41,2,FALSE)</f>
        <v>2</v>
      </c>
      <c r="AML38" s="319" t="str">
        <f t="shared" si="11986"/>
        <v>Czechia</v>
      </c>
      <c r="AMM38" s="319">
        <f t="shared" ref="AMM38" ca="1" si="12390">SUMPRODUCT((AQJ3:AQJ42=AML38)*(AQN3:AQN42="W"))+SUMPRODUCT((AQM3:AQM42=AML38)*(AQO3:AQO42="W"))</f>
        <v>1</v>
      </c>
      <c r="AMN38" s="319">
        <f t="shared" ref="AMN38" ca="1" si="12391">SUMPRODUCT((AQJ3:AQJ42=AML38)*(AQN3:AQN42="D"))+SUMPRODUCT((AQM3:AQM42=AML38)*(AQO3:AQO42="D"))</f>
        <v>1</v>
      </c>
      <c r="AMO38" s="319">
        <f t="shared" ref="AMO38" ca="1" si="12392">SUMPRODUCT((AQJ3:AQJ42=AML38)*(AQN3:AQN42="L"))+SUMPRODUCT((AQM3:AQM42=AML38)*(AQO3:AQO42="L"))</f>
        <v>1</v>
      </c>
      <c r="AMP38" s="319">
        <f t="shared" ref="AMP38" ca="1" si="12393">SUMIF(AQJ3:AQJ60,AML38,AQK3:AQK60)+SUMIF(AQM3:AQM60,AML38,AQL3:AQL60)</f>
        <v>3</v>
      </c>
      <c r="AMQ38" s="319">
        <f t="shared" ref="AMQ38" ca="1" si="12394">SUMIF(AQM3:AQM60,AML38,AQK3:AQK60)+SUMIF(AQJ3:AQJ60,AML38,AQL3:AQL60)</f>
        <v>3</v>
      </c>
      <c r="AMR38" s="319">
        <f t="shared" ca="1" si="11992"/>
        <v>1000</v>
      </c>
      <c r="AMS38" s="319">
        <f t="shared" ca="1" si="11993"/>
        <v>4</v>
      </c>
      <c r="AMT38" s="319">
        <f t="shared" si="930"/>
        <v>37</v>
      </c>
      <c r="AMU38" s="319">
        <f t="shared" ref="AMU38" ca="1" si="12395">IF(COUNTIF(AMS37:AMS41,4)&lt;&gt;4,RANK(AMS38,AMS37:AMS41),AMS78)</f>
        <v>2</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2</v>
      </c>
      <c r="AMZ38" s="319" t="str">
        <f t="shared" ref="AMZ38" ca="1" si="12399">IF(AMZ37&lt;&gt;"",AMX38,"")</f>
        <v/>
      </c>
      <c r="ANA38" s="319" t="str">
        <f t="shared" ref="ANA38" ca="1" si="12400">IF(ANA37&lt;&gt;"",AMX39,"")</f>
        <v/>
      </c>
      <c r="ANB38" s="319" t="str">
        <f t="shared" ref="ANB38" ca="1" si="12401">IF(ANB37&lt;&gt;"",AMX40,"")</f>
        <v/>
      </c>
      <c r="ANC38" s="319" t="str">
        <f t="shared" ref="ANC38" si="12402">IF(ANC37&lt;&gt;"",AMX41,"")</f>
        <v/>
      </c>
      <c r="AND38" s="319"/>
      <c r="ANE38" s="319" t="str">
        <f t="shared" ca="1" si="12002"/>
        <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t="str">
        <f t="shared" ca="1" si="12009"/>
        <v/>
      </c>
      <c r="ANM38" s="319" t="str">
        <f t="shared" ref="ANM38" ca="1" si="12408">IF(ANE38&lt;&gt;"",VLOOKUP(ANE38,AML4:AMR40,7,FALSE),"")</f>
        <v/>
      </c>
      <c r="ANN38" s="319" t="str">
        <f t="shared" ref="ANN38" ca="1" si="12409">IF(ANE38&lt;&gt;"",VLOOKUP(ANE38,AML4:AMR40,5,FALSE),"")</f>
        <v/>
      </c>
      <c r="ANO38" s="319" t="str">
        <f t="shared" ref="ANO38" ca="1" si="12410">IF(ANE38&lt;&gt;"",VLOOKUP(ANE38,AML4:AMT40,9,FALSE),"")</f>
        <v/>
      </c>
      <c r="ANP38" s="319" t="str">
        <f t="shared" ca="1" si="12013"/>
        <v/>
      </c>
      <c r="ANQ38" s="319" t="str">
        <f t="shared" ref="ANQ38" ca="1" si="12411">IF(ANE38&lt;&gt;"",RANK(ANP38,ANP37:ANP41),"")</f>
        <v/>
      </c>
      <c r="ANR38" s="319" t="str">
        <f t="shared" ref="ANR38" ca="1" si="12412">IF(ANE38&lt;&gt;"",SUMPRODUCT((ANP37:ANP41=ANP38)*(ANK37:ANK41&gt;ANK38)),"")</f>
        <v/>
      </c>
      <c r="ANS38" s="319" t="str">
        <f t="shared" ref="ANS38" ca="1" si="12413">IF(ANE38&lt;&gt;"",SUMPRODUCT((ANP37:ANP41=ANP38)*(ANK37:ANK41=ANK38)*(ANI37:ANI41&gt;ANI38)),"")</f>
        <v/>
      </c>
      <c r="ANT38" s="319" t="str">
        <f t="shared" ref="ANT38" ca="1" si="12414">IF(ANE38&lt;&gt;"",SUMPRODUCT((ANP37:ANP41=ANP38)*(ANK37:ANK41=ANK38)*(ANI37:ANI41=ANI38)*(ANM37:ANM41&gt;ANM38)),"")</f>
        <v/>
      </c>
      <c r="ANU38" s="319" t="str">
        <f t="shared" ref="ANU38" ca="1" si="12415">IF(ANE38&lt;&gt;"",SUMPRODUCT((ANP37:ANP41=ANP38)*(ANK37:ANK41=ANK38)*(ANI37:ANI41=ANI38)*(ANM37:ANM41=ANM38)*(ANN37:ANN41&gt;ANN38)),"")</f>
        <v/>
      </c>
      <c r="ANV38" s="319" t="str">
        <f t="shared" ref="ANV38" ca="1" si="12416">IF(ANE38&lt;&gt;"",SUMPRODUCT((ANP37:ANP41=ANP38)*(ANK37:ANK41=ANK38)*(ANI37:ANI41=ANI38)*(ANM37:ANM41=ANM38)*(ANN37:ANN41=ANN38)*(ANO37:ANO41&gt;ANO38)),"")</f>
        <v/>
      </c>
      <c r="ANW38" s="319" t="str">
        <f ca="1">IF(ANE38&lt;&gt;"",IF(ANW78&lt;&gt;"",IF(AND76=3,ANW78,ANW78+AND76),SUM(ANQ38:ANV38)),"")</f>
        <v/>
      </c>
      <c r="ANX38" s="319" t="str">
        <f t="shared" ref="ANX38" ca="1" si="12417">IF(ANE38&lt;&gt;"",INDEX(ANE37:ANE41,MATCH(2,ANW37:ANW41,0),0),"")</f>
        <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Czechia</v>
      </c>
      <c r="AQH38" s="319">
        <v>2</v>
      </c>
      <c r="AQI38" s="319">
        <v>36</v>
      </c>
      <c r="AQJ38" s="319" t="str">
        <f t="shared" si="98"/>
        <v>Czechia</v>
      </c>
      <c r="AQK38" s="322">
        <f ca="1">IF(OFFSET('Player Game Board'!P45,0,AQK1)&lt;&gt;"",OFFSET('Player Game Board'!P45,0,AQK1),0)</f>
        <v>2</v>
      </c>
      <c r="AQL38" s="322">
        <f ca="1">IF(OFFSET('Player Game Board'!Q45,0,AQK1)&lt;&gt;"",OFFSET('Player Game Board'!Q45,0,AQK1),0)</f>
        <v>2</v>
      </c>
      <c r="AQM38" s="319" t="str">
        <f t="shared" si="99"/>
        <v>Türkiye</v>
      </c>
      <c r="AQN38" s="319" t="str">
        <f ca="1">IF(AND(OFFSET('Player Game Board'!P45,0,AQK1)&lt;&gt;"",OFFSET('Player Game Board'!Q45,0,AQK1)&lt;&gt;""),IF(AQK38&gt;AQL38,"W",IF(AQK38=AQL38,"D","L")),"")</f>
        <v>D</v>
      </c>
      <c r="AQO38" s="319" t="str">
        <f t="shared" ca="1" si="5775"/>
        <v>D</v>
      </c>
      <c r="AQP38" s="319"/>
      <c r="AQQ38" s="319"/>
      <c r="AQR38" s="319"/>
      <c r="AQS38" s="320"/>
      <c r="AQT38" s="320"/>
      <c r="AQU38" s="320"/>
      <c r="AQV38" s="320"/>
      <c r="AQW38" s="320"/>
      <c r="AQX38" s="320"/>
      <c r="AQY38" s="320"/>
      <c r="AQZ38" s="319"/>
      <c r="ARA38" s="319"/>
      <c r="ARB38" s="319"/>
      <c r="ARC38" s="319"/>
      <c r="ARD38" s="319"/>
      <c r="ARE38" s="319"/>
      <c r="ARF38" s="319"/>
      <c r="ARG38" s="319" t="s">
        <v>105</v>
      </c>
      <c r="ARH38" s="319"/>
      <c r="ARI38" s="319">
        <f t="shared" ref="ARI38" ca="1" si="12438">VLOOKUP(ARJ38,AVE37:AVF41,2,FALSE)</f>
        <v>2</v>
      </c>
      <c r="ARJ38" s="319" t="str">
        <f t="shared" si="12023"/>
        <v>Czechia</v>
      </c>
      <c r="ARK38" s="319">
        <f t="shared" ref="ARK38" ca="1" si="12439">SUMPRODUCT((AVH3:AVH42=ARJ38)*(AVL3:AVL42="W"))+SUMPRODUCT((AVK3:AVK42=ARJ38)*(AVM3:AVM42="W"))</f>
        <v>1</v>
      </c>
      <c r="ARL38" s="319">
        <f t="shared" ref="ARL38" ca="1" si="12440">SUMPRODUCT((AVH3:AVH42=ARJ38)*(AVL3:AVL42="D"))+SUMPRODUCT((AVK3:AVK42=ARJ38)*(AVM3:AVM42="D"))</f>
        <v>1</v>
      </c>
      <c r="ARM38" s="319">
        <f t="shared" ref="ARM38" ca="1" si="12441">SUMPRODUCT((AVH3:AVH42=ARJ38)*(AVL3:AVL42="L"))+SUMPRODUCT((AVK3:AVK42=ARJ38)*(AVM3:AVM42="L"))</f>
        <v>1</v>
      </c>
      <c r="ARN38" s="319">
        <f t="shared" ref="ARN38" ca="1" si="12442">SUMIF(AVH3:AVH60,ARJ38,AVI3:AVI60)+SUMIF(AVK3:AVK60,ARJ38,AVJ3:AVJ60)</f>
        <v>5</v>
      </c>
      <c r="ARO38" s="319">
        <f t="shared" ref="ARO38" ca="1" si="12443">SUMIF(AVK3:AVK60,ARJ38,AVI3:AVI60)+SUMIF(AVH3:AVH60,ARJ38,AVJ3:AVJ60)</f>
        <v>5</v>
      </c>
      <c r="ARP38" s="319">
        <f t="shared" ca="1" si="12029"/>
        <v>1000</v>
      </c>
      <c r="ARQ38" s="319">
        <f t="shared" ca="1" si="12030"/>
        <v>4</v>
      </c>
      <c r="ARR38" s="319">
        <f t="shared" si="990"/>
        <v>37</v>
      </c>
      <c r="ARS38" s="319">
        <f t="shared" ref="ARS38" ca="1" si="12444">IF(COUNTIF(ARQ37:ARQ41,4)&lt;&gt;4,RANK(ARQ38,ARQ37:ARQ41),ARQ78)</f>
        <v>2</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2</v>
      </c>
      <c r="ARX38" s="319" t="str">
        <f t="shared" ref="ARX38" ca="1" si="12448">IF(ARX37&lt;&gt;"",ARV38,"")</f>
        <v/>
      </c>
      <c r="ARY38" s="319" t="str">
        <f t="shared" ref="ARY38" ca="1" si="12449">IF(ARY37&lt;&gt;"",ARV39,"")</f>
        <v/>
      </c>
      <c r="ARZ38" s="319" t="str">
        <f t="shared" ref="ARZ38" ca="1" si="12450">IF(ARZ37&lt;&gt;"",ARV40,"")</f>
        <v/>
      </c>
      <c r="ASA38" s="319" t="str">
        <f t="shared" ref="ASA38" si="12451">IF(ASA37&lt;&gt;"",ARV41,"")</f>
        <v/>
      </c>
      <c r="ASB38" s="319"/>
      <c r="ASC38" s="319" t="str">
        <f t="shared" ca="1" si="12039"/>
        <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t="str">
        <f t="shared" ca="1" si="12046"/>
        <v/>
      </c>
      <c r="ASK38" s="319" t="str">
        <f t="shared" ref="ASK38" ca="1" si="12457">IF(ASC38&lt;&gt;"",VLOOKUP(ASC38,ARJ4:ARP40,7,FALSE),"")</f>
        <v/>
      </c>
      <c r="ASL38" s="319" t="str">
        <f t="shared" ref="ASL38" ca="1" si="12458">IF(ASC38&lt;&gt;"",VLOOKUP(ASC38,ARJ4:ARP40,5,FALSE),"")</f>
        <v/>
      </c>
      <c r="ASM38" s="319" t="str">
        <f t="shared" ref="ASM38" ca="1" si="12459">IF(ASC38&lt;&gt;"",VLOOKUP(ASC38,ARJ4:ARR40,9,FALSE),"")</f>
        <v/>
      </c>
      <c r="ASN38" s="319" t="str">
        <f t="shared" ca="1" si="12050"/>
        <v/>
      </c>
      <c r="ASO38" s="319" t="str">
        <f t="shared" ref="ASO38" ca="1" si="12460">IF(ASC38&lt;&gt;"",RANK(ASN38,ASN37:ASN41),"")</f>
        <v/>
      </c>
      <c r="ASP38" s="319" t="str">
        <f t="shared" ref="ASP38" ca="1" si="12461">IF(ASC38&lt;&gt;"",SUMPRODUCT((ASN37:ASN41=ASN38)*(ASI37:ASI41&gt;ASI38)),"")</f>
        <v/>
      </c>
      <c r="ASQ38" s="319" t="str">
        <f t="shared" ref="ASQ38" ca="1" si="12462">IF(ASC38&lt;&gt;"",SUMPRODUCT((ASN37:ASN41=ASN38)*(ASI37:ASI41=ASI38)*(ASG37:ASG41&gt;ASG38)),"")</f>
        <v/>
      </c>
      <c r="ASR38" s="319" t="str">
        <f t="shared" ref="ASR38" ca="1" si="12463">IF(ASC38&lt;&gt;"",SUMPRODUCT((ASN37:ASN41=ASN38)*(ASI37:ASI41=ASI38)*(ASG37:ASG41=ASG38)*(ASK37:ASK41&gt;ASK38)),"")</f>
        <v/>
      </c>
      <c r="ASS38" s="319" t="str">
        <f t="shared" ref="ASS38" ca="1" si="12464">IF(ASC38&lt;&gt;"",SUMPRODUCT((ASN37:ASN41=ASN38)*(ASI37:ASI41=ASI38)*(ASG37:ASG41=ASG38)*(ASK37:ASK41=ASK38)*(ASL37:ASL41&gt;ASL38)),"")</f>
        <v/>
      </c>
      <c r="AST38" s="319" t="str">
        <f t="shared" ref="AST38" ca="1" si="12465">IF(ASC38&lt;&gt;"",SUMPRODUCT((ASN37:ASN41=ASN38)*(ASI37:ASI41=ASI38)*(ASG37:ASG41=ASG38)*(ASK37:ASK41=ASK38)*(ASL37:ASL41=ASL38)*(ASM37:ASM41&gt;ASM38)),"")</f>
        <v/>
      </c>
      <c r="ASU38" s="319" t="str">
        <f ca="1">IF(ASC38&lt;&gt;"",IF(ASU78&lt;&gt;"",IF(ASB76=3,ASU78,ASU78+ASB76),SUM(ASO38:AST38)),"")</f>
        <v/>
      </c>
      <c r="ASV38" s="319" t="str">
        <f t="shared" ref="ASV38" ca="1" si="12466">IF(ASC38&lt;&gt;"",INDEX(ASC37:ASC41,MATCH(2,ASU37:ASU41,0),0),"")</f>
        <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Czechia</v>
      </c>
      <c r="AVF38" s="319">
        <v>2</v>
      </c>
      <c r="AVG38" s="319">
        <v>36</v>
      </c>
      <c r="AVH38" s="319" t="str">
        <f t="shared" si="114"/>
        <v>Czechia</v>
      </c>
      <c r="AVI38" s="322">
        <f ca="1">IF(OFFSET('Player Game Board'!P45,0,AVI1)&lt;&gt;"",OFFSET('Player Game Board'!P45,0,AVI1),0)</f>
        <v>0</v>
      </c>
      <c r="AVJ38" s="322">
        <f ca="1">IF(OFFSET('Player Game Board'!Q45,0,AVI1)&lt;&gt;"",OFFSET('Player Game Board'!Q45,0,AVI1),0)</f>
        <v>2</v>
      </c>
      <c r="AVK38" s="319" t="str">
        <f t="shared" si="115"/>
        <v>Türkiye</v>
      </c>
      <c r="AVL38" s="319" t="str">
        <f ca="1">IF(AND(OFFSET('Player Game Board'!P45,0,AVI1)&lt;&gt;"",OFFSET('Player Game Board'!Q45,0,AVI1)&lt;&gt;""),IF(AVI38&gt;AVJ38,"W",IF(AVI38=AVJ38,"D","L")),"")</f>
        <v>L</v>
      </c>
      <c r="AVM38" s="319" t="str">
        <f t="shared" ca="1" si="5830"/>
        <v>W</v>
      </c>
      <c r="AVN38" s="319"/>
      <c r="AVO38" s="319"/>
      <c r="AVP38" s="319"/>
      <c r="AVQ38" s="320"/>
      <c r="AVR38" s="320"/>
      <c r="AVS38" s="320"/>
      <c r="AVT38" s="320"/>
      <c r="AVU38" s="320"/>
      <c r="AVV38" s="320"/>
      <c r="AVW38" s="320"/>
      <c r="AVX38" s="319"/>
      <c r="AVY38" s="319"/>
      <c r="AVZ38" s="319"/>
      <c r="AWA38" s="319"/>
      <c r="AWB38" s="319"/>
      <c r="AWC38" s="319"/>
      <c r="AWD38" s="319"/>
      <c r="AWE38" s="319" t="s">
        <v>105</v>
      </c>
      <c r="AWF38" s="319"/>
      <c r="AWG38" s="319">
        <f t="shared" ref="AWG38" ca="1" si="12487">VLOOKUP(AWH38,BAC37:BAD41,2,FALSE)</f>
        <v>4</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3</v>
      </c>
      <c r="AWL38" s="319">
        <f t="shared" ref="AWL38" ca="1" si="12491">SUMIF(BAF3:BAF60,AWH38,BAG3:BAG60)+SUMIF(BAI3:BAI60,AWH38,BAH3:BAH60)</f>
        <v>3</v>
      </c>
      <c r="AWM38" s="319">
        <f t="shared" ref="AWM38" ca="1" si="12492">SUMIF(BAI3:BAI60,AWH38,BAG3:BAG60)+SUMIF(BAF3:BAF60,AWH38,BAH3:BAH60)</f>
        <v>6</v>
      </c>
      <c r="AWN38" s="319">
        <f t="shared" ca="1" si="12066"/>
        <v>997</v>
      </c>
      <c r="AWO38" s="319">
        <f t="shared" ca="1" si="12067"/>
        <v>0</v>
      </c>
      <c r="AWP38" s="319">
        <f t="shared" si="1050"/>
        <v>37</v>
      </c>
      <c r="AWQ38" s="319">
        <f t="shared" ref="AWQ38" ca="1" si="12493">IF(COUNTIF(AWO37:AWO41,4)&lt;&gt;4,RANK(AWO38,AWO37:AWO41),AWO78)</f>
        <v>4</v>
      </c>
      <c r="AWR38" s="319"/>
      <c r="AWS38" s="319">
        <f t="shared" ref="AWS38" ca="1" si="12494">SUMPRODUCT((AWQ37:AWQ40=AWQ38)*(AWP37:AWP40&lt;AWP38))+AWQ38</f>
        <v>4</v>
      </c>
      <c r="AWT38" s="319" t="str">
        <f t="shared" ref="AWT38" ca="1" si="12495">INDEX(AWH37:AWH41,MATCH(2,AWS37:AWS41,0),0)</f>
        <v>Türkiye</v>
      </c>
      <c r="AWU38" s="319">
        <f t="shared" ref="AWU38" ca="1" si="12496">INDEX(AWQ37:AWQ41,MATCH(AWT38,AWH37:AWH41,0),0)</f>
        <v>2</v>
      </c>
      <c r="AWV38" s="319" t="str">
        <f t="shared" ref="AWV38" ca="1" si="12497">IF(AWV37&lt;&gt;"",AWT38,"")</f>
        <v/>
      </c>
      <c r="AWW38" s="319" t="str">
        <f t="shared" ref="AWW38" ca="1" si="12498">IF(AWW37&lt;&gt;"",AWT39,"")</f>
        <v/>
      </c>
      <c r="AWX38" s="319" t="str">
        <f t="shared" ref="AWX38" ca="1" si="12499">IF(AWX37&lt;&gt;"",AWT40,"")</f>
        <v/>
      </c>
      <c r="AWY38" s="319" t="str">
        <f t="shared" ref="AWY38" si="12500">IF(AWY37&lt;&gt;"",AWT41,"")</f>
        <v/>
      </c>
      <c r="AWZ38" s="319"/>
      <c r="AXA38" s="319" t="str">
        <f t="shared" ca="1" si="12076"/>
        <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t="str">
        <f t="shared" ca="1" si="12083"/>
        <v/>
      </c>
      <c r="AXI38" s="319" t="str">
        <f t="shared" ref="AXI38" ca="1" si="12506">IF(AXA38&lt;&gt;"",VLOOKUP(AXA38,AWH4:AWN40,7,FALSE),"")</f>
        <v/>
      </c>
      <c r="AXJ38" s="319" t="str">
        <f t="shared" ref="AXJ38" ca="1" si="12507">IF(AXA38&lt;&gt;"",VLOOKUP(AXA38,AWH4:AWN40,5,FALSE),"")</f>
        <v/>
      </c>
      <c r="AXK38" s="319" t="str">
        <f t="shared" ref="AXK38" ca="1" si="12508">IF(AXA38&lt;&gt;"",VLOOKUP(AXA38,AWH4:AWP40,9,FALSE),"")</f>
        <v/>
      </c>
      <c r="AXL38" s="319" t="str">
        <f t="shared" ca="1" si="12087"/>
        <v/>
      </c>
      <c r="AXM38" s="319" t="str">
        <f t="shared" ref="AXM38" ca="1" si="12509">IF(AXA38&lt;&gt;"",RANK(AXL38,AXL37:AXL41),"")</f>
        <v/>
      </c>
      <c r="AXN38" s="319" t="str">
        <f t="shared" ref="AXN38" ca="1" si="12510">IF(AXA38&lt;&gt;"",SUMPRODUCT((AXL37:AXL41=AXL38)*(AXG37:AXG41&gt;AXG38)),"")</f>
        <v/>
      </c>
      <c r="AXO38" s="319" t="str">
        <f t="shared" ref="AXO38" ca="1" si="12511">IF(AXA38&lt;&gt;"",SUMPRODUCT((AXL37:AXL41=AXL38)*(AXG37:AXG41=AXG38)*(AXE37:AXE41&gt;AXE38)),"")</f>
        <v/>
      </c>
      <c r="AXP38" s="319" t="str">
        <f t="shared" ref="AXP38" ca="1" si="12512">IF(AXA38&lt;&gt;"",SUMPRODUCT((AXL37:AXL41=AXL38)*(AXG37:AXG41=AXG38)*(AXE37:AXE41=AXE38)*(AXI37:AXI41&gt;AXI38)),"")</f>
        <v/>
      </c>
      <c r="AXQ38" s="319" t="str">
        <f t="shared" ref="AXQ38" ca="1" si="12513">IF(AXA38&lt;&gt;"",SUMPRODUCT((AXL37:AXL41=AXL38)*(AXG37:AXG41=AXG38)*(AXE37:AXE41=AXE38)*(AXI37:AXI41=AXI38)*(AXJ37:AXJ41&gt;AXJ38)),"")</f>
        <v/>
      </c>
      <c r="AXR38" s="319" t="str">
        <f t="shared" ref="AXR38" ca="1" si="12514">IF(AXA38&lt;&gt;"",SUMPRODUCT((AXL37:AXL41=AXL38)*(AXG37:AXG41=AXG38)*(AXE37:AXE41=AXE38)*(AXI37:AXI41=AXI38)*(AXJ37:AXJ41=AXJ38)*(AXK37:AXK41&gt;AXK38)),"")</f>
        <v/>
      </c>
      <c r="AXS38" s="319" t="str">
        <f ca="1">IF(AXA38&lt;&gt;"",IF(AXS78&lt;&gt;"",IF(AWZ76=3,AXS78,AXS78+AWZ76),SUM(AXM38:AXR38)),"")</f>
        <v/>
      </c>
      <c r="AXT38" s="319" t="str">
        <f t="shared" ref="AXT38" ca="1" si="12515">IF(AXA38&lt;&gt;"",INDEX(AXA37:AXA41,MATCH(2,AXS37:AXS41,0),0),"")</f>
        <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1</v>
      </c>
      <c r="BAH38" s="322">
        <f ca="1">IF(OFFSET('Player Game Board'!Q45,0,BAG1)&lt;&gt;"",OFFSET('Player Game Board'!Q45,0,BAG1),0)</f>
        <v>2</v>
      </c>
      <c r="BAI38" s="319" t="str">
        <f t="shared" si="131"/>
        <v>Türkiye</v>
      </c>
      <c r="BAJ38" s="319" t="str">
        <f ca="1">IF(AND(OFFSET('Player Game Board'!P45,0,BAG1)&lt;&gt;"",OFFSET('Player Game Board'!Q45,0,BAG1)&lt;&gt;""),IF(BAG38&gt;BAH38,"W",IF(BAG38=BAH38,"D","L")),"")</f>
        <v>L</v>
      </c>
      <c r="BAK38" s="319" t="str">
        <f t="shared" ca="1" si="5885"/>
        <v>W</v>
      </c>
      <c r="BAL38" s="319"/>
      <c r="BAM38" s="319"/>
      <c r="BAN38" s="319"/>
      <c r="BAO38" s="320"/>
      <c r="BAP38" s="320"/>
      <c r="BAQ38" s="320"/>
      <c r="BAR38" s="320"/>
      <c r="BAS38" s="320"/>
      <c r="BAT38" s="320"/>
      <c r="BAU38" s="320"/>
      <c r="BAV38" s="319"/>
      <c r="BAW38" s="319"/>
      <c r="BAX38" s="319"/>
      <c r="BAY38" s="319"/>
      <c r="BAZ38" s="319"/>
      <c r="BBA38" s="319"/>
      <c r="BBB38" s="319"/>
      <c r="BBC38" s="319" t="s">
        <v>105</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105</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3</v>
      </c>
      <c r="EF39" s="319">
        <f t="shared" ca="1" si="11792"/>
        <v>1001</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19">
        <f ca="1">FQ39-FR39+1000</f>
        <v>1000</v>
      </c>
      <c r="FT39" s="319">
        <f t="shared" ca="1" si="12138"/>
        <v>1</v>
      </c>
      <c r="FU39" s="319">
        <f ca="1">IF(FM39&lt;&gt;"",VLOOKUP(FM39,DZ4:EF40,7,FALSE),"")</f>
        <v>1001</v>
      </c>
      <c r="FV39" s="319">
        <f ca="1">IF(FM39&lt;&gt;"",VLOOKUP(FM39,DZ4:EF40,5,FALSE),"")</f>
        <v>4</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1</v>
      </c>
      <c r="IZ39" s="319">
        <f ca="1">SUMPRODUCT((MV3:MV42=IX39)*(MZ3:MZ42="D"))+SUMPRODUCT((MY3:MY42=IX39)*(NA3:NA42="D"))</f>
        <v>1</v>
      </c>
      <c r="JA39" s="319">
        <f ca="1">SUMPRODUCT((MV3:MV42=IX39)*(MZ3:MZ42="L"))+SUMPRODUCT((MY3:MY42=IX39)*(NA3:NA42="L"))</f>
        <v>1</v>
      </c>
      <c r="JB39" s="319">
        <f ca="1">SUMIF(MV3:MV60,IX39,MW3:MW60)+SUMIF(MY3:MY60,IX39,MX3:MX60)</f>
        <v>5</v>
      </c>
      <c r="JC39" s="319">
        <f ca="1">SUMIF(MY3:MY60,IX39,MW3:MW60)+SUMIF(MV3:MV60,IX39,MX3:MX60)</f>
        <v>4</v>
      </c>
      <c r="JD39" s="319">
        <f t="shared" ca="1" si="11796"/>
        <v>1001</v>
      </c>
      <c r="JE39" s="319">
        <f t="shared" ca="1" si="11797"/>
        <v>4</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3</v>
      </c>
      <c r="NV39" s="319" t="str">
        <f t="shared" si="11801"/>
        <v>Türkiye</v>
      </c>
      <c r="NW39" s="319">
        <f t="shared" ref="NW39" ca="1" si="12592">SUMPRODUCT((RT3:RT42=NV39)*(RX3:RX42="W"))+SUMPRODUCT((RW3:RW42=NV39)*(RY3:RY42="W"))</f>
        <v>1</v>
      </c>
      <c r="NX39" s="319">
        <f t="shared" ref="NX39" ca="1" si="12593">SUMPRODUCT((RT3:RT42=NV39)*(RX3:RX42="D"))+SUMPRODUCT((RW3:RW42=NV39)*(RY3:RY42="D"))</f>
        <v>0</v>
      </c>
      <c r="NY39" s="319">
        <f t="shared" ref="NY39" ca="1" si="12594">SUMPRODUCT((RT3:RT42=NV39)*(RX3:RX42="L"))+SUMPRODUCT((RW3:RW42=NV39)*(RY3:RY42="L"))</f>
        <v>2</v>
      </c>
      <c r="NZ39" s="319">
        <f t="shared" ref="NZ39" ca="1" si="12595">SUMIF(RT3:RT60,NV39,RU3:RU60)+SUMIF(RW3:RW60,NV39,RV3:RV60)</f>
        <v>2</v>
      </c>
      <c r="OA39" s="319">
        <f t="shared" ref="OA39" ca="1" si="12596">SUMIF(RW3:RW60,NV39,RU3:RU60)+SUMIF(RT3:RT60,NV39,RV3:RV60)</f>
        <v>3</v>
      </c>
      <c r="OB39" s="319">
        <f t="shared" ca="1" si="11807"/>
        <v>999</v>
      </c>
      <c r="OC39" s="319">
        <f t="shared" ca="1" si="11808"/>
        <v>3</v>
      </c>
      <c r="OD39" s="319">
        <f t="shared" si="630"/>
        <v>47</v>
      </c>
      <c r="OE39" s="319">
        <f t="shared" ref="OE39" ca="1" si="12597">IF(COUNTIF(OC37:OC41,4)&lt;&gt;4,RANK(OC39,OC37:OC41),OC79)</f>
        <v>3</v>
      </c>
      <c r="OF39" s="319"/>
      <c r="OG39" s="319">
        <f t="shared" ref="OG39" ca="1" si="12598">SUMPRODUCT((OE37:OE40=OE39)*(OD37:OD40&lt;OD39))+OE39</f>
        <v>3</v>
      </c>
      <c r="OH39" s="319" t="str">
        <f t="shared" ref="OH39" ca="1" si="12599">INDEX(NV37:NV41,MATCH(3,OG37:OG41,0),0)</f>
        <v>Türkiye</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Türkiye</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3</v>
      </c>
      <c r="ST39" s="319" t="str">
        <f t="shared" si="11838"/>
        <v>Türkiye</v>
      </c>
      <c r="SU39" s="319">
        <f t="shared" ref="SU39" ca="1" si="12656">SUMPRODUCT((WR3:WR42=ST39)*(WV3:WV42="W"))+SUMPRODUCT((WU3:WU42=ST39)*(WW3:WW42="W"))</f>
        <v>1</v>
      </c>
      <c r="SV39" s="319">
        <f t="shared" ref="SV39" ca="1" si="12657">SUMPRODUCT((WR3:WR42=ST39)*(WV3:WV42="D"))+SUMPRODUCT((WU3:WU42=ST39)*(WW3:WW42="D"))</f>
        <v>1</v>
      </c>
      <c r="SW39" s="319">
        <f t="shared" ref="SW39" ca="1" si="12658">SUMPRODUCT((WR3:WR42=ST39)*(WV3:WV42="L"))+SUMPRODUCT((WU3:WU42=ST39)*(WW3:WW42="L"))</f>
        <v>1</v>
      </c>
      <c r="SX39" s="319">
        <f t="shared" ref="SX39" ca="1" si="12659">SUMIF(WR3:WR60,ST39,WS3:WS60)+SUMIF(WU3:WU60,ST39,WT3:WT60)</f>
        <v>4</v>
      </c>
      <c r="SY39" s="319">
        <f t="shared" ref="SY39" ca="1" si="12660">SUMIF(WU3:WU60,ST39,WS3:WS60)+SUMIF(WR3:WR60,ST39,WT3:WT60)</f>
        <v>5</v>
      </c>
      <c r="SZ39" s="319">
        <f t="shared" ca="1" si="11844"/>
        <v>999</v>
      </c>
      <c r="TA39" s="319">
        <f t="shared" ca="1" si="11845"/>
        <v>4</v>
      </c>
      <c r="TB39" s="319">
        <f t="shared" si="690"/>
        <v>47</v>
      </c>
      <c r="TC39" s="319">
        <f t="shared" ref="TC39" ca="1" si="12661">IF(COUNTIF(TA37:TA41,4)&lt;&gt;4,RANK(TA39,TA37:TA41),TA79)</f>
        <v>2</v>
      </c>
      <c r="TD39" s="319"/>
      <c r="TE39" s="319">
        <f t="shared" ref="TE39" ca="1" si="12662">SUMPRODUCT((TC37:TC40=TC39)*(TB37:TB40&lt;TB39))+TC39</f>
        <v>3</v>
      </c>
      <c r="TF39" s="319" t="str">
        <f t="shared" ref="TF39" ca="1" si="12663">INDEX(ST37:ST41,MATCH(3,TE37:TE41,0),0)</f>
        <v>Türkiye</v>
      </c>
      <c r="TG39" s="319">
        <f t="shared" ref="TG39" ca="1" si="12664">INDEX(TC37:TC41,MATCH(TF39,ST37:ST41,0),0)</f>
        <v>2</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Türkiye</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19">
        <f t="shared" ca="1" si="12228"/>
        <v>1000</v>
      </c>
      <c r="UN39" s="319">
        <f t="shared" ca="1" si="12229"/>
        <v>1</v>
      </c>
      <c r="UO39" s="319">
        <f t="shared" ref="UO39" ca="1" si="12688">IF(UG39&lt;&gt;"",VLOOKUP(UG39,ST4:SZ40,7,FALSE),"")</f>
        <v>999</v>
      </c>
      <c r="UP39" s="319">
        <f t="shared" ref="UP39" ca="1" si="12689">IF(UG39&lt;&gt;"",VLOOKUP(UG39,ST4:SZ40,5,FALSE),"")</f>
        <v>4</v>
      </c>
      <c r="UQ39" s="319">
        <f t="shared" ref="UQ39" ca="1" si="12690">IF(UG39&lt;&gt;"",VLOOKUP(UG39,ST4:TB40,9,FALSE),"")</f>
        <v>47</v>
      </c>
      <c r="UR39" s="319">
        <f t="shared" ca="1" si="12233"/>
        <v>1</v>
      </c>
      <c r="US39" s="319">
        <f t="shared" ref="US39" ca="1" si="12691">IF(UG39&lt;&gt;"",RANK(UR39,UR37:UR40),"")</f>
        <v>1</v>
      </c>
      <c r="UT39" s="319">
        <f t="shared" ref="UT39" ca="1" si="12692">IF(UG39&lt;&gt;"",SUMPRODUCT((UR37:UR41=UR39)*(UM37:UM41&gt;UM39)),"")</f>
        <v>0</v>
      </c>
      <c r="UU39" s="319">
        <f t="shared" ref="UU39" ca="1" si="12693">IF(UG39&lt;&gt;"",SUMPRODUCT((UR37:UR41=UR39)*(UM37:UM41=UM39)*(UK37:UK41&gt;UK39)),"")</f>
        <v>0</v>
      </c>
      <c r="UV39" s="319">
        <f t="shared" ref="UV39" ca="1" si="12694">IF(UG39&lt;&gt;"",SUMPRODUCT((UR37:UR41=UR39)*(UM37:UM41=UM39)*(UK37:UK41=UK39)*(UO37:UO41&gt;UO39)),"")</f>
        <v>1</v>
      </c>
      <c r="UW39" s="319">
        <f t="shared" ref="UW39" ca="1" si="12695">IF(UG39&lt;&gt;"",SUMPRODUCT((UR37:UR41=UR39)*(UM37:UM41=UM39)*(UK37:UK41=UK39)*(UO37:UO41=UO39)*(UP37:UP41&gt;UP39)),"")</f>
        <v>0</v>
      </c>
      <c r="UX39" s="319">
        <f t="shared" ref="UX39" ca="1" si="12696">IF(UG39&lt;&gt;"",SUMPRODUCT((UR37:UR41=UR39)*(UM37:UM41=UM39)*(UK37:UK41=UK39)*(UO37:UO41=UO39)*(UP37:UP41=UP39)*(UQ37:UQ41&gt;UQ39)),"")</f>
        <v>0</v>
      </c>
      <c r="UY39" s="319">
        <f ca="1">IF(UG39&lt;&gt;"",IF(UY79&lt;&gt;"",IF(UF76=3,UY79,UY79+UF76),SUM(US39:UX39)+1),"")</f>
        <v>3</v>
      </c>
      <c r="UZ39" s="319" t="str">
        <f t="shared" ref="UZ39" ca="1" si="12697">IF(UG39&lt;&gt;"",INDEX(UG38:UG41,MATCH(3,UY38:UY41,0),0),"")</f>
        <v>Türkiye</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Türkiye</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1</v>
      </c>
      <c r="ACP39" s="319" t="str">
        <f t="shared" si="11912"/>
        <v>Türkiye</v>
      </c>
      <c r="ACQ39" s="319">
        <f t="shared" ref="ACQ39" ca="1" si="12784">SUMPRODUCT((AGN3:AGN42=ACP39)*(AGR3:AGR42="W"))+SUMPRODUCT((AGQ3:AGQ42=ACP39)*(AGS3:AGS42="W"))</f>
        <v>2</v>
      </c>
      <c r="ACR39" s="319">
        <f t="shared" ref="ACR39" ca="1" si="12785">SUMPRODUCT((AGN3:AGN42=ACP39)*(AGR3:AGR42="D"))+SUMPRODUCT((AGQ3:AGQ42=ACP39)*(AGS3:AGS42="D"))</f>
        <v>1</v>
      </c>
      <c r="ACS39" s="319">
        <f t="shared" ref="ACS39" ca="1" si="12786">SUMPRODUCT((AGN3:AGN42=ACP39)*(AGR3:AGR42="L"))+SUMPRODUCT((AGQ3:AGQ42=ACP39)*(AGS3:AGS42="L"))</f>
        <v>0</v>
      </c>
      <c r="ACT39" s="319">
        <f t="shared" ref="ACT39" ca="1" si="12787">SUMIF(AGN3:AGN60,ACP39,AGO3:AGO60)+SUMIF(AGQ3:AGQ60,ACP39,AGP3:AGP60)</f>
        <v>6</v>
      </c>
      <c r="ACU39" s="319">
        <f t="shared" ref="ACU39" ca="1" si="12788">SUMIF(AGQ3:AGQ60,ACP39,AGO3:AGO60)+SUMIF(AGN3:AGN60,ACP39,AGP3:AGP60)</f>
        <v>2</v>
      </c>
      <c r="ACV39" s="319">
        <f t="shared" ca="1" si="11918"/>
        <v>1004</v>
      </c>
      <c r="ACW39" s="319">
        <f t="shared" ca="1" si="11919"/>
        <v>7</v>
      </c>
      <c r="ACX39" s="319">
        <f t="shared" si="810"/>
        <v>47</v>
      </c>
      <c r="ACY39" s="319">
        <f t="shared" ref="ACY39" ca="1" si="12789">IF(COUNTIF(ACW37:ACW41,4)&lt;&gt;4,RANK(ACW39,ACW37:ACW41),ACW79)</f>
        <v>1</v>
      </c>
      <c r="ACZ39" s="319"/>
      <c r="ADA39" s="319">
        <f t="shared" ref="ADA39" ca="1" si="12790">SUMPRODUCT((ACY37:ACY40=ACY39)*(ACX37:ACX40&lt;ACX39))+ACY39</f>
        <v>2</v>
      </c>
      <c r="ADB39" s="319" t="str">
        <f t="shared" ref="ADB39" ca="1" si="12791">INDEX(ACP37:ACP41,MATCH(3,ADA37:ADA41,0),0)</f>
        <v>Portugal</v>
      </c>
      <c r="ADC39" s="319">
        <f t="shared" ref="ADC39" ca="1" si="12792">INDEX(ACY37:ACY41,MATCH(ADB39,ACP37:ACP41,0),0)</f>
        <v>3</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Portugal</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0</v>
      </c>
      <c r="AHQ39" s="319">
        <f t="shared" ref="AHQ39" ca="1" si="12850">SUMPRODUCT((ALL3:ALL42=AHN39)*(ALP3:ALP42="L"))+SUMPRODUCT((ALO3:ALO42=AHN39)*(ALQ3:ALQ42="L"))</f>
        <v>1</v>
      </c>
      <c r="AHR39" s="319">
        <f t="shared" ref="AHR39" ca="1" si="12851">SUMIF(ALL3:ALL60,AHN39,ALM3:ALM60)+SUMIF(ALO3:ALO60,AHN39,ALN3:ALN60)</f>
        <v>2</v>
      </c>
      <c r="AHS39" s="319">
        <f t="shared" ref="AHS39" ca="1" si="12852">SUMIF(ALO3:ALO60,AHN39,ALM3:ALM60)+SUMIF(ALL3:ALL60,AHN39,ALN3:ALN60)</f>
        <v>2</v>
      </c>
      <c r="AHT39" s="319">
        <f t="shared" ca="1" si="11955"/>
        <v>1000</v>
      </c>
      <c r="AHU39" s="319">
        <f t="shared" ca="1" si="11956"/>
        <v>6</v>
      </c>
      <c r="AHV39" s="319">
        <f t="shared" si="870"/>
        <v>47</v>
      </c>
      <c r="AHW39" s="319">
        <f t="shared" ref="AHW39" ca="1" si="12853">IF(COUNTIF(AHU37:AHU41,4)&lt;&gt;4,RANK(AHU39,AHU37:AHU41),AHU79)</f>
        <v>2</v>
      </c>
      <c r="AHX39" s="319"/>
      <c r="AHY39" s="319">
        <f t="shared" ref="AHY39" ca="1" si="12854">SUMPRODUCT((AHW37:AHW40=AHW39)*(AHV37:AHV40&lt;AHV39))+AHW39</f>
        <v>2</v>
      </c>
      <c r="AHZ39" s="319" t="str">
        <f t="shared" ref="AHZ39" ca="1" si="12855">INDEX(AHN37:AHN41,MATCH(3,AHY37:AHY41,0),0)</f>
        <v>Georgia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Georgia</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f t="shared" ref="AKB39:AKB40" ca="1" si="12897">IF(AJU39&lt;&gt;"",AJV39*3+AJW39*1,"")</f>
        <v>1</v>
      </c>
      <c r="AKC39" s="319">
        <f t="shared" ref="AKC39" ca="1" si="12898">IF(AJU39&lt;&gt;"",VLOOKUP(AJU39,AHN4:AHT40,7,FALSE),"")</f>
        <v>997</v>
      </c>
      <c r="AKD39" s="319">
        <f t="shared" ref="AKD39" ca="1" si="12899">IF(AJU39&lt;&gt;"",VLOOKUP(AJU39,AHN4:AHT40,5,FALSE),"")</f>
        <v>0</v>
      </c>
      <c r="AKE39" s="319">
        <f t="shared" ref="AKE39" ca="1" si="12900">IF(AJU39&lt;&gt;"",VLOOKUP(AJU39,AHN4:AHV40,9,FALSE),"")</f>
        <v>0</v>
      </c>
      <c r="AKF39" s="319">
        <f t="shared" ref="AKF39:AKF40" ca="1" si="12901">AKB39</f>
        <v>1</v>
      </c>
      <c r="AKG39" s="319">
        <f t="shared" ref="AKG39" ca="1" si="12902">IF(AJU39&lt;&gt;"",RANK(AKF39,AKF38:AKF40),"")</f>
        <v>1</v>
      </c>
      <c r="AKH39" s="319">
        <f t="shared" ref="AKH39" ca="1" si="12903">IF(AJU39&lt;&gt;"",SUMPRODUCT((AKF37:AKF41=AKF39)*(AKA37:AKA41&gt;AKA39)),"")</f>
        <v>0</v>
      </c>
      <c r="AKI39" s="319">
        <f t="shared" ref="AKI39" ca="1" si="12904">IF(AJU39&lt;&gt;"",SUMPRODUCT((AKF37:AKF41=AKF39)*(AKA37:AKA41=AKA39)*(AJY37:AJY41&gt;AJY39)),"")</f>
        <v>0</v>
      </c>
      <c r="AKJ39" s="319">
        <f t="shared" ref="AKJ39" ca="1" si="12905">IF(AJU39&lt;&gt;"",SUMPRODUCT((AKF37:AKF41=AKF39)*(AKA37:AKA41=AKA39)*(AJY37:AJY41=AJY39)*(AKC37:AKC41&gt;AKC39)),"")</f>
        <v>0</v>
      </c>
      <c r="AKK39" s="319">
        <f t="shared" ref="AKK39" ca="1" si="12906">IF(AJU39&lt;&gt;"",SUMPRODUCT((AKF37:AKF41=AKF39)*(AKA37:AKA41=AKA39)*(AJY37:AJY41=AJY39)*(AKC37:AKC41=AKC39)*(AKD37:AKD41&gt;AKD39)),"")</f>
        <v>0</v>
      </c>
      <c r="AKL39" s="319">
        <f t="shared" ref="AKL39" ca="1" si="12907">IF(AJU39&lt;&gt;"",SUMPRODUCT((AKF37:AKF41=AKF39)*(AKA37:AKA41=AKA39)*(AJY37:AJY41=AJY39)*(AKC37:AKC41=AKC39)*(AKD37:AKD41=AKD39)*(AKE37:AKE41&gt;AKE39)),"")</f>
        <v>1</v>
      </c>
      <c r="AKM39" s="319">
        <f t="shared" ref="AKM39:AKM40" ca="1" si="12908">IF(AJU39&lt;&gt;"",SUM(AKG39:AKL39)+2,"")</f>
        <v>4</v>
      </c>
      <c r="AKN39" s="319" t="str">
        <f t="shared" ref="AKN39" ca="1" si="12909">IF(AJU39&lt;&gt;"",INDEX(AJU39:AJU41,MATCH(3,AKM39:AKM41,0),0),"")</f>
        <v>Czechia</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3</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2</v>
      </c>
      <c r="AMO39" s="319">
        <f t="shared" ref="AMO39" ca="1" si="12914">SUMPRODUCT((AQJ3:AQJ42=AML39)*(AQN3:AQN42="L"))+SUMPRODUCT((AQM3:AQM42=AML39)*(AQO3:AQO42="L"))</f>
        <v>1</v>
      </c>
      <c r="AMP39" s="319">
        <f t="shared" ref="AMP39" ca="1" si="12915">SUMIF(AQJ3:AQJ60,AML39,AQK3:AQK60)+SUMIF(AQM3:AQM60,AML39,AQL3:AQL60)</f>
        <v>3</v>
      </c>
      <c r="AMQ39" s="319">
        <f t="shared" ref="AMQ39" ca="1" si="12916">SUMIF(AQM3:AQM60,AML39,AQK3:AQK60)+SUMIF(AQJ3:AQJ60,AML39,AQL3:AQL60)</f>
        <v>5</v>
      </c>
      <c r="AMR39" s="319">
        <f t="shared" ca="1" si="11992"/>
        <v>998</v>
      </c>
      <c r="AMS39" s="319">
        <f t="shared" ca="1" si="11993"/>
        <v>2</v>
      </c>
      <c r="AMT39" s="319">
        <f t="shared" si="930"/>
        <v>47</v>
      </c>
      <c r="AMU39" s="319">
        <f t="shared" ref="AMU39" ca="1" si="12917">IF(COUNTIF(AMS37:AMS41,4)&lt;&gt;4,RANK(AMS39,AMS37:AMS41),AMS79)</f>
        <v>3</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3</v>
      </c>
      <c r="AMZ39" s="319" t="str">
        <f t="shared" ref="AMZ39:AMZ40" ca="1" si="12921">IF(AND(AMZ38&lt;&gt;"",AMY39=1),AMX39,"")</f>
        <v/>
      </c>
      <c r="ANA39" s="319" t="str">
        <f t="shared" ref="ANA39:ANA40" ca="1" si="12922">IF(AND(ANA38&lt;&gt;"",AMY40=2),AMX40,"")</f>
        <v/>
      </c>
      <c r="ANB39" s="319" t="str">
        <f t="shared" ref="ANB39" ca="1" si="12923">IF(AND(ANB38&lt;&gt;"",AMY41=3),AMX41,"")</f>
        <v/>
      </c>
      <c r="ANC39" s="319"/>
      <c r="AND39" s="319"/>
      <c r="ANE39" s="319" t="str">
        <f t="shared" ca="1" si="12002"/>
        <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t="str">
        <f t="shared" ca="1" si="12009"/>
        <v/>
      </c>
      <c r="ANM39" s="319" t="str">
        <f t="shared" ref="ANM39" ca="1" si="12929">IF(ANE39&lt;&gt;"",VLOOKUP(ANE39,AML4:AMR40,7,FALSE),"")</f>
        <v/>
      </c>
      <c r="ANN39" s="319" t="str">
        <f t="shared" ref="ANN39" ca="1" si="12930">IF(ANE39&lt;&gt;"",VLOOKUP(ANE39,AML4:AMR40,5,FALSE),"")</f>
        <v/>
      </c>
      <c r="ANO39" s="319" t="str">
        <f t="shared" ref="ANO39" ca="1" si="12931">IF(ANE39&lt;&gt;"",VLOOKUP(ANE39,AML4:AMT40,9,FALSE),"")</f>
        <v/>
      </c>
      <c r="ANP39" s="319" t="str">
        <f t="shared" ca="1" si="12013"/>
        <v/>
      </c>
      <c r="ANQ39" s="319" t="str">
        <f t="shared" ref="ANQ39" ca="1" si="12932">IF(ANE39&lt;&gt;"",RANK(ANP39,ANP37:ANP41),"")</f>
        <v/>
      </c>
      <c r="ANR39" s="319" t="str">
        <f t="shared" ref="ANR39" ca="1" si="12933">IF(ANE39&lt;&gt;"",SUMPRODUCT((ANP37:ANP41=ANP39)*(ANK37:ANK41&gt;ANK39)),"")</f>
        <v/>
      </c>
      <c r="ANS39" s="319" t="str">
        <f t="shared" ref="ANS39" ca="1" si="12934">IF(ANE39&lt;&gt;"",SUMPRODUCT((ANP37:ANP41=ANP39)*(ANK37:ANK41=ANK39)*(ANI37:ANI41&gt;ANI39)),"")</f>
        <v/>
      </c>
      <c r="ANT39" s="319" t="str">
        <f t="shared" ref="ANT39" ca="1" si="12935">IF(ANE39&lt;&gt;"",SUMPRODUCT((ANP37:ANP41=ANP39)*(ANK37:ANK41=ANK39)*(ANI37:ANI41=ANI39)*(ANM37:ANM41&gt;ANM39)),"")</f>
        <v/>
      </c>
      <c r="ANU39" s="319" t="str">
        <f t="shared" ref="ANU39" ca="1" si="12936">IF(ANE39&lt;&gt;"",SUMPRODUCT((ANP37:ANP41=ANP39)*(ANK37:ANK41=ANK39)*(ANI37:ANI41=ANI39)*(ANM37:ANM41=ANM39)*(ANN37:ANN41&gt;ANN39)),"")</f>
        <v/>
      </c>
      <c r="ANV39" s="319" t="str">
        <f t="shared" ref="ANV39" ca="1" si="12937">IF(ANE39&lt;&gt;"",SUMPRODUCT((ANP37:ANP41=ANP39)*(ANK37:ANK41=ANK39)*(ANI37:ANI41=ANI39)*(ANM37:ANM41=ANM39)*(ANN37:ANN41=ANN39)*(ANO37:ANO41&gt;ANO39)),"")</f>
        <v/>
      </c>
      <c r="ANW39" s="319" t="str">
        <f ca="1">IF(ANE39&lt;&gt;"",IF(ANW79&lt;&gt;"",IF(AND76=3,ANW79,ANW79+AND76),SUM(ANQ39:ANV39)),"")</f>
        <v/>
      </c>
      <c r="ANX39" s="319" t="str">
        <f t="shared" ref="ANX39" ca="1" si="12938">IF(ANE39&lt;&gt;"",INDEX(ANE37:ANE41,MATCH(3,ANW37:ANW41,0),0),"")</f>
        <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Türkiye</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1</v>
      </c>
      <c r="ARJ39" s="319" t="str">
        <f t="shared" si="12023"/>
        <v>Türkiye</v>
      </c>
      <c r="ARK39" s="319">
        <f t="shared" ref="ARK39" ca="1" si="12976">SUMPRODUCT((AVH3:AVH42=ARJ39)*(AVL3:AVL42="W"))+SUMPRODUCT((AVK3:AVK42=ARJ39)*(AVM3:AVM42="W"))</f>
        <v>3</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6</v>
      </c>
      <c r="ARO39" s="319">
        <f t="shared" ref="ARO39" ca="1" si="12980">SUMIF(AVK3:AVK60,ARJ39,AVI3:AVI60)+SUMIF(AVH3:AVH60,ARJ39,AVJ3:AVJ60)</f>
        <v>1</v>
      </c>
      <c r="ARP39" s="319">
        <f t="shared" ca="1" si="12029"/>
        <v>1005</v>
      </c>
      <c r="ARQ39" s="319">
        <f t="shared" ca="1" si="12030"/>
        <v>9</v>
      </c>
      <c r="ARR39" s="319">
        <f t="shared" si="990"/>
        <v>47</v>
      </c>
      <c r="ARS39" s="319">
        <f t="shared" ref="ARS39" ca="1" si="12981">IF(COUNTIF(ARQ37:ARQ41,4)&lt;&gt;4,RANK(ARQ39,ARQ37:ARQ41),ARQ79)</f>
        <v>1</v>
      </c>
      <c r="ART39" s="319"/>
      <c r="ARU39" s="319">
        <f t="shared" ref="ARU39" ca="1" si="12982">SUMPRODUCT((ARS37:ARS40=ARS39)*(ARR37:ARR40&lt;ARR39))+ARS39</f>
        <v>1</v>
      </c>
      <c r="ARV39" s="319" t="str">
        <f t="shared" ref="ARV39" ca="1" si="12983">INDEX(ARJ37:ARJ41,MATCH(3,ARU37:ARU41,0),0)</f>
        <v>Georgia</v>
      </c>
      <c r="ARW39" s="319">
        <f t="shared" ref="ARW39" ca="1" si="12984">INDEX(ARS37:ARS41,MATCH(ARV39,ARJ37:ARJ41,0),0)</f>
        <v>3</v>
      </c>
      <c r="ARX39" s="319" t="str">
        <f t="shared" ref="ARX39:ARX40" ca="1" si="12985">IF(AND(ARX38&lt;&gt;"",ARW39=1),ARV39,"")</f>
        <v/>
      </c>
      <c r="ARY39" s="319" t="str">
        <f t="shared" ref="ARY39:ARY40" ca="1" si="12986">IF(AND(ARY38&lt;&gt;"",ARW40=2),ARV40,"")</f>
        <v/>
      </c>
      <c r="ARZ39" s="319" t="str">
        <f t="shared" ref="ARZ39" ca="1" si="12987">IF(AND(ARZ38&lt;&gt;"",ARW41=3),ARV41,"")</f>
        <v/>
      </c>
      <c r="ASA39" s="319"/>
      <c r="ASB39" s="319"/>
      <c r="ASC39" s="319" t="str">
        <f t="shared" ca="1" si="12039"/>
        <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t="str">
        <f t="shared" ca="1" si="12046"/>
        <v/>
      </c>
      <c r="ASK39" s="319" t="str">
        <f t="shared" ref="ASK39" ca="1" si="12993">IF(ASC39&lt;&gt;"",VLOOKUP(ASC39,ARJ4:ARP40,7,FALSE),"")</f>
        <v/>
      </c>
      <c r="ASL39" s="319" t="str">
        <f t="shared" ref="ASL39" ca="1" si="12994">IF(ASC39&lt;&gt;"",VLOOKUP(ASC39,ARJ4:ARP40,5,FALSE),"")</f>
        <v/>
      </c>
      <c r="ASM39" s="319" t="str">
        <f t="shared" ref="ASM39" ca="1" si="12995">IF(ASC39&lt;&gt;"",VLOOKUP(ASC39,ARJ4:ARR40,9,FALSE),"")</f>
        <v/>
      </c>
      <c r="ASN39" s="319" t="str">
        <f t="shared" ca="1" si="12050"/>
        <v/>
      </c>
      <c r="ASO39" s="319" t="str">
        <f t="shared" ref="ASO39" ca="1" si="12996">IF(ASC39&lt;&gt;"",RANK(ASN39,ASN37:ASN41),"")</f>
        <v/>
      </c>
      <c r="ASP39" s="319" t="str">
        <f t="shared" ref="ASP39" ca="1" si="12997">IF(ASC39&lt;&gt;"",SUMPRODUCT((ASN37:ASN41=ASN39)*(ASI37:ASI41&gt;ASI39)),"")</f>
        <v/>
      </c>
      <c r="ASQ39" s="319" t="str">
        <f t="shared" ref="ASQ39" ca="1" si="12998">IF(ASC39&lt;&gt;"",SUMPRODUCT((ASN37:ASN41=ASN39)*(ASI37:ASI41=ASI39)*(ASG37:ASG41&gt;ASG39)),"")</f>
        <v/>
      </c>
      <c r="ASR39" s="319" t="str">
        <f t="shared" ref="ASR39" ca="1" si="12999">IF(ASC39&lt;&gt;"",SUMPRODUCT((ASN37:ASN41=ASN39)*(ASI37:ASI41=ASI39)*(ASG37:ASG41=ASG39)*(ASK37:ASK41&gt;ASK39)),"")</f>
        <v/>
      </c>
      <c r="ASS39" s="319" t="str">
        <f t="shared" ref="ASS39" ca="1" si="13000">IF(ASC39&lt;&gt;"",SUMPRODUCT((ASN37:ASN41=ASN39)*(ASI37:ASI41=ASI39)*(ASG37:ASG41=ASG39)*(ASK37:ASK41=ASK39)*(ASL37:ASL41&gt;ASL39)),"")</f>
        <v/>
      </c>
      <c r="AST39" s="319" t="str">
        <f t="shared" ref="AST39" ca="1" si="13001">IF(ASC39&lt;&gt;"",SUMPRODUCT((ASN37:ASN41=ASN39)*(ASI37:ASI41=ASI39)*(ASG37:ASG41=ASG39)*(ASK37:ASK41=ASK39)*(ASL37:ASL41=ASL39)*(ASM37:ASM41&gt;ASM39)),"")</f>
        <v/>
      </c>
      <c r="ASU39" s="319" t="str">
        <f ca="1">IF(ASC39&lt;&gt;"",IF(ASU79&lt;&gt;"",IF(ASB76=3,ASU79,ASU79+ASB76),SUM(ASO39:AST39)),"")</f>
        <v/>
      </c>
      <c r="ASV39" s="319" t="str">
        <f t="shared" ref="ASV39" ca="1" si="13002">IF(ASC39&lt;&gt;"",INDEX(ASC37:ASC41,MATCH(3,ASU37:ASU41,0),0),"")</f>
        <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Georgia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2</v>
      </c>
      <c r="AWJ39" s="319">
        <f t="shared" ref="AWJ39" ca="1" si="13041">SUMPRODUCT((BAF3:BAF42=AWH39)*(BAJ3:BAJ42="D"))+SUMPRODUCT((BAI3:BAI42=AWH39)*(BAK3:BAK42="D"))</f>
        <v>0</v>
      </c>
      <c r="AWK39" s="319">
        <f t="shared" ref="AWK39" ca="1" si="13042">SUMPRODUCT((BAF3:BAF42=AWH39)*(BAJ3:BAJ42="L"))+SUMPRODUCT((BAI3:BAI42=AWH39)*(BAK3:BAK42="L"))</f>
        <v>1</v>
      </c>
      <c r="AWL39" s="319">
        <f t="shared" ref="AWL39" ca="1" si="13043">SUMIF(BAF3:BAF60,AWH39,BAG3:BAG60)+SUMIF(BAI3:BAI60,AWH39,BAH3:BAH60)</f>
        <v>6</v>
      </c>
      <c r="AWM39" s="319">
        <f t="shared" ref="AWM39" ca="1" si="13044">SUMIF(BAI3:BAI60,AWH39,BAG3:BAG60)+SUMIF(BAF3:BAF60,AWH39,BAH3:BAH60)</f>
        <v>5</v>
      </c>
      <c r="AWN39" s="319">
        <f t="shared" ca="1" si="12066"/>
        <v>1001</v>
      </c>
      <c r="AWO39" s="319">
        <f t="shared" ca="1" si="12067"/>
        <v>6</v>
      </c>
      <c r="AWP39" s="319">
        <f t="shared" si="1050"/>
        <v>47</v>
      </c>
      <c r="AWQ39" s="319">
        <f t="shared" ref="AWQ39" ca="1" si="13045">IF(COUNTIF(AWO37:AWO41,4)&lt;&gt;4,RANK(AWO39,AWO37:AWO41),AWO79)</f>
        <v>2</v>
      </c>
      <c r="AWR39" s="319"/>
      <c r="AWS39" s="319">
        <f t="shared" ref="AWS39" ca="1" si="13046">SUMPRODUCT((AWQ37:AWQ40=AWQ39)*(AWP37:AWP40&lt;AWP39))+AWQ39</f>
        <v>2</v>
      </c>
      <c r="AWT39" s="319" t="str">
        <f t="shared" ref="AWT39" ca="1" si="13047">INDEX(AWH37:AWH41,MATCH(3,AWS37:AWS41,0),0)</f>
        <v>Georgia</v>
      </c>
      <c r="AWU39" s="319">
        <f t="shared" ref="AWU39" ca="1" si="13048">INDEX(AWQ37:AWQ41,MATCH(AWT39,AWH37:AWH41,0),0)</f>
        <v>3</v>
      </c>
      <c r="AWV39" s="319" t="str">
        <f t="shared" ref="AWV39:AWV40" ca="1" si="13049">IF(AND(AWV38&lt;&gt;"",AWU39=1),AWT39,"")</f>
        <v/>
      </c>
      <c r="AWW39" s="319" t="str">
        <f t="shared" ref="AWW39:AWW40" ca="1" si="13050">IF(AND(AWW38&lt;&gt;"",AWU40=2),AWT40,"")</f>
        <v/>
      </c>
      <c r="AWX39" s="319" t="str">
        <f t="shared" ref="AWX39" ca="1" si="13051">IF(AND(AWX38&lt;&gt;"",AWU41=3),AWT41,"")</f>
        <v/>
      </c>
      <c r="AWY39" s="319"/>
      <c r="AWZ39" s="319"/>
      <c r="AXA39" s="319" t="str">
        <f t="shared" ca="1" si="12076"/>
        <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t="str">
        <f t="shared" ca="1" si="12083"/>
        <v/>
      </c>
      <c r="AXI39" s="319" t="str">
        <f t="shared" ref="AXI39" ca="1" si="13057">IF(AXA39&lt;&gt;"",VLOOKUP(AXA39,AWH4:AWN40,7,FALSE),"")</f>
        <v/>
      </c>
      <c r="AXJ39" s="319" t="str">
        <f t="shared" ref="AXJ39" ca="1" si="13058">IF(AXA39&lt;&gt;"",VLOOKUP(AXA39,AWH4:AWN40,5,FALSE),"")</f>
        <v/>
      </c>
      <c r="AXK39" s="319" t="str">
        <f t="shared" ref="AXK39" ca="1" si="13059">IF(AXA39&lt;&gt;"",VLOOKUP(AXA39,AWH4:AWP40,9,FALSE),"")</f>
        <v/>
      </c>
      <c r="AXL39" s="319" t="str">
        <f t="shared" ca="1" si="12087"/>
        <v/>
      </c>
      <c r="AXM39" s="319" t="str">
        <f t="shared" ref="AXM39" ca="1" si="13060">IF(AXA39&lt;&gt;"",RANK(AXL39,AXL37:AXL41),"")</f>
        <v/>
      </c>
      <c r="AXN39" s="319" t="str">
        <f t="shared" ref="AXN39" ca="1" si="13061">IF(AXA39&lt;&gt;"",SUMPRODUCT((AXL37:AXL41=AXL39)*(AXG37:AXG41&gt;AXG39)),"")</f>
        <v/>
      </c>
      <c r="AXO39" s="319" t="str">
        <f t="shared" ref="AXO39" ca="1" si="13062">IF(AXA39&lt;&gt;"",SUMPRODUCT((AXL37:AXL41=AXL39)*(AXG37:AXG41=AXG39)*(AXE37:AXE41&gt;AXE39)),"")</f>
        <v/>
      </c>
      <c r="AXP39" s="319" t="str">
        <f t="shared" ref="AXP39" ca="1" si="13063">IF(AXA39&lt;&gt;"",SUMPRODUCT((AXL37:AXL41=AXL39)*(AXG37:AXG41=AXG39)*(AXE37:AXE41=AXE39)*(AXI37:AXI41&gt;AXI39)),"")</f>
        <v/>
      </c>
      <c r="AXQ39" s="319" t="str">
        <f t="shared" ref="AXQ39" ca="1" si="13064">IF(AXA39&lt;&gt;"",SUMPRODUCT((AXL37:AXL41=AXL39)*(AXG37:AXG41=AXG39)*(AXE37:AXE41=AXE39)*(AXI37:AXI41=AXI39)*(AXJ37:AXJ41&gt;AXJ39)),"")</f>
        <v/>
      </c>
      <c r="AXR39" s="319" t="str">
        <f t="shared" ref="AXR39" ca="1" si="13065">IF(AXA39&lt;&gt;"",SUMPRODUCT((AXL37:AXL41=AXL39)*(AXG37:AXG41=AXG39)*(AXE37:AXE41=AXE39)*(AXI37:AXI41=AXI39)*(AXJ37:AXJ41=AXJ39)*(AXK37:AXK41&gt;AXK39)),"")</f>
        <v/>
      </c>
      <c r="AXS39" s="319" t="str">
        <f ca="1">IF(AXA39&lt;&gt;"",IF(AXS79&lt;&gt;"",IF(AWZ76=3,AXS79,AXS79+AWZ76),SUM(AXM39:AXR39)),"")</f>
        <v/>
      </c>
      <c r="AXT39" s="319" t="str">
        <f t="shared" ref="AXT39" ca="1" si="13066">IF(AXA39&lt;&gt;"",INDEX(AXA37:AXA41,MATCH(3,AXS37:AXS41,0),0),"")</f>
        <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Georgia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0</v>
      </c>
      <c r="EE40" s="319">
        <f ca="1">SUMIF(IA3:IA60,DZ40,HY3:HY60)+SUMIF(HX3:HX60,DZ40,HZ3:HZ60)</f>
        <v>7</v>
      </c>
      <c r="EF40" s="319">
        <f t="shared" ca="1" si="11792"/>
        <v>993</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1</v>
      </c>
      <c r="JC40" s="319">
        <f ca="1">SUMIF(MY3:MY60,IX40,MW3:MW60)+SUMIF(MV3:MV60,IX40,MX3:MX60)</f>
        <v>5</v>
      </c>
      <c r="JD40" s="319">
        <f t="shared" ca="1" si="11796"/>
        <v>996</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2</v>
      </c>
      <c r="NV40" s="319" t="str">
        <f t="shared" si="11801"/>
        <v>Georgia</v>
      </c>
      <c r="NW40" s="319">
        <f t="shared" ref="NW40" ca="1" si="13174">SUMPRODUCT((RT3:RT42=NV40)*(RX3:RX42="W"))+SUMPRODUCT((RW3:RW42=NV40)*(RY3:RY42="W"))</f>
        <v>1</v>
      </c>
      <c r="NX40" s="319">
        <f t="shared" ref="NX40" ca="1" si="13175">SUMPRODUCT((RT3:RT42=NV40)*(RX3:RX42="D"))+SUMPRODUCT((RW3:RW42=NV40)*(RY3:RY42="D"))</f>
        <v>1</v>
      </c>
      <c r="NY40" s="319">
        <f t="shared" ref="NY40" ca="1" si="13176">SUMPRODUCT((RT3:RT42=NV40)*(RX3:RX42="L"))+SUMPRODUCT((RW3:RW42=NV40)*(RY3:RY42="L"))</f>
        <v>1</v>
      </c>
      <c r="NZ40" s="319">
        <f t="shared" ref="NZ40" ca="1" si="13177">SUMIF(RT3:RT60,NV40,RU3:RU60)+SUMIF(RW3:RW60,NV40,RV3:RV60)</f>
        <v>1</v>
      </c>
      <c r="OA40" s="319">
        <f t="shared" ref="OA40" ca="1" si="13178">SUMIF(RW3:RW60,NV40,RU3:RU60)+SUMIF(RT3:RT60,NV40,RV3:RV60)</f>
        <v>2</v>
      </c>
      <c r="OB40" s="319">
        <f t="shared" ca="1" si="11807"/>
        <v>999</v>
      </c>
      <c r="OC40" s="319">
        <f t="shared" ca="1" si="11808"/>
        <v>4</v>
      </c>
      <c r="OD40" s="319">
        <f t="shared" si="630"/>
        <v>0</v>
      </c>
      <c r="OE40" s="319">
        <f t="shared" ref="OE40" ca="1" si="13179">IF(COUNTIF(OC37:OC41,4)&lt;&gt;4,RANK(OC40,OC37:OC41),OC80)</f>
        <v>2</v>
      </c>
      <c r="OF40" s="319"/>
      <c r="OG40" s="319">
        <f t="shared" ref="OG40" ca="1" si="13180">SUMPRODUCT((OE37:OE40=OE40)*(OD37:OD40&lt;OD40))+OE40</f>
        <v>2</v>
      </c>
      <c r="OH40" s="319" t="str">
        <f t="shared" ref="OH40" ca="1" si="13181">INDEX(NV37:NV41,MATCH(4,OG37:OG41,0),0)</f>
        <v>Czechia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Czechia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2</v>
      </c>
      <c r="SY40" s="319">
        <f t="shared" ref="SY40" ca="1" si="13254">SUMIF(WU3:WU60,ST40,WS3:WS60)+SUMIF(WR3:WR60,ST40,WT3:WT60)</f>
        <v>7</v>
      </c>
      <c r="SZ40" s="319">
        <f t="shared" ca="1" si="11844"/>
        <v>995</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0</v>
      </c>
      <c r="ACU40" s="319">
        <f t="shared" ref="ACU40" ca="1" si="13406">SUMIF(AGQ3:AGQ60,ACP40,AGO3:AGO60)+SUMIF(AGN3:AGN60,ACP40,AGP3:AGP60)</f>
        <v>6</v>
      </c>
      <c r="ACV40" s="319">
        <f t="shared" ca="1" si="11918"/>
        <v>994</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1</v>
      </c>
      <c r="AHQ40" s="319">
        <f t="shared" ref="AHQ40" ca="1" si="13480">SUMPRODUCT((ALL3:ALL42=AHN40)*(ALP3:ALP42="L"))+SUMPRODUCT((ALO3:ALO42=AHN40)*(ALQ3:ALQ42="L"))</f>
        <v>2</v>
      </c>
      <c r="AHR40" s="319">
        <f t="shared" ref="AHR40" ca="1" si="13481">SUMIF(ALL3:ALL60,AHN40,ALM3:ALM60)+SUMIF(ALO3:ALO60,AHN40,ALN3:ALN60)</f>
        <v>0</v>
      </c>
      <c r="AHS40" s="319">
        <f t="shared" ref="AHS40" ca="1" si="13482">SUMIF(ALO3:ALO60,AHN40,ALM3:ALM60)+SUMIF(ALL3:ALL60,AHN40,ALN3:ALN60)</f>
        <v>3</v>
      </c>
      <c r="AHT40" s="319">
        <f t="shared" ca="1" si="11955"/>
        <v>997</v>
      </c>
      <c r="AHU40" s="319">
        <f t="shared" ca="1" si="11956"/>
        <v>1</v>
      </c>
      <c r="AHV40" s="319">
        <f t="shared" si="870"/>
        <v>0</v>
      </c>
      <c r="AHW40" s="319">
        <f t="shared" ref="AHW40" ca="1" si="13483">IF(COUNTIF(AHU37:AHU41,4)&lt;&gt;4,RANK(AHU40,AHU37:AHU41),AHU80)</f>
        <v>3</v>
      </c>
      <c r="AHX40" s="319"/>
      <c r="AHY40" s="319">
        <f t="shared" ref="AHY40" ca="1" si="13484">SUMPRODUCT((AHW37:AHW40=AHW40)*(AHV37:AHV40&lt;AHV40))+AHW40</f>
        <v>3</v>
      </c>
      <c r="AHZ40" s="319" t="str">
        <f t="shared" ref="AHZ40" ca="1" si="13485">INDEX(AHN37:AHN41,MATCH(4,AHY37:AHY41,0),0)</f>
        <v>Czechia</v>
      </c>
      <c r="AIA40" s="319">
        <f t="shared" ref="AIA40" ca="1" si="13486">INDEX(AHW37:AHW41,MATCH(AHZ40,AHN37:AHN41,0),0)</f>
        <v>3</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Czechia</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f t="shared" ca="1" si="12897"/>
        <v>1</v>
      </c>
      <c r="AKC40" s="319">
        <f t="shared" ref="AKC40" ca="1" si="13522">IF(AJU40&lt;&gt;"",VLOOKUP(AJU40,AHN4:AHT40,7,FALSE),"")</f>
        <v>997</v>
      </c>
      <c r="AKD40" s="319">
        <f t="shared" ref="AKD40" ca="1" si="13523">IF(AJU40&lt;&gt;"",VLOOKUP(AJU40,AHN4:AHT40,5,FALSE),"")</f>
        <v>0</v>
      </c>
      <c r="AKE40" s="319">
        <f t="shared" ref="AKE40" ca="1" si="13524">IF(AJU40&lt;&gt;"",VLOOKUP(AJU40,AHN4:AHV40,9,FALSE),"")</f>
        <v>37</v>
      </c>
      <c r="AKF40" s="319">
        <f t="shared" ca="1" si="12901"/>
        <v>1</v>
      </c>
      <c r="AKG40" s="319">
        <f t="shared" ref="AKG40" ca="1" si="13525">IF(AJU40&lt;&gt;"",RANK(AKF40,AKF38:AKF40),"")</f>
        <v>1</v>
      </c>
      <c r="AKH40" s="319">
        <f t="shared" ref="AKH40" ca="1" si="13526">IF(AJU40&lt;&gt;"",SUMPRODUCT((AKF37:AKF41=AKF40)*(AKA37:AKA41&gt;AKA40)),"")</f>
        <v>0</v>
      </c>
      <c r="AKI40" s="319">
        <f t="shared" ref="AKI40" ca="1" si="13527">IF(AJU40&lt;&gt;"",SUMPRODUCT((AKF37:AKF41=AKF40)*(AKA37:AKA41=AKA40)*(AJY37:AJY41&gt;AJY40)),"")</f>
        <v>0</v>
      </c>
      <c r="AKJ40" s="319">
        <f t="shared" ref="AKJ40" ca="1" si="13528">IF(AJU40&lt;&gt;"",SUMPRODUCT((AKF37:AKF41=AKF40)*(AKA37:AKA41=AKA40)*(AJY37:AJY41=AJY40)*(AKC37:AKC41&gt;AKC40)),"")</f>
        <v>0</v>
      </c>
      <c r="AKK40" s="319">
        <f t="shared" ref="AKK40" ca="1" si="13529">IF(AJU40&lt;&gt;"",SUMPRODUCT((AKF37:AKF41=AKF40)*(AKA37:AKA41=AKA40)*(AJY37:AJY41=AJY40)*(AKC37:AKC41=AKC40)*(AKD37:AKD41&gt;AKD40)),"")</f>
        <v>0</v>
      </c>
      <c r="AKL40" s="319">
        <f t="shared" ref="AKL40" ca="1" si="13530">IF(AJU40&lt;&gt;"",SUMPRODUCT((AKF37:AKF41=AKF40)*(AKA37:AKA41=AKA40)*(AJY37:AJY41=AJY40)*(AKC37:AKC41=AKC40)*(AKD37:AKD41=AKD40)*(AKE37:AKE41&gt;AKE40)),"")</f>
        <v>0</v>
      </c>
      <c r="AKM40" s="319">
        <f t="shared" ca="1" si="12908"/>
        <v>3</v>
      </c>
      <c r="AKN40" s="319" t="str">
        <f t="shared" ref="AKN40" ca="1" si="13531">IF(AJU40&lt;&gt;"",INDEX(AJU39:AJU41,MATCH(4,AKM39:AKM41,0),0),"")</f>
        <v>Georgia</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1</v>
      </c>
      <c r="AMO40" s="319">
        <f t="shared" ref="AMO40" ca="1" si="13556">SUMPRODUCT((AQJ3:AQJ42=AML40)*(AQN3:AQN42="L"))+SUMPRODUCT((AQM3:AQM42=AML40)*(AQO3:AQO42="L"))</f>
        <v>2</v>
      </c>
      <c r="AMP40" s="319">
        <f t="shared" ref="AMP40" ca="1" si="13557">SUMIF(AQJ3:AQJ60,AML40,AQK3:AQK60)+SUMIF(AQM3:AQM60,AML40,AQL3:AQL60)</f>
        <v>0</v>
      </c>
      <c r="AMQ40" s="319">
        <f t="shared" ref="AMQ40" ca="1" si="13558">SUMIF(AQM3:AQM60,AML40,AQK3:AQK60)+SUMIF(AQJ3:AQJ60,AML40,AQL3:AQL60)</f>
        <v>3</v>
      </c>
      <c r="AMR40" s="319">
        <f t="shared" ca="1" si="11992"/>
        <v>997</v>
      </c>
      <c r="AMS40" s="319">
        <f t="shared" ca="1" si="11993"/>
        <v>1</v>
      </c>
      <c r="AMT40" s="319">
        <f t="shared" si="930"/>
        <v>0</v>
      </c>
      <c r="AMU40" s="319">
        <f t="shared" ref="AMU40" ca="1" si="13559">IF(COUNTIF(AMS37:AMS41,4)&lt;&gt;4,RANK(AMS40,AMS37:AMS41),AMS80)</f>
        <v>4</v>
      </c>
      <c r="AMV40" s="319"/>
      <c r="AMW40" s="319">
        <f t="shared" ref="AMW40" ca="1" si="13560">SUMPRODUCT((AMU37:AMU40=AMU40)*(AMT37:AMT40&lt;AMT40))+AMU40</f>
        <v>4</v>
      </c>
      <c r="AMX40" s="319" t="str">
        <f t="shared" ref="AMX40" ca="1" si="13561">INDEX(AML37:AML41,MATCH(4,AMW37:AMW41,0),0)</f>
        <v>Georgia</v>
      </c>
      <c r="AMY40" s="319">
        <f t="shared" ref="AMY40" ca="1" si="13562">INDEX(AMU37:AMU41,MATCH(AMX40,AML37:AML41,0),0)</f>
        <v>4</v>
      </c>
      <c r="AMZ40" s="319" t="str">
        <f t="shared" ca="1" si="12921"/>
        <v/>
      </c>
      <c r="ANA40" s="319" t="str">
        <f t="shared" ca="1" si="12922"/>
        <v/>
      </c>
      <c r="ANB40" s="319"/>
      <c r="ANC40" s="319"/>
      <c r="AND40" s="319"/>
      <c r="ANE40" s="319" t="str">
        <f t="shared" ca="1" si="12002"/>
        <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t="str">
        <f t="shared" ca="1" si="12009"/>
        <v/>
      </c>
      <c r="ANM40" s="319" t="str">
        <f t="shared" ref="ANM40" ca="1" si="13568">IF(ANE40&lt;&gt;"",VLOOKUP(ANE40,AML4:AMR40,7,FALSE),"")</f>
        <v/>
      </c>
      <c r="ANN40" s="319" t="str">
        <f t="shared" ref="ANN40" ca="1" si="13569">IF(ANE40&lt;&gt;"",VLOOKUP(ANE40,AML4:AMR40,5,FALSE),"")</f>
        <v/>
      </c>
      <c r="ANO40" s="319" t="str">
        <f t="shared" ref="ANO40" ca="1" si="13570">IF(ANE40&lt;&gt;"",VLOOKUP(ANE40,AML4:AMT40,9,FALSE),"")</f>
        <v/>
      </c>
      <c r="ANP40" s="319" t="str">
        <f t="shared" ca="1" si="12013"/>
        <v/>
      </c>
      <c r="ANQ40" s="319" t="str">
        <f t="shared" ref="ANQ40" ca="1" si="13571">IF(ANE40&lt;&gt;"",RANK(ANP40,ANP37:ANP41),"")</f>
        <v/>
      </c>
      <c r="ANR40" s="319" t="str">
        <f t="shared" ref="ANR40" ca="1" si="13572">IF(ANE40&lt;&gt;"",SUMPRODUCT((ANP37:ANP41=ANP40)*(ANK37:ANK41&gt;ANK40)),"")</f>
        <v/>
      </c>
      <c r="ANS40" s="319" t="str">
        <f t="shared" ref="ANS40" ca="1" si="13573">IF(ANE40&lt;&gt;"",SUMPRODUCT((ANP37:ANP41=ANP40)*(ANK37:ANK41=ANK40)*(ANI37:ANI41&gt;ANI40)),"")</f>
        <v/>
      </c>
      <c r="ANT40" s="319" t="str">
        <f t="shared" ref="ANT40" ca="1" si="13574">IF(ANE40&lt;&gt;"",SUMPRODUCT((ANP37:ANP41=ANP40)*(ANK37:ANK41=ANK40)*(ANI37:ANI41=ANI40)*(ANM37:ANM41&gt;ANM40)),"")</f>
        <v/>
      </c>
      <c r="ANU40" s="319" t="str">
        <f t="shared" ref="ANU40" ca="1" si="13575">IF(ANE40&lt;&gt;"",SUMPRODUCT((ANP37:ANP41=ANP40)*(ANK37:ANK41=ANK40)*(ANI37:ANI41=ANI40)*(ANM37:ANM41=ANM40)*(ANN37:ANN41&gt;ANN40)),"")</f>
        <v/>
      </c>
      <c r="ANV40" s="319" t="str">
        <f t="shared" ref="ANV40" ca="1" si="13576">IF(ANE40&lt;&gt;"",SUMPRODUCT((ANP37:ANP41=ANP40)*(ANK37:ANK41=ANK40)*(ANI37:ANI41=ANI40)*(ANM37:ANM41=ANM40)*(ANN37:ANN41=ANN40)*(ANO37:ANO41&gt;ANO40)),"")</f>
        <v/>
      </c>
      <c r="ANW40" s="319" t="str">
        <f ca="1">IF(ANE40&lt;&gt;"",IF(ANW80&lt;&gt;"",IF(AND76=3,ANW80,ANW80+AND76),SUM(ANQ40:ANV40)),"")</f>
        <v/>
      </c>
      <c r="ANX40" s="319" t="str">
        <f t="shared" ref="ANX40" ca="1" si="13577">IF(ANE40&lt;&gt;"",INDEX(ANE37:ANE41,MATCH(4,ANW37:ANW41,0),0),"")</f>
        <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3</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2</v>
      </c>
      <c r="ARM40" s="319">
        <f t="shared" ref="ARM40" ca="1" si="13632">SUMPRODUCT((AVH3:AVH42=ARJ40)*(AVL3:AVL42="L"))+SUMPRODUCT((AVK3:AVK42=ARJ40)*(AVM3:AVM42="L"))</f>
        <v>1</v>
      </c>
      <c r="ARN40" s="319">
        <f t="shared" ref="ARN40" ca="1" si="13633">SUMIF(AVH3:AVH60,ARJ40,AVI3:AVI60)+SUMIF(AVK3:AVK60,ARJ40,AVJ3:AVJ60)</f>
        <v>6</v>
      </c>
      <c r="ARO40" s="319">
        <f t="shared" ref="ARO40" ca="1" si="13634">SUMIF(AVK3:AVK60,ARJ40,AVI3:AVI60)+SUMIF(AVH3:AVH60,ARJ40,AVJ3:AVJ60)</f>
        <v>7</v>
      </c>
      <c r="ARP40" s="319">
        <f t="shared" ca="1" si="12029"/>
        <v>999</v>
      </c>
      <c r="ARQ40" s="319">
        <f t="shared" ca="1" si="12030"/>
        <v>2</v>
      </c>
      <c r="ARR40" s="319">
        <f t="shared" si="990"/>
        <v>0</v>
      </c>
      <c r="ARS40" s="319">
        <f t="shared" ref="ARS40" ca="1" si="13635">IF(COUNTIF(ARQ37:ARQ41,4)&lt;&gt;4,RANK(ARQ40,ARQ37:ARQ41),ARQ80)</f>
        <v>3</v>
      </c>
      <c r="ART40" s="319"/>
      <c r="ARU40" s="319">
        <f t="shared" ref="ARU40" ca="1" si="13636">SUMPRODUCT((ARS37:ARS40=ARS40)*(ARR37:ARR40&lt;ARR40))+ARS40</f>
        <v>3</v>
      </c>
      <c r="ARV40" s="319" t="str">
        <f t="shared" ref="ARV40" ca="1" si="13637">INDEX(ARJ37:ARJ41,MATCH(4,ARU37:ARU41,0),0)</f>
        <v>Portugal</v>
      </c>
      <c r="ARW40" s="319">
        <f t="shared" ref="ARW40" ca="1" si="13638">INDEX(ARS37:ARS41,MATCH(ARV40,ARJ37:ARJ41,0),0)</f>
        <v>4</v>
      </c>
      <c r="ARX40" s="319" t="str">
        <f t="shared" ca="1" si="12985"/>
        <v/>
      </c>
      <c r="ARY40" s="319" t="str">
        <f t="shared" ca="1" si="12986"/>
        <v/>
      </c>
      <c r="ARZ40" s="319"/>
      <c r="ASA40" s="319"/>
      <c r="ASB40" s="319"/>
      <c r="ASC40" s="319" t="str">
        <f t="shared" ca="1" si="12039"/>
        <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t="str">
        <f t="shared" ca="1" si="12046"/>
        <v/>
      </c>
      <c r="ASK40" s="319" t="str">
        <f t="shared" ref="ASK40" ca="1" si="13644">IF(ASC40&lt;&gt;"",VLOOKUP(ASC40,ARJ4:ARP40,7,FALSE),"")</f>
        <v/>
      </c>
      <c r="ASL40" s="319" t="str">
        <f t="shared" ref="ASL40" ca="1" si="13645">IF(ASC40&lt;&gt;"",VLOOKUP(ASC40,ARJ4:ARP40,5,FALSE),"")</f>
        <v/>
      </c>
      <c r="ASM40" s="319" t="str">
        <f t="shared" ref="ASM40" ca="1" si="13646">IF(ASC40&lt;&gt;"",VLOOKUP(ASC40,ARJ4:ARR40,9,FALSE),"")</f>
        <v/>
      </c>
      <c r="ASN40" s="319" t="str">
        <f t="shared" ca="1" si="12050"/>
        <v/>
      </c>
      <c r="ASO40" s="319" t="str">
        <f t="shared" ref="ASO40" ca="1" si="13647">IF(ASC40&lt;&gt;"",RANK(ASN40,ASN37:ASN41),"")</f>
        <v/>
      </c>
      <c r="ASP40" s="319" t="str">
        <f t="shared" ref="ASP40" ca="1" si="13648">IF(ASC40&lt;&gt;"",SUMPRODUCT((ASN37:ASN41=ASN40)*(ASI37:ASI41&gt;ASI40)),"")</f>
        <v/>
      </c>
      <c r="ASQ40" s="319" t="str">
        <f t="shared" ref="ASQ40" ca="1" si="13649">IF(ASC40&lt;&gt;"",SUMPRODUCT((ASN37:ASN41=ASN40)*(ASI37:ASI41=ASI40)*(ASG37:ASG41&gt;ASG40)),"")</f>
        <v/>
      </c>
      <c r="ASR40" s="319" t="str">
        <f t="shared" ref="ASR40" ca="1" si="13650">IF(ASC40&lt;&gt;"",SUMPRODUCT((ASN37:ASN41=ASN40)*(ASI37:ASI41=ASI40)*(ASG37:ASG41=ASG40)*(ASK37:ASK41&gt;ASK40)),"")</f>
        <v/>
      </c>
      <c r="ASS40" s="319" t="str">
        <f t="shared" ref="ASS40" ca="1" si="13651">IF(ASC40&lt;&gt;"",SUMPRODUCT((ASN37:ASN41=ASN40)*(ASI37:ASI41=ASI40)*(ASG37:ASG41=ASG40)*(ASK37:ASK41=ASK40)*(ASL37:ASL41&gt;ASL40)),"")</f>
        <v/>
      </c>
      <c r="AST40" s="319" t="str">
        <f t="shared" ref="AST40" ca="1" si="13652">IF(ASC40&lt;&gt;"",SUMPRODUCT((ASN37:ASN41=ASN40)*(ASI37:ASI41=ASI40)*(ASG37:ASG41=ASG40)*(ASK37:ASK41=ASK40)*(ASL37:ASL41=ASL40)*(ASM37:ASM41&gt;ASM40)),"")</f>
        <v/>
      </c>
      <c r="ASU40" s="319" t="str">
        <f ca="1">IF(ASC40&lt;&gt;"",IF(ASU80&lt;&gt;"",IF(ASB76=3,ASU80,ASU80+ASB76),SUM(ASO40:AST40)),"")</f>
        <v/>
      </c>
      <c r="ASV40" s="319" t="str">
        <f t="shared" ref="ASV40" ca="1" si="13653">IF(ASC40&lt;&gt;"",INDEX(ASC37:ASC41,MATCH(4,ASU37:ASU41,0),0),"")</f>
        <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Portugal</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3</v>
      </c>
      <c r="AWH40" s="319" t="str">
        <f t="shared" si="12060"/>
        <v>Georgia</v>
      </c>
      <c r="AWI40" s="319">
        <f t="shared" ref="AWI40" ca="1" si="13706">SUMPRODUCT((BAF3:BAF42=AWH40)*(BAJ3:BAJ42="W"))+SUMPRODUCT((BAI3:BAI42=AWH40)*(BAK3:BAK42="W"))</f>
        <v>1</v>
      </c>
      <c r="AWJ40" s="319">
        <f t="shared" ref="AWJ40" ca="1" si="13707">SUMPRODUCT((BAF3:BAF42=AWH40)*(BAJ3:BAJ42="D"))+SUMPRODUCT((BAI3:BAI42=AWH40)*(BAK3:BAK42="D"))</f>
        <v>0</v>
      </c>
      <c r="AWK40" s="319">
        <f t="shared" ref="AWK40" ca="1" si="13708">SUMPRODUCT((BAF3:BAF42=AWH40)*(BAJ3:BAJ42="L"))+SUMPRODUCT((BAI3:BAI42=AWH40)*(BAK3:BAK42="L"))</f>
        <v>2</v>
      </c>
      <c r="AWL40" s="319">
        <f t="shared" ref="AWL40" ca="1" si="13709">SUMIF(BAF3:BAF60,AWH40,BAG3:BAG60)+SUMIF(BAI3:BAI60,AWH40,BAH3:BAH60)</f>
        <v>4</v>
      </c>
      <c r="AWM40" s="319">
        <f t="shared" ref="AWM40" ca="1" si="13710">SUMIF(BAI3:BAI60,AWH40,BAG3:BAG60)+SUMIF(BAF3:BAF60,AWH40,BAH3:BAH60)</f>
        <v>7</v>
      </c>
      <c r="AWN40" s="319">
        <f t="shared" ca="1" si="12066"/>
        <v>997</v>
      </c>
      <c r="AWO40" s="319">
        <f t="shared" ca="1" si="12067"/>
        <v>3</v>
      </c>
      <c r="AWP40" s="319">
        <f t="shared" si="1050"/>
        <v>0</v>
      </c>
      <c r="AWQ40" s="319">
        <f t="shared" ref="AWQ40" ca="1" si="13711">IF(COUNTIF(AWO37:AWO41,4)&lt;&gt;4,RANK(AWO40,AWO37:AWO41),AWO80)</f>
        <v>3</v>
      </c>
      <c r="AWR40" s="319"/>
      <c r="AWS40" s="319">
        <f t="shared" ref="AWS40" ca="1" si="13712">SUMPRODUCT((AWQ37:AWQ40=AWQ40)*(AWP37:AWP40&lt;AWP40))+AWQ40</f>
        <v>3</v>
      </c>
      <c r="AWT40" s="319" t="str">
        <f t="shared" ref="AWT40" ca="1" si="13713">INDEX(AWH37:AWH41,MATCH(4,AWS37:AWS41,0),0)</f>
        <v>Czechia</v>
      </c>
      <c r="AWU40" s="319">
        <f t="shared" ref="AWU40" ca="1" si="13714">INDEX(AWQ37:AWQ41,MATCH(AWT40,AWH37:AWH41,0),0)</f>
        <v>4</v>
      </c>
      <c r="AWV40" s="319" t="str">
        <f t="shared" ca="1" si="13049"/>
        <v/>
      </c>
      <c r="AWW40" s="319" t="str">
        <f t="shared" ca="1" si="13050"/>
        <v/>
      </c>
      <c r="AWX40" s="319"/>
      <c r="AWY40" s="319"/>
      <c r="AWZ40" s="319"/>
      <c r="AXA40" s="319" t="str">
        <f t="shared" ca="1" si="12076"/>
        <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t="str">
        <f t="shared" ca="1" si="12083"/>
        <v/>
      </c>
      <c r="AXI40" s="319" t="str">
        <f t="shared" ref="AXI40" ca="1" si="13720">IF(AXA40&lt;&gt;"",VLOOKUP(AXA40,AWH4:AWN40,7,FALSE),"")</f>
        <v/>
      </c>
      <c r="AXJ40" s="319" t="str">
        <f t="shared" ref="AXJ40" ca="1" si="13721">IF(AXA40&lt;&gt;"",VLOOKUP(AXA40,AWH4:AWN40,5,FALSE),"")</f>
        <v/>
      </c>
      <c r="AXK40" s="319" t="str">
        <f t="shared" ref="AXK40" ca="1" si="13722">IF(AXA40&lt;&gt;"",VLOOKUP(AXA40,AWH4:AWP40,9,FALSE),"")</f>
        <v/>
      </c>
      <c r="AXL40" s="319" t="str">
        <f t="shared" ca="1" si="12087"/>
        <v/>
      </c>
      <c r="AXM40" s="319" t="str">
        <f t="shared" ref="AXM40" ca="1" si="13723">IF(AXA40&lt;&gt;"",RANK(AXL40,AXL37:AXL41),"")</f>
        <v/>
      </c>
      <c r="AXN40" s="319" t="str">
        <f t="shared" ref="AXN40" ca="1" si="13724">IF(AXA40&lt;&gt;"",SUMPRODUCT((AXL37:AXL41=AXL40)*(AXG37:AXG41&gt;AXG40)),"")</f>
        <v/>
      </c>
      <c r="AXO40" s="319" t="str">
        <f t="shared" ref="AXO40" ca="1" si="13725">IF(AXA40&lt;&gt;"",SUMPRODUCT((AXL37:AXL41=AXL40)*(AXG37:AXG41=AXG40)*(AXE37:AXE41&gt;AXE40)),"")</f>
        <v/>
      </c>
      <c r="AXP40" s="319" t="str">
        <f t="shared" ref="AXP40" ca="1" si="13726">IF(AXA40&lt;&gt;"",SUMPRODUCT((AXL37:AXL41=AXL40)*(AXG37:AXG41=AXG40)*(AXE37:AXE41=AXE40)*(AXI37:AXI41&gt;AXI40)),"")</f>
        <v/>
      </c>
      <c r="AXQ40" s="319" t="str">
        <f t="shared" ref="AXQ40" ca="1" si="13727">IF(AXA40&lt;&gt;"",SUMPRODUCT((AXL37:AXL41=AXL40)*(AXG37:AXG41=AXG40)*(AXE37:AXE41=AXE40)*(AXI37:AXI41=AXI40)*(AXJ37:AXJ41&gt;AXJ40)),"")</f>
        <v/>
      </c>
      <c r="AXR40" s="319" t="str">
        <f t="shared" ref="AXR40" ca="1" si="13728">IF(AXA40&lt;&gt;"",SUMPRODUCT((AXL37:AXL41=AXL40)*(AXG37:AXG41=AXG40)*(AXE37:AXE41=AXE40)*(AXI37:AXI41=AXI40)*(AXJ37:AXJ41=AXJ40)*(AXK37:AXK41&gt;AXK40)),"")</f>
        <v/>
      </c>
      <c r="AXS40" s="319" t="str">
        <f ca="1">IF(AXA40&lt;&gt;"",IF(AXS80&lt;&gt;"",IF(AWZ76=3,AXS80,AXS80+AWZ76),SUM(AXM40:AXR40)),"")</f>
        <v/>
      </c>
      <c r="AXT40" s="319" t="str">
        <f t="shared" ref="AXT40" ca="1" si="13729">IF(AXA40&lt;&gt;"",INDEX(AXA37:AXA41,MATCH(4,AXS37:AXS41,0),0),"")</f>
        <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Czechia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364</v>
      </c>
      <c r="V43" s="321" t="s">
        <v>156</v>
      </c>
      <c r="W43" s="321" t="s">
        <v>108</v>
      </c>
      <c r="X43" s="321" t="s">
        <v>157</v>
      </c>
      <c r="Y43" s="321" t="s">
        <v>334</v>
      </c>
      <c r="Z43" s="321" t="s">
        <v>335</v>
      </c>
      <c r="AA43" s="321" t="s">
        <v>342</v>
      </c>
      <c r="AB43" s="321" t="s">
        <v>155</v>
      </c>
      <c r="AC43" s="321" t="s">
        <v>351</v>
      </c>
      <c r="AD43" s="321" t="s">
        <v>352</v>
      </c>
      <c r="AE43" s="321" t="s">
        <v>337</v>
      </c>
      <c r="AF43" s="321" t="s">
        <v>159</v>
      </c>
      <c r="AG43" s="321" t="s">
        <v>353</v>
      </c>
      <c r="AH43" s="321" t="s">
        <v>336</v>
      </c>
      <c r="AI43" s="321" t="s">
        <v>334</v>
      </c>
      <c r="AJ43" s="321" t="s">
        <v>354</v>
      </c>
      <c r="AK43" s="321" t="s">
        <v>352</v>
      </c>
      <c r="AL43" s="321" t="s">
        <v>337</v>
      </c>
      <c r="AM43" s="321" t="s">
        <v>355</v>
      </c>
      <c r="AN43" s="321">
        <f>IF(AO45="",SUM(BA5:BF5),IF(AO46="",SUM(BA6:BF6),IF(AO47="",SUM(BA7:BF7),0)))</f>
        <v>0</v>
      </c>
      <c r="AO43" s="321" t="s">
        <v>365</v>
      </c>
      <c r="AP43" s="321" t="s">
        <v>156</v>
      </c>
      <c r="AQ43" s="321" t="s">
        <v>108</v>
      </c>
      <c r="AR43" s="321" t="s">
        <v>157</v>
      </c>
      <c r="AS43" s="321" t="s">
        <v>334</v>
      </c>
      <c r="AT43" s="321" t="s">
        <v>335</v>
      </c>
      <c r="AU43" s="321" t="s">
        <v>342</v>
      </c>
      <c r="AV43" s="321" t="s">
        <v>155</v>
      </c>
      <c r="AW43" s="321" t="s">
        <v>351</v>
      </c>
      <c r="AX43" s="321" t="s">
        <v>352</v>
      </c>
      <c r="AY43" s="321" t="s">
        <v>337</v>
      </c>
      <c r="AZ43" s="321" t="s">
        <v>159</v>
      </c>
      <c r="BA43" s="321" t="s">
        <v>353</v>
      </c>
      <c r="BB43" s="321" t="s">
        <v>336</v>
      </c>
      <c r="BC43" s="321" t="s">
        <v>334</v>
      </c>
      <c r="BD43" s="321" t="s">
        <v>354</v>
      </c>
      <c r="BE43" s="321" t="s">
        <v>352</v>
      </c>
      <c r="BF43" s="321" t="s">
        <v>337</v>
      </c>
      <c r="BG43" s="321" t="s">
        <v>355</v>
      </c>
      <c r="ER43" s="321">
        <f ca="1">IF(ES44="",SUM(FE4:FJ4),IF(ES45="",SUM(FE5:FJ5),IF(ES46="",SUM(FE6:FJ6),IF(ES47="",SUM(FE7:FJ7),0))))</f>
        <v>0</v>
      </c>
      <c r="ES43" s="321" t="s">
        <v>364</v>
      </c>
      <c r="ET43" s="321" t="s">
        <v>156</v>
      </c>
      <c r="EU43" s="321" t="s">
        <v>108</v>
      </c>
      <c r="EV43" s="321" t="s">
        <v>157</v>
      </c>
      <c r="EW43" s="321" t="s">
        <v>334</v>
      </c>
      <c r="EX43" s="321" t="s">
        <v>335</v>
      </c>
      <c r="EY43" s="321" t="s">
        <v>342</v>
      </c>
      <c r="EZ43" s="321" t="s">
        <v>155</v>
      </c>
      <c r="FA43" s="321" t="s">
        <v>351</v>
      </c>
      <c r="FB43" s="321" t="s">
        <v>352</v>
      </c>
      <c r="FC43" s="321" t="s">
        <v>337</v>
      </c>
      <c r="FD43" s="321" t="s">
        <v>159</v>
      </c>
      <c r="FE43" s="321" t="s">
        <v>353</v>
      </c>
      <c r="FF43" s="321" t="s">
        <v>336</v>
      </c>
      <c r="FG43" s="321" t="s">
        <v>334</v>
      </c>
      <c r="FH43" s="321" t="s">
        <v>354</v>
      </c>
      <c r="FI43" s="321" t="s">
        <v>352</v>
      </c>
      <c r="FJ43" s="321" t="s">
        <v>337</v>
      </c>
      <c r="FK43" s="321" t="s">
        <v>355</v>
      </c>
      <c r="FL43" s="321">
        <f ca="1">IF(FM45="",SUM(FY5:GD5),IF(FM46="",SUM(FY6:GD6),IF(FM47="",SUM(FY7:GD7),0)))</f>
        <v>0</v>
      </c>
      <c r="FM43" s="321" t="s">
        <v>365</v>
      </c>
      <c r="FN43" s="321" t="s">
        <v>156</v>
      </c>
      <c r="FO43" s="321" t="s">
        <v>108</v>
      </c>
      <c r="FP43" s="321" t="s">
        <v>157</v>
      </c>
      <c r="FQ43" s="321" t="s">
        <v>334</v>
      </c>
      <c r="FR43" s="321" t="s">
        <v>335</v>
      </c>
      <c r="FS43" s="321" t="s">
        <v>342</v>
      </c>
      <c r="FT43" s="321" t="s">
        <v>155</v>
      </c>
      <c r="FU43" s="321" t="s">
        <v>351</v>
      </c>
      <c r="FV43" s="321" t="s">
        <v>352</v>
      </c>
      <c r="FW43" s="321" t="s">
        <v>337</v>
      </c>
      <c r="FX43" s="321" t="s">
        <v>159</v>
      </c>
      <c r="FY43" s="321" t="s">
        <v>353</v>
      </c>
      <c r="FZ43" s="321" t="s">
        <v>336</v>
      </c>
      <c r="GA43" s="321" t="s">
        <v>334</v>
      </c>
      <c r="GB43" s="321" t="s">
        <v>354</v>
      </c>
      <c r="GC43" s="321" t="s">
        <v>352</v>
      </c>
      <c r="GD43" s="321" t="s">
        <v>337</v>
      </c>
      <c r="GE43" s="321" t="s">
        <v>355</v>
      </c>
      <c r="JP43" s="321">
        <f ca="1">IF(JQ44="",SUM(KC4:KH4),IF(JQ45="",SUM(KC5:KH5),IF(JQ46="",SUM(KC6:KH6),IF(JQ47="",SUM(KC7:KH7),0))))</f>
        <v>0</v>
      </c>
      <c r="JQ43" s="321" t="s">
        <v>364</v>
      </c>
      <c r="JR43" s="321" t="s">
        <v>156</v>
      </c>
      <c r="JS43" s="321" t="s">
        <v>108</v>
      </c>
      <c r="JT43" s="321" t="s">
        <v>157</v>
      </c>
      <c r="JU43" s="321" t="s">
        <v>334</v>
      </c>
      <c r="JV43" s="321" t="s">
        <v>335</v>
      </c>
      <c r="JW43" s="321" t="s">
        <v>342</v>
      </c>
      <c r="JX43" s="321" t="s">
        <v>155</v>
      </c>
      <c r="JY43" s="321" t="s">
        <v>351</v>
      </c>
      <c r="JZ43" s="321" t="s">
        <v>352</v>
      </c>
      <c r="KA43" s="321" t="s">
        <v>337</v>
      </c>
      <c r="KB43" s="321" t="s">
        <v>159</v>
      </c>
      <c r="KC43" s="321" t="s">
        <v>353</v>
      </c>
      <c r="KD43" s="321" t="s">
        <v>336</v>
      </c>
      <c r="KE43" s="321" t="s">
        <v>334</v>
      </c>
      <c r="KF43" s="321" t="s">
        <v>354</v>
      </c>
      <c r="KG43" s="321" t="s">
        <v>352</v>
      </c>
      <c r="KH43" s="321" t="s">
        <v>337</v>
      </c>
      <c r="KI43" s="321" t="s">
        <v>355</v>
      </c>
      <c r="KJ43" s="321">
        <f ca="1">IF(KK45="",SUM(KW5:LB5),IF(KK46="",SUM(KW6:LB6),IF(KK47="",SUM(KW7:LB7),0)))</f>
        <v>0</v>
      </c>
      <c r="KK43" s="321" t="s">
        <v>365</v>
      </c>
      <c r="KL43" s="321" t="s">
        <v>156</v>
      </c>
      <c r="KM43" s="321" t="s">
        <v>108</v>
      </c>
      <c r="KN43" s="321" t="s">
        <v>157</v>
      </c>
      <c r="KO43" s="321" t="s">
        <v>334</v>
      </c>
      <c r="KP43" s="321" t="s">
        <v>335</v>
      </c>
      <c r="KQ43" s="321" t="s">
        <v>342</v>
      </c>
      <c r="KR43" s="321" t="s">
        <v>155</v>
      </c>
      <c r="KS43" s="321" t="s">
        <v>351</v>
      </c>
      <c r="KT43" s="321" t="s">
        <v>352</v>
      </c>
      <c r="KU43" s="321" t="s">
        <v>337</v>
      </c>
      <c r="KV43" s="321" t="s">
        <v>159</v>
      </c>
      <c r="KW43" s="321" t="s">
        <v>353</v>
      </c>
      <c r="KX43" s="321" t="s">
        <v>336</v>
      </c>
      <c r="KY43" s="321" t="s">
        <v>334</v>
      </c>
      <c r="KZ43" s="321" t="s">
        <v>354</v>
      </c>
      <c r="LA43" s="321" t="s">
        <v>352</v>
      </c>
      <c r="LB43" s="321" t="s">
        <v>337</v>
      </c>
      <c r="LC43" s="321" t="s">
        <v>355</v>
      </c>
      <c r="ON43" s="321">
        <f t="shared" ref="ON43" ca="1" si="13857">IF(OO44="",SUM(PA4:PF4),IF(OO45="",SUM(PA5:PF5),IF(OO46="",SUM(PA6:PF6),IF(OO47="",SUM(PA7:PF7),0))))</f>
        <v>0</v>
      </c>
      <c r="OO43" s="321" t="s">
        <v>364</v>
      </c>
      <c r="OP43" s="321" t="s">
        <v>156</v>
      </c>
      <c r="OQ43" s="321" t="s">
        <v>108</v>
      </c>
      <c r="OR43" s="321" t="s">
        <v>157</v>
      </c>
      <c r="OS43" s="321" t="s">
        <v>334</v>
      </c>
      <c r="OT43" s="321" t="s">
        <v>335</v>
      </c>
      <c r="OU43" s="321" t="s">
        <v>342</v>
      </c>
      <c r="OV43" s="321" t="s">
        <v>155</v>
      </c>
      <c r="OW43" s="321" t="s">
        <v>351</v>
      </c>
      <c r="OX43" s="321" t="s">
        <v>352</v>
      </c>
      <c r="OY43" s="321" t="s">
        <v>337</v>
      </c>
      <c r="OZ43" s="321" t="s">
        <v>159</v>
      </c>
      <c r="PA43" s="321" t="s">
        <v>353</v>
      </c>
      <c r="PB43" s="321" t="s">
        <v>336</v>
      </c>
      <c r="PC43" s="321" t="s">
        <v>334</v>
      </c>
      <c r="PD43" s="321" t="s">
        <v>354</v>
      </c>
      <c r="PE43" s="321" t="s">
        <v>352</v>
      </c>
      <c r="PF43" s="321" t="s">
        <v>337</v>
      </c>
      <c r="PG43" s="321" t="s">
        <v>355</v>
      </c>
      <c r="PH43" s="321">
        <f t="shared" ref="PH43" ca="1" si="13858">IF(PI45="",SUM(PU5:PZ5),IF(PI46="",SUM(PU6:PZ6),IF(PI47="",SUM(PU7:PZ7),0)))</f>
        <v>0</v>
      </c>
      <c r="PI43" s="321" t="s">
        <v>365</v>
      </c>
      <c r="PJ43" s="321" t="s">
        <v>156</v>
      </c>
      <c r="PK43" s="321" t="s">
        <v>108</v>
      </c>
      <c r="PL43" s="321" t="s">
        <v>157</v>
      </c>
      <c r="PM43" s="321" t="s">
        <v>334</v>
      </c>
      <c r="PN43" s="321" t="s">
        <v>335</v>
      </c>
      <c r="PO43" s="321" t="s">
        <v>342</v>
      </c>
      <c r="PP43" s="321" t="s">
        <v>155</v>
      </c>
      <c r="PQ43" s="321" t="s">
        <v>351</v>
      </c>
      <c r="PR43" s="321" t="s">
        <v>352</v>
      </c>
      <c r="PS43" s="321" t="s">
        <v>337</v>
      </c>
      <c r="PT43" s="321" t="s">
        <v>159</v>
      </c>
      <c r="PU43" s="321" t="s">
        <v>353</v>
      </c>
      <c r="PV43" s="321" t="s">
        <v>336</v>
      </c>
      <c r="PW43" s="321" t="s">
        <v>334</v>
      </c>
      <c r="PX43" s="321" t="s">
        <v>354</v>
      </c>
      <c r="PY43" s="321" t="s">
        <v>352</v>
      </c>
      <c r="PZ43" s="321" t="s">
        <v>337</v>
      </c>
      <c r="QA43" s="321" t="s">
        <v>355</v>
      </c>
      <c r="TL43" s="321">
        <f t="shared" ref="TL43" ca="1" si="13859">IF(TM44="",SUM(TY4:UD4),IF(TM45="",SUM(TY5:UD5),IF(TM46="",SUM(TY6:UD6),IF(TM47="",SUM(TY7:UD7),0))))</f>
        <v>0</v>
      </c>
      <c r="TM43" s="321" t="s">
        <v>364</v>
      </c>
      <c r="TN43" s="321" t="s">
        <v>156</v>
      </c>
      <c r="TO43" s="321" t="s">
        <v>108</v>
      </c>
      <c r="TP43" s="321" t="s">
        <v>157</v>
      </c>
      <c r="TQ43" s="321" t="s">
        <v>334</v>
      </c>
      <c r="TR43" s="321" t="s">
        <v>335</v>
      </c>
      <c r="TS43" s="321" t="s">
        <v>342</v>
      </c>
      <c r="TT43" s="321" t="s">
        <v>155</v>
      </c>
      <c r="TU43" s="321" t="s">
        <v>351</v>
      </c>
      <c r="TV43" s="321" t="s">
        <v>352</v>
      </c>
      <c r="TW43" s="321" t="s">
        <v>337</v>
      </c>
      <c r="TX43" s="321" t="s">
        <v>159</v>
      </c>
      <c r="TY43" s="321" t="s">
        <v>353</v>
      </c>
      <c r="TZ43" s="321" t="s">
        <v>336</v>
      </c>
      <c r="UA43" s="321" t="s">
        <v>334</v>
      </c>
      <c r="UB43" s="321" t="s">
        <v>354</v>
      </c>
      <c r="UC43" s="321" t="s">
        <v>352</v>
      </c>
      <c r="UD43" s="321" t="s">
        <v>337</v>
      </c>
      <c r="UE43" s="321" t="s">
        <v>355</v>
      </c>
      <c r="UF43" s="321">
        <f t="shared" ref="UF43" ca="1" si="13860">IF(UG45="",SUM(US5:UX5),IF(UG46="",SUM(US6:UX6),IF(UG47="",SUM(US7:UX7),0)))</f>
        <v>0</v>
      </c>
      <c r="UG43" s="321" t="s">
        <v>365</v>
      </c>
      <c r="UH43" s="321" t="s">
        <v>156</v>
      </c>
      <c r="UI43" s="321" t="s">
        <v>108</v>
      </c>
      <c r="UJ43" s="321" t="s">
        <v>157</v>
      </c>
      <c r="UK43" s="321" t="s">
        <v>334</v>
      </c>
      <c r="UL43" s="321" t="s">
        <v>335</v>
      </c>
      <c r="UM43" s="321" t="s">
        <v>342</v>
      </c>
      <c r="UN43" s="321" t="s">
        <v>155</v>
      </c>
      <c r="UO43" s="321" t="s">
        <v>351</v>
      </c>
      <c r="UP43" s="321" t="s">
        <v>352</v>
      </c>
      <c r="UQ43" s="321" t="s">
        <v>337</v>
      </c>
      <c r="UR43" s="321" t="s">
        <v>159</v>
      </c>
      <c r="US43" s="321" t="s">
        <v>353</v>
      </c>
      <c r="UT43" s="321" t="s">
        <v>336</v>
      </c>
      <c r="UU43" s="321" t="s">
        <v>334</v>
      </c>
      <c r="UV43" s="321" t="s">
        <v>354</v>
      </c>
      <c r="UW43" s="321" t="s">
        <v>352</v>
      </c>
      <c r="UX43" s="321" t="s">
        <v>337</v>
      </c>
      <c r="UY43" s="321" t="s">
        <v>355</v>
      </c>
      <c r="YJ43" s="321">
        <f t="shared" ref="YJ43" ca="1" si="13861">IF(YK44="",SUM(YW4:ZB4),IF(YK45="",SUM(YW5:ZB5),IF(YK46="",SUM(YW6:ZB6),IF(YK47="",SUM(YW7:ZB7),0))))</f>
        <v>0</v>
      </c>
      <c r="YK43" s="321" t="s">
        <v>364</v>
      </c>
      <c r="YL43" s="321" t="s">
        <v>156</v>
      </c>
      <c r="YM43" s="321" t="s">
        <v>108</v>
      </c>
      <c r="YN43" s="321" t="s">
        <v>157</v>
      </c>
      <c r="YO43" s="321" t="s">
        <v>334</v>
      </c>
      <c r="YP43" s="321" t="s">
        <v>335</v>
      </c>
      <c r="YQ43" s="321" t="s">
        <v>342</v>
      </c>
      <c r="YR43" s="321" t="s">
        <v>155</v>
      </c>
      <c r="YS43" s="321" t="s">
        <v>351</v>
      </c>
      <c r="YT43" s="321" t="s">
        <v>352</v>
      </c>
      <c r="YU43" s="321" t="s">
        <v>337</v>
      </c>
      <c r="YV43" s="321" t="s">
        <v>159</v>
      </c>
      <c r="YW43" s="321" t="s">
        <v>353</v>
      </c>
      <c r="YX43" s="321" t="s">
        <v>336</v>
      </c>
      <c r="YY43" s="321" t="s">
        <v>334</v>
      </c>
      <c r="YZ43" s="321" t="s">
        <v>354</v>
      </c>
      <c r="ZA43" s="321" t="s">
        <v>352</v>
      </c>
      <c r="ZB43" s="321" t="s">
        <v>337</v>
      </c>
      <c r="ZC43" s="321" t="s">
        <v>355</v>
      </c>
      <c r="ZD43" s="321">
        <f t="shared" ref="ZD43" ca="1" si="13862">IF(ZE45="",SUM(ZQ5:ZV5),IF(ZE46="",SUM(ZQ6:ZV6),IF(ZE47="",SUM(ZQ7:ZV7),0)))</f>
        <v>0</v>
      </c>
      <c r="ZE43" s="321" t="s">
        <v>365</v>
      </c>
      <c r="ZF43" s="321" t="s">
        <v>156</v>
      </c>
      <c r="ZG43" s="321" t="s">
        <v>108</v>
      </c>
      <c r="ZH43" s="321" t="s">
        <v>157</v>
      </c>
      <c r="ZI43" s="321" t="s">
        <v>334</v>
      </c>
      <c r="ZJ43" s="321" t="s">
        <v>335</v>
      </c>
      <c r="ZK43" s="321" t="s">
        <v>342</v>
      </c>
      <c r="ZL43" s="321" t="s">
        <v>155</v>
      </c>
      <c r="ZM43" s="321" t="s">
        <v>351</v>
      </c>
      <c r="ZN43" s="321" t="s">
        <v>352</v>
      </c>
      <c r="ZO43" s="321" t="s">
        <v>337</v>
      </c>
      <c r="ZP43" s="321" t="s">
        <v>159</v>
      </c>
      <c r="ZQ43" s="321" t="s">
        <v>353</v>
      </c>
      <c r="ZR43" s="321" t="s">
        <v>336</v>
      </c>
      <c r="ZS43" s="321" t="s">
        <v>334</v>
      </c>
      <c r="ZT43" s="321" t="s">
        <v>354</v>
      </c>
      <c r="ZU43" s="321" t="s">
        <v>352</v>
      </c>
      <c r="ZV43" s="321" t="s">
        <v>337</v>
      </c>
      <c r="ZW43" s="321" t="s">
        <v>355</v>
      </c>
      <c r="ADH43" s="321">
        <f t="shared" ref="ADH43" ca="1" si="13863">IF(ADI44="",SUM(ADU4:ADZ4),IF(ADI45="",SUM(ADU5:ADZ5),IF(ADI46="",SUM(ADU6:ADZ6),IF(ADI47="",SUM(ADU7:ADZ7),0))))</f>
        <v>0</v>
      </c>
      <c r="ADI43" s="321" t="s">
        <v>364</v>
      </c>
      <c r="ADJ43" s="321" t="s">
        <v>156</v>
      </c>
      <c r="ADK43" s="321" t="s">
        <v>108</v>
      </c>
      <c r="ADL43" s="321" t="s">
        <v>157</v>
      </c>
      <c r="ADM43" s="321" t="s">
        <v>334</v>
      </c>
      <c r="ADN43" s="321" t="s">
        <v>335</v>
      </c>
      <c r="ADO43" s="321" t="s">
        <v>342</v>
      </c>
      <c r="ADP43" s="321" t="s">
        <v>155</v>
      </c>
      <c r="ADQ43" s="321" t="s">
        <v>351</v>
      </c>
      <c r="ADR43" s="321" t="s">
        <v>352</v>
      </c>
      <c r="ADS43" s="321" t="s">
        <v>337</v>
      </c>
      <c r="ADT43" s="321" t="s">
        <v>159</v>
      </c>
      <c r="ADU43" s="321" t="s">
        <v>353</v>
      </c>
      <c r="ADV43" s="321" t="s">
        <v>336</v>
      </c>
      <c r="ADW43" s="321" t="s">
        <v>334</v>
      </c>
      <c r="ADX43" s="321" t="s">
        <v>354</v>
      </c>
      <c r="ADY43" s="321" t="s">
        <v>352</v>
      </c>
      <c r="ADZ43" s="321" t="s">
        <v>337</v>
      </c>
      <c r="AEA43" s="321" t="s">
        <v>355</v>
      </c>
      <c r="AEB43" s="321">
        <f t="shared" ref="AEB43" ca="1" si="13864">IF(AEC45="",SUM(AEO5:AET5),IF(AEC46="",SUM(AEO6:AET6),IF(AEC47="",SUM(AEO7:AET7),0)))</f>
        <v>0</v>
      </c>
      <c r="AEC43" s="321" t="s">
        <v>365</v>
      </c>
      <c r="AED43" s="321" t="s">
        <v>156</v>
      </c>
      <c r="AEE43" s="321" t="s">
        <v>108</v>
      </c>
      <c r="AEF43" s="321" t="s">
        <v>157</v>
      </c>
      <c r="AEG43" s="321" t="s">
        <v>334</v>
      </c>
      <c r="AEH43" s="321" t="s">
        <v>335</v>
      </c>
      <c r="AEI43" s="321" t="s">
        <v>342</v>
      </c>
      <c r="AEJ43" s="321" t="s">
        <v>155</v>
      </c>
      <c r="AEK43" s="321" t="s">
        <v>351</v>
      </c>
      <c r="AEL43" s="321" t="s">
        <v>352</v>
      </c>
      <c r="AEM43" s="321" t="s">
        <v>337</v>
      </c>
      <c r="AEN43" s="321" t="s">
        <v>159</v>
      </c>
      <c r="AEO43" s="321" t="s">
        <v>353</v>
      </c>
      <c r="AEP43" s="321" t="s">
        <v>336</v>
      </c>
      <c r="AEQ43" s="321" t="s">
        <v>334</v>
      </c>
      <c r="AER43" s="321" t="s">
        <v>354</v>
      </c>
      <c r="AES43" s="321" t="s">
        <v>352</v>
      </c>
      <c r="AET43" s="321" t="s">
        <v>337</v>
      </c>
      <c r="AEU43" s="321" t="s">
        <v>355</v>
      </c>
      <c r="AIF43" s="321">
        <f t="shared" ref="AIF43" ca="1" si="13865">IF(AIG44="",SUM(AIS4:AIX4),IF(AIG45="",SUM(AIS5:AIX5),IF(AIG46="",SUM(AIS6:AIX6),IF(AIG47="",SUM(AIS7:AIX7),0))))</f>
        <v>0</v>
      </c>
      <c r="AIG43" s="321" t="s">
        <v>364</v>
      </c>
      <c r="AIH43" s="321" t="s">
        <v>156</v>
      </c>
      <c r="AII43" s="321" t="s">
        <v>108</v>
      </c>
      <c r="AIJ43" s="321" t="s">
        <v>157</v>
      </c>
      <c r="AIK43" s="321" t="s">
        <v>334</v>
      </c>
      <c r="AIL43" s="321" t="s">
        <v>335</v>
      </c>
      <c r="AIM43" s="321" t="s">
        <v>342</v>
      </c>
      <c r="AIN43" s="321" t="s">
        <v>155</v>
      </c>
      <c r="AIO43" s="321" t="s">
        <v>351</v>
      </c>
      <c r="AIP43" s="321" t="s">
        <v>352</v>
      </c>
      <c r="AIQ43" s="321" t="s">
        <v>337</v>
      </c>
      <c r="AIR43" s="321" t="s">
        <v>159</v>
      </c>
      <c r="AIS43" s="321" t="s">
        <v>353</v>
      </c>
      <c r="AIT43" s="321" t="s">
        <v>336</v>
      </c>
      <c r="AIU43" s="321" t="s">
        <v>334</v>
      </c>
      <c r="AIV43" s="321" t="s">
        <v>354</v>
      </c>
      <c r="AIW43" s="321" t="s">
        <v>352</v>
      </c>
      <c r="AIX43" s="321" t="s">
        <v>337</v>
      </c>
      <c r="AIY43" s="321" t="s">
        <v>355</v>
      </c>
      <c r="AIZ43" s="321">
        <f t="shared" ref="AIZ43" ca="1" si="13866">IF(AJA45="",SUM(AJM5:AJR5),IF(AJA46="",SUM(AJM6:AJR6),IF(AJA47="",SUM(AJM7:AJR7),0)))</f>
        <v>0</v>
      </c>
      <c r="AJA43" s="321" t="s">
        <v>365</v>
      </c>
      <c r="AJB43" s="321" t="s">
        <v>156</v>
      </c>
      <c r="AJC43" s="321" t="s">
        <v>108</v>
      </c>
      <c r="AJD43" s="321" t="s">
        <v>157</v>
      </c>
      <c r="AJE43" s="321" t="s">
        <v>334</v>
      </c>
      <c r="AJF43" s="321" t="s">
        <v>335</v>
      </c>
      <c r="AJG43" s="321" t="s">
        <v>342</v>
      </c>
      <c r="AJH43" s="321" t="s">
        <v>155</v>
      </c>
      <c r="AJI43" s="321" t="s">
        <v>351</v>
      </c>
      <c r="AJJ43" s="321" t="s">
        <v>352</v>
      </c>
      <c r="AJK43" s="321" t="s">
        <v>337</v>
      </c>
      <c r="AJL43" s="321" t="s">
        <v>159</v>
      </c>
      <c r="AJM43" s="321" t="s">
        <v>353</v>
      </c>
      <c r="AJN43" s="321" t="s">
        <v>336</v>
      </c>
      <c r="AJO43" s="321" t="s">
        <v>334</v>
      </c>
      <c r="AJP43" s="321" t="s">
        <v>354</v>
      </c>
      <c r="AJQ43" s="321" t="s">
        <v>352</v>
      </c>
      <c r="AJR43" s="321" t="s">
        <v>337</v>
      </c>
      <c r="AJS43" s="321" t="s">
        <v>355</v>
      </c>
      <c r="AND43" s="321">
        <f t="shared" ref="AND43" ca="1" si="13867">IF(ANE44="",SUM(ANQ4:ANV4),IF(ANE45="",SUM(ANQ5:ANV5),IF(ANE46="",SUM(ANQ6:ANV6),IF(ANE47="",SUM(ANQ7:ANV7),0))))</f>
        <v>0</v>
      </c>
      <c r="ANE43" s="321" t="s">
        <v>364</v>
      </c>
      <c r="ANF43" s="321" t="s">
        <v>156</v>
      </c>
      <c r="ANG43" s="321" t="s">
        <v>108</v>
      </c>
      <c r="ANH43" s="321" t="s">
        <v>157</v>
      </c>
      <c r="ANI43" s="321" t="s">
        <v>334</v>
      </c>
      <c r="ANJ43" s="321" t="s">
        <v>335</v>
      </c>
      <c r="ANK43" s="321" t="s">
        <v>342</v>
      </c>
      <c r="ANL43" s="321" t="s">
        <v>155</v>
      </c>
      <c r="ANM43" s="321" t="s">
        <v>351</v>
      </c>
      <c r="ANN43" s="321" t="s">
        <v>352</v>
      </c>
      <c r="ANO43" s="321" t="s">
        <v>337</v>
      </c>
      <c r="ANP43" s="321" t="s">
        <v>159</v>
      </c>
      <c r="ANQ43" s="321" t="s">
        <v>353</v>
      </c>
      <c r="ANR43" s="321" t="s">
        <v>336</v>
      </c>
      <c r="ANS43" s="321" t="s">
        <v>334</v>
      </c>
      <c r="ANT43" s="321" t="s">
        <v>354</v>
      </c>
      <c r="ANU43" s="321" t="s">
        <v>352</v>
      </c>
      <c r="ANV43" s="321" t="s">
        <v>337</v>
      </c>
      <c r="ANW43" s="321" t="s">
        <v>355</v>
      </c>
      <c r="ANX43" s="321">
        <f t="shared" ref="ANX43" ca="1" si="13868">IF(ANY45="",SUM(AOK5:AOP5),IF(ANY46="",SUM(AOK6:AOP6),IF(ANY47="",SUM(AOK7:AOP7),0)))</f>
        <v>0</v>
      </c>
      <c r="ANY43" s="321" t="s">
        <v>365</v>
      </c>
      <c r="ANZ43" s="321" t="s">
        <v>156</v>
      </c>
      <c r="AOA43" s="321" t="s">
        <v>108</v>
      </c>
      <c r="AOB43" s="321" t="s">
        <v>157</v>
      </c>
      <c r="AOC43" s="321" t="s">
        <v>334</v>
      </c>
      <c r="AOD43" s="321" t="s">
        <v>335</v>
      </c>
      <c r="AOE43" s="321" t="s">
        <v>342</v>
      </c>
      <c r="AOF43" s="321" t="s">
        <v>155</v>
      </c>
      <c r="AOG43" s="321" t="s">
        <v>351</v>
      </c>
      <c r="AOH43" s="321" t="s">
        <v>352</v>
      </c>
      <c r="AOI43" s="321" t="s">
        <v>337</v>
      </c>
      <c r="AOJ43" s="321" t="s">
        <v>159</v>
      </c>
      <c r="AOK43" s="321" t="s">
        <v>353</v>
      </c>
      <c r="AOL43" s="321" t="s">
        <v>336</v>
      </c>
      <c r="AOM43" s="321" t="s">
        <v>334</v>
      </c>
      <c r="AON43" s="321" t="s">
        <v>354</v>
      </c>
      <c r="AOO43" s="321" t="s">
        <v>352</v>
      </c>
      <c r="AOP43" s="321" t="s">
        <v>337</v>
      </c>
      <c r="AOQ43" s="321" t="s">
        <v>355</v>
      </c>
      <c r="ASB43" s="321">
        <f t="shared" ref="ASB43" ca="1" si="13869">IF(ASC44="",SUM(ASO4:AST4),IF(ASC45="",SUM(ASO5:AST5),IF(ASC46="",SUM(ASO6:AST6),IF(ASC47="",SUM(ASO7:AST7),0))))</f>
        <v>0</v>
      </c>
      <c r="ASC43" s="321" t="s">
        <v>364</v>
      </c>
      <c r="ASD43" s="321" t="s">
        <v>156</v>
      </c>
      <c r="ASE43" s="321" t="s">
        <v>108</v>
      </c>
      <c r="ASF43" s="321" t="s">
        <v>157</v>
      </c>
      <c r="ASG43" s="321" t="s">
        <v>334</v>
      </c>
      <c r="ASH43" s="321" t="s">
        <v>335</v>
      </c>
      <c r="ASI43" s="321" t="s">
        <v>342</v>
      </c>
      <c r="ASJ43" s="321" t="s">
        <v>155</v>
      </c>
      <c r="ASK43" s="321" t="s">
        <v>351</v>
      </c>
      <c r="ASL43" s="321" t="s">
        <v>352</v>
      </c>
      <c r="ASM43" s="321" t="s">
        <v>337</v>
      </c>
      <c r="ASN43" s="321" t="s">
        <v>159</v>
      </c>
      <c r="ASO43" s="321" t="s">
        <v>353</v>
      </c>
      <c r="ASP43" s="321" t="s">
        <v>336</v>
      </c>
      <c r="ASQ43" s="321" t="s">
        <v>334</v>
      </c>
      <c r="ASR43" s="321" t="s">
        <v>354</v>
      </c>
      <c r="ASS43" s="321" t="s">
        <v>352</v>
      </c>
      <c r="AST43" s="321" t="s">
        <v>337</v>
      </c>
      <c r="ASU43" s="321" t="s">
        <v>355</v>
      </c>
      <c r="ASV43" s="321">
        <f t="shared" ref="ASV43" ca="1" si="13870">IF(ASW45="",SUM(ATI5:ATN5),IF(ASW46="",SUM(ATI6:ATN6),IF(ASW47="",SUM(ATI7:ATN7),0)))</f>
        <v>0</v>
      </c>
      <c r="ASW43" s="321" t="s">
        <v>365</v>
      </c>
      <c r="ASX43" s="321" t="s">
        <v>156</v>
      </c>
      <c r="ASY43" s="321" t="s">
        <v>108</v>
      </c>
      <c r="ASZ43" s="321" t="s">
        <v>157</v>
      </c>
      <c r="ATA43" s="321" t="s">
        <v>334</v>
      </c>
      <c r="ATB43" s="321" t="s">
        <v>335</v>
      </c>
      <c r="ATC43" s="321" t="s">
        <v>342</v>
      </c>
      <c r="ATD43" s="321" t="s">
        <v>155</v>
      </c>
      <c r="ATE43" s="321" t="s">
        <v>351</v>
      </c>
      <c r="ATF43" s="321" t="s">
        <v>352</v>
      </c>
      <c r="ATG43" s="321" t="s">
        <v>337</v>
      </c>
      <c r="ATH43" s="321" t="s">
        <v>159</v>
      </c>
      <c r="ATI43" s="321" t="s">
        <v>353</v>
      </c>
      <c r="ATJ43" s="321" t="s">
        <v>336</v>
      </c>
      <c r="ATK43" s="321" t="s">
        <v>334</v>
      </c>
      <c r="ATL43" s="321" t="s">
        <v>354</v>
      </c>
      <c r="ATM43" s="321" t="s">
        <v>352</v>
      </c>
      <c r="ATN43" s="321" t="s">
        <v>337</v>
      </c>
      <c r="ATO43" s="321" t="s">
        <v>355</v>
      </c>
      <c r="AWZ43" s="321">
        <f t="shared" ref="AWZ43" ca="1" si="13871">IF(AXA44="",SUM(AXM4:AXR4),IF(AXA45="",SUM(AXM5:AXR5),IF(AXA46="",SUM(AXM6:AXR6),IF(AXA47="",SUM(AXM7:AXR7),0))))</f>
        <v>0</v>
      </c>
      <c r="AXA43" s="321" t="s">
        <v>364</v>
      </c>
      <c r="AXB43" s="321" t="s">
        <v>156</v>
      </c>
      <c r="AXC43" s="321" t="s">
        <v>108</v>
      </c>
      <c r="AXD43" s="321" t="s">
        <v>157</v>
      </c>
      <c r="AXE43" s="321" t="s">
        <v>334</v>
      </c>
      <c r="AXF43" s="321" t="s">
        <v>335</v>
      </c>
      <c r="AXG43" s="321" t="s">
        <v>342</v>
      </c>
      <c r="AXH43" s="321" t="s">
        <v>155</v>
      </c>
      <c r="AXI43" s="321" t="s">
        <v>351</v>
      </c>
      <c r="AXJ43" s="321" t="s">
        <v>352</v>
      </c>
      <c r="AXK43" s="321" t="s">
        <v>337</v>
      </c>
      <c r="AXL43" s="321" t="s">
        <v>159</v>
      </c>
      <c r="AXM43" s="321" t="s">
        <v>353</v>
      </c>
      <c r="AXN43" s="321" t="s">
        <v>336</v>
      </c>
      <c r="AXO43" s="321" t="s">
        <v>334</v>
      </c>
      <c r="AXP43" s="321" t="s">
        <v>354</v>
      </c>
      <c r="AXQ43" s="321" t="s">
        <v>352</v>
      </c>
      <c r="AXR43" s="321" t="s">
        <v>337</v>
      </c>
      <c r="AXS43" s="321" t="s">
        <v>355</v>
      </c>
      <c r="AXT43" s="321">
        <f t="shared" ref="AXT43" ca="1" si="13872">IF(AXU45="",SUM(AYG5:AYL5),IF(AXU46="",SUM(AYG6:AYL6),IF(AXU47="",SUM(AYG7:AYL7),0)))</f>
        <v>0</v>
      </c>
      <c r="AXU43" s="321" t="s">
        <v>365</v>
      </c>
      <c r="AXV43" s="321" t="s">
        <v>156</v>
      </c>
      <c r="AXW43" s="321" t="s">
        <v>108</v>
      </c>
      <c r="AXX43" s="321" t="s">
        <v>157</v>
      </c>
      <c r="AXY43" s="321" t="s">
        <v>334</v>
      </c>
      <c r="AXZ43" s="321" t="s">
        <v>335</v>
      </c>
      <c r="AYA43" s="321" t="s">
        <v>342</v>
      </c>
      <c r="AYB43" s="321" t="s">
        <v>155</v>
      </c>
      <c r="AYC43" s="321" t="s">
        <v>351</v>
      </c>
      <c r="AYD43" s="321" t="s">
        <v>352</v>
      </c>
      <c r="AYE43" s="321" t="s">
        <v>337</v>
      </c>
      <c r="AYF43" s="321" t="s">
        <v>159</v>
      </c>
      <c r="AYG43" s="321" t="s">
        <v>353</v>
      </c>
      <c r="AYH43" s="321" t="s">
        <v>336</v>
      </c>
      <c r="AYI43" s="321" t="s">
        <v>334</v>
      </c>
      <c r="AYJ43" s="321" t="s">
        <v>354</v>
      </c>
      <c r="AYK43" s="321" t="s">
        <v>352</v>
      </c>
      <c r="AYL43" s="321" t="s">
        <v>337</v>
      </c>
      <c r="AYM43" s="321" t="s">
        <v>355</v>
      </c>
      <c r="BBX43" s="321">
        <f t="shared" ref="BBX43" ca="1" si="13873">IF(BBY44="",SUM(BCK4:BCP4),IF(BBY45="",SUM(BCK5:BCP5),IF(BBY46="",SUM(BCK6:BCP6),IF(BBY47="",SUM(BCK7:BCP7),0))))</f>
        <v>0</v>
      </c>
      <c r="BBY43" s="321" t="s">
        <v>364</v>
      </c>
      <c r="BBZ43" s="321" t="s">
        <v>156</v>
      </c>
      <c r="BCA43" s="321" t="s">
        <v>108</v>
      </c>
      <c r="BCB43" s="321" t="s">
        <v>157</v>
      </c>
      <c r="BCC43" s="321" t="s">
        <v>334</v>
      </c>
      <c r="BCD43" s="321" t="s">
        <v>335</v>
      </c>
      <c r="BCE43" s="321" t="s">
        <v>342</v>
      </c>
      <c r="BCF43" s="321" t="s">
        <v>155</v>
      </c>
      <c r="BCG43" s="321" t="s">
        <v>351</v>
      </c>
      <c r="BCH43" s="321" t="s">
        <v>352</v>
      </c>
      <c r="BCI43" s="321" t="s">
        <v>337</v>
      </c>
      <c r="BCJ43" s="321" t="s">
        <v>159</v>
      </c>
      <c r="BCK43" s="321" t="s">
        <v>353</v>
      </c>
      <c r="BCL43" s="321" t="s">
        <v>336</v>
      </c>
      <c r="BCM43" s="321" t="s">
        <v>334</v>
      </c>
      <c r="BCN43" s="321" t="s">
        <v>354</v>
      </c>
      <c r="BCO43" s="321" t="s">
        <v>352</v>
      </c>
      <c r="BCP43" s="321" t="s">
        <v>337</v>
      </c>
      <c r="BCQ43" s="321" t="s">
        <v>355</v>
      </c>
      <c r="BCR43" s="321">
        <f t="shared" ref="BCR43" ca="1" si="13874">IF(BCS45="",SUM(BDE5:BDJ5),IF(BCS46="",SUM(BDE6:BDJ6),IF(BCS47="",SUM(BDE7:BDJ7),0)))</f>
        <v>0</v>
      </c>
      <c r="BCS43" s="321" t="s">
        <v>365</v>
      </c>
      <c r="BCT43" s="321" t="s">
        <v>156</v>
      </c>
      <c r="BCU43" s="321" t="s">
        <v>108</v>
      </c>
      <c r="BCV43" s="321" t="s">
        <v>157</v>
      </c>
      <c r="BCW43" s="321" t="s">
        <v>334</v>
      </c>
      <c r="BCX43" s="321" t="s">
        <v>335</v>
      </c>
      <c r="BCY43" s="321" t="s">
        <v>342</v>
      </c>
      <c r="BCZ43" s="321" t="s">
        <v>155</v>
      </c>
      <c r="BDA43" s="321" t="s">
        <v>351</v>
      </c>
      <c r="BDB43" s="321" t="s">
        <v>352</v>
      </c>
      <c r="BDC43" s="321" t="s">
        <v>337</v>
      </c>
      <c r="BDD43" s="321" t="s">
        <v>159</v>
      </c>
      <c r="BDE43" s="321" t="s">
        <v>353</v>
      </c>
      <c r="BDF43" s="321" t="s">
        <v>336</v>
      </c>
      <c r="BDG43" s="321" t="s">
        <v>334</v>
      </c>
      <c r="BDH43" s="321" t="s">
        <v>354</v>
      </c>
      <c r="BDI43" s="321" t="s">
        <v>352</v>
      </c>
      <c r="BDJ43" s="321" t="s">
        <v>337</v>
      </c>
      <c r="BDK43" s="321" t="s">
        <v>355</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t="str">
        <f t="shared" ref="AND44" ca="1" si="13975">IF(ANE4&lt;&gt;"",SUMPRODUCT((ANL4:ANL7=ANL4)*(ANK4:ANK7=ANK4)*(ANI4:ANI7=ANI4)*(ANJ4:ANJ7=ANJ4)),"")</f>
        <v/>
      </c>
      <c r="ANE44" s="321" t="str">
        <f t="shared" ref="ANE44:ANE47" ca="1" si="13976">IF(AND(AND44&lt;&gt;"",AND44&gt;1),ANE4,"")</f>
        <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t="str">
        <f t="shared" ref="ANL44:ANL47" ca="1" si="13983">IF(ANE44&lt;&gt;"",ANF44*3+ANG44*1,"")</f>
        <v/>
      </c>
      <c r="ANM44" s="321" t="str">
        <f t="shared" ref="ANM44" ca="1" si="13984">IF(ANE44&lt;&gt;"",VLOOKUP(ANE44,AML4:AMR40,7,FALSE),"")</f>
        <v/>
      </c>
      <c r="ANN44" s="321" t="str">
        <f t="shared" ref="ANN44" ca="1" si="13985">IF(ANE44&lt;&gt;"",VLOOKUP(ANE44,AML4:AMR40,5,FALSE),"")</f>
        <v/>
      </c>
      <c r="ANO44" s="321" t="str">
        <f t="shared" ref="ANO44" ca="1" si="13986">IF(ANE44&lt;&gt;"",VLOOKUP(ANE44,AML4:AMT40,9,FALSE),"")</f>
        <v/>
      </c>
      <c r="ANP44" s="321" t="str">
        <f t="shared" ref="ANP44:ANP47" ca="1" si="13987">ANL44</f>
        <v/>
      </c>
      <c r="ANQ44" s="321" t="str">
        <f t="shared" ref="ANQ44" ca="1" si="13988">IF(ANE44&lt;&gt;"",RANK(ANP44,ANP44:ANP48),"")</f>
        <v/>
      </c>
      <c r="ANR44" s="321" t="str">
        <f t="shared" ref="ANR44" ca="1" si="13989">IF(ANE44&lt;&gt;"",SUMPRODUCT((ANP44:ANP48=ANP44)*(ANK44:ANK48&gt;ANK44)),"")</f>
        <v/>
      </c>
      <c r="ANS44" s="321" t="str">
        <f t="shared" ref="ANS44" ca="1" si="13990">IF(ANE44&lt;&gt;"",SUMPRODUCT((ANP44:ANP48=ANP44)*(ANK44:ANK48=ANK44)*(ANI44:ANI48&gt;ANI44)),"")</f>
        <v/>
      </c>
      <c r="ANT44" s="321" t="str">
        <f t="shared" ref="ANT44" ca="1" si="13991">IF(ANE44&lt;&gt;"",SUMPRODUCT((ANP44:ANP48=ANP44)*(ANK44:ANK48=ANK44)*(ANI44:ANI48=ANI44)*(ANM44:ANM48&gt;ANM44)),"")</f>
        <v/>
      </c>
      <c r="ANU44" s="321" t="str">
        <f t="shared" ref="ANU44" ca="1" si="13992">IF(ANE44&lt;&gt;"",SUMPRODUCT((ANP44:ANP48=ANP44)*(ANK44:ANK48=ANK44)*(ANI44:ANI48=ANI44)*(ANM44:ANM48=ANM44)*(ANN44:ANN48&gt;ANN44)),"")</f>
        <v/>
      </c>
      <c r="ANV44" s="321" t="str">
        <f t="shared" ref="ANV44" ca="1" si="13993">IF(ANE44&lt;&gt;"",SUMPRODUCT((ANP44:ANP48=ANP44)*(ANK44:ANK48=ANK44)*(ANI44:ANI48=ANI44)*(ANM44:ANM48=ANM44)*(ANN44:ANN48=ANN44)*(ANO44:ANO48&gt;ANO44)),"")</f>
        <v/>
      </c>
      <c r="ANW44" s="321" t="str">
        <f t="shared" ref="ANW44:ANW47" ca="1" si="13994">IF(ANE44&lt;&gt;"",SUM(ANQ44:ANV44),"")</f>
        <v/>
      </c>
      <c r="ARQ44" s="321">
        <f ca="1">SUMPRODUCT((ARQ4:ARQ7=ARQ4)*(ARP4:ARP7=ARP4)*(ARN4:ARN7&gt;ARN4))+1</f>
        <v>1</v>
      </c>
      <c r="ASB44" s="321" t="str">
        <f t="shared" ref="ASB44" ca="1" si="13995">IF(ASC4&lt;&gt;"",SUMPRODUCT((ASJ4:ASJ7=ASJ4)*(ASI4:ASI7=ASI4)*(ASG4:ASG7=ASG4)*(ASH4:ASH7=ASH4)),"")</f>
        <v/>
      </c>
      <c r="ASC44" s="321" t="str">
        <f t="shared" ref="ASC44:ASC47" ca="1" si="13996">IF(AND(ASB44&lt;&gt;"",ASB44&gt;1),ASC4,"")</f>
        <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t="str">
        <f t="shared" ref="ASJ44:ASJ47" ca="1" si="14003">IF(ASC44&lt;&gt;"",ASD44*3+ASE44*1,"")</f>
        <v/>
      </c>
      <c r="ASK44" s="321" t="str">
        <f t="shared" ref="ASK44" ca="1" si="14004">IF(ASC44&lt;&gt;"",VLOOKUP(ASC44,ARJ4:ARP40,7,FALSE),"")</f>
        <v/>
      </c>
      <c r="ASL44" s="321" t="str">
        <f t="shared" ref="ASL44" ca="1" si="14005">IF(ASC44&lt;&gt;"",VLOOKUP(ASC44,ARJ4:ARP40,5,FALSE),"")</f>
        <v/>
      </c>
      <c r="ASM44" s="321" t="str">
        <f t="shared" ref="ASM44" ca="1" si="14006">IF(ASC44&lt;&gt;"",VLOOKUP(ASC44,ARJ4:ARR40,9,FALSE),"")</f>
        <v/>
      </c>
      <c r="ASN44" s="321" t="str">
        <f t="shared" ref="ASN44:ASN47" ca="1" si="14007">ASJ44</f>
        <v/>
      </c>
      <c r="ASO44" s="321" t="str">
        <f t="shared" ref="ASO44" ca="1" si="14008">IF(ASC44&lt;&gt;"",RANK(ASN44,ASN44:ASN48),"")</f>
        <v/>
      </c>
      <c r="ASP44" s="321" t="str">
        <f t="shared" ref="ASP44" ca="1" si="14009">IF(ASC44&lt;&gt;"",SUMPRODUCT((ASN44:ASN48=ASN44)*(ASI44:ASI48&gt;ASI44)),"")</f>
        <v/>
      </c>
      <c r="ASQ44" s="321" t="str">
        <f t="shared" ref="ASQ44" ca="1" si="14010">IF(ASC44&lt;&gt;"",SUMPRODUCT((ASN44:ASN48=ASN44)*(ASI44:ASI48=ASI44)*(ASG44:ASG48&gt;ASG44)),"")</f>
        <v/>
      </c>
      <c r="ASR44" s="321" t="str">
        <f t="shared" ref="ASR44" ca="1" si="14011">IF(ASC44&lt;&gt;"",SUMPRODUCT((ASN44:ASN48=ASN44)*(ASI44:ASI48=ASI44)*(ASG44:ASG48=ASG44)*(ASK44:ASK48&gt;ASK44)),"")</f>
        <v/>
      </c>
      <c r="ASS44" s="321" t="str">
        <f t="shared" ref="ASS44" ca="1" si="14012">IF(ASC44&lt;&gt;"",SUMPRODUCT((ASN44:ASN48=ASN44)*(ASI44:ASI48=ASI44)*(ASG44:ASG48=ASG44)*(ASK44:ASK48=ASK44)*(ASL44:ASL48&gt;ASL44)),"")</f>
        <v/>
      </c>
      <c r="AST44" s="321" t="str">
        <f t="shared" ref="AST44" ca="1" si="14013">IF(ASC44&lt;&gt;"",SUMPRODUCT((ASN44:ASN48=ASN44)*(ASI44:ASI48=ASI44)*(ASG44:ASG48=ASG44)*(ASK44:ASK48=ASK44)*(ASL44:ASL48=ASL44)*(ASM44:ASM48&gt;ASM44)),"")</f>
        <v/>
      </c>
      <c r="ASU44" s="321" t="str">
        <f t="shared" ref="ASU44:ASU47" ca="1" si="14014">IF(ASC44&lt;&gt;"",SUM(ASO44:AST44),"")</f>
        <v/>
      </c>
      <c r="AWO44" s="321">
        <f ca="1">SUMPRODUCT((AWO4:AWO7=AWO4)*(AWN4:AWN7=AWN4)*(AWL4:AWL7&gt;AWL4))+1</f>
        <v>1</v>
      </c>
      <c r="AWZ44" s="321" t="str">
        <f t="shared" ref="AWZ44" ca="1" si="14015">IF(AXA4&lt;&gt;"",SUMPRODUCT((AXH4:AXH7=AXH4)*(AXG4:AXG7=AXG4)*(AXE4:AXE7=AXE4)*(AXF4:AXF7=AXF4)),"")</f>
        <v/>
      </c>
      <c r="AXA44" s="321" t="str">
        <f t="shared" ref="AXA44:AXA47" ca="1" si="14016">IF(AND(AWZ44&lt;&gt;"",AWZ44&gt;1),AXA4,"")</f>
        <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t="str">
        <f t="shared" ref="AXH44:AXH47" ca="1" si="14023">IF(AXA44&lt;&gt;"",AXB44*3+AXC44*1,"")</f>
        <v/>
      </c>
      <c r="AXI44" s="321" t="str">
        <f t="shared" ref="AXI44" ca="1" si="14024">IF(AXA44&lt;&gt;"",VLOOKUP(AXA44,AWH4:AWN40,7,FALSE),"")</f>
        <v/>
      </c>
      <c r="AXJ44" s="321" t="str">
        <f t="shared" ref="AXJ44" ca="1" si="14025">IF(AXA44&lt;&gt;"",VLOOKUP(AXA44,AWH4:AWN40,5,FALSE),"")</f>
        <v/>
      </c>
      <c r="AXK44" s="321" t="str">
        <f t="shared" ref="AXK44" ca="1" si="14026">IF(AXA44&lt;&gt;"",VLOOKUP(AXA44,AWH4:AWP40,9,FALSE),"")</f>
        <v/>
      </c>
      <c r="AXL44" s="321" t="str">
        <f t="shared" ref="AXL44:AXL47" ca="1" si="14027">AXH44</f>
        <v/>
      </c>
      <c r="AXM44" s="321" t="str">
        <f t="shared" ref="AXM44" ca="1" si="14028">IF(AXA44&lt;&gt;"",RANK(AXL44,AXL44:AXL48),"")</f>
        <v/>
      </c>
      <c r="AXN44" s="321" t="str">
        <f t="shared" ref="AXN44" ca="1" si="14029">IF(AXA44&lt;&gt;"",SUMPRODUCT((AXL44:AXL48=AXL44)*(AXG44:AXG48&gt;AXG44)),"")</f>
        <v/>
      </c>
      <c r="AXO44" s="321" t="str">
        <f t="shared" ref="AXO44" ca="1" si="14030">IF(AXA44&lt;&gt;"",SUMPRODUCT((AXL44:AXL48=AXL44)*(AXG44:AXG48=AXG44)*(AXE44:AXE48&gt;AXE44)),"")</f>
        <v/>
      </c>
      <c r="AXP44" s="321" t="str">
        <f t="shared" ref="AXP44" ca="1" si="14031">IF(AXA44&lt;&gt;"",SUMPRODUCT((AXL44:AXL48=AXL44)*(AXG44:AXG48=AXG44)*(AXE44:AXE48=AXE44)*(AXI44:AXI48&gt;AXI44)),"")</f>
        <v/>
      </c>
      <c r="AXQ44" s="321" t="str">
        <f t="shared" ref="AXQ44" ca="1" si="14032">IF(AXA44&lt;&gt;"",SUMPRODUCT((AXL44:AXL48=AXL44)*(AXG44:AXG48=AXG44)*(AXE44:AXE48=AXE44)*(AXI44:AXI48=AXI44)*(AXJ44:AXJ48&gt;AXJ44)),"")</f>
        <v/>
      </c>
      <c r="AXR44" s="321" t="str">
        <f t="shared" ref="AXR44" ca="1" si="14033">IF(AXA44&lt;&gt;"",SUMPRODUCT((AXL44:AXL48=AXL44)*(AXG44:AXG48=AXG44)*(AXE44:AXE48=AXE44)*(AXI44:AXI48=AXI44)*(AXJ44:AXJ48=AXJ44)*(AXK44:AXK48&gt;AXK44)),"")</f>
        <v/>
      </c>
      <c r="AXS44" s="321" t="str">
        <f t="shared" ref="AXS44:AXS47" ca="1" si="14034">IF(AXA44&lt;&gt;"",SUM(AXM44:AXR44),"")</f>
        <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2</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f ca="1">IF(FM5&lt;&gt;"",SUMPRODUCT((FT4:FT7=FT5)*(FS4:FS7=FS5)*(FQ4:FQ7=FQ5)*(FR4:FR7=FR5)),"")</f>
        <v>2</v>
      </c>
      <c r="FM45" s="321" t="str">
        <f t="shared" ref="FM45:FM47" ca="1" si="14064">IF(AND(FL45&lt;&gt;"",FL45&gt;1),FM5,"")</f>
        <v>Switzerland</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1</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1">
        <f ca="1">FQ45-FR45+1000</f>
        <v>1000</v>
      </c>
      <c r="FT45" s="321">
        <f t="shared" ref="FT45:FT47" ca="1" si="14065">IF(FM45&lt;&gt;"",FN45*3+FO45*1,"")</f>
        <v>1</v>
      </c>
      <c r="FU45" s="321">
        <f ca="1">IF(FM45&lt;&gt;"",VLOOKUP(FM45,DZ4:EF40,7,FALSE),"")</f>
        <v>999</v>
      </c>
      <c r="FV45" s="321">
        <f ca="1">IF(FM45&lt;&gt;"",VLOOKUP(FM45,DZ4:EF40,5,FALSE),"")</f>
        <v>4</v>
      </c>
      <c r="FW45" s="321">
        <f ca="1">IF(FM45&lt;&gt;"",VLOOKUP(FM45,DZ4:EH40,9,FALSE),"")</f>
        <v>34</v>
      </c>
      <c r="FX45" s="321">
        <f t="shared" ref="FX45:FX47" ca="1" si="14066">FT45</f>
        <v>1</v>
      </c>
      <c r="FY45" s="321">
        <f ca="1">IF(FM45&lt;&gt;"",RANK(FX45,FX44:FX47),"")</f>
        <v>1</v>
      </c>
      <c r="FZ45" s="321">
        <f ca="1">IF(FM45&lt;&gt;"",SUMPRODUCT((FX44:FX47=FX45)*(FS44:FS47&gt;FS45)),"")</f>
        <v>0</v>
      </c>
      <c r="GA45" s="321">
        <f ca="1">IF(FM45&lt;&gt;"",SUMPRODUCT((FX44:FX47=FX45)*(FS44:FS47=FS45)*(FQ44:FQ47&gt;FQ45)),"")</f>
        <v>0</v>
      </c>
      <c r="GB45" s="321">
        <f ca="1">IF(FM45&lt;&gt;"",SUMPRODUCT((FX44:FX47=FX45)*(FS44:FS47=FS45)*(FQ44:FQ47=FQ45)*(FU44:FU47&gt;FU45)),"")</f>
        <v>0</v>
      </c>
      <c r="GC45" s="321">
        <f ca="1">IF(FM45&lt;&gt;"",SUMPRODUCT((FX44:FX47=FX45)*(FS44:FS47=FS45)*(FQ44:FQ47=FQ45)*(FU44:FU47=FU45)*(FV44:FV47&gt;FV45)),"")</f>
        <v>0</v>
      </c>
      <c r="GD45" s="321">
        <f ca="1">IF(FM45&lt;&gt;"",SUMPRODUCT((FX44:FX47=FX45)*(FS44:FS47=FS45)*(FQ44:FQ47=FQ45)*(FU44:FU47=FU45)*(FV44:FV47=FV45)*(FW44:FW47&gt;FW45)),"")</f>
        <v>0</v>
      </c>
      <c r="GE45" s="321">
        <f ca="1">IF(FM45&lt;&gt;"",SUM(FY45:GD45)+1,"")</f>
        <v>2</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t="str">
        <f t="shared" ref="AND45" ca="1" si="14248">IF(ANE5&lt;&gt;"",SUMPRODUCT((ANL4:ANL7=ANL5)*(ANK4:ANK7=ANK5)*(ANI4:ANI7=ANI5)*(ANJ4:ANJ7=ANJ5)),"")</f>
        <v/>
      </c>
      <c r="ANE45" s="321" t="str">
        <f t="shared" ca="1" si="13976"/>
        <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t="str">
        <f t="shared" ca="1" si="13983"/>
        <v/>
      </c>
      <c r="ANM45" s="321" t="str">
        <f t="shared" ref="ANM45" ca="1" si="14254">IF(ANE45&lt;&gt;"",VLOOKUP(ANE45,AML4:AMR40,7,FALSE),"")</f>
        <v/>
      </c>
      <c r="ANN45" s="321" t="str">
        <f t="shared" ref="ANN45" ca="1" si="14255">IF(ANE45&lt;&gt;"",VLOOKUP(ANE45,AML4:AMR40,5,FALSE),"")</f>
        <v/>
      </c>
      <c r="ANO45" s="321" t="str">
        <f t="shared" ref="ANO45" ca="1" si="14256">IF(ANE45&lt;&gt;"",VLOOKUP(ANE45,AML4:AMT40,9,FALSE),"")</f>
        <v/>
      </c>
      <c r="ANP45" s="321" t="str">
        <f t="shared" ca="1" si="13987"/>
        <v/>
      </c>
      <c r="ANQ45" s="321" t="str">
        <f t="shared" ref="ANQ45" ca="1" si="14257">IF(ANE45&lt;&gt;"",RANK(ANP45,ANP44:ANP48),"")</f>
        <v/>
      </c>
      <c r="ANR45" s="321" t="str">
        <f t="shared" ref="ANR45" ca="1" si="14258">IF(ANE45&lt;&gt;"",SUMPRODUCT((ANP44:ANP48=ANP45)*(ANK44:ANK48&gt;ANK45)),"")</f>
        <v/>
      </c>
      <c r="ANS45" s="321" t="str">
        <f t="shared" ref="ANS45" ca="1" si="14259">IF(ANE45&lt;&gt;"",SUMPRODUCT((ANP44:ANP48=ANP45)*(ANK44:ANK48=ANK45)*(ANI44:ANI48&gt;ANI45)),"")</f>
        <v/>
      </c>
      <c r="ANT45" s="321" t="str">
        <f t="shared" ref="ANT45" ca="1" si="14260">IF(ANE45&lt;&gt;"",SUMPRODUCT((ANP44:ANP48=ANP45)*(ANK44:ANK48=ANK45)*(ANI44:ANI48=ANI45)*(ANM44:ANM48&gt;ANM45)),"")</f>
        <v/>
      </c>
      <c r="ANU45" s="321" t="str">
        <f t="shared" ref="ANU45" ca="1" si="14261">IF(ANE45&lt;&gt;"",SUMPRODUCT((ANP44:ANP48=ANP45)*(ANK44:ANK48=ANK45)*(ANI44:ANI48=ANI45)*(ANM44:ANM48=ANM45)*(ANN44:ANN48&gt;ANN45)),"")</f>
        <v/>
      </c>
      <c r="ANV45" s="321" t="str">
        <f t="shared" ref="ANV45" ca="1" si="14262">IF(ANE45&lt;&gt;"",SUMPRODUCT((ANP44:ANP48=ANP45)*(ANK44:ANK48=ANK45)*(ANI44:ANI48=ANI45)*(ANM44:ANM48=ANM45)*(ANN44:ANN48=ANN45)*(ANO44:ANO48&gt;ANO45)),"")</f>
        <v/>
      </c>
      <c r="ANW45" s="321" t="str">
        <f t="shared" ca="1" si="13994"/>
        <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t="str">
        <f t="shared" ref="ASB45" ca="1" si="14283">IF(ASC5&lt;&gt;"",SUMPRODUCT((ASJ4:ASJ7=ASJ5)*(ASI4:ASI7=ASI5)*(ASG4:ASG7=ASG5)*(ASH4:ASH7=ASH5)),"")</f>
        <v/>
      </c>
      <c r="ASC45" s="321" t="str">
        <f t="shared" ca="1" si="13996"/>
        <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t="str">
        <f t="shared" ca="1" si="14003"/>
        <v/>
      </c>
      <c r="ASK45" s="321" t="str">
        <f t="shared" ref="ASK45" ca="1" si="14289">IF(ASC45&lt;&gt;"",VLOOKUP(ASC45,ARJ4:ARP40,7,FALSE),"")</f>
        <v/>
      </c>
      <c r="ASL45" s="321" t="str">
        <f t="shared" ref="ASL45" ca="1" si="14290">IF(ASC45&lt;&gt;"",VLOOKUP(ASC45,ARJ4:ARP40,5,FALSE),"")</f>
        <v/>
      </c>
      <c r="ASM45" s="321" t="str">
        <f t="shared" ref="ASM45" ca="1" si="14291">IF(ASC45&lt;&gt;"",VLOOKUP(ASC45,ARJ4:ARR40,9,FALSE),"")</f>
        <v/>
      </c>
      <c r="ASN45" s="321" t="str">
        <f t="shared" ca="1" si="14007"/>
        <v/>
      </c>
      <c r="ASO45" s="321" t="str">
        <f t="shared" ref="ASO45" ca="1" si="14292">IF(ASC45&lt;&gt;"",RANK(ASN45,ASN44:ASN48),"")</f>
        <v/>
      </c>
      <c r="ASP45" s="321" t="str">
        <f t="shared" ref="ASP45" ca="1" si="14293">IF(ASC45&lt;&gt;"",SUMPRODUCT((ASN44:ASN48=ASN45)*(ASI44:ASI48&gt;ASI45)),"")</f>
        <v/>
      </c>
      <c r="ASQ45" s="321" t="str">
        <f t="shared" ref="ASQ45" ca="1" si="14294">IF(ASC45&lt;&gt;"",SUMPRODUCT((ASN44:ASN48=ASN45)*(ASI44:ASI48=ASI45)*(ASG44:ASG48&gt;ASG45)),"")</f>
        <v/>
      </c>
      <c r="ASR45" s="321" t="str">
        <f t="shared" ref="ASR45" ca="1" si="14295">IF(ASC45&lt;&gt;"",SUMPRODUCT((ASN44:ASN48=ASN45)*(ASI44:ASI48=ASI45)*(ASG44:ASG48=ASG45)*(ASK44:ASK48&gt;ASK45)),"")</f>
        <v/>
      </c>
      <c r="ASS45" s="321" t="str">
        <f t="shared" ref="ASS45" ca="1" si="14296">IF(ASC45&lt;&gt;"",SUMPRODUCT((ASN44:ASN48=ASN45)*(ASI44:ASI48=ASI45)*(ASG44:ASG48=ASG45)*(ASK44:ASK48=ASK45)*(ASL44:ASL48&gt;ASL45)),"")</f>
        <v/>
      </c>
      <c r="AST45" s="321" t="str">
        <f t="shared" ref="AST45" ca="1" si="14297">IF(ASC45&lt;&gt;"",SUMPRODUCT((ASN44:ASN48=ASN45)*(ASI44:ASI48=ASI45)*(ASG44:ASG48=ASG45)*(ASK44:ASK48=ASK45)*(ASL44:ASL48=ASL45)*(ASM44:ASM48&gt;ASM45)),"")</f>
        <v/>
      </c>
      <c r="ASU45" s="321" t="str">
        <f t="shared" ca="1" si="14014"/>
        <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t="str">
        <f t="shared" ref="AWZ45" ca="1" si="14318">IF(AXA5&lt;&gt;"",SUMPRODUCT((AXH4:AXH7=AXH5)*(AXG4:AXG7=AXG5)*(AXE4:AXE7=AXE5)*(AXF4:AXF7=AXF5)),"")</f>
        <v/>
      </c>
      <c r="AXA45" s="321" t="str">
        <f t="shared" ca="1" si="14016"/>
        <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t="str">
        <f t="shared" ca="1" si="14023"/>
        <v/>
      </c>
      <c r="AXI45" s="321" t="str">
        <f t="shared" ref="AXI45" ca="1" si="14324">IF(AXA45&lt;&gt;"",VLOOKUP(AXA45,AWH4:AWN40,7,FALSE),"")</f>
        <v/>
      </c>
      <c r="AXJ45" s="321" t="str">
        <f t="shared" ref="AXJ45" ca="1" si="14325">IF(AXA45&lt;&gt;"",VLOOKUP(AXA45,AWH4:AWN40,5,FALSE),"")</f>
        <v/>
      </c>
      <c r="AXK45" s="321" t="str">
        <f t="shared" ref="AXK45" ca="1" si="14326">IF(AXA45&lt;&gt;"",VLOOKUP(AXA45,AWH4:AWP40,9,FALSE),"")</f>
        <v/>
      </c>
      <c r="AXL45" s="321" t="str">
        <f t="shared" ca="1" si="14027"/>
        <v/>
      </c>
      <c r="AXM45" s="321" t="str">
        <f t="shared" ref="AXM45" ca="1" si="14327">IF(AXA45&lt;&gt;"",RANK(AXL45,AXL44:AXL48),"")</f>
        <v/>
      </c>
      <c r="AXN45" s="321" t="str">
        <f t="shared" ref="AXN45" ca="1" si="14328">IF(AXA45&lt;&gt;"",SUMPRODUCT((AXL44:AXL48=AXL45)*(AXG44:AXG48&gt;AXG45)),"")</f>
        <v/>
      </c>
      <c r="AXO45" s="321" t="str">
        <f t="shared" ref="AXO45" ca="1" si="14329">IF(AXA45&lt;&gt;"",SUMPRODUCT((AXL44:AXL48=AXL45)*(AXG44:AXG48=AXG45)*(AXE44:AXE48&gt;AXE45)),"")</f>
        <v/>
      </c>
      <c r="AXP45" s="321" t="str">
        <f t="shared" ref="AXP45" ca="1" si="14330">IF(AXA45&lt;&gt;"",SUMPRODUCT((AXL44:AXL48=AXL45)*(AXG44:AXG48=AXG45)*(AXE44:AXE48=AXE45)*(AXI44:AXI48&gt;AXI45)),"")</f>
        <v/>
      </c>
      <c r="AXQ45" s="321" t="str">
        <f t="shared" ref="AXQ45" ca="1" si="14331">IF(AXA45&lt;&gt;"",SUMPRODUCT((AXL44:AXL48=AXL45)*(AXG44:AXG48=AXG45)*(AXE44:AXE48=AXE45)*(AXI44:AXI48=AXI45)*(AXJ44:AXJ48&gt;AXJ45)),"")</f>
        <v/>
      </c>
      <c r="AXR45" s="321" t="str">
        <f t="shared" ref="AXR45" ca="1" si="14332">IF(AXA45&lt;&gt;"",SUMPRODUCT((AXL44:AXL48=AXL45)*(AXG44:AXG48=AXG45)*(AXE44:AXE48=AXE45)*(AXI44:AXI48=AXI45)*(AXJ44:AXJ48=AXJ45)*(AXK44:AXK48&gt;AXK45)),"")</f>
        <v/>
      </c>
      <c r="AXS45" s="321" t="str">
        <f t="shared" ca="1" si="14034"/>
        <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f ca="1">IF(FM6&lt;&gt;"",SUMPRODUCT((FT4:FT7=FT6)*(FS4:FS7=FS6)*(FQ4:FQ7=FQ6)*(FR4:FR7=FR6)),"")</f>
        <v>2</v>
      </c>
      <c r="FM46" s="321" t="str">
        <f t="shared" ca="1" si="14064"/>
        <v>Scotland</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1</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1">
        <f ca="1">FQ46-FR46+1000</f>
        <v>1000</v>
      </c>
      <c r="FT46" s="321">
        <f t="shared" ca="1" si="14065"/>
        <v>1</v>
      </c>
      <c r="FU46" s="321">
        <f ca="1">IF(FM46&lt;&gt;"",VLOOKUP(FM46,DZ4:EF40,7,FALSE),"")</f>
        <v>999</v>
      </c>
      <c r="FV46" s="321">
        <f ca="1">IF(FM46&lt;&gt;"",VLOOKUP(FM46,DZ4:EF40,5,FALSE),"")</f>
        <v>3</v>
      </c>
      <c r="FW46" s="321">
        <f ca="1">IF(FM46&lt;&gt;"",VLOOKUP(FM46,DZ4:EH40,9,FALSE),"")</f>
        <v>43</v>
      </c>
      <c r="FX46" s="321">
        <f t="shared" ca="1" si="14066"/>
        <v>1</v>
      </c>
      <c r="FY46" s="321">
        <f ca="1">IF(FM46&lt;&gt;"",RANK(FX46,FX44:FX47),"")</f>
        <v>1</v>
      </c>
      <c r="FZ46" s="321">
        <f ca="1">IF(FM46&lt;&gt;"",SUMPRODUCT((FX44:FX47=FX46)*(FS44:FS47&gt;FS46)),"")</f>
        <v>0</v>
      </c>
      <c r="GA46" s="321">
        <f ca="1">IF(FM46&lt;&gt;"",SUMPRODUCT((FX44:FX47=FX46)*(FS44:FS47=FS46)*(FQ44:FQ47&gt;FQ46)),"")</f>
        <v>0</v>
      </c>
      <c r="GB46" s="321">
        <f ca="1">IF(FM46&lt;&gt;"",SUMPRODUCT((FX44:FX47=FX46)*(FS44:FS47=FS46)*(FQ44:FQ47=FQ46)*(FU44:FU47&gt;FU46)),"")</f>
        <v>0</v>
      </c>
      <c r="GC46" s="321">
        <f ca="1">IF(FM46&lt;&gt;"",SUMPRODUCT((FX44:FX47=FX46)*(FS44:FS47=FS46)*(FQ44:FQ47=FQ46)*(FU44:FU47=FU46)*(FV44:FV47&gt;FV46)),"")</f>
        <v>1</v>
      </c>
      <c r="GD46" s="321">
        <f ca="1">IF(FM46&lt;&gt;"",SUMPRODUCT((FX44:FX47=FX46)*(FS44:FS47=FS46)*(FQ44:FQ47=FQ46)*(FU44:FU47=FU46)*(FV44:FV47=FV46)*(FW44:FW47&gt;FW46)),"")</f>
        <v>0</v>
      </c>
      <c r="GE46" s="321">
        <f t="shared" ref="GE46:GE47" ca="1" si="14389">IF(FM46&lt;&gt;"",SUM(FY46:GD46)+1,"")</f>
        <v>3</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2</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t="str">
        <f t="shared" ref="AND46" ca="1" si="14546">IF(ANE6&lt;&gt;"",SUMPRODUCT((ANL4:ANL7=ANL6)*(ANK4:ANK7=ANK6)*(ANI4:ANI7=ANI6)*(ANJ4:ANJ7=ANJ6)),"")</f>
        <v/>
      </c>
      <c r="ANE46" s="321" t="str">
        <f t="shared" ca="1" si="13976"/>
        <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t="str">
        <f t="shared" ca="1" si="13983"/>
        <v/>
      </c>
      <c r="ANM46" s="321" t="str">
        <f t="shared" ref="ANM46" ca="1" si="14552">IF(ANE46&lt;&gt;"",VLOOKUP(ANE46,AML4:AMR40,7,FALSE),"")</f>
        <v/>
      </c>
      <c r="ANN46" s="321" t="str">
        <f t="shared" ref="ANN46" ca="1" si="14553">IF(ANE46&lt;&gt;"",VLOOKUP(ANE46,AML4:AMR40,5,FALSE),"")</f>
        <v/>
      </c>
      <c r="ANO46" s="321" t="str">
        <f t="shared" ref="ANO46" ca="1" si="14554">IF(ANE46&lt;&gt;"",VLOOKUP(ANE46,AML4:AMT40,9,FALSE),"")</f>
        <v/>
      </c>
      <c r="ANP46" s="321" t="str">
        <f t="shared" ca="1" si="13987"/>
        <v/>
      </c>
      <c r="ANQ46" s="321" t="str">
        <f t="shared" ref="ANQ46" ca="1" si="14555">IF(ANE46&lt;&gt;"",RANK(ANP46,ANP44:ANP48),"")</f>
        <v/>
      </c>
      <c r="ANR46" s="321" t="str">
        <f t="shared" ref="ANR46" ca="1" si="14556">IF(ANE46&lt;&gt;"",SUMPRODUCT((ANP44:ANP48=ANP46)*(ANK44:ANK48&gt;ANK46)),"")</f>
        <v/>
      </c>
      <c r="ANS46" s="321" t="str">
        <f t="shared" ref="ANS46" ca="1" si="14557">IF(ANE46&lt;&gt;"",SUMPRODUCT((ANP44:ANP48=ANP46)*(ANK44:ANK48=ANK46)*(ANI44:ANI48&gt;ANI46)),"")</f>
        <v/>
      </c>
      <c r="ANT46" s="321" t="str">
        <f t="shared" ref="ANT46" ca="1" si="14558">IF(ANE46&lt;&gt;"",SUMPRODUCT((ANP44:ANP48=ANP46)*(ANK44:ANK48=ANK46)*(ANI44:ANI48=ANI46)*(ANM44:ANM48&gt;ANM46)),"")</f>
        <v/>
      </c>
      <c r="ANU46" s="321" t="str">
        <f t="shared" ref="ANU46" ca="1" si="14559">IF(ANE46&lt;&gt;"",SUMPRODUCT((ANP44:ANP48=ANP46)*(ANK44:ANK48=ANK46)*(ANI44:ANI48=ANI46)*(ANM44:ANM48=ANM46)*(ANN44:ANN48&gt;ANN46)),"")</f>
        <v/>
      </c>
      <c r="ANV46" s="321" t="str">
        <f t="shared" ref="ANV46" ca="1" si="14560">IF(ANE46&lt;&gt;"",SUMPRODUCT((ANP44:ANP48=ANP46)*(ANK44:ANK48=ANK46)*(ANI44:ANI48=ANI46)*(ANM44:ANM48=ANM46)*(ANN44:ANN48=ANN46)*(ANO44:ANO48&gt;ANO46)),"")</f>
        <v/>
      </c>
      <c r="ANW46" s="321" t="str">
        <f t="shared" ca="1" si="13994"/>
        <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t="str">
        <f t="shared" ref="ASB46" ca="1" si="14577">IF(ASC6&lt;&gt;"",SUMPRODUCT((ASJ4:ASJ7=ASJ6)*(ASI4:ASI7=ASI6)*(ASG4:ASG7=ASG6)*(ASH4:ASH7=ASH6)),"")</f>
        <v/>
      </c>
      <c r="ASC46" s="321" t="str">
        <f t="shared" ca="1" si="13996"/>
        <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t="str">
        <f t="shared" ca="1" si="14003"/>
        <v/>
      </c>
      <c r="ASK46" s="321" t="str">
        <f t="shared" ref="ASK46" ca="1" si="14583">IF(ASC46&lt;&gt;"",VLOOKUP(ASC46,ARJ4:ARP40,7,FALSE),"")</f>
        <v/>
      </c>
      <c r="ASL46" s="321" t="str">
        <f t="shared" ref="ASL46" ca="1" si="14584">IF(ASC46&lt;&gt;"",VLOOKUP(ASC46,ARJ4:ARP40,5,FALSE),"")</f>
        <v/>
      </c>
      <c r="ASM46" s="321" t="str">
        <f t="shared" ref="ASM46" ca="1" si="14585">IF(ASC46&lt;&gt;"",VLOOKUP(ASC46,ARJ4:ARR40,9,FALSE),"")</f>
        <v/>
      </c>
      <c r="ASN46" s="321" t="str">
        <f t="shared" ca="1" si="14007"/>
        <v/>
      </c>
      <c r="ASO46" s="321" t="str">
        <f t="shared" ref="ASO46" ca="1" si="14586">IF(ASC46&lt;&gt;"",RANK(ASN46,ASN44:ASN48),"")</f>
        <v/>
      </c>
      <c r="ASP46" s="321" t="str">
        <f t="shared" ref="ASP46" ca="1" si="14587">IF(ASC46&lt;&gt;"",SUMPRODUCT((ASN44:ASN48=ASN46)*(ASI44:ASI48&gt;ASI46)),"")</f>
        <v/>
      </c>
      <c r="ASQ46" s="321" t="str">
        <f t="shared" ref="ASQ46" ca="1" si="14588">IF(ASC46&lt;&gt;"",SUMPRODUCT((ASN44:ASN48=ASN46)*(ASI44:ASI48=ASI46)*(ASG44:ASG48&gt;ASG46)),"")</f>
        <v/>
      </c>
      <c r="ASR46" s="321" t="str">
        <f t="shared" ref="ASR46" ca="1" si="14589">IF(ASC46&lt;&gt;"",SUMPRODUCT((ASN44:ASN48=ASN46)*(ASI44:ASI48=ASI46)*(ASG44:ASG48=ASG46)*(ASK44:ASK48&gt;ASK46)),"")</f>
        <v/>
      </c>
      <c r="ASS46" s="321" t="str">
        <f t="shared" ref="ASS46" ca="1" si="14590">IF(ASC46&lt;&gt;"",SUMPRODUCT((ASN44:ASN48=ASN46)*(ASI44:ASI48=ASI46)*(ASG44:ASG48=ASG46)*(ASK44:ASK48=ASK46)*(ASL44:ASL48&gt;ASL46)),"")</f>
        <v/>
      </c>
      <c r="AST46" s="321" t="str">
        <f t="shared" ref="AST46" ca="1" si="14591">IF(ASC46&lt;&gt;"",SUMPRODUCT((ASN44:ASN48=ASN46)*(ASI44:ASI48=ASI46)*(ASG44:ASG48=ASG46)*(ASK44:ASK48=ASK46)*(ASL44:ASL48=ASL46)*(ASM44:ASM48&gt;ASM46)),"")</f>
        <v/>
      </c>
      <c r="ASU46" s="321" t="str">
        <f t="shared" ca="1" si="14014"/>
        <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t="str">
        <f t="shared" ref="AWZ46" ca="1" si="14608">IF(AXA6&lt;&gt;"",SUMPRODUCT((AXH4:AXH7=AXH6)*(AXG4:AXG7=AXG6)*(AXE4:AXE7=AXE6)*(AXF4:AXF7=AXF6)),"")</f>
        <v/>
      </c>
      <c r="AXA46" s="321" t="str">
        <f t="shared" ca="1" si="14016"/>
        <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t="str">
        <f t="shared" ca="1" si="14023"/>
        <v/>
      </c>
      <c r="AXI46" s="321" t="str">
        <f t="shared" ref="AXI46" ca="1" si="14614">IF(AXA46&lt;&gt;"",VLOOKUP(AXA46,AWH4:AWN40,7,FALSE),"")</f>
        <v/>
      </c>
      <c r="AXJ46" s="321" t="str">
        <f t="shared" ref="AXJ46" ca="1" si="14615">IF(AXA46&lt;&gt;"",VLOOKUP(AXA46,AWH4:AWN40,5,FALSE),"")</f>
        <v/>
      </c>
      <c r="AXK46" s="321" t="str">
        <f t="shared" ref="AXK46" ca="1" si="14616">IF(AXA46&lt;&gt;"",VLOOKUP(AXA46,AWH4:AWP40,9,FALSE),"")</f>
        <v/>
      </c>
      <c r="AXL46" s="321" t="str">
        <f t="shared" ca="1" si="14027"/>
        <v/>
      </c>
      <c r="AXM46" s="321" t="str">
        <f t="shared" ref="AXM46" ca="1" si="14617">IF(AXA46&lt;&gt;"",RANK(AXL46,AXL44:AXL48),"")</f>
        <v/>
      </c>
      <c r="AXN46" s="321" t="str">
        <f t="shared" ref="AXN46" ca="1" si="14618">IF(AXA46&lt;&gt;"",SUMPRODUCT((AXL44:AXL48=AXL46)*(AXG44:AXG48&gt;AXG46)),"")</f>
        <v/>
      </c>
      <c r="AXO46" s="321" t="str">
        <f t="shared" ref="AXO46" ca="1" si="14619">IF(AXA46&lt;&gt;"",SUMPRODUCT((AXL44:AXL48=AXL46)*(AXG44:AXG48=AXG46)*(AXE44:AXE48&gt;AXE46)),"")</f>
        <v/>
      </c>
      <c r="AXP46" s="321" t="str">
        <f t="shared" ref="AXP46" ca="1" si="14620">IF(AXA46&lt;&gt;"",SUMPRODUCT((AXL44:AXL48=AXL46)*(AXG44:AXG48=AXG46)*(AXE44:AXE48=AXE46)*(AXI44:AXI48&gt;AXI46)),"")</f>
        <v/>
      </c>
      <c r="AXQ46" s="321" t="str">
        <f t="shared" ref="AXQ46" ca="1" si="14621">IF(AXA46&lt;&gt;"",SUMPRODUCT((AXL44:AXL48=AXL46)*(AXG44:AXG48=AXG46)*(AXE44:AXE48=AXE46)*(AXI44:AXI48=AXI46)*(AXJ44:AXJ48&gt;AXJ46)),"")</f>
        <v/>
      </c>
      <c r="AXR46" s="321" t="str">
        <f t="shared" ref="AXR46" ca="1" si="14622">IF(AXA46&lt;&gt;"",SUMPRODUCT((AXL44:AXL48=AXL46)*(AXG44:AXG48=AXG46)*(AXE44:AXE48=AXE46)*(AXI44:AXI48=AXI46)*(AXJ44:AXJ48=AXJ46)*(AXK44:AXK48&gt;AXK46)),"")</f>
        <v/>
      </c>
      <c r="AXS46" s="321" t="str">
        <f t="shared" ca="1" si="14034"/>
        <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t="str">
        <f t="shared" ref="AND47" ca="1" si="14820">IF(ANE7&lt;&gt;"",SUMPRODUCT((ANL4:ANL7=ANL7)*(ANK4:ANK7=ANK7)*(ANI4:ANI7=ANI7)*(ANJ4:ANJ7=ANJ7)),"")</f>
        <v/>
      </c>
      <c r="ANE47" s="321" t="str">
        <f t="shared" ca="1" si="13976"/>
        <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t="str">
        <f t="shared" ca="1" si="13983"/>
        <v/>
      </c>
      <c r="ANM47" s="321" t="str">
        <f t="shared" ref="ANM47" ca="1" si="14826">IF(ANE47&lt;&gt;"",VLOOKUP(ANE47,AML4:AMR40,7,FALSE),"")</f>
        <v/>
      </c>
      <c r="ANN47" s="321" t="str">
        <f t="shared" ref="ANN47" ca="1" si="14827">IF(ANE47&lt;&gt;"",VLOOKUP(ANE47,AML4:AMR40,5,FALSE),"")</f>
        <v/>
      </c>
      <c r="ANO47" s="321" t="str">
        <f t="shared" ref="ANO47" ca="1" si="14828">IF(ANE47&lt;&gt;"",VLOOKUP(ANE47,AML4:AMT40,9,FALSE),"")</f>
        <v/>
      </c>
      <c r="ANP47" s="321" t="str">
        <f t="shared" ca="1" si="13987"/>
        <v/>
      </c>
      <c r="ANQ47" s="321" t="str">
        <f t="shared" ref="ANQ47" ca="1" si="14829">IF(ANE47&lt;&gt;"",RANK(ANP47,ANP44:ANP48),"")</f>
        <v/>
      </c>
      <c r="ANR47" s="321" t="str">
        <f t="shared" ref="ANR47" ca="1" si="14830">IF(ANE47&lt;&gt;"",SUMPRODUCT((ANP44:ANP48=ANP47)*(ANK44:ANK48&gt;ANK47)),"")</f>
        <v/>
      </c>
      <c r="ANS47" s="321" t="str">
        <f t="shared" ref="ANS47" ca="1" si="14831">IF(ANE47&lt;&gt;"",SUMPRODUCT((ANP44:ANP48=ANP47)*(ANK44:ANK48=ANK47)*(ANI44:ANI48&gt;ANI47)),"")</f>
        <v/>
      </c>
      <c r="ANT47" s="321" t="str">
        <f t="shared" ref="ANT47" ca="1" si="14832">IF(ANE47&lt;&gt;"",SUMPRODUCT((ANP44:ANP48=ANP47)*(ANK44:ANK48=ANK47)*(ANI44:ANI48=ANI47)*(ANM44:ANM48&gt;ANM47)),"")</f>
        <v/>
      </c>
      <c r="ANU47" s="321" t="str">
        <f t="shared" ref="ANU47" ca="1" si="14833">IF(ANE47&lt;&gt;"",SUMPRODUCT((ANP44:ANP48=ANP47)*(ANK44:ANK48=ANK47)*(ANI44:ANI48=ANI47)*(ANM44:ANM48=ANM47)*(ANN44:ANN48&gt;ANN47)),"")</f>
        <v/>
      </c>
      <c r="ANV47" s="321" t="str">
        <f t="shared" ref="ANV47" ca="1" si="14834">IF(ANE47&lt;&gt;"",SUMPRODUCT((ANP44:ANP48=ANP47)*(ANK44:ANK48=ANK47)*(ANI44:ANI48=ANI47)*(ANM44:ANM48=ANM47)*(ANN44:ANN48=ANN47)*(ANO44:ANO48&gt;ANO47)),"")</f>
        <v/>
      </c>
      <c r="ANW47" s="321" t="str">
        <f t="shared" ca="1" si="13994"/>
        <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t="str">
        <f t="shared" ref="ASB47" ca="1" si="14850">IF(ASC7&lt;&gt;"",SUMPRODUCT((ASJ4:ASJ7=ASJ7)*(ASI4:ASI7=ASI7)*(ASG4:ASG7=ASG7)*(ASH4:ASH7=ASH7)),"")</f>
        <v/>
      </c>
      <c r="ASC47" s="321" t="str">
        <f t="shared" ca="1" si="13996"/>
        <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t="str">
        <f t="shared" ca="1" si="14003"/>
        <v/>
      </c>
      <c r="ASK47" s="321" t="str">
        <f t="shared" ref="ASK47" ca="1" si="14856">IF(ASC47&lt;&gt;"",VLOOKUP(ASC47,ARJ4:ARP40,7,FALSE),"")</f>
        <v/>
      </c>
      <c r="ASL47" s="321" t="str">
        <f t="shared" ref="ASL47" ca="1" si="14857">IF(ASC47&lt;&gt;"",VLOOKUP(ASC47,ARJ4:ARP40,5,FALSE),"")</f>
        <v/>
      </c>
      <c r="ASM47" s="321" t="str">
        <f t="shared" ref="ASM47" ca="1" si="14858">IF(ASC47&lt;&gt;"",VLOOKUP(ASC47,ARJ4:ARR40,9,FALSE),"")</f>
        <v/>
      </c>
      <c r="ASN47" s="321" t="str">
        <f t="shared" ca="1" si="14007"/>
        <v/>
      </c>
      <c r="ASO47" s="321" t="str">
        <f t="shared" ref="ASO47" ca="1" si="14859">IF(ASC47&lt;&gt;"",RANK(ASN47,ASN44:ASN48),"")</f>
        <v/>
      </c>
      <c r="ASP47" s="321" t="str">
        <f t="shared" ref="ASP47" ca="1" si="14860">IF(ASC47&lt;&gt;"",SUMPRODUCT((ASN44:ASN48=ASN47)*(ASI44:ASI48&gt;ASI47)),"")</f>
        <v/>
      </c>
      <c r="ASQ47" s="321" t="str">
        <f t="shared" ref="ASQ47" ca="1" si="14861">IF(ASC47&lt;&gt;"",SUMPRODUCT((ASN44:ASN48=ASN47)*(ASI44:ASI48=ASI47)*(ASG44:ASG48&gt;ASG47)),"")</f>
        <v/>
      </c>
      <c r="ASR47" s="321" t="str">
        <f t="shared" ref="ASR47" ca="1" si="14862">IF(ASC47&lt;&gt;"",SUMPRODUCT((ASN44:ASN48=ASN47)*(ASI44:ASI48=ASI47)*(ASG44:ASG48=ASG47)*(ASK44:ASK48&gt;ASK47)),"")</f>
        <v/>
      </c>
      <c r="ASS47" s="321" t="str">
        <f t="shared" ref="ASS47" ca="1" si="14863">IF(ASC47&lt;&gt;"",SUMPRODUCT((ASN44:ASN48=ASN47)*(ASI44:ASI48=ASI47)*(ASG44:ASG48=ASG47)*(ASK44:ASK48=ASK47)*(ASL44:ASL48&gt;ASL47)),"")</f>
        <v/>
      </c>
      <c r="AST47" s="321" t="str">
        <f t="shared" ref="AST47" ca="1" si="14864">IF(ASC47&lt;&gt;"",SUMPRODUCT((ASN44:ASN48=ASN47)*(ASI44:ASI48=ASI47)*(ASG44:ASG48=ASG47)*(ASK44:ASK48=ASK47)*(ASL44:ASL48=ASL47)*(ASM44:ASM48&gt;ASM47)),"")</f>
        <v/>
      </c>
      <c r="ASU47" s="321" t="str">
        <f t="shared" ca="1" si="14014"/>
        <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t="str">
        <f t="shared" ref="AWZ47" ca="1" si="14880">IF(AXA7&lt;&gt;"",SUMPRODUCT((AXH4:AXH7=AXH7)*(AXG4:AXG7=AXG7)*(AXE4:AXE7=AXE7)*(AXF4:AXF7=AXF7)),"")</f>
        <v/>
      </c>
      <c r="AXA47" s="321" t="str">
        <f t="shared" ca="1" si="14016"/>
        <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t="str">
        <f t="shared" ca="1" si="14023"/>
        <v/>
      </c>
      <c r="AXI47" s="321" t="str">
        <f t="shared" ref="AXI47" ca="1" si="14886">IF(AXA47&lt;&gt;"",VLOOKUP(AXA47,AWH4:AWN40,7,FALSE),"")</f>
        <v/>
      </c>
      <c r="AXJ47" s="321" t="str">
        <f t="shared" ref="AXJ47" ca="1" si="14887">IF(AXA47&lt;&gt;"",VLOOKUP(AXA47,AWH4:AWN40,5,FALSE),"")</f>
        <v/>
      </c>
      <c r="AXK47" s="321" t="str">
        <f t="shared" ref="AXK47" ca="1" si="14888">IF(AXA47&lt;&gt;"",VLOOKUP(AXA47,AWH4:AWP40,9,FALSE),"")</f>
        <v/>
      </c>
      <c r="AXL47" s="321" t="str">
        <f t="shared" ca="1" si="14027"/>
        <v/>
      </c>
      <c r="AXM47" s="321" t="str">
        <f t="shared" ref="AXM47" ca="1" si="14889">IF(AXA47&lt;&gt;"",RANK(AXL47,AXL44:AXL48),"")</f>
        <v/>
      </c>
      <c r="AXN47" s="321" t="str">
        <f t="shared" ref="AXN47" ca="1" si="14890">IF(AXA47&lt;&gt;"",SUMPRODUCT((AXL44:AXL48=AXL47)*(AXG44:AXG48&gt;AXG47)),"")</f>
        <v/>
      </c>
      <c r="AXO47" s="321" t="str">
        <f t="shared" ref="AXO47" ca="1" si="14891">IF(AXA47&lt;&gt;"",SUMPRODUCT((AXL44:AXL48=AXL47)*(AXG44:AXG48=AXG47)*(AXE44:AXE48&gt;AXE47)),"")</f>
        <v/>
      </c>
      <c r="AXP47" s="321" t="str">
        <f t="shared" ref="AXP47" ca="1" si="14892">IF(AXA47&lt;&gt;"",SUMPRODUCT((AXL44:AXL48=AXL47)*(AXG44:AXG48=AXG47)*(AXE44:AXE48=AXE47)*(AXI44:AXI48&gt;AXI47)),"")</f>
        <v/>
      </c>
      <c r="AXQ47" s="321" t="str">
        <f t="shared" ref="AXQ47" ca="1" si="14893">IF(AXA47&lt;&gt;"",SUMPRODUCT((AXL44:AXL48=AXL47)*(AXG44:AXG48=AXG47)*(AXE44:AXE48=AXE47)*(AXI44:AXI48=AXI47)*(AXJ44:AXJ48&gt;AXJ47)),"")</f>
        <v/>
      </c>
      <c r="AXR47" s="321" t="str">
        <f t="shared" ref="AXR47" ca="1" si="14894">IF(AXA47&lt;&gt;"",SUMPRODUCT((AXL44:AXL48=AXL47)*(AXG44:AXG48=AXG47)*(AXE44:AXE48=AXE47)*(AXI44:AXI48=AXI47)*(AXJ44:AXJ48=AXJ47)*(AXK44:AXK48&gt;AXK47)),"")</f>
        <v/>
      </c>
      <c r="AXS47" s="321" t="str">
        <f t="shared" ca="1" si="14034"/>
        <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366</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367</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f ca="1">IF(JQ11&lt;&gt;"",SUMPRODUCT((JX11:JX14=JX11)*(JW11:JW14=JW11)*(JU11:JU14=JU11)*(JV11:JV14=JV11)),"")</f>
        <v>3</v>
      </c>
      <c r="JQ51" s="321" t="str">
        <f ca="1">IF(AND(JP51&lt;&gt;"",JP51&gt;1),JQ11,"")</f>
        <v>Italy</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1">
        <f ca="1">JU51-JV51+1000</f>
        <v>1000</v>
      </c>
      <c r="JX51" s="321">
        <f t="shared" ref="JX51:JX54" ca="1" si="14961">IF(JQ51&lt;&gt;"",JR51*3+JS51*1,"")</f>
        <v>2</v>
      </c>
      <c r="JY51" s="321">
        <f ca="1">IF(JQ51&lt;&gt;"",VLOOKUP(JQ51,IX4:JD40,7,FALSE),"")</f>
        <v>1002</v>
      </c>
      <c r="JZ51" s="321">
        <f ca="1">IF(JQ51&lt;&gt;"",VLOOKUP(JQ51,IX4:JD40,5,FALSE),"")</f>
        <v>7</v>
      </c>
      <c r="KA51" s="321">
        <f ca="1">IF(JQ51&lt;&gt;"",VLOOKUP(JQ51,IX4:JF40,9,FALSE),"")</f>
        <v>36</v>
      </c>
      <c r="KB51" s="321">
        <f ca="1">JX51</f>
        <v>2</v>
      </c>
      <c r="KC51" s="321">
        <f ca="1">IF(JQ51&lt;&gt;"",RANK(KB51,KB51:KB54),"")</f>
        <v>1</v>
      </c>
      <c r="KD51" s="321">
        <f ca="1">IF(JQ51&lt;&gt;"",SUMPRODUCT((KB51:KB54=KB51)*(JW51:JW54&gt;JW51)),"")</f>
        <v>0</v>
      </c>
      <c r="KE51" s="321">
        <f ca="1">IF(JQ51&lt;&gt;"",SUMPRODUCT((KB51:KB54=KB51)*(JW51:JW54=JW51)*(JU51:JU54&gt;JU51)),"")</f>
        <v>0</v>
      </c>
      <c r="KF51" s="321">
        <f ca="1">IF(JQ51&lt;&gt;"",SUMPRODUCT((KB51:KB54=KB51)*(JW51:JW54=JW51)*(JU51:JU54=JU51)*(JY51:JY54&gt;JY51)),"")</f>
        <v>2</v>
      </c>
      <c r="KG51" s="321">
        <f ca="1">IF(JQ51&lt;&gt;"",SUMPRODUCT((KB51:KB54=KB51)*(JW51:JW54=JW51)*(JU51:JU54=JU51)*(JY51:JY54=JY51)*(JZ51:JZ54&gt;JZ51)),"")</f>
        <v>0</v>
      </c>
      <c r="KH51" s="321">
        <f ca="1">IF(JQ51&lt;&gt;"",SUMPRODUCT((KB51:KB54=KB51)*(JW51:JW54=JW51)*(JU51:JU54=JU51)*(JY51:JY54=JY51)*(JZ51:JZ54=JZ51)*(KA51:KA54&gt;KA51)),"")</f>
        <v>0</v>
      </c>
      <c r="KI51" s="321">
        <f ca="1">IF(JQ51&lt;&gt;"",SUM(KC51:KH51),"")</f>
        <v>3</v>
      </c>
      <c r="OC51" s="321">
        <f ca="1">SUMPRODUCT((OC11:OC14=OC11)*(OB11:OB14=OB11)*(NZ11:NZ14&gt;NZ11))+1</f>
        <v>1</v>
      </c>
      <c r="ON51" s="321" t="str">
        <f t="shared" ref="ON51" ca="1" si="14962">IF(OO11&lt;&gt;"",SUMPRODUCT((OV11:OV14=OV11)*(OU11:OU14=OU11)*(OS11:OS14=OS11)*(OT11:OT14=OT11)),"")</f>
        <v/>
      </c>
      <c r="OO51" s="321" t="str">
        <f t="shared" ref="OO51:OO54" ca="1" si="14963">IF(AND(ON51&lt;&gt;"",ON51&gt;1),OO11,"")</f>
        <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t="str">
        <f t="shared" ref="OV51:OV54" ca="1" si="14970">IF(OO51&lt;&gt;"",OP51*3+OQ51*1,"")</f>
        <v/>
      </c>
      <c r="OW51" s="321" t="str">
        <f t="shared" ref="OW51" ca="1" si="14971">IF(OO51&lt;&gt;"",VLOOKUP(OO51,NV4:OB40,7,FALSE),"")</f>
        <v/>
      </c>
      <c r="OX51" s="321" t="str">
        <f t="shared" ref="OX51" ca="1" si="14972">IF(OO51&lt;&gt;"",VLOOKUP(OO51,NV4:OB40,5,FALSE),"")</f>
        <v/>
      </c>
      <c r="OY51" s="321" t="str">
        <f t="shared" ref="OY51" ca="1" si="14973">IF(OO51&lt;&gt;"",VLOOKUP(OO51,NV4:OD40,9,FALSE),"")</f>
        <v/>
      </c>
      <c r="OZ51" s="321" t="str">
        <f t="shared" ref="OZ51:OZ54" ca="1" si="14974">OV51</f>
        <v/>
      </c>
      <c r="PA51" s="321" t="str">
        <f t="shared" ref="PA51" ca="1" si="14975">IF(OO51&lt;&gt;"",RANK(OZ51,OZ51:OZ54),"")</f>
        <v/>
      </c>
      <c r="PB51" s="321" t="str">
        <f t="shared" ref="PB51" ca="1" si="14976">IF(OO51&lt;&gt;"",SUMPRODUCT((OZ51:OZ54=OZ51)*(OU51:OU54&gt;OU51)),"")</f>
        <v/>
      </c>
      <c r="PC51" s="321" t="str">
        <f t="shared" ref="PC51" ca="1" si="14977">IF(OO51&lt;&gt;"",SUMPRODUCT((OZ51:OZ54=OZ51)*(OU51:OU54=OU51)*(OS51:OS54&gt;OS51)),"")</f>
        <v/>
      </c>
      <c r="PD51" s="321" t="str">
        <f t="shared" ref="PD51" ca="1" si="14978">IF(OO51&lt;&gt;"",SUMPRODUCT((OZ51:OZ54=OZ51)*(OU51:OU54=OU51)*(OS51:OS54=OS51)*(OW51:OW54&gt;OW51)),"")</f>
        <v/>
      </c>
      <c r="PE51" s="321" t="str">
        <f t="shared" ref="PE51" ca="1" si="14979">IF(OO51&lt;&gt;"",SUMPRODUCT((OZ51:OZ54=OZ51)*(OU51:OU54=OU51)*(OS51:OS54=OS51)*(OW51:OW54=OW51)*(OX51:OX54&gt;OX51)),"")</f>
        <v/>
      </c>
      <c r="PF51" s="321" t="str">
        <f t="shared" ref="PF51" ca="1" si="14980">IF(OO51&lt;&gt;"",SUMPRODUCT((OZ51:OZ54=OZ51)*(OU51:OU54=OU51)*(OS51:OS54=OS51)*(OW51:OW54=OW51)*(OX51:OX54=OX51)*(OY51:OY54&gt;OY51)),"")</f>
        <v/>
      </c>
      <c r="PG51" s="321" t="str">
        <f t="shared" ref="PG51" ca="1" si="14981">IF(OO51&lt;&gt;"",SUM(PA51:PF51),"")</f>
        <v/>
      </c>
      <c r="TA51" s="321">
        <f ca="1">SUMPRODUCT((TA11:TA14=TA11)*(SZ11:SZ14=SZ11)*(SX11:SX14&gt;SX11))+1</f>
        <v>1</v>
      </c>
      <c r="TL51" s="321" t="str">
        <f t="shared" ref="TL51" ca="1" si="14982">IF(TM11&lt;&gt;"",SUMPRODUCT((TT11:TT14=TT11)*(TS11:TS14=TS11)*(TQ11:TQ14=TQ11)*(TR11:TR14=TR11)),"")</f>
        <v/>
      </c>
      <c r="TM51" s="321" t="str">
        <f t="shared" ref="TM51:TM54" ca="1" si="14983">IF(AND(TL51&lt;&gt;"",TL51&gt;1),TM11,"")</f>
        <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t="str">
        <f t="shared" ref="TT51:TT54" ca="1" si="14990">IF(TM51&lt;&gt;"",TN51*3+TO51*1,"")</f>
        <v/>
      </c>
      <c r="TU51" s="321" t="str">
        <f t="shared" ref="TU51" ca="1" si="14991">IF(TM51&lt;&gt;"",VLOOKUP(TM51,ST4:SZ40,7,FALSE),"")</f>
        <v/>
      </c>
      <c r="TV51" s="321" t="str">
        <f t="shared" ref="TV51" ca="1" si="14992">IF(TM51&lt;&gt;"",VLOOKUP(TM51,ST4:SZ40,5,FALSE),"")</f>
        <v/>
      </c>
      <c r="TW51" s="321" t="str">
        <f t="shared" ref="TW51" ca="1" si="14993">IF(TM51&lt;&gt;"",VLOOKUP(TM51,ST4:TB40,9,FALSE),"")</f>
        <v/>
      </c>
      <c r="TX51" s="321" t="str">
        <f t="shared" ref="TX51:TX54" ca="1" si="14994">TT51</f>
        <v/>
      </c>
      <c r="TY51" s="321" t="str">
        <f t="shared" ref="TY51" ca="1" si="14995">IF(TM51&lt;&gt;"",RANK(TX51,TX51:TX54),"")</f>
        <v/>
      </c>
      <c r="TZ51" s="321" t="str">
        <f t="shared" ref="TZ51" ca="1" si="14996">IF(TM51&lt;&gt;"",SUMPRODUCT((TX51:TX54=TX51)*(TS51:TS54&gt;TS51)),"")</f>
        <v/>
      </c>
      <c r="UA51" s="321" t="str">
        <f t="shared" ref="UA51" ca="1" si="14997">IF(TM51&lt;&gt;"",SUMPRODUCT((TX51:TX54=TX51)*(TS51:TS54=TS51)*(TQ51:TQ54&gt;TQ51)),"")</f>
        <v/>
      </c>
      <c r="UB51" s="321" t="str">
        <f t="shared" ref="UB51" ca="1" si="14998">IF(TM51&lt;&gt;"",SUMPRODUCT((TX51:TX54=TX51)*(TS51:TS54=TS51)*(TQ51:TQ54=TQ51)*(TU51:TU54&gt;TU51)),"")</f>
        <v/>
      </c>
      <c r="UC51" s="321" t="str">
        <f t="shared" ref="UC51" ca="1" si="14999">IF(TM51&lt;&gt;"",SUMPRODUCT((TX51:TX54=TX51)*(TS51:TS54=TS51)*(TQ51:TQ54=TQ51)*(TU51:TU54=TU51)*(TV51:TV54&gt;TV51)),"")</f>
        <v/>
      </c>
      <c r="UD51" s="321" t="str">
        <f t="shared" ref="UD51" ca="1" si="15000">IF(TM51&lt;&gt;"",SUMPRODUCT((TX51:TX54=TX51)*(TS51:TS54=TS51)*(TQ51:TQ54=TQ51)*(TU51:TU54=TU51)*(TV51:TV54=TV51)*(TW51:TW54&gt;TW51)),"")</f>
        <v/>
      </c>
      <c r="UE51" s="321" t="str">
        <f t="shared" ref="UE51" ca="1" si="15001">IF(TM51&lt;&gt;"",SUM(TY51:UD51),"")</f>
        <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t="str">
        <f t="shared" ref="ADH51" ca="1" si="15022">IF(ADI11&lt;&gt;"",SUMPRODUCT((ADP11:ADP14=ADP11)*(ADO11:ADO14=ADO11)*(ADM11:ADM14=ADM11)*(ADN11:ADN14=ADN11)),"")</f>
        <v/>
      </c>
      <c r="ADI51" s="321" t="str">
        <f t="shared" ref="ADI51:ADI54" ca="1" si="15023">IF(AND(ADH51&lt;&gt;"",ADH51&gt;1),ADI11,"")</f>
        <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t="str">
        <f t="shared" ref="ADP51:ADP54" ca="1" si="15030">IF(ADI51&lt;&gt;"",ADJ51*3+ADK51*1,"")</f>
        <v/>
      </c>
      <c r="ADQ51" s="321" t="str">
        <f t="shared" ref="ADQ51" ca="1" si="15031">IF(ADI51&lt;&gt;"",VLOOKUP(ADI51,ACP4:ACV40,7,FALSE),"")</f>
        <v/>
      </c>
      <c r="ADR51" s="321" t="str">
        <f t="shared" ref="ADR51" ca="1" si="15032">IF(ADI51&lt;&gt;"",VLOOKUP(ADI51,ACP4:ACV40,5,FALSE),"")</f>
        <v/>
      </c>
      <c r="ADS51" s="321" t="str">
        <f t="shared" ref="ADS51" ca="1" si="15033">IF(ADI51&lt;&gt;"",VLOOKUP(ADI51,ACP4:ACX40,9,FALSE),"")</f>
        <v/>
      </c>
      <c r="ADT51" s="321" t="str">
        <f t="shared" ref="ADT51:ADT54" ca="1" si="15034">ADP51</f>
        <v/>
      </c>
      <c r="ADU51" s="321" t="str">
        <f t="shared" ref="ADU51" ca="1" si="15035">IF(ADI51&lt;&gt;"",RANK(ADT51,ADT51:ADT54),"")</f>
        <v/>
      </c>
      <c r="ADV51" s="321" t="str">
        <f t="shared" ref="ADV51" ca="1" si="15036">IF(ADI51&lt;&gt;"",SUMPRODUCT((ADT51:ADT54=ADT51)*(ADO51:ADO54&gt;ADO51)),"")</f>
        <v/>
      </c>
      <c r="ADW51" s="321" t="str">
        <f t="shared" ref="ADW51" ca="1" si="15037">IF(ADI51&lt;&gt;"",SUMPRODUCT((ADT51:ADT54=ADT51)*(ADO51:ADO54=ADO51)*(ADM51:ADM54&gt;ADM51)),"")</f>
        <v/>
      </c>
      <c r="ADX51" s="321" t="str">
        <f t="shared" ref="ADX51" ca="1" si="15038">IF(ADI51&lt;&gt;"",SUMPRODUCT((ADT51:ADT54=ADT51)*(ADO51:ADO54=ADO51)*(ADM51:ADM54=ADM51)*(ADQ51:ADQ54&gt;ADQ51)),"")</f>
        <v/>
      </c>
      <c r="ADY51" s="321" t="str">
        <f t="shared" ref="ADY51" ca="1" si="15039">IF(ADI51&lt;&gt;"",SUMPRODUCT((ADT51:ADT54=ADT51)*(ADO51:ADO54=ADO51)*(ADM51:ADM54=ADM51)*(ADQ51:ADQ54=ADQ51)*(ADR51:ADR54&gt;ADR51)),"")</f>
        <v/>
      </c>
      <c r="ADZ51" s="321" t="str">
        <f t="shared" ref="ADZ51" ca="1" si="15040">IF(ADI51&lt;&gt;"",SUMPRODUCT((ADT51:ADT54=ADT51)*(ADO51:ADO54=ADO51)*(ADM51:ADM54=ADM51)*(ADQ51:ADQ54=ADQ51)*(ADR51:ADR54=ADR51)*(ADS51:ADS54&gt;ADS51)),"")</f>
        <v/>
      </c>
      <c r="AEA51" s="321" t="str">
        <f t="shared" ref="AEA51" ca="1" si="15041">IF(ADI51&lt;&gt;"",SUM(ADU51:ADZ51),"")</f>
        <v/>
      </c>
      <c r="AHU51" s="321">
        <f ca="1">SUMPRODUCT((AHU11:AHU14=AHU11)*(AHT11:AHT14=AHT11)*(AHR11:AHR14&gt;AHR11))+1</f>
        <v>1</v>
      </c>
      <c r="AIF51" s="321">
        <f t="shared" ref="AIF51" ca="1" si="15042">IF(AIG11&lt;&gt;"",SUMPRODUCT((AIN11:AIN14=AIN11)*(AIM11:AIM14=AIM11)*(AIK11:AIK14=AIK11)*(AIL11:AIL14=AIL11)),"")</f>
        <v>2</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1">
        <f t="shared" ref="AIM51:AIM54" ca="1" si="15049">AIK51-AIL51+1000</f>
        <v>1000</v>
      </c>
      <c r="AIN51" s="321">
        <f t="shared" ref="AIN51:AIN54" ca="1" si="15050">IF(AIG51&lt;&gt;"",AIH51*3+AII51*1,"")</f>
        <v>1</v>
      </c>
      <c r="AIO51" s="321">
        <f t="shared" ref="AIO51" ca="1" si="15051">IF(AIG51&lt;&gt;"",VLOOKUP(AIG51,AHN4:AHT40,7,FALSE),"")</f>
        <v>1004</v>
      </c>
      <c r="AIP51" s="321">
        <f t="shared" ref="AIP51" ca="1" si="15052">IF(AIG51&lt;&gt;"",VLOOKUP(AIG51,AHN4:AHT40,5,FALSE),"")</f>
        <v>7</v>
      </c>
      <c r="AIQ51" s="321">
        <f t="shared" ref="AIQ51" ca="1" si="15053">IF(AIG51&lt;&gt;"",VLOOKUP(AIG51,AHN4:AHV40,9,FALSE),"")</f>
        <v>36</v>
      </c>
      <c r="AIR51" s="321">
        <f t="shared" ref="AIR51:AIR54" ca="1" si="15054">AIN51</f>
        <v>1</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0</v>
      </c>
      <c r="AIY51" s="321">
        <f t="shared" ref="AIY51" ca="1" si="15061">IF(AIG51&lt;&gt;"",SUM(AIS51:AIX51),"")</f>
        <v>1</v>
      </c>
      <c r="AMS51" s="321">
        <f ca="1">SUMPRODUCT((AMS11:AMS14=AMS11)*(AMR11:AMR14=AMR11)*(AMP11:AMP14&gt;AMP11))+1</f>
        <v>1</v>
      </c>
      <c r="AND51" s="321" t="str">
        <f t="shared" ref="AND51" ca="1" si="15062">IF(ANE11&lt;&gt;"",SUMPRODUCT((ANL11:ANL14=ANL11)*(ANK11:ANK14=ANK11)*(ANI11:ANI14=ANI11)*(ANJ11:ANJ14=ANJ11)),"")</f>
        <v/>
      </c>
      <c r="ANE51" s="321" t="str">
        <f t="shared" ref="ANE51:ANE54" ca="1" si="15063">IF(AND(AND51&lt;&gt;"",AND51&gt;1),ANE11,"")</f>
        <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t="str">
        <f t="shared" ref="ANL51:ANL54" ca="1" si="15070">IF(ANE51&lt;&gt;"",ANF51*3+ANG51*1,"")</f>
        <v/>
      </c>
      <c r="ANM51" s="321" t="str">
        <f t="shared" ref="ANM51" ca="1" si="15071">IF(ANE51&lt;&gt;"",VLOOKUP(ANE51,AML4:AMR40,7,FALSE),"")</f>
        <v/>
      </c>
      <c r="ANN51" s="321" t="str">
        <f t="shared" ref="ANN51" ca="1" si="15072">IF(ANE51&lt;&gt;"",VLOOKUP(ANE51,AML4:AMR40,5,FALSE),"")</f>
        <v/>
      </c>
      <c r="ANO51" s="321" t="str">
        <f t="shared" ref="ANO51" ca="1" si="15073">IF(ANE51&lt;&gt;"",VLOOKUP(ANE51,AML4:AMT40,9,FALSE),"")</f>
        <v/>
      </c>
      <c r="ANP51" s="321" t="str">
        <f t="shared" ref="ANP51:ANP54" ca="1" si="15074">ANL51</f>
        <v/>
      </c>
      <c r="ANQ51" s="321" t="str">
        <f t="shared" ref="ANQ51" ca="1" si="15075">IF(ANE51&lt;&gt;"",RANK(ANP51,ANP51:ANP54),"")</f>
        <v/>
      </c>
      <c r="ANR51" s="321" t="str">
        <f t="shared" ref="ANR51" ca="1" si="15076">IF(ANE51&lt;&gt;"",SUMPRODUCT((ANP51:ANP54=ANP51)*(ANK51:ANK54&gt;ANK51)),"")</f>
        <v/>
      </c>
      <c r="ANS51" s="321" t="str">
        <f t="shared" ref="ANS51" ca="1" si="15077">IF(ANE51&lt;&gt;"",SUMPRODUCT((ANP51:ANP54=ANP51)*(ANK51:ANK54=ANK51)*(ANI51:ANI54&gt;ANI51)),"")</f>
        <v/>
      </c>
      <c r="ANT51" s="321" t="str">
        <f t="shared" ref="ANT51" ca="1" si="15078">IF(ANE51&lt;&gt;"",SUMPRODUCT((ANP51:ANP54=ANP51)*(ANK51:ANK54=ANK51)*(ANI51:ANI54=ANI51)*(ANM51:ANM54&gt;ANM51)),"")</f>
        <v/>
      </c>
      <c r="ANU51" s="321" t="str">
        <f t="shared" ref="ANU51" ca="1" si="15079">IF(ANE51&lt;&gt;"",SUMPRODUCT((ANP51:ANP54=ANP51)*(ANK51:ANK54=ANK51)*(ANI51:ANI54=ANI51)*(ANM51:ANM54=ANM51)*(ANN51:ANN54&gt;ANN51)),"")</f>
        <v/>
      </c>
      <c r="ANV51" s="321" t="str">
        <f t="shared" ref="ANV51" ca="1" si="15080">IF(ANE51&lt;&gt;"",SUMPRODUCT((ANP51:ANP54=ANP51)*(ANK51:ANK54=ANK51)*(ANI51:ANI54=ANI51)*(ANM51:ANM54=ANM51)*(ANN51:ANN54=ANN51)*(ANO51:ANO54&gt;ANO51)),"")</f>
        <v/>
      </c>
      <c r="ANW51" s="321" t="str">
        <f t="shared" ref="ANW51" ca="1" si="15081">IF(ANE51&lt;&gt;"",SUM(ANQ51:ANV51),"")</f>
        <v/>
      </c>
      <c r="ARQ51" s="321">
        <f ca="1">SUMPRODUCT((ARQ11:ARQ14=ARQ11)*(ARP11:ARP14=ARP11)*(ARN11:ARN14&gt;ARN11))+1</f>
        <v>1</v>
      </c>
      <c r="ASB51" s="321">
        <f t="shared" ref="ASB51" ca="1" si="15082">IF(ASC11&lt;&gt;"",SUMPRODUCT((ASJ11:ASJ14=ASJ11)*(ASI11:ASI14=ASI11)*(ASG11:ASG14=ASG11)*(ASH11:ASH14=ASH11)),"")</f>
        <v>2</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1">
        <f t="shared" ref="ASI51:ASI54" ca="1" si="15089">ASG51-ASH51+1000</f>
        <v>1000</v>
      </c>
      <c r="ASJ51" s="321">
        <f t="shared" ref="ASJ51:ASJ54" ca="1" si="15090">IF(ASC51&lt;&gt;"",ASD51*3+ASE51*1,"")</f>
        <v>1</v>
      </c>
      <c r="ASK51" s="321">
        <f t="shared" ref="ASK51" ca="1" si="15091">IF(ASC51&lt;&gt;"",VLOOKUP(ASC51,ARJ4:ARP40,7,FALSE),"")</f>
        <v>1003</v>
      </c>
      <c r="ASL51" s="321">
        <f t="shared" ref="ASL51" ca="1" si="15092">IF(ASC51&lt;&gt;"",VLOOKUP(ASC51,ARJ4:ARP40,5,FALSE),"")</f>
        <v>9</v>
      </c>
      <c r="ASM51" s="321">
        <f t="shared" ref="ASM51" ca="1" si="15093">IF(ASC51&lt;&gt;"",VLOOKUP(ASC51,ARJ4:ARR40,9,FALSE),"")</f>
        <v>36</v>
      </c>
      <c r="ASN51" s="321">
        <f t="shared" ref="ASN51:ASN54" ca="1" si="15094">ASJ51</f>
        <v>1</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0</v>
      </c>
      <c r="ASU51" s="321">
        <f t="shared" ref="ASU51" ca="1" si="15101">IF(ASC51&lt;&gt;"",SUM(ASO51:AST51),"")</f>
        <v>1</v>
      </c>
      <c r="AWO51" s="321">
        <f ca="1">SUMPRODUCT((AWO11:AWO14=AWO11)*(AWN11:AWN14=AWN11)*(AWL11:AWL14&gt;AWL11))+1</f>
        <v>1</v>
      </c>
      <c r="AWZ51" s="321" t="str">
        <f t="shared" ref="AWZ51" ca="1" si="15102">IF(AXA11&lt;&gt;"",SUMPRODUCT((AXH11:AXH14=AXH11)*(AXG11:AXG14=AXG11)*(AXE11:AXE14=AXE11)*(AXF11:AXF14=AXF11)),"")</f>
        <v/>
      </c>
      <c r="AXA51" s="321" t="str">
        <f t="shared" ref="AXA51:AXA54" ca="1" si="15103">IF(AND(AWZ51&lt;&gt;"",AWZ51&gt;1),AXA11,"")</f>
        <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t="str">
        <f t="shared" ref="AXH51:AXH54" ca="1" si="15110">IF(AXA51&lt;&gt;"",AXB51*3+AXC51*1,"")</f>
        <v/>
      </c>
      <c r="AXI51" s="321" t="str">
        <f t="shared" ref="AXI51" ca="1" si="15111">IF(AXA51&lt;&gt;"",VLOOKUP(AXA51,AWH4:AWN40,7,FALSE),"")</f>
        <v/>
      </c>
      <c r="AXJ51" s="321" t="str">
        <f t="shared" ref="AXJ51" ca="1" si="15112">IF(AXA51&lt;&gt;"",VLOOKUP(AXA51,AWH4:AWN40,5,FALSE),"")</f>
        <v/>
      </c>
      <c r="AXK51" s="321" t="str">
        <f t="shared" ref="AXK51" ca="1" si="15113">IF(AXA51&lt;&gt;"",VLOOKUP(AXA51,AWH4:AWP40,9,FALSE),"")</f>
        <v/>
      </c>
      <c r="AXL51" s="321" t="str">
        <f t="shared" ref="AXL51:AXL54" ca="1" si="15114">AXH51</f>
        <v/>
      </c>
      <c r="AXM51" s="321" t="str">
        <f t="shared" ref="AXM51" ca="1" si="15115">IF(AXA51&lt;&gt;"",RANK(AXL51,AXL51:AXL54),"")</f>
        <v/>
      </c>
      <c r="AXN51" s="321" t="str">
        <f t="shared" ref="AXN51" ca="1" si="15116">IF(AXA51&lt;&gt;"",SUMPRODUCT((AXL51:AXL54=AXL51)*(AXG51:AXG54&gt;AXG51)),"")</f>
        <v/>
      </c>
      <c r="AXO51" s="321" t="str">
        <f t="shared" ref="AXO51" ca="1" si="15117">IF(AXA51&lt;&gt;"",SUMPRODUCT((AXL51:AXL54=AXL51)*(AXG51:AXG54=AXG51)*(AXE51:AXE54&gt;AXE51)),"")</f>
        <v/>
      </c>
      <c r="AXP51" s="321" t="str">
        <f t="shared" ref="AXP51" ca="1" si="15118">IF(AXA51&lt;&gt;"",SUMPRODUCT((AXL51:AXL54=AXL51)*(AXG51:AXG54=AXG51)*(AXE51:AXE54=AXE51)*(AXI51:AXI54&gt;AXI51)),"")</f>
        <v/>
      </c>
      <c r="AXQ51" s="321" t="str">
        <f t="shared" ref="AXQ51" ca="1" si="15119">IF(AXA51&lt;&gt;"",SUMPRODUCT((AXL51:AXL54=AXL51)*(AXG51:AXG54=AXG51)*(AXE51:AXE54=AXE51)*(AXI51:AXI54=AXI51)*(AXJ51:AXJ54&gt;AXJ51)),"")</f>
        <v/>
      </c>
      <c r="AXR51" s="321" t="str">
        <f t="shared" ref="AXR51" ca="1" si="15120">IF(AXA51&lt;&gt;"",SUMPRODUCT((AXL51:AXL54=AXL51)*(AXG51:AXG54=AXG51)*(AXE51:AXE54=AXE51)*(AXI51:AXI54=AXI51)*(AXJ51:AXJ54=AXJ51)*(AXK51:AXK54&gt;AXK51)),"")</f>
        <v/>
      </c>
      <c r="AXS51" s="321" t="str">
        <f t="shared" ref="AXS51" ca="1" si="15121">IF(AXA51&lt;&gt;"",SUM(AXM51:AXR51),"")</f>
        <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368</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f ca="1">IF(JQ12&lt;&gt;"",SUMPRODUCT((JX11:JX14=JX12)*(JW11:JW14=JW12)*(JU11:JU14=JU12)*(JV11:JV14=JV12)),"")</f>
        <v>3</v>
      </c>
      <c r="JQ52" s="321" t="str">
        <f t="shared" ref="JQ52:JQ54" ca="1" si="15154">IF(AND(JP52&lt;&gt;"",JP52&gt;1),JQ12,"")</f>
        <v>Croatia</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1">
        <f ca="1">JU52-JV52+1000</f>
        <v>1000</v>
      </c>
      <c r="JX52" s="321">
        <f t="shared" ca="1" si="14961"/>
        <v>2</v>
      </c>
      <c r="JY52" s="321">
        <f ca="1">IF(JQ52&lt;&gt;"",VLOOKUP(JQ52,IX4:JD40,7,FALSE),"")</f>
        <v>1003</v>
      </c>
      <c r="JZ52" s="321">
        <f ca="1">IF(JQ52&lt;&gt;"",VLOOKUP(JQ52,IX4:JD40,5,FALSE),"")</f>
        <v>7</v>
      </c>
      <c r="KA52" s="321">
        <f ca="1">IF(JQ52&lt;&gt;"",VLOOKUP(JQ52,IX4:JF40,9,FALSE),"")</f>
        <v>40</v>
      </c>
      <c r="KB52" s="321">
        <f t="shared" ref="KB52:KB54" ca="1" si="15155">JX52</f>
        <v>2</v>
      </c>
      <c r="KC52" s="321">
        <f ca="1">IF(JQ52&lt;&gt;"",RANK(KB52,KB51:KB54),"")</f>
        <v>1</v>
      </c>
      <c r="KD52" s="321">
        <f ca="1">IF(JQ52&lt;&gt;"",SUMPRODUCT((KB51:KB54=KB52)*(JW51:JW54&gt;JW52)),"")</f>
        <v>0</v>
      </c>
      <c r="KE52" s="321">
        <f ca="1">IF(JQ52&lt;&gt;"",SUMPRODUCT((KB51:KB54=KB52)*(JW51:JW54=JW52)*(JU51:JU54&gt;JU52)),"")</f>
        <v>0</v>
      </c>
      <c r="KF52" s="321">
        <f ca="1">IF(JQ52&lt;&gt;"",SUMPRODUCT((KB51:KB54=KB52)*(JW51:JW54=JW52)*(JU51:JU54=JU52)*(JY51:JY54&gt;JY52)),"")</f>
        <v>0</v>
      </c>
      <c r="KG52" s="321">
        <f ca="1">IF(JQ52&lt;&gt;"",SUMPRODUCT((KB51:KB54=KB52)*(JW51:JW54=JW52)*(JU51:JU54=JU52)*(JY51:JY54=JY52)*(JZ51:JZ54&gt;JZ52)),"")</f>
        <v>0</v>
      </c>
      <c r="KH52" s="321">
        <f ca="1">IF(JQ52&lt;&gt;"",SUMPRODUCT((KB51:KB54=KB52)*(JW51:JW54=JW52)*(JU51:JU54=JU52)*(JY51:JY54=JY52)*(JZ51:JZ54=JZ52)*(KA51:KA54&gt;KA52)),"")</f>
        <v>1</v>
      </c>
      <c r="KI52" s="321">
        <f t="shared" ref="KI52:KI54" ca="1" si="15156">IF(JQ52&lt;&gt;"",SUM(KC52:KH52),"")</f>
        <v>2</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t="str">
        <f t="shared" ref="ON52" ca="1" si="15160">IF(OO12&lt;&gt;"",SUMPRODUCT((OV11:OV14=OV12)*(OU11:OU14=OU12)*(OS11:OS14=OS12)*(OT11:OT14=OT12)),"")</f>
        <v/>
      </c>
      <c r="OO52" s="321" t="str">
        <f t="shared" ca="1" si="14963"/>
        <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t="str">
        <f t="shared" ca="1" si="14970"/>
        <v/>
      </c>
      <c r="OW52" s="321" t="str">
        <f t="shared" ref="OW52" ca="1" si="15166">IF(OO52&lt;&gt;"",VLOOKUP(OO52,NV4:OB40,7,FALSE),"")</f>
        <v/>
      </c>
      <c r="OX52" s="321" t="str">
        <f t="shared" ref="OX52" ca="1" si="15167">IF(OO52&lt;&gt;"",VLOOKUP(OO52,NV4:OB40,5,FALSE),"")</f>
        <v/>
      </c>
      <c r="OY52" s="321" t="str">
        <f t="shared" ref="OY52" ca="1" si="15168">IF(OO52&lt;&gt;"",VLOOKUP(OO52,NV4:OD40,9,FALSE),"")</f>
        <v/>
      </c>
      <c r="OZ52" s="321" t="str">
        <f t="shared" ca="1" si="14974"/>
        <v/>
      </c>
      <c r="PA52" s="321" t="str">
        <f t="shared" ref="PA52" ca="1" si="15169">IF(OO52&lt;&gt;"",RANK(OZ52,OZ51:OZ54),"")</f>
        <v/>
      </c>
      <c r="PB52" s="321" t="str">
        <f t="shared" ref="PB52" ca="1" si="15170">IF(OO52&lt;&gt;"",SUMPRODUCT((OZ51:OZ54=OZ52)*(OU51:OU54&gt;OU52)),"")</f>
        <v/>
      </c>
      <c r="PC52" s="321" t="str">
        <f t="shared" ref="PC52" ca="1" si="15171">IF(OO52&lt;&gt;"",SUMPRODUCT((OZ51:OZ54=OZ52)*(OU51:OU54=OU52)*(OS51:OS54&gt;OS52)),"")</f>
        <v/>
      </c>
      <c r="PD52" s="321" t="str">
        <f t="shared" ref="PD52" ca="1" si="15172">IF(OO52&lt;&gt;"",SUMPRODUCT((OZ51:OZ54=OZ52)*(OU51:OU54=OU52)*(OS51:OS54=OS52)*(OW51:OW54&gt;OW52)),"")</f>
        <v/>
      </c>
      <c r="PE52" s="321" t="str">
        <f t="shared" ref="PE52" ca="1" si="15173">IF(OO52&lt;&gt;"",SUMPRODUCT((OZ51:OZ54=OZ52)*(OU51:OU54=OU52)*(OS51:OS54=OS52)*(OW51:OW54=OW52)*(OX51:OX54&gt;OX52)),"")</f>
        <v/>
      </c>
      <c r="PF52" s="321" t="str">
        <f t="shared" ref="PF52" ca="1" si="15174">IF(OO52&lt;&gt;"",SUMPRODUCT((OZ51:OZ54=OZ52)*(OU51:OU54=OU52)*(OS51:OS54=OS52)*(OW51:OW54=OW52)*(OX51:OX54=OX52)*(OY51:OY54&gt;OY52)),"")</f>
        <v/>
      </c>
      <c r="PG52" s="321" t="str">
        <f t="shared" ref="PG52:PG54" ca="1" si="15175">IF(OO52&lt;&gt;"",SUM(PA52:PF52),"")</f>
        <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t="str">
        <f t="shared" ref="TL52" ca="1" si="15196">IF(TM12&lt;&gt;"",SUMPRODUCT((TT11:TT14=TT12)*(TS11:TS14=TS12)*(TQ11:TQ14=TQ12)*(TR11:TR14=TR12)),"")</f>
        <v/>
      </c>
      <c r="TM52" s="321" t="str">
        <f t="shared" ca="1" si="14983"/>
        <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t="str">
        <f t="shared" ca="1" si="14990"/>
        <v/>
      </c>
      <c r="TU52" s="321" t="str">
        <f t="shared" ref="TU52" ca="1" si="15202">IF(TM52&lt;&gt;"",VLOOKUP(TM52,ST4:SZ40,7,FALSE),"")</f>
        <v/>
      </c>
      <c r="TV52" s="321" t="str">
        <f t="shared" ref="TV52" ca="1" si="15203">IF(TM52&lt;&gt;"",VLOOKUP(TM52,ST4:SZ40,5,FALSE),"")</f>
        <v/>
      </c>
      <c r="TW52" s="321" t="str">
        <f t="shared" ref="TW52" ca="1" si="15204">IF(TM52&lt;&gt;"",VLOOKUP(TM52,ST4:TB40,9,FALSE),"")</f>
        <v/>
      </c>
      <c r="TX52" s="321" t="str">
        <f t="shared" ca="1" si="14994"/>
        <v/>
      </c>
      <c r="TY52" s="321" t="str">
        <f t="shared" ref="TY52" ca="1" si="15205">IF(TM52&lt;&gt;"",RANK(TX52,TX51:TX54),"")</f>
        <v/>
      </c>
      <c r="TZ52" s="321" t="str">
        <f t="shared" ref="TZ52" ca="1" si="15206">IF(TM52&lt;&gt;"",SUMPRODUCT((TX51:TX54=TX52)*(TS51:TS54&gt;TS52)),"")</f>
        <v/>
      </c>
      <c r="UA52" s="321" t="str">
        <f t="shared" ref="UA52" ca="1" si="15207">IF(TM52&lt;&gt;"",SUMPRODUCT((TX51:TX54=TX52)*(TS51:TS54=TS52)*(TQ51:TQ54&gt;TQ52)),"")</f>
        <v/>
      </c>
      <c r="UB52" s="321" t="str">
        <f t="shared" ref="UB52" ca="1" si="15208">IF(TM52&lt;&gt;"",SUMPRODUCT((TX51:TX54=TX52)*(TS51:TS54=TS52)*(TQ51:TQ54=TQ52)*(TU51:TU54&gt;TU52)),"")</f>
        <v/>
      </c>
      <c r="UC52" s="321" t="str">
        <f t="shared" ref="UC52" ca="1" si="15209">IF(TM52&lt;&gt;"",SUMPRODUCT((TX51:TX54=TX52)*(TS51:TS54=TS52)*(TQ51:TQ54=TQ52)*(TU51:TU54=TU52)*(TV51:TV54&gt;TV52)),"")</f>
        <v/>
      </c>
      <c r="UD52" s="321" t="str">
        <f t="shared" ref="UD52" ca="1" si="15210">IF(TM52&lt;&gt;"",SUMPRODUCT((TX51:TX54=TX52)*(TS51:TS54=TS52)*(TQ51:TQ54=TQ52)*(TU51:TU54=TU52)*(TV51:TV54=TV52)*(TW51:TW54&gt;TW52)),"")</f>
        <v/>
      </c>
      <c r="UE52" s="321" t="str">
        <f t="shared" ref="UE52:UE54" ca="1" si="15211">IF(TM52&lt;&gt;"",SUM(TY52:UD52),"")</f>
        <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t="str">
        <f t="shared" ref="ADH52" ca="1" si="15268">IF(ADI12&lt;&gt;"",SUMPRODUCT((ADP11:ADP14=ADP12)*(ADO11:ADO14=ADO12)*(ADM11:ADM14=ADM12)*(ADN11:ADN14=ADN12)),"")</f>
        <v/>
      </c>
      <c r="ADI52" s="321" t="str">
        <f t="shared" ca="1" si="15023"/>
        <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t="str">
        <f t="shared" ca="1" si="15030"/>
        <v/>
      </c>
      <c r="ADQ52" s="321" t="str">
        <f t="shared" ref="ADQ52" ca="1" si="15274">IF(ADI52&lt;&gt;"",VLOOKUP(ADI52,ACP4:ACV40,7,FALSE),"")</f>
        <v/>
      </c>
      <c r="ADR52" s="321" t="str">
        <f t="shared" ref="ADR52" ca="1" si="15275">IF(ADI52&lt;&gt;"",VLOOKUP(ADI52,ACP4:ACV40,5,FALSE),"")</f>
        <v/>
      </c>
      <c r="ADS52" s="321" t="str">
        <f t="shared" ref="ADS52" ca="1" si="15276">IF(ADI52&lt;&gt;"",VLOOKUP(ADI52,ACP4:ACX40,9,FALSE),"")</f>
        <v/>
      </c>
      <c r="ADT52" s="321" t="str">
        <f t="shared" ca="1" si="15034"/>
        <v/>
      </c>
      <c r="ADU52" s="321" t="str">
        <f t="shared" ref="ADU52" ca="1" si="15277">IF(ADI52&lt;&gt;"",RANK(ADT52,ADT51:ADT54),"")</f>
        <v/>
      </c>
      <c r="ADV52" s="321" t="str">
        <f t="shared" ref="ADV52" ca="1" si="15278">IF(ADI52&lt;&gt;"",SUMPRODUCT((ADT51:ADT54=ADT52)*(ADO51:ADO54&gt;ADO52)),"")</f>
        <v/>
      </c>
      <c r="ADW52" s="321" t="str">
        <f t="shared" ref="ADW52" ca="1" si="15279">IF(ADI52&lt;&gt;"",SUMPRODUCT((ADT51:ADT54=ADT52)*(ADO51:ADO54=ADO52)*(ADM51:ADM54&gt;ADM52)),"")</f>
        <v/>
      </c>
      <c r="ADX52" s="321" t="str">
        <f t="shared" ref="ADX52" ca="1" si="15280">IF(ADI52&lt;&gt;"",SUMPRODUCT((ADT51:ADT54=ADT52)*(ADO51:ADO54=ADO52)*(ADM51:ADM54=ADM52)*(ADQ51:ADQ54&gt;ADQ52)),"")</f>
        <v/>
      </c>
      <c r="ADY52" s="321" t="str">
        <f t="shared" ref="ADY52" ca="1" si="15281">IF(ADI52&lt;&gt;"",SUMPRODUCT((ADT51:ADT54=ADT52)*(ADO51:ADO54=ADO52)*(ADM51:ADM54=ADM52)*(ADQ51:ADQ54=ADQ52)*(ADR51:ADR54&gt;ADR52)),"")</f>
        <v/>
      </c>
      <c r="ADZ52" s="321" t="str">
        <f t="shared" ref="ADZ52" ca="1" si="15282">IF(ADI52&lt;&gt;"",SUMPRODUCT((ADT51:ADT54=ADT52)*(ADO51:ADO54=ADO52)*(ADM51:ADM54=ADM52)*(ADQ51:ADQ54=ADQ52)*(ADR51:ADR54=ADR52)*(ADS51:ADS54&gt;ADS52)),"")</f>
        <v/>
      </c>
      <c r="AEA52" s="321" t="str">
        <f t="shared" ref="AEA52:AEA54" ca="1" si="15283">IF(ADI52&lt;&gt;"",SUM(ADU52:ADZ52),"")</f>
        <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2</v>
      </c>
      <c r="AIG52" s="321" t="str">
        <f t="shared" ca="1" si="15043"/>
        <v>Spain</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1">
        <f t="shared" ca="1" si="15049"/>
        <v>1000</v>
      </c>
      <c r="AIN52" s="321">
        <f t="shared" ca="1" si="15050"/>
        <v>1</v>
      </c>
      <c r="AIO52" s="321">
        <f t="shared" ref="AIO52" ca="1" si="15310">IF(AIG52&lt;&gt;"",VLOOKUP(AIG52,AHN4:AHT40,7,FALSE),"")</f>
        <v>1003</v>
      </c>
      <c r="AIP52" s="321">
        <f t="shared" ref="AIP52" ca="1" si="15311">IF(AIG52&lt;&gt;"",VLOOKUP(AIG52,AHN4:AHT40,5,FALSE),"")</f>
        <v>6</v>
      </c>
      <c r="AIQ52" s="321">
        <f t="shared" ref="AIQ52" ca="1" si="15312">IF(AIG52&lt;&gt;"",VLOOKUP(AIG52,AHN4:AHV40,9,FALSE),"")</f>
        <v>51</v>
      </c>
      <c r="AIR52" s="321">
        <f t="shared" ca="1" si="15054"/>
        <v>1</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1</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0</v>
      </c>
      <c r="AIY52" s="321">
        <f t="shared" ref="AIY52:AIY54" ca="1" si="15319">IF(AIG52&lt;&gt;"",SUM(AIS52:AIX52),"")</f>
        <v>2</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t="str">
        <f t="shared" ref="AND52" ca="1" si="15340">IF(ANE12&lt;&gt;"",SUMPRODUCT((ANL11:ANL14=ANL12)*(ANK11:ANK14=ANK12)*(ANI11:ANI14=ANI12)*(ANJ11:ANJ14=ANJ12)),"")</f>
        <v/>
      </c>
      <c r="ANE52" s="321" t="str">
        <f t="shared" ca="1" si="15063"/>
        <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t="str">
        <f t="shared" ca="1" si="15070"/>
        <v/>
      </c>
      <c r="ANM52" s="321" t="str">
        <f t="shared" ref="ANM52" ca="1" si="15346">IF(ANE52&lt;&gt;"",VLOOKUP(ANE52,AML4:AMR40,7,FALSE),"")</f>
        <v/>
      </c>
      <c r="ANN52" s="321" t="str">
        <f t="shared" ref="ANN52" ca="1" si="15347">IF(ANE52&lt;&gt;"",VLOOKUP(ANE52,AML4:AMR40,5,FALSE),"")</f>
        <v/>
      </c>
      <c r="ANO52" s="321" t="str">
        <f t="shared" ref="ANO52" ca="1" si="15348">IF(ANE52&lt;&gt;"",VLOOKUP(ANE52,AML4:AMT40,9,FALSE),"")</f>
        <v/>
      </c>
      <c r="ANP52" s="321" t="str">
        <f t="shared" ca="1" si="15074"/>
        <v/>
      </c>
      <c r="ANQ52" s="321" t="str">
        <f t="shared" ref="ANQ52" ca="1" si="15349">IF(ANE52&lt;&gt;"",RANK(ANP52,ANP51:ANP54),"")</f>
        <v/>
      </c>
      <c r="ANR52" s="321" t="str">
        <f t="shared" ref="ANR52" ca="1" si="15350">IF(ANE52&lt;&gt;"",SUMPRODUCT((ANP51:ANP54=ANP52)*(ANK51:ANK54&gt;ANK52)),"")</f>
        <v/>
      </c>
      <c r="ANS52" s="321" t="str">
        <f t="shared" ref="ANS52" ca="1" si="15351">IF(ANE52&lt;&gt;"",SUMPRODUCT((ANP51:ANP54=ANP52)*(ANK51:ANK54=ANK52)*(ANI51:ANI54&gt;ANI52)),"")</f>
        <v/>
      </c>
      <c r="ANT52" s="321" t="str">
        <f t="shared" ref="ANT52" ca="1" si="15352">IF(ANE52&lt;&gt;"",SUMPRODUCT((ANP51:ANP54=ANP52)*(ANK51:ANK54=ANK52)*(ANI51:ANI54=ANI52)*(ANM51:ANM54&gt;ANM52)),"")</f>
        <v/>
      </c>
      <c r="ANU52" s="321" t="str">
        <f t="shared" ref="ANU52" ca="1" si="15353">IF(ANE52&lt;&gt;"",SUMPRODUCT((ANP51:ANP54=ANP52)*(ANK51:ANK54=ANK52)*(ANI51:ANI54=ANI52)*(ANM51:ANM54=ANM52)*(ANN51:ANN54&gt;ANN52)),"")</f>
        <v/>
      </c>
      <c r="ANV52" s="321" t="str">
        <f t="shared" ref="ANV52" ca="1" si="15354">IF(ANE52&lt;&gt;"",SUMPRODUCT((ANP51:ANP54=ANP52)*(ANK51:ANK54=ANK52)*(ANI51:ANI54=ANI52)*(ANM51:ANM54=ANM52)*(ANN51:ANN54=ANN52)*(ANO51:ANO54&gt;ANO52)),"")</f>
        <v/>
      </c>
      <c r="ANW52" s="321" t="str">
        <f t="shared" ref="ANW52:ANW54" ca="1" si="15355">IF(ANE52&lt;&gt;"",SUM(ANQ52:ANV52),"")</f>
        <v/>
      </c>
      <c r="ANX52" s="321">
        <f t="shared" ref="ANX52" ca="1" si="15356">IF(ANY12&lt;&gt;"",SUMPRODUCT((AOF11:AOF14=AOF12)*(AOE11:AOE14=AOE12)*(AOC11:AOC14=AOC12)*(AOD11:AOD14=AOD12)),"")</f>
        <v>2</v>
      </c>
      <c r="ANY52" s="321" t="str">
        <f t="shared" ref="ANY52:ANY54" ca="1" si="15357">IF(AND(ANX52&lt;&gt;"",ANX52&gt;1),ANY12,"")</f>
        <v>Italy</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1">
        <f t="shared" ref="AOE52:AOE54" ca="1" si="15363">AOC52-AOD52+1000</f>
        <v>1000</v>
      </c>
      <c r="AOF52" s="321">
        <f t="shared" ref="AOF52:AOF54" ca="1" si="15364">IF(ANY52&lt;&gt;"",ANZ52*3+AOA52*1,"")</f>
        <v>1</v>
      </c>
      <c r="AOG52" s="321">
        <f t="shared" ref="AOG52" ca="1" si="15365">IF(ANY52&lt;&gt;"",VLOOKUP(ANY52,AML4:AMR40,7,FALSE),"")</f>
        <v>1002</v>
      </c>
      <c r="AOH52" s="321">
        <f t="shared" ref="AOH52" ca="1" si="15366">IF(ANY52&lt;&gt;"",VLOOKUP(ANY52,AML4:AMR40,5,FALSE),"")</f>
        <v>6</v>
      </c>
      <c r="AOI52" s="321">
        <f t="shared" ref="AOI52" ca="1" si="15367">IF(ANY52&lt;&gt;"",VLOOKUP(ANY52,AML4:AMT40,9,FALSE),"")</f>
        <v>36</v>
      </c>
      <c r="AOJ52" s="321">
        <f t="shared" ref="AOJ52:AOJ54" ca="1" si="15368">AOF52</f>
        <v>1</v>
      </c>
      <c r="AOK52" s="321">
        <f t="shared" ref="AOK52" ca="1" si="15369">IF(ANY52&lt;&gt;"",RANK(AOJ52,AOJ51:AOJ54),"")</f>
        <v>1</v>
      </c>
      <c r="AOL52" s="321">
        <f t="shared" ref="AOL52" ca="1" si="15370">IF(ANY52&lt;&gt;"",SUMPRODUCT((AOJ51:AOJ54=AOJ52)*(AOE51:AOE54&gt;AOE52)),"")</f>
        <v>0</v>
      </c>
      <c r="AOM52" s="321">
        <f t="shared" ref="AOM52" ca="1" si="15371">IF(ANY52&lt;&gt;"",SUMPRODUCT((AOJ51:AOJ54=AOJ52)*(AOE51:AOE54=AOE52)*(AOC51:AOC54&gt;AOC52)),"")</f>
        <v>0</v>
      </c>
      <c r="AON52" s="321">
        <f t="shared" ref="AON52" ca="1" si="15372">IF(ANY52&lt;&gt;"",SUMPRODUCT((AOJ51:AOJ54=AOJ52)*(AOE51:AOE54=AOE52)*(AOC51:AOC54=AOC52)*(AOG51:AOG54&gt;AOG52)),"")</f>
        <v>0</v>
      </c>
      <c r="AOO52" s="321">
        <f t="shared" ref="AOO52" ca="1" si="15373">IF(ANY52&lt;&gt;"",SUMPRODUCT((AOJ51:AOJ54=AOJ52)*(AOE51:AOE54=AOE52)*(AOC51:AOC54=AOC52)*(AOG51:AOG54=AOG52)*(AOH51:AOH54&gt;AOH52)),"")</f>
        <v>0</v>
      </c>
      <c r="AOP52" s="321">
        <f t="shared" ref="AOP52" ca="1" si="15374">IF(ANY52&lt;&gt;"",SUMPRODUCT((AOJ51:AOJ54=AOJ52)*(AOE51:AOE54=AOE52)*(AOC51:AOC54=AOC52)*(AOG51:AOG54=AOG52)*(AOH51:AOH54=AOH52)*(AOI51:AOI54&gt;AOI52)),"")</f>
        <v>0</v>
      </c>
      <c r="AOQ52" s="321">
        <f t="shared" ref="AOQ52" ca="1" si="15375">IF(ANY52&lt;&gt;"",SUM(AOK52:AOP52)+1,"")</f>
        <v>2</v>
      </c>
      <c r="ARQ52" s="321">
        <f ca="1">SUMPRODUCT((ARQ11:ARQ14=ARQ12)*(ARP11:ARP14=ARP12)*(ARN11:ARN14&gt;ARN12))+1</f>
        <v>1</v>
      </c>
      <c r="ASB52" s="321">
        <f t="shared" ref="ASB52" ca="1" si="15376">IF(ASC12&lt;&gt;"",SUMPRODUCT((ASJ11:ASJ14=ASJ12)*(ASI11:ASI14=ASI12)*(ASG11:ASG14=ASG12)*(ASH11:ASH14=ASH12)),"")</f>
        <v>2</v>
      </c>
      <c r="ASC52" s="321" t="str">
        <f t="shared" ca="1" si="15083"/>
        <v>Spain</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1">
        <f t="shared" ca="1" si="15089"/>
        <v>1000</v>
      </c>
      <c r="ASJ52" s="321">
        <f t="shared" ca="1" si="15090"/>
        <v>1</v>
      </c>
      <c r="ASK52" s="321">
        <f t="shared" ref="ASK52" ca="1" si="15382">IF(ASC52&lt;&gt;"",VLOOKUP(ASC52,ARJ4:ARP40,7,FALSE),"")</f>
        <v>1001</v>
      </c>
      <c r="ASL52" s="321">
        <f t="shared" ref="ASL52" ca="1" si="15383">IF(ASC52&lt;&gt;"",VLOOKUP(ASC52,ARJ4:ARP40,5,FALSE),"")</f>
        <v>5</v>
      </c>
      <c r="ASM52" s="321">
        <f t="shared" ref="ASM52" ca="1" si="15384">IF(ASC52&lt;&gt;"",VLOOKUP(ASC52,ARJ4:ARR40,9,FALSE),"")</f>
        <v>51</v>
      </c>
      <c r="ASN52" s="321">
        <f t="shared" ca="1" si="15094"/>
        <v>1</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1</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0</v>
      </c>
      <c r="ASU52" s="321">
        <f t="shared" ref="ASU52:ASU54" ca="1" si="15391">IF(ASC52&lt;&gt;"",SUM(ASO52:AST52),"")</f>
        <v>2</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t="str">
        <f t="shared" ref="AWZ52" ca="1" si="15412">IF(AXA12&lt;&gt;"",SUMPRODUCT((AXH11:AXH14=AXH12)*(AXG11:AXG14=AXG12)*(AXE11:AXE14=AXE12)*(AXF11:AXF14=AXF12)),"")</f>
        <v/>
      </c>
      <c r="AXA52" s="321" t="str">
        <f t="shared" ca="1" si="15103"/>
        <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t="str">
        <f t="shared" ca="1" si="15110"/>
        <v/>
      </c>
      <c r="AXI52" s="321" t="str">
        <f t="shared" ref="AXI52" ca="1" si="15418">IF(AXA52&lt;&gt;"",VLOOKUP(AXA52,AWH4:AWN40,7,FALSE),"")</f>
        <v/>
      </c>
      <c r="AXJ52" s="321" t="str">
        <f t="shared" ref="AXJ52" ca="1" si="15419">IF(AXA52&lt;&gt;"",VLOOKUP(AXA52,AWH4:AWN40,5,FALSE),"")</f>
        <v/>
      </c>
      <c r="AXK52" s="321" t="str">
        <f t="shared" ref="AXK52" ca="1" si="15420">IF(AXA52&lt;&gt;"",VLOOKUP(AXA52,AWH4:AWP40,9,FALSE),"")</f>
        <v/>
      </c>
      <c r="AXL52" s="321" t="str">
        <f t="shared" ca="1" si="15114"/>
        <v/>
      </c>
      <c r="AXM52" s="321" t="str">
        <f t="shared" ref="AXM52" ca="1" si="15421">IF(AXA52&lt;&gt;"",RANK(AXL52,AXL51:AXL54),"")</f>
        <v/>
      </c>
      <c r="AXN52" s="321" t="str">
        <f t="shared" ref="AXN52" ca="1" si="15422">IF(AXA52&lt;&gt;"",SUMPRODUCT((AXL51:AXL54=AXL52)*(AXG51:AXG54&gt;AXG52)),"")</f>
        <v/>
      </c>
      <c r="AXO52" s="321" t="str">
        <f t="shared" ref="AXO52" ca="1" si="15423">IF(AXA52&lt;&gt;"",SUMPRODUCT((AXL51:AXL54=AXL52)*(AXG51:AXG54=AXG52)*(AXE51:AXE54&gt;AXE52)),"")</f>
        <v/>
      </c>
      <c r="AXP52" s="321" t="str">
        <f t="shared" ref="AXP52" ca="1" si="15424">IF(AXA52&lt;&gt;"",SUMPRODUCT((AXL51:AXL54=AXL52)*(AXG51:AXG54=AXG52)*(AXE51:AXE54=AXE52)*(AXI51:AXI54&gt;AXI52)),"")</f>
        <v/>
      </c>
      <c r="AXQ52" s="321" t="str">
        <f t="shared" ref="AXQ52" ca="1" si="15425">IF(AXA52&lt;&gt;"",SUMPRODUCT((AXL51:AXL54=AXL52)*(AXG51:AXG54=AXG52)*(AXE51:AXE54=AXE52)*(AXI51:AXI54=AXI52)*(AXJ51:AXJ54&gt;AXJ52)),"")</f>
        <v/>
      </c>
      <c r="AXR52" s="321" t="str">
        <f t="shared" ref="AXR52" ca="1" si="15426">IF(AXA52&lt;&gt;"",SUMPRODUCT((AXL51:AXL54=AXL52)*(AXG51:AXG54=AXG52)*(AXE51:AXE54=AXE52)*(AXI51:AXI54=AXI52)*(AXJ51:AXJ54=AXJ52)*(AXK51:AXK54&gt;AXK52)),"")</f>
        <v/>
      </c>
      <c r="AXS52" s="321" t="str">
        <f t="shared" ref="AXS52:AXS54" ca="1" si="15427">IF(AXA52&lt;&gt;"",SUM(AXM52:AXR52),"")</f>
        <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369</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f ca="1">IF(JQ13&lt;&gt;"",SUMPRODUCT((JX11:JX14=JX13)*(JW11:JW14=JW13)*(JU11:JU14=JU13)*(JV11:JV14=JV13)),"")</f>
        <v>3</v>
      </c>
      <c r="JQ53" s="321" t="str">
        <f t="shared" ca="1" si="15154"/>
        <v>Spain</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1">
        <f ca="1">JU53-JV53+1000</f>
        <v>1000</v>
      </c>
      <c r="JX53" s="321">
        <f t="shared" ca="1" si="14961"/>
        <v>2</v>
      </c>
      <c r="JY53" s="321">
        <f ca="1">IF(JQ53&lt;&gt;"",VLOOKUP(JQ53,IX4:JD40,7,FALSE),"")</f>
        <v>1003</v>
      </c>
      <c r="JZ53" s="321">
        <f ca="1">IF(JQ53&lt;&gt;"",VLOOKUP(JQ53,IX4:JD40,5,FALSE),"")</f>
        <v>7</v>
      </c>
      <c r="KA53" s="321">
        <f ca="1">IF(JQ53&lt;&gt;"",VLOOKUP(JQ53,IX4:JF40,9,FALSE),"")</f>
        <v>51</v>
      </c>
      <c r="KB53" s="321">
        <f t="shared" ca="1" si="15155"/>
        <v>2</v>
      </c>
      <c r="KC53" s="321">
        <f ca="1">IF(JQ53&lt;&gt;"",RANK(KB53,KB51:KB54),"")</f>
        <v>1</v>
      </c>
      <c r="KD53" s="321">
        <f ca="1">IF(JQ53&lt;&gt;"",SUMPRODUCT((KB51:KB54=KB53)*(JW51:JW54&gt;JW53)),"")</f>
        <v>0</v>
      </c>
      <c r="KE53" s="321">
        <f ca="1">IF(JQ53&lt;&gt;"",SUMPRODUCT((KB51:KB54=KB53)*(JW51:JW54=JW53)*(JU51:JU54&gt;JU53)),"")</f>
        <v>0</v>
      </c>
      <c r="KF53" s="321">
        <f ca="1">IF(JQ53&lt;&gt;"",SUMPRODUCT((KB51:KB54=KB53)*(JW51:JW54=JW53)*(JU51:JU54=JU53)*(JY51:JY54&gt;JY53)),"")</f>
        <v>0</v>
      </c>
      <c r="KG53" s="321">
        <f ca="1">IF(JQ53&lt;&gt;"",SUMPRODUCT((KB51:KB54=KB53)*(JW51:JW54=JW53)*(JU51:JU54=JU53)*(JY51:JY54=JY53)*(JZ51:JZ54&gt;JZ53)),"")</f>
        <v>0</v>
      </c>
      <c r="KH53" s="321">
        <f ca="1">IF(JQ53&lt;&gt;"",SUMPRODUCT((KB51:KB54=KB53)*(JW51:JW54=JW53)*(JU51:JU54=JU53)*(JY51:JY54=JY53)*(JZ51:JZ54=JZ53)*(KA51:KA54&gt;KA53)),"")</f>
        <v>0</v>
      </c>
      <c r="KI53" s="321">
        <f t="shared" ca="1" si="15156"/>
        <v>1</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t="str">
        <f t="shared" ref="AND53" ca="1" si="15642">IF(ANE13&lt;&gt;"",SUMPRODUCT((ANL11:ANL14=ANL13)*(ANK11:ANK14=ANK13)*(ANI11:ANI14=ANI13)*(ANJ11:ANJ14=ANJ13)),"")</f>
        <v/>
      </c>
      <c r="ANE53" s="321" t="str">
        <f t="shared" ca="1" si="15063"/>
        <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t="str">
        <f t="shared" ca="1" si="15070"/>
        <v/>
      </c>
      <c r="ANM53" s="321" t="str">
        <f t="shared" ref="ANM53" ca="1" si="15648">IF(ANE53&lt;&gt;"",VLOOKUP(ANE53,AML4:AMR40,7,FALSE),"")</f>
        <v/>
      </c>
      <c r="ANN53" s="321" t="str">
        <f t="shared" ref="ANN53" ca="1" si="15649">IF(ANE53&lt;&gt;"",VLOOKUP(ANE53,AML4:AMR40,5,FALSE),"")</f>
        <v/>
      </c>
      <c r="ANO53" s="321" t="str">
        <f t="shared" ref="ANO53" ca="1" si="15650">IF(ANE53&lt;&gt;"",VLOOKUP(ANE53,AML4:AMT40,9,FALSE),"")</f>
        <v/>
      </c>
      <c r="ANP53" s="321" t="str">
        <f t="shared" ca="1" si="15074"/>
        <v/>
      </c>
      <c r="ANQ53" s="321" t="str">
        <f t="shared" ref="ANQ53" ca="1" si="15651">IF(ANE53&lt;&gt;"",RANK(ANP53,ANP51:ANP54),"")</f>
        <v/>
      </c>
      <c r="ANR53" s="321" t="str">
        <f t="shared" ref="ANR53" ca="1" si="15652">IF(ANE53&lt;&gt;"",SUMPRODUCT((ANP51:ANP54=ANP53)*(ANK51:ANK54&gt;ANK53)),"")</f>
        <v/>
      </c>
      <c r="ANS53" s="321" t="str">
        <f t="shared" ref="ANS53" ca="1" si="15653">IF(ANE53&lt;&gt;"",SUMPRODUCT((ANP51:ANP54=ANP53)*(ANK51:ANK54=ANK53)*(ANI51:ANI54&gt;ANI53)),"")</f>
        <v/>
      </c>
      <c r="ANT53" s="321" t="str">
        <f t="shared" ref="ANT53" ca="1" si="15654">IF(ANE53&lt;&gt;"",SUMPRODUCT((ANP51:ANP54=ANP53)*(ANK51:ANK54=ANK53)*(ANI51:ANI54=ANI53)*(ANM51:ANM54&gt;ANM53)),"")</f>
        <v/>
      </c>
      <c r="ANU53" s="321" t="str">
        <f t="shared" ref="ANU53" ca="1" si="15655">IF(ANE53&lt;&gt;"",SUMPRODUCT((ANP51:ANP54=ANP53)*(ANK51:ANK54=ANK53)*(ANI51:ANI54=ANI53)*(ANM51:ANM54=ANM53)*(ANN51:ANN54&gt;ANN53)),"")</f>
        <v/>
      </c>
      <c r="ANV53" s="321" t="str">
        <f t="shared" ref="ANV53" ca="1" si="15656">IF(ANE53&lt;&gt;"",SUMPRODUCT((ANP51:ANP54=ANP53)*(ANK51:ANK54=ANK53)*(ANI51:ANI54=ANI53)*(ANM51:ANM54=ANM53)*(ANN51:ANN54=ANN53)*(ANO51:ANO54&gt;ANO53)),"")</f>
        <v/>
      </c>
      <c r="ANW53" s="321" t="str">
        <f t="shared" ca="1" si="15355"/>
        <v/>
      </c>
      <c r="ANX53" s="321">
        <f t="shared" ref="ANX53" ca="1" si="15657">IF(ANY13&lt;&gt;"",SUMPRODUCT((AOF11:AOF14=AOF13)*(AOE11:AOE14=AOE13)*(AOC11:AOC14=AOC13)*(AOD11:AOD14=AOD13)),"")</f>
        <v>2</v>
      </c>
      <c r="ANY53" s="321" t="str">
        <f t="shared" ca="1" si="15357"/>
        <v>Croatia</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1">
        <f t="shared" ca="1" si="15363"/>
        <v>1000</v>
      </c>
      <c r="AOF53" s="321">
        <f t="shared" ca="1" si="15364"/>
        <v>1</v>
      </c>
      <c r="AOG53" s="321">
        <f t="shared" ref="AOG53" ca="1" si="15663">IF(ANY53&lt;&gt;"",VLOOKUP(ANY53,AML4:AMR40,7,FALSE),"")</f>
        <v>1000</v>
      </c>
      <c r="AOH53" s="321">
        <f t="shared" ref="AOH53" ca="1" si="15664">IF(ANY53&lt;&gt;"",VLOOKUP(ANY53,AML4:AMR40,5,FALSE),"")</f>
        <v>3</v>
      </c>
      <c r="AOI53" s="321">
        <f t="shared" ref="AOI53" ca="1" si="15665">IF(ANY53&lt;&gt;"",VLOOKUP(ANY53,AML4:AMT40,9,FALSE),"")</f>
        <v>40</v>
      </c>
      <c r="AOJ53" s="321">
        <f t="shared" ca="1" si="15368"/>
        <v>1</v>
      </c>
      <c r="AOK53" s="321">
        <f t="shared" ref="AOK53" ca="1" si="15666">IF(ANY53&lt;&gt;"",RANK(AOJ53,AOJ51:AOJ54),"")</f>
        <v>1</v>
      </c>
      <c r="AOL53" s="321">
        <f t="shared" ref="AOL53" ca="1" si="15667">IF(ANY53&lt;&gt;"",SUMPRODUCT((AOJ51:AOJ54=AOJ53)*(AOE51:AOE54&gt;AOE53)),"")</f>
        <v>0</v>
      </c>
      <c r="AOM53" s="321">
        <f t="shared" ref="AOM53" ca="1" si="15668">IF(ANY53&lt;&gt;"",SUMPRODUCT((AOJ51:AOJ54=AOJ53)*(AOE51:AOE54=AOE53)*(AOC51:AOC54&gt;AOC53)),"")</f>
        <v>0</v>
      </c>
      <c r="AON53" s="321">
        <f t="shared" ref="AON53" ca="1" si="15669">IF(ANY53&lt;&gt;"",SUMPRODUCT((AOJ51:AOJ54=AOJ53)*(AOE51:AOE54=AOE53)*(AOC51:AOC54=AOC53)*(AOG51:AOG54&gt;AOG53)),"")</f>
        <v>1</v>
      </c>
      <c r="AOO53" s="321">
        <f t="shared" ref="AOO53" ca="1" si="15670">IF(ANY53&lt;&gt;"",SUMPRODUCT((AOJ51:AOJ54=AOJ53)*(AOE51:AOE54=AOE53)*(AOC51:AOC54=AOC53)*(AOG51:AOG54=AOG53)*(AOH51:AOH54&gt;AOH53)),"")</f>
        <v>0</v>
      </c>
      <c r="AOP53" s="321">
        <f t="shared" ref="AOP53" ca="1" si="15671">IF(ANY53&lt;&gt;"",SUMPRODUCT((AOJ51:AOJ54=AOJ53)*(AOE51:AOE54=AOE53)*(AOC51:AOC54=AOC53)*(AOG51:AOG54=AOG53)*(AOH51:AOH54=AOH53)*(AOI51:AOI54&gt;AOI53)),"")</f>
        <v>0</v>
      </c>
      <c r="AOQ53" s="321">
        <f t="shared" ref="AOQ53:AOQ54" ca="1" si="15672">IF(ANY53&lt;&gt;"",SUM(AOK53:AOP53)+1,"")</f>
        <v>3</v>
      </c>
      <c r="ARQ53" s="321">
        <f ca="1">SUMPRODUCT((ARQ11:ARQ14=ARQ13)*(ARP11:ARP14=ARP13)*(ARN11:ARN14&gt;ARN13))+1</f>
        <v>1</v>
      </c>
      <c r="ASB53" s="321" t="str">
        <f t="shared" ref="ASB53" ca="1" si="15673">IF(ASC13&lt;&gt;"",SUMPRODUCT((ASJ11:ASJ14=ASJ13)*(ASI11:ASI14=ASI13)*(ASG11:ASG14=ASG13)*(ASH11:ASH14=ASH13)),"")</f>
        <v/>
      </c>
      <c r="ASC53" s="321" t="str">
        <f t="shared" ca="1" si="15083"/>
        <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t="str">
        <f t="shared" ca="1" si="15090"/>
        <v/>
      </c>
      <c r="ASK53" s="321" t="str">
        <f t="shared" ref="ASK53" ca="1" si="15679">IF(ASC53&lt;&gt;"",VLOOKUP(ASC53,ARJ4:ARP40,7,FALSE),"")</f>
        <v/>
      </c>
      <c r="ASL53" s="321" t="str">
        <f t="shared" ref="ASL53" ca="1" si="15680">IF(ASC53&lt;&gt;"",VLOOKUP(ASC53,ARJ4:ARP40,5,FALSE),"")</f>
        <v/>
      </c>
      <c r="ASM53" s="321" t="str">
        <f t="shared" ref="ASM53" ca="1" si="15681">IF(ASC53&lt;&gt;"",VLOOKUP(ASC53,ARJ4:ARR40,9,FALSE),"")</f>
        <v/>
      </c>
      <c r="ASN53" s="321" t="str">
        <f t="shared" ca="1" si="15094"/>
        <v/>
      </c>
      <c r="ASO53" s="321" t="str">
        <f t="shared" ref="ASO53" ca="1" si="15682">IF(ASC53&lt;&gt;"",RANK(ASN53,ASN51:ASN54),"")</f>
        <v/>
      </c>
      <c r="ASP53" s="321" t="str">
        <f t="shared" ref="ASP53" ca="1" si="15683">IF(ASC53&lt;&gt;"",SUMPRODUCT((ASN51:ASN54=ASN53)*(ASI51:ASI54&gt;ASI53)),"")</f>
        <v/>
      </c>
      <c r="ASQ53" s="321" t="str">
        <f t="shared" ref="ASQ53" ca="1" si="15684">IF(ASC53&lt;&gt;"",SUMPRODUCT((ASN51:ASN54=ASN53)*(ASI51:ASI54=ASI53)*(ASG51:ASG54&gt;ASG53)),"")</f>
        <v/>
      </c>
      <c r="ASR53" s="321" t="str">
        <f t="shared" ref="ASR53" ca="1" si="15685">IF(ASC53&lt;&gt;"",SUMPRODUCT((ASN51:ASN54=ASN53)*(ASI51:ASI54=ASI53)*(ASG51:ASG54=ASG53)*(ASK51:ASK54&gt;ASK53)),"")</f>
        <v/>
      </c>
      <c r="ASS53" s="321" t="str">
        <f t="shared" ref="ASS53" ca="1" si="15686">IF(ASC53&lt;&gt;"",SUMPRODUCT((ASN51:ASN54=ASN53)*(ASI51:ASI54=ASI53)*(ASG51:ASG54=ASG53)*(ASK51:ASK54=ASK53)*(ASL51:ASL54&gt;ASL53)),"")</f>
        <v/>
      </c>
      <c r="AST53" s="321" t="str">
        <f t="shared" ref="AST53" ca="1" si="15687">IF(ASC53&lt;&gt;"",SUMPRODUCT((ASN51:ASN54=ASN53)*(ASI51:ASI54=ASI53)*(ASG51:ASG54=ASG53)*(ASK51:ASK54=ASK53)*(ASL51:ASL54=ASL53)*(ASM51:ASM54&gt;ASM53)),"")</f>
        <v/>
      </c>
      <c r="ASU53" s="321" t="str">
        <f t="shared" ca="1" si="15391"/>
        <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t="str">
        <f t="shared" ref="AWZ53" ca="1" si="15704">IF(AXA13&lt;&gt;"",SUMPRODUCT((AXH11:AXH14=AXH13)*(AXG11:AXG14=AXG13)*(AXE11:AXE14=AXE13)*(AXF11:AXF14=AXF13)),"")</f>
        <v/>
      </c>
      <c r="AXA53" s="321" t="str">
        <f t="shared" ca="1" si="15103"/>
        <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t="str">
        <f t="shared" ca="1" si="15110"/>
        <v/>
      </c>
      <c r="AXI53" s="321" t="str">
        <f t="shared" ref="AXI53" ca="1" si="15710">IF(AXA53&lt;&gt;"",VLOOKUP(AXA53,AWH4:AWN40,7,FALSE),"")</f>
        <v/>
      </c>
      <c r="AXJ53" s="321" t="str">
        <f t="shared" ref="AXJ53" ca="1" si="15711">IF(AXA53&lt;&gt;"",VLOOKUP(AXA53,AWH4:AWN40,5,FALSE),"")</f>
        <v/>
      </c>
      <c r="AXK53" s="321" t="str">
        <f t="shared" ref="AXK53" ca="1" si="15712">IF(AXA53&lt;&gt;"",VLOOKUP(AXA53,AWH4:AWP40,9,FALSE),"")</f>
        <v/>
      </c>
      <c r="AXL53" s="321" t="str">
        <f t="shared" ca="1" si="15114"/>
        <v/>
      </c>
      <c r="AXM53" s="321" t="str">
        <f t="shared" ref="AXM53" ca="1" si="15713">IF(AXA53&lt;&gt;"",RANK(AXL53,AXL51:AXL54),"")</f>
        <v/>
      </c>
      <c r="AXN53" s="321" t="str">
        <f t="shared" ref="AXN53" ca="1" si="15714">IF(AXA53&lt;&gt;"",SUMPRODUCT((AXL51:AXL54=AXL53)*(AXG51:AXG54&gt;AXG53)),"")</f>
        <v/>
      </c>
      <c r="AXO53" s="321" t="str">
        <f t="shared" ref="AXO53" ca="1" si="15715">IF(AXA53&lt;&gt;"",SUMPRODUCT((AXL51:AXL54=AXL53)*(AXG51:AXG54=AXG53)*(AXE51:AXE54&gt;AXE53)),"")</f>
        <v/>
      </c>
      <c r="AXP53" s="321" t="str">
        <f t="shared" ref="AXP53" ca="1" si="15716">IF(AXA53&lt;&gt;"",SUMPRODUCT((AXL51:AXL54=AXL53)*(AXG51:AXG54=AXG53)*(AXE51:AXE54=AXE53)*(AXI51:AXI54&gt;AXI53)),"")</f>
        <v/>
      </c>
      <c r="AXQ53" s="321" t="str">
        <f t="shared" ref="AXQ53" ca="1" si="15717">IF(AXA53&lt;&gt;"",SUMPRODUCT((AXL51:AXL54=AXL53)*(AXG51:AXG54=AXG53)*(AXE51:AXE54=AXE53)*(AXI51:AXI54=AXI53)*(AXJ51:AXJ54&gt;AXJ53)),"")</f>
        <v/>
      </c>
      <c r="AXR53" s="321" t="str">
        <f t="shared" ref="AXR53" ca="1" si="15718">IF(AXA53&lt;&gt;"",SUMPRODUCT((AXL51:AXL54=AXL53)*(AXG51:AXG54=AXG53)*(AXE51:AXE54=AXE53)*(AXI51:AXI54=AXI53)*(AXJ51:AXJ54=AXJ53)*(AXK51:AXK54&gt;AXK53)),"")</f>
        <v/>
      </c>
      <c r="AXS53" s="321" t="str">
        <f t="shared" ca="1" si="15427"/>
        <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370</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t="str">
        <f t="shared" ref="AND54" ca="1" si="15916">IF(ANE14&lt;&gt;"",SUMPRODUCT((ANL11:ANL14=ANL14)*(ANK11:ANK14=ANK14)*(ANI11:ANI14=ANI14)*(ANJ11:ANJ14=ANJ14)),"")</f>
        <v/>
      </c>
      <c r="ANE54" s="321" t="str">
        <f t="shared" ca="1" si="15063"/>
        <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t="str">
        <f t="shared" ca="1" si="15070"/>
        <v/>
      </c>
      <c r="ANM54" s="321" t="str">
        <f t="shared" ref="ANM54" ca="1" si="15922">IF(ANE54&lt;&gt;"",VLOOKUP(ANE54,AML4:AMR40,7,FALSE),"")</f>
        <v/>
      </c>
      <c r="ANN54" s="321" t="str">
        <f t="shared" ref="ANN54" ca="1" si="15923">IF(ANE54&lt;&gt;"",VLOOKUP(ANE54,AML4:AMR40,5,FALSE),"")</f>
        <v/>
      </c>
      <c r="ANO54" s="321" t="str">
        <f t="shared" ref="ANO54" ca="1" si="15924">IF(ANE54&lt;&gt;"",VLOOKUP(ANE54,AML4:AMT40,9,FALSE),"")</f>
        <v/>
      </c>
      <c r="ANP54" s="321" t="str">
        <f t="shared" ca="1" si="15074"/>
        <v/>
      </c>
      <c r="ANQ54" s="321" t="str">
        <f t="shared" ref="ANQ54" ca="1" si="15925">IF(ANE54&lt;&gt;"",RANK(ANP54,ANP51:ANP54),"")</f>
        <v/>
      </c>
      <c r="ANR54" s="321" t="str">
        <f t="shared" ref="ANR54" ca="1" si="15926">IF(ANE54&lt;&gt;"",SUMPRODUCT((ANP51:ANP54=ANP54)*(ANK51:ANK54&gt;ANK54)),"")</f>
        <v/>
      </c>
      <c r="ANS54" s="321" t="str">
        <f t="shared" ref="ANS54" ca="1" si="15927">IF(ANE54&lt;&gt;"",SUMPRODUCT((ANP51:ANP54=ANP54)*(ANK51:ANK54=ANK54)*(ANI51:ANI54&gt;ANI54)),"")</f>
        <v/>
      </c>
      <c r="ANT54" s="321" t="str">
        <f t="shared" ref="ANT54" ca="1" si="15928">IF(ANE54&lt;&gt;"",SUMPRODUCT((ANP51:ANP54=ANP54)*(ANK51:ANK54=ANK54)*(ANI51:ANI54=ANI54)*(ANM51:ANM54&gt;ANM54)),"")</f>
        <v/>
      </c>
      <c r="ANU54" s="321" t="str">
        <f t="shared" ref="ANU54" ca="1" si="15929">IF(ANE54&lt;&gt;"",SUMPRODUCT((ANP51:ANP54=ANP54)*(ANK51:ANK54=ANK54)*(ANI51:ANI54=ANI54)*(ANM51:ANM54=ANM54)*(ANN51:ANN54&gt;ANN54)),"")</f>
        <v/>
      </c>
      <c r="ANV54" s="321" t="str">
        <f t="shared" ref="ANV54" ca="1" si="15930">IF(ANE54&lt;&gt;"",SUMPRODUCT((ANP51:ANP54=ANP54)*(ANK51:ANK54=ANK54)*(ANI51:ANI54=ANI54)*(ANM51:ANM54=ANM54)*(ANN51:ANN54=ANN54)*(ANO51:ANO54&gt;ANO54)),"")</f>
        <v/>
      </c>
      <c r="ANW54" s="321" t="str">
        <f t="shared" ca="1" si="15355"/>
        <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t="str">
        <f t="shared" ref="ASB54" ca="1" si="15946">IF(ASC14&lt;&gt;"",SUMPRODUCT((ASJ11:ASJ14=ASJ14)*(ASI11:ASI14=ASI14)*(ASG11:ASG14=ASG14)*(ASH11:ASH14=ASH14)),"")</f>
        <v/>
      </c>
      <c r="ASC54" s="321" t="str">
        <f t="shared" ca="1" si="15083"/>
        <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t="str">
        <f t="shared" ca="1" si="15090"/>
        <v/>
      </c>
      <c r="ASK54" s="321" t="str">
        <f t="shared" ref="ASK54" ca="1" si="15952">IF(ASC54&lt;&gt;"",VLOOKUP(ASC54,ARJ4:ARP40,7,FALSE),"")</f>
        <v/>
      </c>
      <c r="ASL54" s="321" t="str">
        <f t="shared" ref="ASL54" ca="1" si="15953">IF(ASC54&lt;&gt;"",VLOOKUP(ASC54,ARJ4:ARP40,5,FALSE),"")</f>
        <v/>
      </c>
      <c r="ASM54" s="321" t="str">
        <f t="shared" ref="ASM54" ca="1" si="15954">IF(ASC54&lt;&gt;"",VLOOKUP(ASC54,ARJ4:ARR40,9,FALSE),"")</f>
        <v/>
      </c>
      <c r="ASN54" s="321" t="str">
        <f t="shared" ca="1" si="15094"/>
        <v/>
      </c>
      <c r="ASO54" s="321" t="str">
        <f t="shared" ref="ASO54" ca="1" si="15955">IF(ASC54&lt;&gt;"",RANK(ASN54,ASN51:ASN54),"")</f>
        <v/>
      </c>
      <c r="ASP54" s="321" t="str">
        <f t="shared" ref="ASP54" ca="1" si="15956">IF(ASC54&lt;&gt;"",SUMPRODUCT((ASN51:ASN54=ASN54)*(ASI51:ASI54&gt;ASI54)),"")</f>
        <v/>
      </c>
      <c r="ASQ54" s="321" t="str">
        <f t="shared" ref="ASQ54" ca="1" si="15957">IF(ASC54&lt;&gt;"",SUMPRODUCT((ASN51:ASN54=ASN54)*(ASI51:ASI54=ASI54)*(ASG51:ASG54&gt;ASG54)),"")</f>
        <v/>
      </c>
      <c r="ASR54" s="321" t="str">
        <f t="shared" ref="ASR54" ca="1" si="15958">IF(ASC54&lt;&gt;"",SUMPRODUCT((ASN51:ASN54=ASN54)*(ASI51:ASI54=ASI54)*(ASG51:ASG54=ASG54)*(ASK51:ASK54&gt;ASK54)),"")</f>
        <v/>
      </c>
      <c r="ASS54" s="321" t="str">
        <f t="shared" ref="ASS54" ca="1" si="15959">IF(ASC54&lt;&gt;"",SUMPRODUCT((ASN51:ASN54=ASN54)*(ASI51:ASI54=ASI54)*(ASG51:ASG54=ASG54)*(ASK51:ASK54=ASK54)*(ASL51:ASL54&gt;ASL54)),"")</f>
        <v/>
      </c>
      <c r="AST54" s="321" t="str">
        <f t="shared" ref="AST54" ca="1" si="15960">IF(ASC54&lt;&gt;"",SUMPRODUCT((ASN51:ASN54=ASN54)*(ASI51:ASI54=ASI54)*(ASG51:ASG54=ASG54)*(ASK51:ASK54=ASK54)*(ASL51:ASL54=ASL54)*(ASM51:ASM54&gt;ASM54)),"")</f>
        <v/>
      </c>
      <c r="ASU54" s="321" t="str">
        <f t="shared" ca="1" si="15391"/>
        <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t="str">
        <f t="shared" ref="AWZ54" ca="1" si="15976">IF(AXA14&lt;&gt;"",SUMPRODUCT((AXH11:AXH14=AXH14)*(AXG11:AXG14=AXG14)*(AXE11:AXE14=AXE14)*(AXF11:AXF14=AXF14)),"")</f>
        <v/>
      </c>
      <c r="AXA54" s="321" t="str">
        <f t="shared" ca="1" si="15103"/>
        <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t="str">
        <f t="shared" ca="1" si="15110"/>
        <v/>
      </c>
      <c r="AXI54" s="321" t="str">
        <f t="shared" ref="AXI54" ca="1" si="15982">IF(AXA54&lt;&gt;"",VLOOKUP(AXA54,AWH4:AWN40,7,FALSE),"")</f>
        <v/>
      </c>
      <c r="AXJ54" s="321" t="str">
        <f t="shared" ref="AXJ54" ca="1" si="15983">IF(AXA54&lt;&gt;"",VLOOKUP(AXA54,AWH4:AWN40,5,FALSE),"")</f>
        <v/>
      </c>
      <c r="AXK54" s="321" t="str">
        <f t="shared" ref="AXK54" ca="1" si="15984">IF(AXA54&lt;&gt;"",VLOOKUP(AXA54,AWH4:AWP40,9,FALSE),"")</f>
        <v/>
      </c>
      <c r="AXL54" s="321" t="str">
        <f t="shared" ca="1" si="15114"/>
        <v/>
      </c>
      <c r="AXM54" s="321" t="str">
        <f t="shared" ref="AXM54" ca="1" si="15985">IF(AXA54&lt;&gt;"",RANK(AXL54,AXL51:AXL54),"")</f>
        <v/>
      </c>
      <c r="AXN54" s="321" t="str">
        <f t="shared" ref="AXN54" ca="1" si="15986">IF(AXA54&lt;&gt;"",SUMPRODUCT((AXL51:AXL54=AXL54)*(AXG51:AXG54&gt;AXG54)),"")</f>
        <v/>
      </c>
      <c r="AXO54" s="321" t="str">
        <f t="shared" ref="AXO54" ca="1" si="15987">IF(AXA54&lt;&gt;"",SUMPRODUCT((AXL51:AXL54=AXL54)*(AXG51:AXG54=AXG54)*(AXE51:AXE54&gt;AXE54)),"")</f>
        <v/>
      </c>
      <c r="AXP54" s="321" t="str">
        <f t="shared" ref="AXP54" ca="1" si="15988">IF(AXA54&lt;&gt;"",SUMPRODUCT((AXL51:AXL54=AXL54)*(AXG51:AXG54=AXG54)*(AXE51:AXE54=AXE54)*(AXI51:AXI54&gt;AXI54)),"")</f>
        <v/>
      </c>
      <c r="AXQ54" s="321" t="str">
        <f t="shared" ref="AXQ54" ca="1" si="15989">IF(AXA54&lt;&gt;"",SUMPRODUCT((AXL51:AXL54=AXL54)*(AXG51:AXG54=AXG54)*(AXE51:AXE54=AXE54)*(AXI51:AXI54=AXI54)*(AXJ51:AXJ54&gt;AXJ54)),"")</f>
        <v/>
      </c>
      <c r="AXR54" s="321" t="str">
        <f t="shared" ref="AXR54" ca="1" si="15990">IF(AXA54&lt;&gt;"",SUMPRODUCT((AXL51:AXL54=AXL54)*(AXG51:AXG54=AXG54)*(AXE51:AXE54=AXE54)*(AXI51:AXI54=AXI54)*(AXJ51:AXJ54=AXJ54)*(AXK51:AXK54&gt;AXK54)),"")</f>
        <v/>
      </c>
      <c r="AXS54" s="321" t="str">
        <f t="shared" ca="1" si="15427"/>
        <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371</v>
      </c>
    </row>
    <row r="56" spans="2:955 1033:1467" x14ac:dyDescent="0.2">
      <c r="C56" s="321" t="s">
        <v>372</v>
      </c>
    </row>
    <row r="57" spans="2:955 1033:1467" x14ac:dyDescent="0.2">
      <c r="C57" s="321" t="s">
        <v>373</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374</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1</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1</v>
      </c>
      <c r="TL58" s="321">
        <f t="shared" ref="TL58" ca="1" si="16074">IF(TM18&lt;&gt;"",SUMPRODUCT((TT18:TT21=TT18)*(TS18:TS21=TS18)*(TQ18:TQ21=TQ18)*(TR18:TR21=TR18)),"")</f>
        <v>2</v>
      </c>
      <c r="TM58" s="321" t="str">
        <f t="shared" ref="TM58:TM61" ca="1" si="16075">IF(AND(TL58&lt;&gt;"",TL58&gt;1),TM18,"")</f>
        <v>Denmark</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1">
        <f t="shared" ref="TS58:TS61" ca="1" si="16081">TQ58-TR58+1000</f>
        <v>1000</v>
      </c>
      <c r="TT58" s="321">
        <f t="shared" ref="TT58:TT61" ca="1" si="16082">IF(TM58&lt;&gt;"",TN58*3+TO58*1,"")</f>
        <v>1</v>
      </c>
      <c r="TU58" s="321">
        <f t="shared" ref="TU58" ca="1" si="16083">IF(TM58&lt;&gt;"",VLOOKUP(TM58,ST4:SZ40,7,FALSE),"")</f>
        <v>1002</v>
      </c>
      <c r="TV58" s="321">
        <f t="shared" ref="TV58" ca="1" si="16084">IF(TM58&lt;&gt;"",VLOOKUP(TM58,ST4:SZ40,5,FALSE),"")</f>
        <v>6</v>
      </c>
      <c r="TW58" s="321">
        <f t="shared" ref="TW58" ca="1" si="16085">IF(TM58&lt;&gt;"",VLOOKUP(TM58,ST4:TB40,9,FALSE),"")</f>
        <v>45</v>
      </c>
      <c r="TX58" s="321">
        <f t="shared" ref="TX58:TX61" ca="1" si="16086">TT58</f>
        <v>1</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1</v>
      </c>
      <c r="UC58" s="321">
        <f t="shared" ref="UC58" ca="1" si="16091">IF(TM58&lt;&gt;"",SUMPRODUCT((TX58:TX61=TX58)*(TS58:TS61=TS58)*(TQ58:TQ61=TQ58)*(TU58:TU61=TU58)*(TV58:TV61&gt;TV58)),"")</f>
        <v>0</v>
      </c>
      <c r="UD58" s="321">
        <f t="shared" ref="UD58" ca="1" si="16092">IF(TM58&lt;&gt;"",SUMPRODUCT((TX58:TX61=TX58)*(TS58:TS61=TS58)*(TQ58:TQ61=TQ58)*(TU58:TU61=TU58)*(TV58:TV61=TV58)*(TW58:TW61&gt;TW58)),"")</f>
        <v>0</v>
      </c>
      <c r="UE58" s="321">
        <f t="shared" ref="UE58:UE61" ca="1" si="16093">IF(TM58&lt;&gt;"",SUM(TY58:UD58),"")</f>
        <v>2</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2</v>
      </c>
      <c r="ANE58" s="321" t="str">
        <f t="shared" ref="ANE58:ANE61" ca="1" si="16155">IF(AND(AND58&lt;&gt;"",AND58&gt;1),ANE18,"")</f>
        <v>Denmark</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1">
        <f t="shared" ref="ANK58:ANK61" ca="1" si="16161">ANI58-ANJ58+1000</f>
        <v>1000</v>
      </c>
      <c r="ANL58" s="321">
        <f t="shared" ref="ANL58:ANL61" ca="1" si="16162">IF(ANE58&lt;&gt;"",ANF58*3+ANG58*1,"")</f>
        <v>1</v>
      </c>
      <c r="ANM58" s="321">
        <f t="shared" ref="ANM58" ca="1" si="16163">IF(ANE58&lt;&gt;"",VLOOKUP(ANE58,AML4:AMR40,7,FALSE),"")</f>
        <v>1002</v>
      </c>
      <c r="ANN58" s="321">
        <f t="shared" ref="ANN58" ca="1" si="16164">IF(ANE58&lt;&gt;"",VLOOKUP(ANE58,AML4:AMR40,5,FALSE),"")</f>
        <v>4</v>
      </c>
      <c r="ANO58" s="321">
        <f t="shared" ref="ANO58" ca="1" si="16165">IF(ANE58&lt;&gt;"",VLOOKUP(ANE58,AML4:AMT40,9,FALSE),"")</f>
        <v>45</v>
      </c>
      <c r="ANP58" s="321">
        <f t="shared" ref="ANP58:ANP61" ca="1" si="16166">ANL58</f>
        <v>1</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1</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0</v>
      </c>
      <c r="ANW58" s="321">
        <f t="shared" ref="ANW58:ANW61" ca="1" si="16173">IF(ANE58&lt;&gt;"",SUM(ANQ58:ANV58),"")</f>
        <v>2</v>
      </c>
      <c r="ARQ58" s="321">
        <f ca="1">SUMPRODUCT((ARQ18:ARQ21=ARQ18)*(ARP18:ARP21=ARP18)*(ARN18:ARN21&gt;ARN18))+1</f>
        <v>1</v>
      </c>
      <c r="ASB58" s="321" t="str">
        <f t="shared" ref="ASB58" ca="1" si="16174">IF(ASC18&lt;&gt;"",SUMPRODUCT((ASJ18:ASJ21=ASJ18)*(ASI18:ASI21=ASI18)*(ASG18:ASG21=ASG18)*(ASH18:ASH21=ASH18)),"")</f>
        <v/>
      </c>
      <c r="ASC58" s="321" t="str">
        <f t="shared" ref="ASC58:ASC61" ca="1" si="16175">IF(AND(ASB58&lt;&gt;"",ASB58&gt;1),ASC18,"")</f>
        <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t="str">
        <f t="shared" ref="ASJ58:ASJ61" ca="1" si="16182">IF(ASC58&lt;&gt;"",ASD58*3+ASE58*1,"")</f>
        <v/>
      </c>
      <c r="ASK58" s="321" t="str">
        <f t="shared" ref="ASK58" ca="1" si="16183">IF(ASC58&lt;&gt;"",VLOOKUP(ASC58,ARJ4:ARP40,7,FALSE),"")</f>
        <v/>
      </c>
      <c r="ASL58" s="321" t="str">
        <f t="shared" ref="ASL58" ca="1" si="16184">IF(ASC58&lt;&gt;"",VLOOKUP(ASC58,ARJ4:ARP40,5,FALSE),"")</f>
        <v/>
      </c>
      <c r="ASM58" s="321" t="str">
        <f t="shared" ref="ASM58" ca="1" si="16185">IF(ASC58&lt;&gt;"",VLOOKUP(ASC58,ARJ4:ARR40,9,FALSE),"")</f>
        <v/>
      </c>
      <c r="ASN58" s="321" t="str">
        <f t="shared" ref="ASN58:ASN61" ca="1" si="16186">ASJ58</f>
        <v/>
      </c>
      <c r="ASO58" s="321" t="str">
        <f t="shared" ref="ASO58" ca="1" si="16187">IF(ASC58&lt;&gt;"",RANK(ASN58,ASN58:ASN61),"")</f>
        <v/>
      </c>
      <c r="ASP58" s="321" t="str">
        <f t="shared" ref="ASP58" ca="1" si="16188">IF(ASC58&lt;&gt;"",SUMPRODUCT((ASN58:ASN61=ASN58)*(ASI58:ASI61&gt;ASI58)),"")</f>
        <v/>
      </c>
      <c r="ASQ58" s="321" t="str">
        <f t="shared" ref="ASQ58" ca="1" si="16189">IF(ASC58&lt;&gt;"",SUMPRODUCT((ASN58:ASN61=ASN58)*(ASI58:ASI61=ASI58)*(ASG58:ASG61&gt;ASG58)),"")</f>
        <v/>
      </c>
      <c r="ASR58" s="321" t="str">
        <f t="shared" ref="ASR58" ca="1" si="16190">IF(ASC58&lt;&gt;"",SUMPRODUCT((ASN58:ASN61=ASN58)*(ASI58:ASI61=ASI58)*(ASG58:ASG61=ASG58)*(ASK58:ASK61&gt;ASK58)),"")</f>
        <v/>
      </c>
      <c r="ASS58" s="321" t="str">
        <f t="shared" ref="ASS58" ca="1" si="16191">IF(ASC58&lt;&gt;"",SUMPRODUCT((ASN58:ASN61=ASN58)*(ASI58:ASI61=ASI58)*(ASG58:ASG61=ASG58)*(ASK58:ASK61=ASK58)*(ASL58:ASL61&gt;ASL58)),"")</f>
        <v/>
      </c>
      <c r="AST58" s="321" t="str">
        <f t="shared" ref="AST58" ca="1" si="16192">IF(ASC58&lt;&gt;"",SUMPRODUCT((ASN58:ASN61=ASN58)*(ASI58:ASI61=ASI58)*(ASG58:ASG61=ASG58)*(ASK58:ASK61=ASK58)*(ASL58:ASL61=ASL58)*(ASM58:ASM61&gt;ASM58)),"")</f>
        <v/>
      </c>
      <c r="ASU58" s="321" t="str">
        <f t="shared" ref="ASU58:ASU61" ca="1" si="16193">IF(ASC58&lt;&gt;"",SUM(ASO58:AST58),"")</f>
        <v/>
      </c>
      <c r="AWO58" s="321">
        <f ca="1">SUMPRODUCT((AWO18:AWO21=AWO18)*(AWN18:AWN21=AWN18)*(AWL18:AWL21&gt;AWL18))+1</f>
        <v>1</v>
      </c>
      <c r="AWZ58" s="321" t="str">
        <f t="shared" ref="AWZ58" ca="1" si="16194">IF(AXA18&lt;&gt;"",SUMPRODUCT((AXH18:AXH21=AXH18)*(AXG18:AXG21=AXG18)*(AXE18:AXE21=AXE18)*(AXF18:AXF21=AXF18)),"")</f>
        <v/>
      </c>
      <c r="AXA58" s="321" t="str">
        <f t="shared" ref="AXA58:AXA61" ca="1" si="16195">IF(AND(AWZ58&lt;&gt;"",AWZ58&gt;1),AXA18,"")</f>
        <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t="str">
        <f t="shared" ref="AXH58:AXH61" ca="1" si="16202">IF(AXA58&lt;&gt;"",AXB58*3+AXC58*1,"")</f>
        <v/>
      </c>
      <c r="AXI58" s="321" t="str">
        <f t="shared" ref="AXI58" ca="1" si="16203">IF(AXA58&lt;&gt;"",VLOOKUP(AXA58,AWH4:AWN40,7,FALSE),"")</f>
        <v/>
      </c>
      <c r="AXJ58" s="321" t="str">
        <f t="shared" ref="AXJ58" ca="1" si="16204">IF(AXA58&lt;&gt;"",VLOOKUP(AXA58,AWH4:AWN40,5,FALSE),"")</f>
        <v/>
      </c>
      <c r="AXK58" s="321" t="str">
        <f t="shared" ref="AXK58" ca="1" si="16205">IF(AXA58&lt;&gt;"",VLOOKUP(AXA58,AWH4:AWP40,9,FALSE),"")</f>
        <v/>
      </c>
      <c r="AXL58" s="321" t="str">
        <f t="shared" ref="AXL58:AXL61" ca="1" si="16206">AXH58</f>
        <v/>
      </c>
      <c r="AXM58" s="321" t="str">
        <f t="shared" ref="AXM58" ca="1" si="16207">IF(AXA58&lt;&gt;"",RANK(AXL58,AXL58:AXL61),"")</f>
        <v/>
      </c>
      <c r="AXN58" s="321" t="str">
        <f t="shared" ref="AXN58" ca="1" si="16208">IF(AXA58&lt;&gt;"",SUMPRODUCT((AXL58:AXL61=AXL58)*(AXG58:AXG61&gt;AXG58)),"")</f>
        <v/>
      </c>
      <c r="AXO58" s="321" t="str">
        <f t="shared" ref="AXO58" ca="1" si="16209">IF(AXA58&lt;&gt;"",SUMPRODUCT((AXL58:AXL61=AXL58)*(AXG58:AXG61=AXG58)*(AXE58:AXE61&gt;AXE58)),"")</f>
        <v/>
      </c>
      <c r="AXP58" s="321" t="str">
        <f t="shared" ref="AXP58" ca="1" si="16210">IF(AXA58&lt;&gt;"",SUMPRODUCT((AXL58:AXL61=AXL58)*(AXG58:AXG61=AXG58)*(AXE58:AXE61=AXE58)*(AXI58:AXI61&gt;AXI58)),"")</f>
        <v/>
      </c>
      <c r="AXQ58" s="321" t="str">
        <f t="shared" ref="AXQ58" ca="1" si="16211">IF(AXA58&lt;&gt;"",SUMPRODUCT((AXL58:AXL61=AXL58)*(AXG58:AXG61=AXG58)*(AXE58:AXE61=AXE58)*(AXI58:AXI61=AXI58)*(AXJ58:AXJ61&gt;AXJ58)),"")</f>
        <v/>
      </c>
      <c r="AXR58" s="321" t="str">
        <f t="shared" ref="AXR58" ca="1" si="16212">IF(AXA58&lt;&gt;"",SUMPRODUCT((AXL58:AXL61=AXL58)*(AXG58:AXG61=AXG58)*(AXE58:AXE61=AXE58)*(AXI58:AXI61=AXI58)*(AXJ58:AXJ61=AXJ58)*(AXK58:AXK61&gt;AXK58)),"")</f>
        <v/>
      </c>
      <c r="AXS58" s="321" t="str">
        <f t="shared" ref="AXS58:AXS61" ca="1" si="16213">IF(AXA58&lt;&gt;"",SUM(AXM58:AXR58),"")</f>
        <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375</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2</v>
      </c>
      <c r="TM59" s="321" t="str">
        <f t="shared" ca="1" si="16075"/>
        <v>England</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1">
        <f t="shared" ca="1" si="16081"/>
        <v>1000</v>
      </c>
      <c r="TT59" s="321">
        <f t="shared" ca="1" si="16082"/>
        <v>1</v>
      </c>
      <c r="TU59" s="321">
        <f t="shared" ref="TU59" ca="1" si="16293">IF(TM59&lt;&gt;"",VLOOKUP(TM59,ST4:SZ40,7,FALSE),"")</f>
        <v>1003</v>
      </c>
      <c r="TV59" s="321">
        <f t="shared" ref="TV59" ca="1" si="16294">IF(TM59&lt;&gt;"",VLOOKUP(TM59,ST4:SZ40,5,FALSE),"")</f>
        <v>4</v>
      </c>
      <c r="TW59" s="321">
        <f t="shared" ref="TW59" ca="1" si="16295">IF(TM59&lt;&gt;"",VLOOKUP(TM59,ST4:TB40,9,FALSE),"")</f>
        <v>49</v>
      </c>
      <c r="TX59" s="321">
        <f t="shared" ca="1" si="16086"/>
        <v>1</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0</v>
      </c>
      <c r="UE59" s="321">
        <f t="shared" ca="1" si="16093"/>
        <v>1</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2</v>
      </c>
      <c r="ANE59" s="321" t="str">
        <f t="shared" ca="1" si="16155"/>
        <v>England</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1">
        <f t="shared" ca="1" si="16161"/>
        <v>1000</v>
      </c>
      <c r="ANL59" s="321">
        <f t="shared" ca="1" si="16162"/>
        <v>1</v>
      </c>
      <c r="ANM59" s="321">
        <f t="shared" ref="ANM59" ca="1" si="16433">IF(ANE59&lt;&gt;"",VLOOKUP(ANE59,AML4:AMR40,7,FALSE),"")</f>
        <v>1003</v>
      </c>
      <c r="ANN59" s="321">
        <f t="shared" ref="ANN59" ca="1" si="16434">IF(ANE59&lt;&gt;"",VLOOKUP(ANE59,AML4:AMR40,5,FALSE),"")</f>
        <v>5</v>
      </c>
      <c r="ANO59" s="321">
        <f t="shared" ref="ANO59" ca="1" si="16435">IF(ANE59&lt;&gt;"",VLOOKUP(ANE59,AML4:AMT40,9,FALSE),"")</f>
        <v>49</v>
      </c>
      <c r="ANP59" s="321">
        <f t="shared" ca="1" si="16166"/>
        <v>1</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0</v>
      </c>
      <c r="ANW59" s="321">
        <f t="shared" ca="1" si="16173"/>
        <v>1</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t="str">
        <f t="shared" ref="ASB59" ca="1" si="16462">IF(ASC19&lt;&gt;"",SUMPRODUCT((ASJ18:ASJ21=ASJ19)*(ASI18:ASI21=ASI19)*(ASG18:ASG21=ASG19)*(ASH18:ASH21=ASH19)),"")</f>
        <v/>
      </c>
      <c r="ASC59" s="321" t="str">
        <f t="shared" ca="1" si="16175"/>
        <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t="str">
        <f t="shared" ca="1" si="16182"/>
        <v/>
      </c>
      <c r="ASK59" s="321" t="str">
        <f t="shared" ref="ASK59" ca="1" si="16468">IF(ASC59&lt;&gt;"",VLOOKUP(ASC59,ARJ4:ARP40,7,FALSE),"")</f>
        <v/>
      </c>
      <c r="ASL59" s="321" t="str">
        <f t="shared" ref="ASL59" ca="1" si="16469">IF(ASC59&lt;&gt;"",VLOOKUP(ASC59,ARJ4:ARP40,5,FALSE),"")</f>
        <v/>
      </c>
      <c r="ASM59" s="321" t="str">
        <f t="shared" ref="ASM59" ca="1" si="16470">IF(ASC59&lt;&gt;"",VLOOKUP(ASC59,ARJ4:ARR40,9,FALSE),"")</f>
        <v/>
      </c>
      <c r="ASN59" s="321" t="str">
        <f t="shared" ca="1" si="16186"/>
        <v/>
      </c>
      <c r="ASO59" s="321" t="str">
        <f t="shared" ref="ASO59" ca="1" si="16471">IF(ASC59&lt;&gt;"",RANK(ASN59,ASN58:ASN61),"")</f>
        <v/>
      </c>
      <c r="ASP59" s="321" t="str">
        <f t="shared" ref="ASP59" ca="1" si="16472">IF(ASC59&lt;&gt;"",SUMPRODUCT((ASN58:ASN61=ASN59)*(ASI58:ASI61&gt;ASI59)),"")</f>
        <v/>
      </c>
      <c r="ASQ59" s="321" t="str">
        <f t="shared" ref="ASQ59" ca="1" si="16473">IF(ASC59&lt;&gt;"",SUMPRODUCT((ASN58:ASN61=ASN59)*(ASI58:ASI61=ASI59)*(ASG58:ASG61&gt;ASG59)),"")</f>
        <v/>
      </c>
      <c r="ASR59" s="321" t="str">
        <f t="shared" ref="ASR59" ca="1" si="16474">IF(ASC59&lt;&gt;"",SUMPRODUCT((ASN58:ASN61=ASN59)*(ASI58:ASI61=ASI59)*(ASG58:ASG61=ASG59)*(ASK58:ASK61&gt;ASK59)),"")</f>
        <v/>
      </c>
      <c r="ASS59" s="321" t="str">
        <f t="shared" ref="ASS59" ca="1" si="16475">IF(ASC59&lt;&gt;"",SUMPRODUCT((ASN58:ASN61=ASN59)*(ASI58:ASI61=ASI59)*(ASG58:ASG61=ASG59)*(ASK58:ASK61=ASK59)*(ASL58:ASL61&gt;ASL59)),"")</f>
        <v/>
      </c>
      <c r="AST59" s="321" t="str">
        <f t="shared" ref="AST59" ca="1" si="16476">IF(ASC59&lt;&gt;"",SUMPRODUCT((ASN58:ASN61=ASN59)*(ASI58:ASI61=ASI59)*(ASG58:ASG61=ASG59)*(ASK58:ASK61=ASK59)*(ASL58:ASL61=ASL59)*(ASM58:ASM61&gt;ASM59)),"")</f>
        <v/>
      </c>
      <c r="ASU59" s="321" t="str">
        <f t="shared" ca="1" si="16193"/>
        <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t="str">
        <f t="shared" ref="AWZ59" ca="1" si="16497">IF(AXA19&lt;&gt;"",SUMPRODUCT((AXH18:AXH21=AXH19)*(AXG18:AXG21=AXG19)*(AXE18:AXE21=AXE19)*(AXF18:AXF21=AXF19)),"")</f>
        <v/>
      </c>
      <c r="AXA59" s="321" t="str">
        <f t="shared" ca="1" si="16195"/>
        <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t="str">
        <f t="shared" ca="1" si="16202"/>
        <v/>
      </c>
      <c r="AXI59" s="321" t="str">
        <f t="shared" ref="AXI59" ca="1" si="16503">IF(AXA59&lt;&gt;"",VLOOKUP(AXA59,AWH4:AWN40,7,FALSE),"")</f>
        <v/>
      </c>
      <c r="AXJ59" s="321" t="str">
        <f t="shared" ref="AXJ59" ca="1" si="16504">IF(AXA59&lt;&gt;"",VLOOKUP(AXA59,AWH4:AWN40,5,FALSE),"")</f>
        <v/>
      </c>
      <c r="AXK59" s="321" t="str">
        <f t="shared" ref="AXK59" ca="1" si="16505">IF(AXA59&lt;&gt;"",VLOOKUP(AXA59,AWH4:AWP40,9,FALSE),"")</f>
        <v/>
      </c>
      <c r="AXL59" s="321" t="str">
        <f t="shared" ca="1" si="16206"/>
        <v/>
      </c>
      <c r="AXM59" s="321" t="str">
        <f t="shared" ref="AXM59" ca="1" si="16506">IF(AXA59&lt;&gt;"",RANK(AXL59,AXL58:AXL61),"")</f>
        <v/>
      </c>
      <c r="AXN59" s="321" t="str">
        <f t="shared" ref="AXN59" ca="1" si="16507">IF(AXA59&lt;&gt;"",SUMPRODUCT((AXL58:AXL61=AXL59)*(AXG58:AXG61&gt;AXG59)),"")</f>
        <v/>
      </c>
      <c r="AXO59" s="321" t="str">
        <f t="shared" ref="AXO59" ca="1" si="16508">IF(AXA59&lt;&gt;"",SUMPRODUCT((AXL58:AXL61=AXL59)*(AXG58:AXG61=AXG59)*(AXE58:AXE61&gt;AXE59)),"")</f>
        <v/>
      </c>
      <c r="AXP59" s="321" t="str">
        <f t="shared" ref="AXP59" ca="1" si="16509">IF(AXA59&lt;&gt;"",SUMPRODUCT((AXL58:AXL61=AXL59)*(AXG58:AXG61=AXG59)*(AXE58:AXE61=AXE59)*(AXI58:AXI61&gt;AXI59)),"")</f>
        <v/>
      </c>
      <c r="AXQ59" s="321" t="str">
        <f t="shared" ref="AXQ59" ca="1" si="16510">IF(AXA59&lt;&gt;"",SUMPRODUCT((AXL58:AXL61=AXL59)*(AXG58:AXG61=AXG59)*(AXE58:AXE61=AXE59)*(AXI58:AXI61=AXI59)*(AXJ58:AXJ61&gt;AXJ59)),"")</f>
        <v/>
      </c>
      <c r="AXR59" s="321" t="str">
        <f t="shared" ref="AXR59" ca="1" si="16511">IF(AXA59&lt;&gt;"",SUMPRODUCT((AXL58:AXL61=AXL59)*(AXG58:AXG61=AXG59)*(AXE58:AXE61=AXE59)*(AXI58:AXI61=AXI59)*(AXJ58:AXJ61=AXJ59)*(AXK58:AXK61&gt;AXK59)),"")</f>
        <v/>
      </c>
      <c r="AXS59" s="321" t="str">
        <f t="shared" ca="1" si="16213"/>
        <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t="str">
        <f t="shared" ref="AND60" ca="1" si="16725">IF(ANE20&lt;&gt;"",SUMPRODUCT((ANL18:ANL21=ANL20)*(ANK18:ANK21=ANK20)*(ANI18:ANI21=ANI20)*(ANJ18:ANJ21=ANJ20)),"")</f>
        <v/>
      </c>
      <c r="ANE60" s="321" t="str">
        <f t="shared" ca="1" si="16155"/>
        <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t="str">
        <f t="shared" ca="1" si="16162"/>
        <v/>
      </c>
      <c r="ANM60" s="321" t="str">
        <f t="shared" ref="ANM60" ca="1" si="16731">IF(ANE60&lt;&gt;"",VLOOKUP(ANE60,AML4:AMR40,7,FALSE),"")</f>
        <v/>
      </c>
      <c r="ANN60" s="321" t="str">
        <f t="shared" ref="ANN60" ca="1" si="16732">IF(ANE60&lt;&gt;"",VLOOKUP(ANE60,AML4:AMR40,5,FALSE),"")</f>
        <v/>
      </c>
      <c r="ANO60" s="321" t="str">
        <f t="shared" ref="ANO60" ca="1" si="16733">IF(ANE60&lt;&gt;"",VLOOKUP(ANE60,AML4:AMT40,9,FALSE),"")</f>
        <v/>
      </c>
      <c r="ANP60" s="321" t="str">
        <f t="shared" ca="1" si="16166"/>
        <v/>
      </c>
      <c r="ANQ60" s="321" t="str">
        <f t="shared" ref="ANQ60" ca="1" si="16734">IF(ANE60&lt;&gt;"",RANK(ANP60,ANP58:ANP61),"")</f>
        <v/>
      </c>
      <c r="ANR60" s="321" t="str">
        <f t="shared" ref="ANR60" ca="1" si="16735">IF(ANE60&lt;&gt;"",SUMPRODUCT((ANP58:ANP61=ANP60)*(ANK58:ANK61&gt;ANK60)),"")</f>
        <v/>
      </c>
      <c r="ANS60" s="321" t="str">
        <f t="shared" ref="ANS60" ca="1" si="16736">IF(ANE60&lt;&gt;"",SUMPRODUCT((ANP58:ANP61=ANP60)*(ANK58:ANK61=ANK60)*(ANI58:ANI61&gt;ANI60)),"")</f>
        <v/>
      </c>
      <c r="ANT60" s="321" t="str">
        <f t="shared" ref="ANT60" ca="1" si="16737">IF(ANE60&lt;&gt;"",SUMPRODUCT((ANP58:ANP61=ANP60)*(ANK58:ANK61=ANK60)*(ANI58:ANI61=ANI60)*(ANM58:ANM61&gt;ANM60)),"")</f>
        <v/>
      </c>
      <c r="ANU60" s="321" t="str">
        <f t="shared" ref="ANU60" ca="1" si="16738">IF(ANE60&lt;&gt;"",SUMPRODUCT((ANP58:ANP61=ANP60)*(ANK58:ANK61=ANK60)*(ANI58:ANI61=ANI60)*(ANM58:ANM61=ANM60)*(ANN58:ANN61&gt;ANN60)),"")</f>
        <v/>
      </c>
      <c r="ANV60" s="321" t="str">
        <f t="shared" ref="ANV60" ca="1" si="16739">IF(ANE60&lt;&gt;"",SUMPRODUCT((ANP58:ANP61=ANP60)*(ANK58:ANK61=ANK60)*(ANI58:ANI61=ANI60)*(ANM58:ANM61=ANM60)*(ANN58:ANN61=ANN60)*(ANO58:ANO61&gt;ANO60)),"")</f>
        <v/>
      </c>
      <c r="ANW60" s="321" t="str">
        <f t="shared" ca="1" si="16173"/>
        <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t="str">
        <f t="shared" ref="ASB60" ca="1" si="16756">IF(ASC20&lt;&gt;"",SUMPRODUCT((ASJ18:ASJ21=ASJ20)*(ASI18:ASI21=ASI20)*(ASG18:ASG21=ASG20)*(ASH18:ASH21=ASH20)),"")</f>
        <v/>
      </c>
      <c r="ASC60" s="321" t="str">
        <f t="shared" ca="1" si="16175"/>
        <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t="str">
        <f t="shared" ca="1" si="16182"/>
        <v/>
      </c>
      <c r="ASK60" s="321" t="str">
        <f t="shared" ref="ASK60" ca="1" si="16762">IF(ASC60&lt;&gt;"",VLOOKUP(ASC60,ARJ4:ARP40,7,FALSE),"")</f>
        <v/>
      </c>
      <c r="ASL60" s="321" t="str">
        <f t="shared" ref="ASL60" ca="1" si="16763">IF(ASC60&lt;&gt;"",VLOOKUP(ASC60,ARJ4:ARP40,5,FALSE),"")</f>
        <v/>
      </c>
      <c r="ASM60" s="321" t="str">
        <f t="shared" ref="ASM60" ca="1" si="16764">IF(ASC60&lt;&gt;"",VLOOKUP(ASC60,ARJ4:ARR40,9,FALSE),"")</f>
        <v/>
      </c>
      <c r="ASN60" s="321" t="str">
        <f t="shared" ca="1" si="16186"/>
        <v/>
      </c>
      <c r="ASO60" s="321" t="str">
        <f t="shared" ref="ASO60" ca="1" si="16765">IF(ASC60&lt;&gt;"",RANK(ASN60,ASN58:ASN61),"")</f>
        <v/>
      </c>
      <c r="ASP60" s="321" t="str">
        <f t="shared" ref="ASP60" ca="1" si="16766">IF(ASC60&lt;&gt;"",SUMPRODUCT((ASN58:ASN61=ASN60)*(ASI58:ASI61&gt;ASI60)),"")</f>
        <v/>
      </c>
      <c r="ASQ60" s="321" t="str">
        <f t="shared" ref="ASQ60" ca="1" si="16767">IF(ASC60&lt;&gt;"",SUMPRODUCT((ASN58:ASN61=ASN60)*(ASI58:ASI61=ASI60)*(ASG58:ASG61&gt;ASG60)),"")</f>
        <v/>
      </c>
      <c r="ASR60" s="321" t="str">
        <f t="shared" ref="ASR60" ca="1" si="16768">IF(ASC60&lt;&gt;"",SUMPRODUCT((ASN58:ASN61=ASN60)*(ASI58:ASI61=ASI60)*(ASG58:ASG61=ASG60)*(ASK58:ASK61&gt;ASK60)),"")</f>
        <v/>
      </c>
      <c r="ASS60" s="321" t="str">
        <f t="shared" ref="ASS60" ca="1" si="16769">IF(ASC60&lt;&gt;"",SUMPRODUCT((ASN58:ASN61=ASN60)*(ASI58:ASI61=ASI60)*(ASG58:ASG61=ASG60)*(ASK58:ASK61=ASK60)*(ASL58:ASL61&gt;ASL60)),"")</f>
        <v/>
      </c>
      <c r="AST60" s="321" t="str">
        <f t="shared" ref="AST60" ca="1" si="16770">IF(ASC60&lt;&gt;"",SUMPRODUCT((ASN58:ASN61=ASN60)*(ASI58:ASI61=ASI60)*(ASG58:ASG61=ASG60)*(ASK58:ASK61=ASK60)*(ASL58:ASL61=ASL60)*(ASM58:ASM61&gt;ASM60)),"")</f>
        <v/>
      </c>
      <c r="ASU60" s="321" t="str">
        <f t="shared" ca="1" si="16193"/>
        <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t="str">
        <f t="shared" ref="AWZ60" ca="1" si="16787">IF(AXA20&lt;&gt;"",SUMPRODUCT((AXH18:AXH21=AXH20)*(AXG18:AXG21=AXG20)*(AXE18:AXE21=AXE20)*(AXF18:AXF21=AXF20)),"")</f>
        <v/>
      </c>
      <c r="AXA60" s="321" t="str">
        <f t="shared" ca="1" si="16195"/>
        <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t="str">
        <f t="shared" ca="1" si="16202"/>
        <v/>
      </c>
      <c r="AXI60" s="321" t="str">
        <f t="shared" ref="AXI60" ca="1" si="16793">IF(AXA60&lt;&gt;"",VLOOKUP(AXA60,AWH4:AWN40,7,FALSE),"")</f>
        <v/>
      </c>
      <c r="AXJ60" s="321" t="str">
        <f t="shared" ref="AXJ60" ca="1" si="16794">IF(AXA60&lt;&gt;"",VLOOKUP(AXA60,AWH4:AWN40,5,FALSE),"")</f>
        <v/>
      </c>
      <c r="AXK60" s="321" t="str">
        <f t="shared" ref="AXK60" ca="1" si="16795">IF(AXA60&lt;&gt;"",VLOOKUP(AXA60,AWH4:AWP40,9,FALSE),"")</f>
        <v/>
      </c>
      <c r="AXL60" s="321" t="str">
        <f t="shared" ca="1" si="16206"/>
        <v/>
      </c>
      <c r="AXM60" s="321" t="str">
        <f t="shared" ref="AXM60" ca="1" si="16796">IF(AXA60&lt;&gt;"",RANK(AXL60,AXL58:AXL61),"")</f>
        <v/>
      </c>
      <c r="AXN60" s="321" t="str">
        <f t="shared" ref="AXN60" ca="1" si="16797">IF(AXA60&lt;&gt;"",SUMPRODUCT((AXL58:AXL61=AXL60)*(AXG58:AXG61&gt;AXG60)),"")</f>
        <v/>
      </c>
      <c r="AXO60" s="321" t="str">
        <f t="shared" ref="AXO60" ca="1" si="16798">IF(AXA60&lt;&gt;"",SUMPRODUCT((AXL58:AXL61=AXL60)*(AXG58:AXG61=AXG60)*(AXE58:AXE61&gt;AXE60)),"")</f>
        <v/>
      </c>
      <c r="AXP60" s="321" t="str">
        <f t="shared" ref="AXP60" ca="1" si="16799">IF(AXA60&lt;&gt;"",SUMPRODUCT((AXL58:AXL61=AXL60)*(AXG58:AXG61=AXG60)*(AXE58:AXE61=AXE60)*(AXI58:AXI61&gt;AXI60)),"")</f>
        <v/>
      </c>
      <c r="AXQ60" s="321" t="str">
        <f t="shared" ref="AXQ60" ca="1" si="16800">IF(AXA60&lt;&gt;"",SUMPRODUCT((AXL58:AXL61=AXL60)*(AXG58:AXG61=AXG60)*(AXE58:AXE61=AXE60)*(AXI58:AXI61=AXI60)*(AXJ58:AXJ61&gt;AXJ60)),"")</f>
        <v/>
      </c>
      <c r="AXR60" s="321" t="str">
        <f t="shared" ref="AXR60" ca="1" si="16801">IF(AXA60&lt;&gt;"",SUMPRODUCT((AXL58:AXL61=AXL60)*(AXG58:AXG61=AXG60)*(AXE58:AXE61=AXE60)*(AXI58:AXI61=AXI60)*(AXJ58:AXJ61=AXJ60)*(AXK58:AXK61&gt;AXK60)),"")</f>
        <v/>
      </c>
      <c r="AXS60" s="321" t="str">
        <f t="shared" ca="1" si="16213"/>
        <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t="str">
        <f t="shared" ref="AND61" ca="1" si="16999">IF(ANE21&lt;&gt;"",SUMPRODUCT((ANL18:ANL21=ANL21)*(ANK18:ANK21=ANK21)*(ANI18:ANI21=ANI21)*(ANJ18:ANJ21=ANJ21)),"")</f>
        <v/>
      </c>
      <c r="ANE61" s="321" t="str">
        <f t="shared" ca="1" si="16155"/>
        <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t="str">
        <f t="shared" ca="1" si="16162"/>
        <v/>
      </c>
      <c r="ANM61" s="321" t="str">
        <f t="shared" ref="ANM61" ca="1" si="17005">IF(ANE61&lt;&gt;"",VLOOKUP(ANE61,AML4:AMR40,7,FALSE),"")</f>
        <v/>
      </c>
      <c r="ANN61" s="321" t="str">
        <f t="shared" ref="ANN61" ca="1" si="17006">IF(ANE61&lt;&gt;"",VLOOKUP(ANE61,AML4:AMR40,5,FALSE),"")</f>
        <v/>
      </c>
      <c r="ANO61" s="321" t="str">
        <f t="shared" ref="ANO61" ca="1" si="17007">IF(ANE61&lt;&gt;"",VLOOKUP(ANE61,AML4:AMT40,9,FALSE),"")</f>
        <v/>
      </c>
      <c r="ANP61" s="321" t="str">
        <f t="shared" ca="1" si="16166"/>
        <v/>
      </c>
      <c r="ANQ61" s="321" t="str">
        <f t="shared" ref="ANQ61" ca="1" si="17008">IF(ANE61&lt;&gt;"",RANK(ANP61,ANP58:ANP61),"")</f>
        <v/>
      </c>
      <c r="ANR61" s="321" t="str">
        <f t="shared" ref="ANR61" ca="1" si="17009">IF(ANE61&lt;&gt;"",SUMPRODUCT((ANP58:ANP61=ANP61)*(ANK58:ANK61&gt;ANK61)),"")</f>
        <v/>
      </c>
      <c r="ANS61" s="321" t="str">
        <f t="shared" ref="ANS61" ca="1" si="17010">IF(ANE61&lt;&gt;"",SUMPRODUCT((ANP58:ANP61=ANP61)*(ANK58:ANK61=ANK61)*(ANI58:ANI61&gt;ANI61)),"")</f>
        <v/>
      </c>
      <c r="ANT61" s="321" t="str">
        <f t="shared" ref="ANT61" ca="1" si="17011">IF(ANE61&lt;&gt;"",SUMPRODUCT((ANP58:ANP61=ANP61)*(ANK58:ANK61=ANK61)*(ANI58:ANI61=ANI61)*(ANM58:ANM61&gt;ANM61)),"")</f>
        <v/>
      </c>
      <c r="ANU61" s="321" t="str">
        <f t="shared" ref="ANU61" ca="1" si="17012">IF(ANE61&lt;&gt;"",SUMPRODUCT((ANP58:ANP61=ANP61)*(ANK58:ANK61=ANK61)*(ANI58:ANI61=ANI61)*(ANM58:ANM61=ANM61)*(ANN58:ANN61&gt;ANN61)),"")</f>
        <v/>
      </c>
      <c r="ANV61" s="321" t="str">
        <f t="shared" ref="ANV61" ca="1" si="17013">IF(ANE61&lt;&gt;"",SUMPRODUCT((ANP58:ANP61=ANP61)*(ANK58:ANK61=ANK61)*(ANI58:ANI61=ANI61)*(ANM58:ANM61=ANM61)*(ANN58:ANN61=ANN61)*(ANO58:ANO61&gt;ANO61)),"")</f>
        <v/>
      </c>
      <c r="ANW61" s="321" t="str">
        <f t="shared" ca="1" si="16173"/>
        <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t="str">
        <f t="shared" ref="ASB61" ca="1" si="17029">IF(ASC21&lt;&gt;"",SUMPRODUCT((ASJ18:ASJ21=ASJ21)*(ASI18:ASI21=ASI21)*(ASG18:ASG21=ASG21)*(ASH18:ASH21=ASH21)),"")</f>
        <v/>
      </c>
      <c r="ASC61" s="321" t="str">
        <f t="shared" ca="1" si="16175"/>
        <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t="str">
        <f t="shared" ca="1" si="16182"/>
        <v/>
      </c>
      <c r="ASK61" s="321" t="str">
        <f t="shared" ref="ASK61" ca="1" si="17035">IF(ASC61&lt;&gt;"",VLOOKUP(ASC61,ARJ4:ARP40,7,FALSE),"")</f>
        <v/>
      </c>
      <c r="ASL61" s="321" t="str">
        <f t="shared" ref="ASL61" ca="1" si="17036">IF(ASC61&lt;&gt;"",VLOOKUP(ASC61,ARJ4:ARP40,5,FALSE),"")</f>
        <v/>
      </c>
      <c r="ASM61" s="321" t="str">
        <f t="shared" ref="ASM61" ca="1" si="17037">IF(ASC61&lt;&gt;"",VLOOKUP(ASC61,ARJ4:ARR40,9,FALSE),"")</f>
        <v/>
      </c>
      <c r="ASN61" s="321" t="str">
        <f t="shared" ca="1" si="16186"/>
        <v/>
      </c>
      <c r="ASO61" s="321" t="str">
        <f t="shared" ref="ASO61" ca="1" si="17038">IF(ASC61&lt;&gt;"",RANK(ASN61,ASN58:ASN61),"")</f>
        <v/>
      </c>
      <c r="ASP61" s="321" t="str">
        <f t="shared" ref="ASP61" ca="1" si="17039">IF(ASC61&lt;&gt;"",SUMPRODUCT((ASN58:ASN61=ASN61)*(ASI58:ASI61&gt;ASI61)),"")</f>
        <v/>
      </c>
      <c r="ASQ61" s="321" t="str">
        <f t="shared" ref="ASQ61" ca="1" si="17040">IF(ASC61&lt;&gt;"",SUMPRODUCT((ASN58:ASN61=ASN61)*(ASI58:ASI61=ASI61)*(ASG58:ASG61&gt;ASG61)),"")</f>
        <v/>
      </c>
      <c r="ASR61" s="321" t="str">
        <f t="shared" ref="ASR61" ca="1" si="17041">IF(ASC61&lt;&gt;"",SUMPRODUCT((ASN58:ASN61=ASN61)*(ASI58:ASI61=ASI61)*(ASG58:ASG61=ASG61)*(ASK58:ASK61&gt;ASK61)),"")</f>
        <v/>
      </c>
      <c r="ASS61" s="321" t="str">
        <f t="shared" ref="ASS61" ca="1" si="17042">IF(ASC61&lt;&gt;"",SUMPRODUCT((ASN58:ASN61=ASN61)*(ASI58:ASI61=ASI61)*(ASG58:ASG61=ASG61)*(ASK58:ASK61=ASK61)*(ASL58:ASL61&gt;ASL61)),"")</f>
        <v/>
      </c>
      <c r="AST61" s="321" t="str">
        <f t="shared" ref="AST61" ca="1" si="17043">IF(ASC61&lt;&gt;"",SUMPRODUCT((ASN58:ASN61=ASN61)*(ASI58:ASI61=ASI61)*(ASG58:ASG61=ASG61)*(ASK58:ASK61=ASK61)*(ASL58:ASL61=ASL61)*(ASM58:ASM61&gt;ASM61)),"")</f>
        <v/>
      </c>
      <c r="ASU61" s="321" t="str">
        <f t="shared" ca="1" si="16193"/>
        <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t="str">
        <f t="shared" ref="AWZ61" ca="1" si="17059">IF(AXA21&lt;&gt;"",SUMPRODUCT((AXH18:AXH21=AXH21)*(AXG18:AXG21=AXG21)*(AXE18:AXE21=AXE21)*(AXF18:AXF21=AXF21)),"")</f>
        <v/>
      </c>
      <c r="AXA61" s="321" t="str">
        <f t="shared" ca="1" si="16195"/>
        <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t="str">
        <f t="shared" ca="1" si="16202"/>
        <v/>
      </c>
      <c r="AXI61" s="321" t="str">
        <f t="shared" ref="AXI61" ca="1" si="17065">IF(AXA61&lt;&gt;"",VLOOKUP(AXA61,AWH4:AWN40,7,FALSE),"")</f>
        <v/>
      </c>
      <c r="AXJ61" s="321" t="str">
        <f t="shared" ref="AXJ61" ca="1" si="17066">IF(AXA61&lt;&gt;"",VLOOKUP(AXA61,AWH4:AWN40,5,FALSE),"")</f>
        <v/>
      </c>
      <c r="AXK61" s="321" t="str">
        <f t="shared" ref="AXK61" ca="1" si="17067">IF(AXA61&lt;&gt;"",VLOOKUP(AXA61,AWH4:AWP40,9,FALSE),"")</f>
        <v/>
      </c>
      <c r="AXL61" s="321" t="str">
        <f t="shared" ca="1" si="16206"/>
        <v/>
      </c>
      <c r="AXM61" s="321" t="str">
        <f t="shared" ref="AXM61" ca="1" si="17068">IF(AXA61&lt;&gt;"",RANK(AXL61,AXL58:AXL61),"")</f>
        <v/>
      </c>
      <c r="AXN61" s="321" t="str">
        <f t="shared" ref="AXN61" ca="1" si="17069">IF(AXA61&lt;&gt;"",SUMPRODUCT((AXL58:AXL61=AXL61)*(AXG58:AXG61&gt;AXG61)),"")</f>
        <v/>
      </c>
      <c r="AXO61" s="321" t="str">
        <f t="shared" ref="AXO61" ca="1" si="17070">IF(AXA61&lt;&gt;"",SUMPRODUCT((AXL58:AXL61=AXL61)*(AXG58:AXG61=AXG61)*(AXE58:AXE61&gt;AXE61)),"")</f>
        <v/>
      </c>
      <c r="AXP61" s="321" t="str">
        <f t="shared" ref="AXP61" ca="1" si="17071">IF(AXA61&lt;&gt;"",SUMPRODUCT((AXL58:AXL61=AXL61)*(AXG58:AXG61=AXG61)*(AXE58:AXE61=AXE61)*(AXI58:AXI61&gt;AXI61)),"")</f>
        <v/>
      </c>
      <c r="AXQ61" s="321" t="str">
        <f t="shared" ref="AXQ61" ca="1" si="17072">IF(AXA61&lt;&gt;"",SUMPRODUCT((AXL58:AXL61=AXL61)*(AXG58:AXG61=AXG61)*(AXE58:AXE61=AXE61)*(AXI58:AXI61=AXI61)*(AXJ58:AXJ61&gt;AXJ61)),"")</f>
        <v/>
      </c>
      <c r="AXR61" s="321" t="str">
        <f t="shared" ref="AXR61" ca="1" si="17073">IF(AXA61&lt;&gt;"",SUMPRODUCT((AXL58:AXL61=AXL61)*(AXG58:AXG61=AXG61)*(AXE58:AXE61=AXE61)*(AXI58:AXI61=AXI61)*(AXJ58:AXJ61=AXJ61)*(AXK58:AXK61&gt;AXK61)),"")</f>
        <v/>
      </c>
      <c r="AXS61" s="321" t="str">
        <f t="shared" ca="1" si="16213"/>
        <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0</v>
      </c>
      <c r="AC65" s="321">
        <f>IF(U65&lt;&gt;"",VLOOKUP(U65,B4:H40,7,FALSE),"")</f>
        <v>1001</v>
      </c>
      <c r="AD65" s="321">
        <f>IF(U65&lt;&gt;"",VLOOKUP(U65,B4:H40,5,FALSE),"")</f>
        <v>2</v>
      </c>
      <c r="AE65" s="321">
        <f>IF(U65&lt;&gt;"",VLOOKUP(U65,B4:J40,9,FALSE),"")</f>
        <v>42</v>
      </c>
      <c r="AF65" s="321">
        <f>AB65</f>
        <v>0</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1004</v>
      </c>
      <c r="JZ65" s="321">
        <f ca="1">IF(JQ65&lt;&gt;"",VLOOKUP(JQ65,IX4:JD40,5,FALSE),"")</f>
        <v>7</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0</v>
      </c>
      <c r="KG65" s="321">
        <f ca="1">IF(JQ65&lt;&gt;"",SUMPRODUCT((KB65:KB68=KB65)*(JW65:JW68=JW65)*(JU65:JU68=JU65)*(JY65:JY68=JY65)*(JZ65:JZ68&gt;JZ65)),"")</f>
        <v>0</v>
      </c>
      <c r="KH65" s="321">
        <f ca="1">IF(JQ65&lt;&gt;"",SUMPRODUCT((KB65:KB68=KB65)*(JW65:JW68=JW65)*(JU65:JU68=JU65)*(JY65:JY68=JY65)*(JZ65:JZ68=JZ65)*(KA65:KA68&gt;KA65)),"")</f>
        <v>0</v>
      </c>
      <c r="KI65" s="321">
        <f ca="1">IF(JQ65&lt;&gt;"",SUM(KC65:KH65),"")</f>
        <v>1</v>
      </c>
      <c r="OC65" s="321">
        <f ca="1">SUMPRODUCT((OC25:OC28=OC25)*(OB25:OB28=OB25)*(NZ25:NZ28&gt;NZ25))+1</f>
        <v>1</v>
      </c>
      <c r="ON65" s="321">
        <f t="shared" ref="ON65" ca="1" si="17137">IF(OO25&lt;&gt;"",SUMPRODUCT((OV25:OV28=OV25)*(OU25:OU28=OU25)*(OS25:OS28=OS25)*(OT25:OT28=OT25)),"")</f>
        <v>2</v>
      </c>
      <c r="OO65" s="321" t="str">
        <f t="shared" ref="OO65:OO68" ca="1" si="17138">IF(AND(ON65&lt;&gt;"",ON65&gt;1),OO25,"")</f>
        <v>Netherlands</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1">
        <f t="shared" ref="OU65:OU68" ca="1" si="17144">OS65-OT65+1000</f>
        <v>1000</v>
      </c>
      <c r="OV65" s="321">
        <f t="shared" ref="OV65:OV68" ca="1" si="17145">IF(OO65&lt;&gt;"",OP65*3+OQ65*1,"")</f>
        <v>1</v>
      </c>
      <c r="OW65" s="321">
        <f t="shared" ref="OW65" ca="1" si="17146">IF(OO65&lt;&gt;"",VLOOKUP(OO65,NV4:OB40,7,FALSE),"")</f>
        <v>1002</v>
      </c>
      <c r="OX65" s="321">
        <f t="shared" ref="OX65" ca="1" si="17147">IF(OO65&lt;&gt;"",VLOOKUP(OO65,NV4:OB40,5,FALSE),"")</f>
        <v>6</v>
      </c>
      <c r="OY65" s="321">
        <f t="shared" ref="OY65" ca="1" si="17148">IF(OO65&lt;&gt;"",VLOOKUP(OO65,NV4:OD40,9,FALSE),"")</f>
        <v>42</v>
      </c>
      <c r="OZ65" s="321">
        <f t="shared" ref="OZ65:OZ68" ca="1" si="17149">OV65</f>
        <v>1</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1</v>
      </c>
      <c r="PG65" s="321">
        <f t="shared" ref="PG65:PG68" ca="1" si="17156">IF(OO65&lt;&gt;"",SUM(PA65:PF65),"")</f>
        <v>2</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2</v>
      </c>
      <c r="ADI65" s="321" t="str">
        <f t="shared" ref="ADI65:ADI68" ca="1" si="17198">IF(AND(ADH65&lt;&gt;"",ADH65&gt;1),ADI25,"")</f>
        <v>Netherlands</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1">
        <f t="shared" ref="ADO65:ADO68" ca="1" si="17204">ADM65-ADN65+1000</f>
        <v>1000</v>
      </c>
      <c r="ADP65" s="321">
        <f t="shared" ref="ADP65:ADP68" ca="1" si="17205">IF(ADI65&lt;&gt;"",ADJ65*3+ADK65*1,"")</f>
        <v>1</v>
      </c>
      <c r="ADQ65" s="321">
        <f t="shared" ref="ADQ65" ca="1" si="17206">IF(ADI65&lt;&gt;"",VLOOKUP(ADI65,ACP4:ACV40,7,FALSE),"")</f>
        <v>1003</v>
      </c>
      <c r="ADR65" s="321">
        <f t="shared" ref="ADR65" ca="1" si="17207">IF(ADI65&lt;&gt;"",VLOOKUP(ADI65,ACP4:ACV40,5,FALSE),"")</f>
        <v>5</v>
      </c>
      <c r="ADS65" s="321">
        <f t="shared" ref="ADS65" ca="1" si="17208">IF(ADI65&lt;&gt;"",VLOOKUP(ADI65,ACP4:ACX40,9,FALSE),"")</f>
        <v>42</v>
      </c>
      <c r="ADT65" s="321">
        <f t="shared" ref="ADT65:ADT68" ca="1" si="17209">ADP65</f>
        <v>1</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0</v>
      </c>
      <c r="AEA65" s="321">
        <f t="shared" ref="AEA65:AEA68" ca="1" si="17216">IF(ADI65&lt;&gt;"",SUM(ADU65:ADZ65),"")</f>
        <v>1</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1">
        <f t="shared" ref="AIM65:AIM68" ca="1" si="17224">AIK65-AIL65+1000</f>
        <v>1000</v>
      </c>
      <c r="AIN65" s="321">
        <f t="shared" ref="AIN65:AIN68" ca="1" si="17225">IF(AIG65&lt;&gt;"",AIH65*3+AII65*1,"")</f>
        <v>1</v>
      </c>
      <c r="AIO65" s="321">
        <f t="shared" ref="AIO65" ca="1" si="17226">IF(AIG65&lt;&gt;"",VLOOKUP(AIG65,AHN4:AHT40,7,FALSE),"")</f>
        <v>1002</v>
      </c>
      <c r="AIP65" s="321">
        <f t="shared" ref="AIP65" ca="1" si="17227">IF(AIG65&lt;&gt;"",VLOOKUP(AIG65,AHN4:AHT40,5,FALSE),"")</f>
        <v>5</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t="str">
        <f t="shared" ref="AND65" ca="1" si="17237">IF(ANE25&lt;&gt;"",SUMPRODUCT((ANL25:ANL28=ANL25)*(ANK25:ANK28=ANK25)*(ANI25:ANI28=ANI25)*(ANJ25:ANJ28=ANJ25)),"")</f>
        <v/>
      </c>
      <c r="ANE65" s="321" t="str">
        <f t="shared" ref="ANE65:ANE68" ca="1" si="17238">IF(AND(AND65&lt;&gt;"",AND65&gt;1),ANE25,"")</f>
        <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t="str">
        <f t="shared" ref="ANL65:ANL68" ca="1" si="17245">IF(ANE65&lt;&gt;"",ANF65*3+ANG65*1,"")</f>
        <v/>
      </c>
      <c r="ANM65" s="321" t="str">
        <f t="shared" ref="ANM65" ca="1" si="17246">IF(ANE65&lt;&gt;"",VLOOKUP(ANE65,AML4:AMR40,7,FALSE),"")</f>
        <v/>
      </c>
      <c r="ANN65" s="321" t="str">
        <f t="shared" ref="ANN65" ca="1" si="17247">IF(ANE65&lt;&gt;"",VLOOKUP(ANE65,AML4:AMR40,5,FALSE),"")</f>
        <v/>
      </c>
      <c r="ANO65" s="321" t="str">
        <f t="shared" ref="ANO65" ca="1" si="17248">IF(ANE65&lt;&gt;"",VLOOKUP(ANE65,AML4:AMT40,9,FALSE),"")</f>
        <v/>
      </c>
      <c r="ANP65" s="321" t="str">
        <f t="shared" ref="ANP65:ANP68" ca="1" si="17249">ANL65</f>
        <v/>
      </c>
      <c r="ANQ65" s="321" t="str">
        <f t="shared" ref="ANQ65" ca="1" si="17250">IF(ANE65&lt;&gt;"",RANK(ANP65,ANP65:ANP68),"")</f>
        <v/>
      </c>
      <c r="ANR65" s="321" t="str">
        <f t="shared" ref="ANR65" ca="1" si="17251">IF(ANE65&lt;&gt;"",SUMPRODUCT((ANP65:ANP68=ANP65)*(ANK65:ANK68&gt;ANK65)),"")</f>
        <v/>
      </c>
      <c r="ANS65" s="321" t="str">
        <f t="shared" ref="ANS65" ca="1" si="17252">IF(ANE65&lt;&gt;"",SUMPRODUCT((ANP65:ANP68=ANP65)*(ANK65:ANK68=ANK65)*(ANI65:ANI68&gt;ANI65)),"")</f>
        <v/>
      </c>
      <c r="ANT65" s="321" t="str">
        <f t="shared" ref="ANT65" ca="1" si="17253">IF(ANE65&lt;&gt;"",SUMPRODUCT((ANP65:ANP68=ANP65)*(ANK65:ANK68=ANK65)*(ANI65:ANI68=ANI65)*(ANM65:ANM68&gt;ANM65)),"")</f>
        <v/>
      </c>
      <c r="ANU65" s="321" t="str">
        <f t="shared" ref="ANU65" ca="1" si="17254">IF(ANE65&lt;&gt;"",SUMPRODUCT((ANP65:ANP68=ANP65)*(ANK65:ANK68=ANK65)*(ANI65:ANI68=ANI65)*(ANM65:ANM68=ANM65)*(ANN65:ANN68&gt;ANN65)),"")</f>
        <v/>
      </c>
      <c r="ANV65" s="321" t="str">
        <f t="shared" ref="ANV65" ca="1" si="17255">IF(ANE65&lt;&gt;"",SUMPRODUCT((ANP65:ANP68=ANP65)*(ANK65:ANK68=ANK65)*(ANI65:ANI68=ANI65)*(ANM65:ANM68=ANM65)*(ANN65:ANN68=ANN65)*(ANO65:ANO68&gt;ANO65)),"")</f>
        <v/>
      </c>
      <c r="ANW65" s="321" t="str">
        <f t="shared" ref="ANW65:ANW68" ca="1" si="17256">IF(ANE65&lt;&gt;"",SUM(ANQ65:ANV65),"")</f>
        <v/>
      </c>
      <c r="ARQ65" s="321">
        <f ca="1">SUMPRODUCT((ARQ25:ARQ28=ARQ25)*(ARP25:ARP28=ARP25)*(ARN25:ARN28&gt;ARN25))+1</f>
        <v>1</v>
      </c>
      <c r="ASB65" s="321" t="str">
        <f t="shared" ref="ASB65" ca="1" si="17257">IF(ASC25&lt;&gt;"",SUMPRODUCT((ASJ25:ASJ28=ASJ25)*(ASI25:ASI28=ASI25)*(ASG25:ASG28=ASG25)*(ASH25:ASH28=ASH25)),"")</f>
        <v/>
      </c>
      <c r="ASC65" s="321" t="str">
        <f t="shared" ref="ASC65:ASC68" ca="1" si="17258">IF(AND(ASB65&lt;&gt;"",ASB65&gt;1),ASC25,"")</f>
        <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t="str">
        <f t="shared" ref="ASJ65:ASJ68" ca="1" si="17265">IF(ASC65&lt;&gt;"",ASD65*3+ASE65*1,"")</f>
        <v/>
      </c>
      <c r="ASK65" s="321" t="str">
        <f t="shared" ref="ASK65" ca="1" si="17266">IF(ASC65&lt;&gt;"",VLOOKUP(ASC65,ARJ4:ARP40,7,FALSE),"")</f>
        <v/>
      </c>
      <c r="ASL65" s="321" t="str">
        <f t="shared" ref="ASL65" ca="1" si="17267">IF(ASC65&lt;&gt;"",VLOOKUP(ASC65,ARJ4:ARP40,5,FALSE),"")</f>
        <v/>
      </c>
      <c r="ASM65" s="321" t="str">
        <f t="shared" ref="ASM65" ca="1" si="17268">IF(ASC65&lt;&gt;"",VLOOKUP(ASC65,ARJ4:ARR40,9,FALSE),"")</f>
        <v/>
      </c>
      <c r="ASN65" s="321" t="str">
        <f t="shared" ref="ASN65:ASN68" ca="1" si="17269">ASJ65</f>
        <v/>
      </c>
      <c r="ASO65" s="321" t="str">
        <f t="shared" ref="ASO65" ca="1" si="17270">IF(ASC65&lt;&gt;"",RANK(ASN65,ASN65:ASN68),"")</f>
        <v/>
      </c>
      <c r="ASP65" s="321" t="str">
        <f t="shared" ref="ASP65" ca="1" si="17271">IF(ASC65&lt;&gt;"",SUMPRODUCT((ASN65:ASN68=ASN65)*(ASI65:ASI68&gt;ASI65)),"")</f>
        <v/>
      </c>
      <c r="ASQ65" s="321" t="str">
        <f t="shared" ref="ASQ65" ca="1" si="17272">IF(ASC65&lt;&gt;"",SUMPRODUCT((ASN65:ASN68=ASN65)*(ASI65:ASI68=ASI65)*(ASG65:ASG68&gt;ASG65)),"")</f>
        <v/>
      </c>
      <c r="ASR65" s="321" t="str">
        <f t="shared" ref="ASR65" ca="1" si="17273">IF(ASC65&lt;&gt;"",SUMPRODUCT((ASN65:ASN68=ASN65)*(ASI65:ASI68=ASI65)*(ASG65:ASG68=ASG65)*(ASK65:ASK68&gt;ASK65)),"")</f>
        <v/>
      </c>
      <c r="ASS65" s="321" t="str">
        <f t="shared" ref="ASS65" ca="1" si="17274">IF(ASC65&lt;&gt;"",SUMPRODUCT((ASN65:ASN68=ASN65)*(ASI65:ASI68=ASI65)*(ASG65:ASG68=ASG65)*(ASK65:ASK68=ASK65)*(ASL65:ASL68&gt;ASL65)),"")</f>
        <v/>
      </c>
      <c r="AST65" s="321" t="str">
        <f t="shared" ref="AST65" ca="1" si="17275">IF(ASC65&lt;&gt;"",SUMPRODUCT((ASN65:ASN68=ASN65)*(ASI65:ASI68=ASI65)*(ASG65:ASG68=ASG65)*(ASK65:ASK68=ASK65)*(ASL65:ASL68=ASL65)*(ASM65:ASM68&gt;ASM65)),"")</f>
        <v/>
      </c>
      <c r="ASU65" s="321" t="str">
        <f t="shared" ref="ASU65:ASU68" ca="1" si="17276">IF(ASC65&lt;&gt;"",SUM(ASO65:AST65),"")</f>
        <v/>
      </c>
      <c r="AWO65" s="321">
        <f ca="1">SUMPRODUCT((AWO25:AWO28=AWO25)*(AWN25:AWN28=AWN25)*(AWL25:AWL28&gt;AWL25))+1</f>
        <v>1</v>
      </c>
      <c r="AWZ65" s="321" t="str">
        <f t="shared" ref="AWZ65" ca="1" si="17277">IF(AXA25&lt;&gt;"",SUMPRODUCT((AXH25:AXH28=AXH25)*(AXG25:AXG28=AXG25)*(AXE25:AXE28=AXE25)*(AXF25:AXF28=AXF25)),"")</f>
        <v/>
      </c>
      <c r="AXA65" s="321" t="str">
        <f t="shared" ref="AXA65:AXA68" ca="1" si="17278">IF(AND(AWZ65&lt;&gt;"",AWZ65&gt;1),AXA25,"")</f>
        <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t="str">
        <f t="shared" ref="AXH65:AXH68" ca="1" si="17285">IF(AXA65&lt;&gt;"",AXB65*3+AXC65*1,"")</f>
        <v/>
      </c>
      <c r="AXI65" s="321" t="str">
        <f t="shared" ref="AXI65" ca="1" si="17286">IF(AXA65&lt;&gt;"",VLOOKUP(AXA65,AWH4:AWN40,7,FALSE),"")</f>
        <v/>
      </c>
      <c r="AXJ65" s="321" t="str">
        <f t="shared" ref="AXJ65" ca="1" si="17287">IF(AXA65&lt;&gt;"",VLOOKUP(AXA65,AWH4:AWN40,5,FALSE),"")</f>
        <v/>
      </c>
      <c r="AXK65" s="321" t="str">
        <f t="shared" ref="AXK65" ca="1" si="17288">IF(AXA65&lt;&gt;"",VLOOKUP(AXA65,AWH4:AWP40,9,FALSE),"")</f>
        <v/>
      </c>
      <c r="AXL65" s="321" t="str">
        <f t="shared" ref="AXL65:AXL68" ca="1" si="17289">AXH65</f>
        <v/>
      </c>
      <c r="AXM65" s="321" t="str">
        <f t="shared" ref="AXM65" ca="1" si="17290">IF(AXA65&lt;&gt;"",RANK(AXL65,AXL65:AXL68),"")</f>
        <v/>
      </c>
      <c r="AXN65" s="321" t="str">
        <f t="shared" ref="AXN65" ca="1" si="17291">IF(AXA65&lt;&gt;"",SUMPRODUCT((AXL65:AXL68=AXL65)*(AXG65:AXG68&gt;AXG65)),"")</f>
        <v/>
      </c>
      <c r="AXO65" s="321" t="str">
        <f t="shared" ref="AXO65" ca="1" si="17292">IF(AXA65&lt;&gt;"",SUMPRODUCT((AXL65:AXL68=AXL65)*(AXG65:AXG68=AXG65)*(AXE65:AXE68&gt;AXE65)),"")</f>
        <v/>
      </c>
      <c r="AXP65" s="321" t="str">
        <f t="shared" ref="AXP65" ca="1" si="17293">IF(AXA65&lt;&gt;"",SUMPRODUCT((AXL65:AXL68=AXL65)*(AXG65:AXG68=AXG65)*(AXE65:AXE68=AXE65)*(AXI65:AXI68&gt;AXI65)),"")</f>
        <v/>
      </c>
      <c r="AXQ65" s="321" t="str">
        <f t="shared" ref="AXQ65" ca="1" si="17294">IF(AXA65&lt;&gt;"",SUMPRODUCT((AXL65:AXL68=AXL65)*(AXG65:AXG68=AXG65)*(AXE65:AXE68=AXE65)*(AXI65:AXI68=AXI65)*(AXJ65:AXJ68&gt;AXJ65)),"")</f>
        <v/>
      </c>
      <c r="AXR65" s="321" t="str">
        <f t="shared" ref="AXR65" ca="1" si="17295">IF(AXA65&lt;&gt;"",SUMPRODUCT((AXL65:AXL68=AXL65)*(AXG65:AXG68=AXG65)*(AXE65:AXE68=AXE65)*(AXI65:AXI68=AXI65)*(AXJ65:AXJ68=AXJ65)*(AXK65:AXK68&gt;AXK65)),"")</f>
        <v/>
      </c>
      <c r="AXS65" s="321" t="str">
        <f t="shared" ref="AXS65:AXS68" ca="1" si="17296">IF(AXA65&lt;&gt;"",SUM(AXM65:AXR65),"")</f>
        <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0</v>
      </c>
      <c r="AC66" s="321">
        <f>IF(U66&lt;&gt;"",VLOOKUP(U66,B4:H40,7,FALSE),"")</f>
        <v>1001</v>
      </c>
      <c r="AD66" s="321">
        <f>IF(U66&lt;&gt;"",VLOOKUP(U66,B4:H40,5,FALSE),"")</f>
        <v>1</v>
      </c>
      <c r="AE66" s="321">
        <f>IF(U66&lt;&gt;"",VLOOKUP(U66,B4:J40,9,FALSE),"")</f>
        <v>52</v>
      </c>
      <c r="AF66" s="321">
        <f t="shared" ref="AF66:AF68" si="17319">AB66</f>
        <v>0</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7</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1</v>
      </c>
      <c r="KG66" s="321">
        <f ca="1">IF(JQ66&lt;&gt;"",SUMPRODUCT((KB65:KB68=KB66)*(JW65:JW68=JW66)*(JU65:JU68=JU66)*(JY65:JY68=JY66)*(JZ65:JZ68&gt;JZ66)),"")</f>
        <v>0</v>
      </c>
      <c r="KH66" s="321">
        <f ca="1">IF(JQ66&lt;&gt;"",SUMPRODUCT((KB65:KB68=KB66)*(JW65:JW68=JW66)*(JU65:JU68=JU66)*(JY65:JY68=JY66)*(JZ65:JZ68=JZ66)*(KA65:KA68&gt;KA66)),"")</f>
        <v>0</v>
      </c>
      <c r="KI66" s="321">
        <f ca="1">IF(JQ66&lt;&gt;"",SUM(KC66:KH66),"")</f>
        <v>2</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2</v>
      </c>
      <c r="OO66" s="321" t="str">
        <f t="shared" ca="1" si="17138"/>
        <v>France</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1">
        <f t="shared" ca="1" si="17144"/>
        <v>1000</v>
      </c>
      <c r="OV66" s="321">
        <f t="shared" ca="1" si="17145"/>
        <v>1</v>
      </c>
      <c r="OW66" s="321">
        <f t="shared" ref="OW66" ca="1" si="17342">IF(OO66&lt;&gt;"",VLOOKUP(OO66,NV4:OB40,7,FALSE),"")</f>
        <v>1002</v>
      </c>
      <c r="OX66" s="321">
        <f t="shared" ref="OX66" ca="1" si="17343">IF(OO66&lt;&gt;"",VLOOKUP(OO66,NV4:OB40,5,FALSE),"")</f>
        <v>6</v>
      </c>
      <c r="OY66" s="321">
        <f t="shared" ref="OY66" ca="1" si="17344">IF(OO66&lt;&gt;"",VLOOKUP(OO66,NV4:OD40,9,FALSE),"")</f>
        <v>52</v>
      </c>
      <c r="OZ66" s="321">
        <f t="shared" ca="1" si="17149"/>
        <v>1</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0</v>
      </c>
      <c r="PG66" s="321">
        <f t="shared" ca="1" si="17156"/>
        <v>1</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2</v>
      </c>
      <c r="ADI66" s="321" t="str">
        <f t="shared" ca="1" si="17198"/>
        <v>France</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1">
        <f t="shared" ca="1" si="17204"/>
        <v>1000</v>
      </c>
      <c r="ADP66" s="321">
        <f t="shared" ca="1" si="17205"/>
        <v>1</v>
      </c>
      <c r="ADQ66" s="321">
        <f t="shared" ref="ADQ66" ca="1" si="17450">IF(ADI66&lt;&gt;"",VLOOKUP(ADI66,ACP4:ACV40,7,FALSE),"")</f>
        <v>1002</v>
      </c>
      <c r="ADR66" s="321">
        <f t="shared" ref="ADR66" ca="1" si="17451">IF(ADI66&lt;&gt;"",VLOOKUP(ADI66,ACP4:ACV40,5,FALSE),"")</f>
        <v>4</v>
      </c>
      <c r="ADS66" s="321">
        <f t="shared" ref="ADS66" ca="1" si="17452">IF(ADI66&lt;&gt;"",VLOOKUP(ADI66,ACP4:ACX40,9,FALSE),"")</f>
        <v>52</v>
      </c>
      <c r="ADT66" s="321">
        <f t="shared" ca="1" si="17209"/>
        <v>1</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1</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0</v>
      </c>
      <c r="AEA66" s="321">
        <f t="shared" ca="1" si="17216"/>
        <v>2</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1">
        <f t="shared" ca="1" si="17224"/>
        <v>1000</v>
      </c>
      <c r="AIN66" s="321">
        <f t="shared" ca="1" si="17225"/>
        <v>1</v>
      </c>
      <c r="AIO66" s="321">
        <f t="shared" ref="AIO66" ca="1" si="17486">IF(AIG66&lt;&gt;"",VLOOKUP(AIG66,AHN4:AHT40,7,FALSE),"")</f>
        <v>1003</v>
      </c>
      <c r="AIP66" s="321">
        <f t="shared" ref="AIP66" ca="1" si="17487">IF(AIG66&lt;&gt;"",VLOOKUP(AIG66,AHN4:AHT40,5,FALSE),"")</f>
        <v>6</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t="str">
        <f t="shared" ref="AND66" ca="1" si="17516">IF(ANE26&lt;&gt;"",SUMPRODUCT((ANL25:ANL28=ANL26)*(ANK25:ANK28=ANK26)*(ANI25:ANI28=ANI26)*(ANJ25:ANJ28=ANJ26)),"")</f>
        <v/>
      </c>
      <c r="ANE66" s="321" t="str">
        <f t="shared" ca="1" si="17238"/>
        <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t="str">
        <f t="shared" ca="1" si="17245"/>
        <v/>
      </c>
      <c r="ANM66" s="321" t="str">
        <f t="shared" ref="ANM66" ca="1" si="17522">IF(ANE66&lt;&gt;"",VLOOKUP(ANE66,AML4:AMR40,7,FALSE),"")</f>
        <v/>
      </c>
      <c r="ANN66" s="321" t="str">
        <f t="shared" ref="ANN66" ca="1" si="17523">IF(ANE66&lt;&gt;"",VLOOKUP(ANE66,AML4:AMR40,5,FALSE),"")</f>
        <v/>
      </c>
      <c r="ANO66" s="321" t="str">
        <f t="shared" ref="ANO66" ca="1" si="17524">IF(ANE66&lt;&gt;"",VLOOKUP(ANE66,AML4:AMT40,9,FALSE),"")</f>
        <v/>
      </c>
      <c r="ANP66" s="321" t="str">
        <f t="shared" ca="1" si="17249"/>
        <v/>
      </c>
      <c r="ANQ66" s="321" t="str">
        <f t="shared" ref="ANQ66" ca="1" si="17525">IF(ANE66&lt;&gt;"",RANK(ANP66,ANP65:ANP68),"")</f>
        <v/>
      </c>
      <c r="ANR66" s="321" t="str">
        <f t="shared" ref="ANR66" ca="1" si="17526">IF(ANE66&lt;&gt;"",SUMPRODUCT((ANP65:ANP68=ANP66)*(ANK65:ANK68&gt;ANK66)),"")</f>
        <v/>
      </c>
      <c r="ANS66" s="321" t="str">
        <f t="shared" ref="ANS66" ca="1" si="17527">IF(ANE66&lt;&gt;"",SUMPRODUCT((ANP65:ANP68=ANP66)*(ANK65:ANK68=ANK66)*(ANI65:ANI68&gt;ANI66)),"")</f>
        <v/>
      </c>
      <c r="ANT66" s="321" t="str">
        <f t="shared" ref="ANT66" ca="1" si="17528">IF(ANE66&lt;&gt;"",SUMPRODUCT((ANP65:ANP68=ANP66)*(ANK65:ANK68=ANK66)*(ANI65:ANI68=ANI66)*(ANM65:ANM68&gt;ANM66)),"")</f>
        <v/>
      </c>
      <c r="ANU66" s="321" t="str">
        <f t="shared" ref="ANU66" ca="1" si="17529">IF(ANE66&lt;&gt;"",SUMPRODUCT((ANP65:ANP68=ANP66)*(ANK65:ANK68=ANK66)*(ANI65:ANI68=ANI66)*(ANM65:ANM68=ANM66)*(ANN65:ANN68&gt;ANN66)),"")</f>
        <v/>
      </c>
      <c r="ANV66" s="321" t="str">
        <f t="shared" ref="ANV66" ca="1" si="17530">IF(ANE66&lt;&gt;"",SUMPRODUCT((ANP65:ANP68=ANP66)*(ANK65:ANK68=ANK66)*(ANI65:ANI68=ANI66)*(ANM65:ANM68=ANM66)*(ANN65:ANN68=ANN66)*(ANO65:ANO68&gt;ANO66)),"")</f>
        <v/>
      </c>
      <c r="ANW66" s="321" t="str">
        <f t="shared" ca="1" si="17256"/>
        <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t="str">
        <f t="shared" ref="ASB66" ca="1" si="17552">IF(ASC26&lt;&gt;"",SUMPRODUCT((ASJ25:ASJ28=ASJ26)*(ASI25:ASI28=ASI26)*(ASG25:ASG28=ASG26)*(ASH25:ASH28=ASH26)),"")</f>
        <v/>
      </c>
      <c r="ASC66" s="321" t="str">
        <f t="shared" ca="1" si="17258"/>
        <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t="str">
        <f t="shared" ca="1" si="17265"/>
        <v/>
      </c>
      <c r="ASK66" s="321" t="str">
        <f t="shared" ref="ASK66" ca="1" si="17558">IF(ASC66&lt;&gt;"",VLOOKUP(ASC66,ARJ4:ARP40,7,FALSE),"")</f>
        <v/>
      </c>
      <c r="ASL66" s="321" t="str">
        <f t="shared" ref="ASL66" ca="1" si="17559">IF(ASC66&lt;&gt;"",VLOOKUP(ASC66,ARJ4:ARP40,5,FALSE),"")</f>
        <v/>
      </c>
      <c r="ASM66" s="321" t="str">
        <f t="shared" ref="ASM66" ca="1" si="17560">IF(ASC66&lt;&gt;"",VLOOKUP(ASC66,ARJ4:ARR40,9,FALSE),"")</f>
        <v/>
      </c>
      <c r="ASN66" s="321" t="str">
        <f t="shared" ca="1" si="17269"/>
        <v/>
      </c>
      <c r="ASO66" s="321" t="str">
        <f t="shared" ref="ASO66" ca="1" si="17561">IF(ASC66&lt;&gt;"",RANK(ASN66,ASN65:ASN68),"")</f>
        <v/>
      </c>
      <c r="ASP66" s="321" t="str">
        <f t="shared" ref="ASP66" ca="1" si="17562">IF(ASC66&lt;&gt;"",SUMPRODUCT((ASN65:ASN68=ASN66)*(ASI65:ASI68&gt;ASI66)),"")</f>
        <v/>
      </c>
      <c r="ASQ66" s="321" t="str">
        <f t="shared" ref="ASQ66" ca="1" si="17563">IF(ASC66&lt;&gt;"",SUMPRODUCT((ASN65:ASN68=ASN66)*(ASI65:ASI68=ASI66)*(ASG65:ASG68&gt;ASG66)),"")</f>
        <v/>
      </c>
      <c r="ASR66" s="321" t="str">
        <f t="shared" ref="ASR66" ca="1" si="17564">IF(ASC66&lt;&gt;"",SUMPRODUCT((ASN65:ASN68=ASN66)*(ASI65:ASI68=ASI66)*(ASG65:ASG68=ASG66)*(ASK65:ASK68&gt;ASK66)),"")</f>
        <v/>
      </c>
      <c r="ASS66" s="321" t="str">
        <f t="shared" ref="ASS66" ca="1" si="17565">IF(ASC66&lt;&gt;"",SUMPRODUCT((ASN65:ASN68=ASN66)*(ASI65:ASI68=ASI66)*(ASG65:ASG68=ASG66)*(ASK65:ASK68=ASK66)*(ASL65:ASL68&gt;ASL66)),"")</f>
        <v/>
      </c>
      <c r="AST66" s="321" t="str">
        <f t="shared" ref="AST66" ca="1" si="17566">IF(ASC66&lt;&gt;"",SUMPRODUCT((ASN65:ASN68=ASN66)*(ASI65:ASI68=ASI66)*(ASG65:ASG68=ASG66)*(ASK65:ASK68=ASK66)*(ASL65:ASL68=ASL66)*(ASM65:ASM68&gt;ASM66)),"")</f>
        <v/>
      </c>
      <c r="ASU66" s="321" t="str">
        <f t="shared" ca="1" si="17276"/>
        <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t="str">
        <f t="shared" ref="AWZ66" ca="1" si="17588">IF(AXA26&lt;&gt;"",SUMPRODUCT((AXH25:AXH28=AXH26)*(AXG25:AXG28=AXG26)*(AXE25:AXE28=AXE26)*(AXF25:AXF28=AXF26)),"")</f>
        <v/>
      </c>
      <c r="AXA66" s="321" t="str">
        <f t="shared" ca="1" si="17278"/>
        <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t="str">
        <f t="shared" ca="1" si="17285"/>
        <v/>
      </c>
      <c r="AXI66" s="321" t="str">
        <f t="shared" ref="AXI66" ca="1" si="17594">IF(AXA66&lt;&gt;"",VLOOKUP(AXA66,AWH4:AWN40,7,FALSE),"")</f>
        <v/>
      </c>
      <c r="AXJ66" s="321" t="str">
        <f t="shared" ref="AXJ66" ca="1" si="17595">IF(AXA66&lt;&gt;"",VLOOKUP(AXA66,AWH4:AWN40,5,FALSE),"")</f>
        <v/>
      </c>
      <c r="AXK66" s="321" t="str">
        <f t="shared" ref="AXK66" ca="1" si="17596">IF(AXA66&lt;&gt;"",VLOOKUP(AXA66,AWH4:AWP40,9,FALSE),"")</f>
        <v/>
      </c>
      <c r="AXL66" s="321" t="str">
        <f t="shared" ca="1" si="17289"/>
        <v/>
      </c>
      <c r="AXM66" s="321" t="str">
        <f t="shared" ref="AXM66" ca="1" si="17597">IF(AXA66&lt;&gt;"",RANK(AXL66,AXL65:AXL68),"")</f>
        <v/>
      </c>
      <c r="AXN66" s="321" t="str">
        <f t="shared" ref="AXN66" ca="1" si="17598">IF(AXA66&lt;&gt;"",SUMPRODUCT((AXL65:AXL68=AXL66)*(AXG65:AXG68&gt;AXG66)),"")</f>
        <v/>
      </c>
      <c r="AXO66" s="321" t="str">
        <f t="shared" ref="AXO66" ca="1" si="17599">IF(AXA66&lt;&gt;"",SUMPRODUCT((AXL65:AXL68=AXL66)*(AXG65:AXG68=AXG66)*(AXE65:AXE68&gt;AXE66)),"")</f>
        <v/>
      </c>
      <c r="AXP66" s="321" t="str">
        <f t="shared" ref="AXP66" ca="1" si="17600">IF(AXA66&lt;&gt;"",SUMPRODUCT((AXL65:AXL68=AXL66)*(AXG65:AXG68=AXG66)*(AXE65:AXE68=AXE66)*(AXI65:AXI68&gt;AXI66)),"")</f>
        <v/>
      </c>
      <c r="AXQ66" s="321" t="str">
        <f t="shared" ref="AXQ66" ca="1" si="17601">IF(AXA66&lt;&gt;"",SUMPRODUCT((AXL65:AXL68=AXL66)*(AXG65:AXG68=AXG66)*(AXE65:AXE68=AXE66)*(AXI65:AXI68=AXI66)*(AXJ65:AXJ68&gt;AXJ66)),"")</f>
        <v/>
      </c>
      <c r="AXR66" s="321" t="str">
        <f t="shared" ref="AXR66" ca="1" si="17602">IF(AXA66&lt;&gt;"",SUMPRODUCT((AXL65:AXL68=AXL66)*(AXG65:AXG68=AXG66)*(AXE65:AXE68=AXE66)*(AXI65:AXI68=AXI66)*(AXJ65:AXJ68=AXJ66)*(AXK65:AXK68&gt;AXK66)),"")</f>
        <v/>
      </c>
      <c r="AXS66" s="321" t="str">
        <f t="shared" ca="1" si="17296"/>
        <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2</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t="str">
        <f t="shared" ref="AND67" ca="1" si="17817">IF(ANE27&lt;&gt;"",SUMPRODUCT((ANL25:ANL28=ANL27)*(ANK25:ANK28=ANK27)*(ANI25:ANI28=ANI27)*(ANJ25:ANJ28=ANJ27)),"")</f>
        <v/>
      </c>
      <c r="ANE67" s="321" t="str">
        <f t="shared" ca="1" si="17238"/>
        <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t="str">
        <f t="shared" ca="1" si="17245"/>
        <v/>
      </c>
      <c r="ANM67" s="321" t="str">
        <f t="shared" ref="ANM67" ca="1" si="17823">IF(ANE67&lt;&gt;"",VLOOKUP(ANE67,AML4:AMR40,7,FALSE),"")</f>
        <v/>
      </c>
      <c r="ANN67" s="321" t="str">
        <f t="shared" ref="ANN67" ca="1" si="17824">IF(ANE67&lt;&gt;"",VLOOKUP(ANE67,AML4:AMR40,5,FALSE),"")</f>
        <v/>
      </c>
      <c r="ANO67" s="321" t="str">
        <f t="shared" ref="ANO67" ca="1" si="17825">IF(ANE67&lt;&gt;"",VLOOKUP(ANE67,AML4:AMT40,9,FALSE),"")</f>
        <v/>
      </c>
      <c r="ANP67" s="321" t="str">
        <f t="shared" ca="1" si="17249"/>
        <v/>
      </c>
      <c r="ANQ67" s="321" t="str">
        <f t="shared" ref="ANQ67" ca="1" si="17826">IF(ANE67&lt;&gt;"",RANK(ANP67,ANP65:ANP68),"")</f>
        <v/>
      </c>
      <c r="ANR67" s="321" t="str">
        <f t="shared" ref="ANR67" ca="1" si="17827">IF(ANE67&lt;&gt;"",SUMPRODUCT((ANP65:ANP68=ANP67)*(ANK65:ANK68&gt;ANK67)),"")</f>
        <v/>
      </c>
      <c r="ANS67" s="321" t="str">
        <f t="shared" ref="ANS67" ca="1" si="17828">IF(ANE67&lt;&gt;"",SUMPRODUCT((ANP65:ANP68=ANP67)*(ANK65:ANK68=ANK67)*(ANI65:ANI68&gt;ANI67)),"")</f>
        <v/>
      </c>
      <c r="ANT67" s="321" t="str">
        <f t="shared" ref="ANT67" ca="1" si="17829">IF(ANE67&lt;&gt;"",SUMPRODUCT((ANP65:ANP68=ANP67)*(ANK65:ANK68=ANK67)*(ANI65:ANI68=ANI67)*(ANM65:ANM68&gt;ANM67)),"")</f>
        <v/>
      </c>
      <c r="ANU67" s="321" t="str">
        <f t="shared" ref="ANU67" ca="1" si="17830">IF(ANE67&lt;&gt;"",SUMPRODUCT((ANP65:ANP68=ANP67)*(ANK65:ANK68=ANK67)*(ANI65:ANI68=ANI67)*(ANM65:ANM68=ANM67)*(ANN65:ANN68&gt;ANN67)),"")</f>
        <v/>
      </c>
      <c r="ANV67" s="321" t="str">
        <f t="shared" ref="ANV67" ca="1" si="17831">IF(ANE67&lt;&gt;"",SUMPRODUCT((ANP65:ANP68=ANP67)*(ANK65:ANK68=ANK67)*(ANI65:ANI68=ANI67)*(ANM65:ANM68=ANM67)*(ANN65:ANN68=ANN67)*(ANO65:ANO68&gt;ANO67)),"")</f>
        <v/>
      </c>
      <c r="ANW67" s="321" t="str">
        <f t="shared" ca="1" si="17256"/>
        <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t="str">
        <f t="shared" ref="ASB67" ca="1" si="17848">IF(ASC27&lt;&gt;"",SUMPRODUCT((ASJ25:ASJ28=ASJ27)*(ASI25:ASI28=ASI27)*(ASG25:ASG28=ASG27)*(ASH25:ASH28=ASH27)),"")</f>
        <v/>
      </c>
      <c r="ASC67" s="321" t="str">
        <f t="shared" ca="1" si="17258"/>
        <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t="str">
        <f t="shared" ca="1" si="17265"/>
        <v/>
      </c>
      <c r="ASK67" s="321" t="str">
        <f t="shared" ref="ASK67" ca="1" si="17854">IF(ASC67&lt;&gt;"",VLOOKUP(ASC67,ARJ4:ARP40,7,FALSE),"")</f>
        <v/>
      </c>
      <c r="ASL67" s="321" t="str">
        <f t="shared" ref="ASL67" ca="1" si="17855">IF(ASC67&lt;&gt;"",VLOOKUP(ASC67,ARJ4:ARP40,5,FALSE),"")</f>
        <v/>
      </c>
      <c r="ASM67" s="321" t="str">
        <f t="shared" ref="ASM67" ca="1" si="17856">IF(ASC67&lt;&gt;"",VLOOKUP(ASC67,ARJ4:ARR40,9,FALSE),"")</f>
        <v/>
      </c>
      <c r="ASN67" s="321" t="str">
        <f t="shared" ca="1" si="17269"/>
        <v/>
      </c>
      <c r="ASO67" s="321" t="str">
        <f t="shared" ref="ASO67" ca="1" si="17857">IF(ASC67&lt;&gt;"",RANK(ASN67,ASN65:ASN68),"")</f>
        <v/>
      </c>
      <c r="ASP67" s="321" t="str">
        <f t="shared" ref="ASP67" ca="1" si="17858">IF(ASC67&lt;&gt;"",SUMPRODUCT((ASN65:ASN68=ASN67)*(ASI65:ASI68&gt;ASI67)),"")</f>
        <v/>
      </c>
      <c r="ASQ67" s="321" t="str">
        <f t="shared" ref="ASQ67" ca="1" si="17859">IF(ASC67&lt;&gt;"",SUMPRODUCT((ASN65:ASN68=ASN67)*(ASI65:ASI68=ASI67)*(ASG65:ASG68&gt;ASG67)),"")</f>
        <v/>
      </c>
      <c r="ASR67" s="321" t="str">
        <f t="shared" ref="ASR67" ca="1" si="17860">IF(ASC67&lt;&gt;"",SUMPRODUCT((ASN65:ASN68=ASN67)*(ASI65:ASI68=ASI67)*(ASG65:ASG68=ASG67)*(ASK65:ASK68&gt;ASK67)),"")</f>
        <v/>
      </c>
      <c r="ASS67" s="321" t="str">
        <f t="shared" ref="ASS67" ca="1" si="17861">IF(ASC67&lt;&gt;"",SUMPRODUCT((ASN65:ASN68=ASN67)*(ASI65:ASI68=ASI67)*(ASG65:ASG68=ASG67)*(ASK65:ASK68=ASK67)*(ASL65:ASL68&gt;ASL67)),"")</f>
        <v/>
      </c>
      <c r="AST67" s="321" t="str">
        <f t="shared" ref="AST67" ca="1" si="17862">IF(ASC67&lt;&gt;"",SUMPRODUCT((ASN65:ASN68=ASN67)*(ASI65:ASI68=ASI67)*(ASG65:ASG68=ASG67)*(ASK65:ASK68=ASK67)*(ASL65:ASL68=ASL67)*(ASM65:ASM68&gt;ASM67)),"")</f>
        <v/>
      </c>
      <c r="ASU67" s="321" t="str">
        <f t="shared" ca="1" si="17276"/>
        <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t="str">
        <f t="shared" ref="AWZ67" ca="1" si="17879">IF(AXA27&lt;&gt;"",SUMPRODUCT((AXH25:AXH28=AXH27)*(AXG25:AXG28=AXG27)*(AXE25:AXE28=AXE27)*(AXF25:AXF28=AXF27)),"")</f>
        <v/>
      </c>
      <c r="AXA67" s="321" t="str">
        <f t="shared" ca="1" si="17278"/>
        <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t="str">
        <f t="shared" ca="1" si="17285"/>
        <v/>
      </c>
      <c r="AXI67" s="321" t="str">
        <f t="shared" ref="AXI67" ca="1" si="17885">IF(AXA67&lt;&gt;"",VLOOKUP(AXA67,AWH4:AWN40,7,FALSE),"")</f>
        <v/>
      </c>
      <c r="AXJ67" s="321" t="str">
        <f t="shared" ref="AXJ67" ca="1" si="17886">IF(AXA67&lt;&gt;"",VLOOKUP(AXA67,AWH4:AWN40,5,FALSE),"")</f>
        <v/>
      </c>
      <c r="AXK67" s="321" t="str">
        <f t="shared" ref="AXK67" ca="1" si="17887">IF(AXA67&lt;&gt;"",VLOOKUP(AXA67,AWH4:AWP40,9,FALSE),"")</f>
        <v/>
      </c>
      <c r="AXL67" s="321" t="str">
        <f t="shared" ca="1" si="17289"/>
        <v/>
      </c>
      <c r="AXM67" s="321" t="str">
        <f t="shared" ref="AXM67" ca="1" si="17888">IF(AXA67&lt;&gt;"",RANK(AXL67,AXL65:AXL68),"")</f>
        <v/>
      </c>
      <c r="AXN67" s="321" t="str">
        <f t="shared" ref="AXN67" ca="1" si="17889">IF(AXA67&lt;&gt;"",SUMPRODUCT((AXL65:AXL68=AXL67)*(AXG65:AXG68&gt;AXG67)),"")</f>
        <v/>
      </c>
      <c r="AXO67" s="321" t="str">
        <f t="shared" ref="AXO67" ca="1" si="17890">IF(AXA67&lt;&gt;"",SUMPRODUCT((AXL65:AXL68=AXL67)*(AXG65:AXG68=AXG67)*(AXE65:AXE68&gt;AXE67)),"")</f>
        <v/>
      </c>
      <c r="AXP67" s="321" t="str">
        <f t="shared" ref="AXP67" ca="1" si="17891">IF(AXA67&lt;&gt;"",SUMPRODUCT((AXL65:AXL68=AXL67)*(AXG65:AXG68=AXG67)*(AXE65:AXE68=AXE67)*(AXI65:AXI68&gt;AXI67)),"")</f>
        <v/>
      </c>
      <c r="AXQ67" s="321" t="str">
        <f t="shared" ref="AXQ67" ca="1" si="17892">IF(AXA67&lt;&gt;"",SUMPRODUCT((AXL65:AXL68=AXL67)*(AXG65:AXG68=AXG67)*(AXE65:AXE68=AXE67)*(AXI65:AXI68=AXI67)*(AXJ65:AXJ68&gt;AXJ67)),"")</f>
        <v/>
      </c>
      <c r="AXR67" s="321" t="str">
        <f t="shared" ref="AXR67" ca="1" si="17893">IF(AXA67&lt;&gt;"",SUMPRODUCT((AXL65:AXL68=AXL67)*(AXG65:AXG68=AXG67)*(AXE65:AXE68=AXE67)*(AXI65:AXI68=AXI67)*(AXJ65:AXJ68=AXJ67)*(AXK65:AXK68&gt;AXK67)),"")</f>
        <v/>
      </c>
      <c r="AXS67" s="321" t="str">
        <f t="shared" ca="1" si="17296"/>
        <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t="str">
        <f t="shared" ref="AND68" ca="1" si="18091">IF(ANE28&lt;&gt;"",SUMPRODUCT((ANL25:ANL28=ANL28)*(ANK25:ANK28=ANK28)*(ANI25:ANI28=ANI28)*(ANJ25:ANJ28=ANJ28)),"")</f>
        <v/>
      </c>
      <c r="ANE68" s="321" t="str">
        <f t="shared" ca="1" si="17238"/>
        <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t="str">
        <f t="shared" ca="1" si="17245"/>
        <v/>
      </c>
      <c r="ANM68" s="321" t="str">
        <f t="shared" ref="ANM68" ca="1" si="18097">IF(ANE68&lt;&gt;"",VLOOKUP(ANE68,AML4:AMR40,7,FALSE),"")</f>
        <v/>
      </c>
      <c r="ANN68" s="321" t="str">
        <f t="shared" ref="ANN68" ca="1" si="18098">IF(ANE68&lt;&gt;"",VLOOKUP(ANE68,AML4:AMR40,5,FALSE),"")</f>
        <v/>
      </c>
      <c r="ANO68" s="321" t="str">
        <f t="shared" ref="ANO68" ca="1" si="18099">IF(ANE68&lt;&gt;"",VLOOKUP(ANE68,AML4:AMT40,9,FALSE),"")</f>
        <v/>
      </c>
      <c r="ANP68" s="321" t="str">
        <f t="shared" ca="1" si="17249"/>
        <v/>
      </c>
      <c r="ANQ68" s="321" t="str">
        <f t="shared" ref="ANQ68" ca="1" si="18100">IF(ANE68&lt;&gt;"",RANK(ANP68,ANP65:ANP68),"")</f>
        <v/>
      </c>
      <c r="ANR68" s="321" t="str">
        <f t="shared" ref="ANR68" ca="1" si="18101">IF(ANE68&lt;&gt;"",SUMPRODUCT((ANP65:ANP68=ANP68)*(ANK65:ANK68&gt;ANK68)),"")</f>
        <v/>
      </c>
      <c r="ANS68" s="321" t="str">
        <f t="shared" ref="ANS68" ca="1" si="18102">IF(ANE68&lt;&gt;"",SUMPRODUCT((ANP65:ANP68=ANP68)*(ANK65:ANK68=ANK68)*(ANI65:ANI68&gt;ANI68)),"")</f>
        <v/>
      </c>
      <c r="ANT68" s="321" t="str">
        <f t="shared" ref="ANT68" ca="1" si="18103">IF(ANE68&lt;&gt;"",SUMPRODUCT((ANP65:ANP68=ANP68)*(ANK65:ANK68=ANK68)*(ANI65:ANI68=ANI68)*(ANM65:ANM68&gt;ANM68)),"")</f>
        <v/>
      </c>
      <c r="ANU68" s="321" t="str">
        <f t="shared" ref="ANU68" ca="1" si="18104">IF(ANE68&lt;&gt;"",SUMPRODUCT((ANP65:ANP68=ANP68)*(ANK65:ANK68=ANK68)*(ANI65:ANI68=ANI68)*(ANM65:ANM68=ANM68)*(ANN65:ANN68&gt;ANN68)),"")</f>
        <v/>
      </c>
      <c r="ANV68" s="321" t="str">
        <f t="shared" ref="ANV68" ca="1" si="18105">IF(ANE68&lt;&gt;"",SUMPRODUCT((ANP65:ANP68=ANP68)*(ANK65:ANK68=ANK68)*(ANI65:ANI68=ANI68)*(ANM65:ANM68=ANM68)*(ANN65:ANN68=ANN68)*(ANO65:ANO68&gt;ANO68)),"")</f>
        <v/>
      </c>
      <c r="ANW68" s="321" t="str">
        <f t="shared" ca="1" si="17256"/>
        <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t="str">
        <f t="shared" ref="ASB68" ca="1" si="18121">IF(ASC28&lt;&gt;"",SUMPRODUCT((ASJ25:ASJ28=ASJ28)*(ASI25:ASI28=ASI28)*(ASG25:ASG28=ASG28)*(ASH25:ASH28=ASH28)),"")</f>
        <v/>
      </c>
      <c r="ASC68" s="321" t="str">
        <f t="shared" ca="1" si="17258"/>
        <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t="str">
        <f t="shared" ca="1" si="17265"/>
        <v/>
      </c>
      <c r="ASK68" s="321" t="str">
        <f t="shared" ref="ASK68" ca="1" si="18127">IF(ASC68&lt;&gt;"",VLOOKUP(ASC68,ARJ4:ARP40,7,FALSE),"")</f>
        <v/>
      </c>
      <c r="ASL68" s="321" t="str">
        <f t="shared" ref="ASL68" ca="1" si="18128">IF(ASC68&lt;&gt;"",VLOOKUP(ASC68,ARJ4:ARP40,5,FALSE),"")</f>
        <v/>
      </c>
      <c r="ASM68" s="321" t="str">
        <f t="shared" ref="ASM68" ca="1" si="18129">IF(ASC68&lt;&gt;"",VLOOKUP(ASC68,ARJ4:ARR40,9,FALSE),"")</f>
        <v/>
      </c>
      <c r="ASN68" s="321" t="str">
        <f t="shared" ca="1" si="17269"/>
        <v/>
      </c>
      <c r="ASO68" s="321" t="str">
        <f t="shared" ref="ASO68" ca="1" si="18130">IF(ASC68&lt;&gt;"",RANK(ASN68,ASN65:ASN68),"")</f>
        <v/>
      </c>
      <c r="ASP68" s="321" t="str">
        <f t="shared" ref="ASP68" ca="1" si="18131">IF(ASC68&lt;&gt;"",SUMPRODUCT((ASN65:ASN68=ASN68)*(ASI65:ASI68&gt;ASI68)),"")</f>
        <v/>
      </c>
      <c r="ASQ68" s="321" t="str">
        <f t="shared" ref="ASQ68" ca="1" si="18132">IF(ASC68&lt;&gt;"",SUMPRODUCT((ASN65:ASN68=ASN68)*(ASI65:ASI68=ASI68)*(ASG65:ASG68&gt;ASG68)),"")</f>
        <v/>
      </c>
      <c r="ASR68" s="321" t="str">
        <f t="shared" ref="ASR68" ca="1" si="18133">IF(ASC68&lt;&gt;"",SUMPRODUCT((ASN65:ASN68=ASN68)*(ASI65:ASI68=ASI68)*(ASG65:ASG68=ASG68)*(ASK65:ASK68&gt;ASK68)),"")</f>
        <v/>
      </c>
      <c r="ASS68" s="321" t="str">
        <f t="shared" ref="ASS68" ca="1" si="18134">IF(ASC68&lt;&gt;"",SUMPRODUCT((ASN65:ASN68=ASN68)*(ASI65:ASI68=ASI68)*(ASG65:ASG68=ASG68)*(ASK65:ASK68=ASK68)*(ASL65:ASL68&gt;ASL68)),"")</f>
        <v/>
      </c>
      <c r="AST68" s="321" t="str">
        <f t="shared" ref="AST68" ca="1" si="18135">IF(ASC68&lt;&gt;"",SUMPRODUCT((ASN65:ASN68=ASN68)*(ASI65:ASI68=ASI68)*(ASG65:ASG68=ASG68)*(ASK65:ASK68=ASK68)*(ASL65:ASL68=ASL68)*(ASM65:ASM68&gt;ASM68)),"")</f>
        <v/>
      </c>
      <c r="ASU68" s="321" t="str">
        <f t="shared" ca="1" si="17276"/>
        <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t="str">
        <f t="shared" ref="AWZ68" ca="1" si="18151">IF(AXA28&lt;&gt;"",SUMPRODUCT((AXH25:AXH28=AXH28)*(AXG25:AXG28=AXG28)*(AXE25:AXE28=AXE28)*(AXF25:AXF28=AXF28)),"")</f>
        <v/>
      </c>
      <c r="AXA68" s="321" t="str">
        <f t="shared" ca="1" si="17278"/>
        <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t="str">
        <f t="shared" ca="1" si="17285"/>
        <v/>
      </c>
      <c r="AXI68" s="321" t="str">
        <f t="shared" ref="AXI68" ca="1" si="18157">IF(AXA68&lt;&gt;"",VLOOKUP(AXA68,AWH4:AWN40,7,FALSE),"")</f>
        <v/>
      </c>
      <c r="AXJ68" s="321" t="str">
        <f t="shared" ref="AXJ68" ca="1" si="18158">IF(AXA68&lt;&gt;"",VLOOKUP(AXA68,AWH4:AWN40,5,FALSE),"")</f>
        <v/>
      </c>
      <c r="AXK68" s="321" t="str">
        <f t="shared" ref="AXK68" ca="1" si="18159">IF(AXA68&lt;&gt;"",VLOOKUP(AXA68,AWH4:AWP40,9,FALSE),"")</f>
        <v/>
      </c>
      <c r="AXL68" s="321" t="str">
        <f t="shared" ca="1" si="17289"/>
        <v/>
      </c>
      <c r="AXM68" s="321" t="str">
        <f t="shared" ref="AXM68" ca="1" si="18160">IF(AXA68&lt;&gt;"",RANK(AXL68,AXL65:AXL68),"")</f>
        <v/>
      </c>
      <c r="AXN68" s="321" t="str">
        <f t="shared" ref="AXN68" ca="1" si="18161">IF(AXA68&lt;&gt;"",SUMPRODUCT((AXL65:AXL68=AXL68)*(AXG65:AXG68&gt;AXG68)),"")</f>
        <v/>
      </c>
      <c r="AXO68" s="321" t="str">
        <f t="shared" ref="AXO68" ca="1" si="18162">IF(AXA68&lt;&gt;"",SUMPRODUCT((AXL65:AXL68=AXL68)*(AXG65:AXG68=AXG68)*(AXE65:AXE68&gt;AXE68)),"")</f>
        <v/>
      </c>
      <c r="AXP68" s="321" t="str">
        <f t="shared" ref="AXP68" ca="1" si="18163">IF(AXA68&lt;&gt;"",SUMPRODUCT((AXL65:AXL68=AXL68)*(AXG65:AXG68=AXG68)*(AXE65:AXE68=AXE68)*(AXI65:AXI68&gt;AXI68)),"")</f>
        <v/>
      </c>
      <c r="AXQ68" s="321" t="str">
        <f t="shared" ref="AXQ68" ca="1" si="18164">IF(AXA68&lt;&gt;"",SUMPRODUCT((AXL65:AXL68=AXL68)*(AXG65:AXG68=AXG68)*(AXE65:AXE68=AXE68)*(AXI65:AXI68=AXI68)*(AXJ65:AXJ68&gt;AXJ68)),"")</f>
        <v/>
      </c>
      <c r="AXR68" s="321" t="str">
        <f t="shared" ref="AXR68" ca="1" si="18165">IF(AXA68&lt;&gt;"",SUMPRODUCT((AXL65:AXL68=AXL68)*(AXG65:AXG68=AXG68)*(AXE65:AXE68=AXE68)*(AXI65:AXI68=AXI68)*(AXJ65:AXJ68=AXJ68)*(AXK65:AXK68&gt;AXK68)),"")</f>
        <v/>
      </c>
      <c r="AXS68" s="321" t="str">
        <f t="shared" ca="1" si="17296"/>
        <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0</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3</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2</v>
      </c>
      <c r="U71" s="321" t="str">
        <f>IF(AND(T71&lt;&gt;"",T71&gt;1),U31,"")</f>
        <v>Slovakia</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f>IF(U71&lt;&gt;"",V71*3+W71*1,"")</f>
        <v>0</v>
      </c>
      <c r="AC71" s="321">
        <f>IF(U71&lt;&gt;"",VLOOKUP(U71,B4:H40,7,FALSE),"")</f>
        <v>1001</v>
      </c>
      <c r="AD71" s="321">
        <f>IF(U71&lt;&gt;"",VLOOKUP(U71,B4:H40,5,FALSE),"")</f>
        <v>1</v>
      </c>
      <c r="AE71" s="321">
        <f>IF(U71&lt;&gt;"",VLOOKUP(U71,B4:J40,9,FALSE),"")</f>
        <v>38</v>
      </c>
      <c r="AF71" s="321">
        <f>AB71</f>
        <v>0</v>
      </c>
      <c r="AG71" s="321">
        <f>IF(U71&lt;&gt;"",RANK(AF71,AF71:AF74),"")</f>
        <v>1</v>
      </c>
      <c r="AH71" s="321">
        <f>IF(U71&lt;&gt;"",SUMPRODUCT((AF71:AF74=AF71)*(AA71:AA74&gt;AA71)),"")</f>
        <v>0</v>
      </c>
      <c r="AI71" s="321">
        <f>IF(U71&lt;&gt;"",SUMPRODUCT((AF71:AF74=AF71)*(AA71:AA74=AA71)*(Y71:Y74&gt;Y71)),"")</f>
        <v>0</v>
      </c>
      <c r="AJ71" s="321">
        <f>IF(U71&lt;&gt;"",SUMPRODUCT((AF71:AF74=AF71)*(AA71:AA74=AA71)*(Y71:Y74=Y71)*(AC71:AC74&gt;AC71)),"")</f>
        <v>1</v>
      </c>
      <c r="AK71" s="321">
        <f>IF(U71&lt;&gt;"",SUMPRODUCT((AF71:AF74=AF71)*(AA71:AA74=AA71)*(Y71:Y74=Y71)*(AC71:AC74=AC71)*(AD71:AD74&gt;AD71)),"")</f>
        <v>0</v>
      </c>
      <c r="AL71" s="321">
        <f>IF(U71&lt;&gt;"",SUMPRODUCT((AF71:AF74=AF71)*(AA71:AA74=AA71)*(Y71:Y74=Y71)*(AC71:AC74=AC71)*(AD71:AD74=AD71)*(AE71:AE74&gt;AE71)),"")</f>
        <v>0</v>
      </c>
      <c r="AM71" s="321">
        <f>IF(U71&lt;&gt;"",SUM(AG71:AL71),"")</f>
        <v>2</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t="str">
        <f t="shared" ref="AND71" ca="1" si="18329">IF(ANE31&lt;&gt;"",SUMPRODUCT((ANL31:ANL34=ANL31)*(ANK31:ANK34=ANK31)*(ANI31:ANI34=ANI31)*(ANJ31:ANJ34=ANJ31)),"")</f>
        <v/>
      </c>
      <c r="ANE71" s="321" t="str">
        <f t="shared" ref="ANE71:ANE74" ca="1" si="18330">IF(AND(AND71&lt;&gt;"",AND71&gt;1),ANE31,"")</f>
        <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t="str">
        <f t="shared" ref="ANL71:ANL74" ca="1" si="18337">IF(ANE71&lt;&gt;"",ANF71*3+ANG71*1,"")</f>
        <v/>
      </c>
      <c r="ANM71" s="321" t="str">
        <f t="shared" ref="ANM71" ca="1" si="18338">IF(ANE71&lt;&gt;"",VLOOKUP(ANE71,AML4:AMR40,7,FALSE),"")</f>
        <v/>
      </c>
      <c r="ANN71" s="321" t="str">
        <f t="shared" ref="ANN71" ca="1" si="18339">IF(ANE71&lt;&gt;"",VLOOKUP(ANE71,AML4:AMR40,5,FALSE),"")</f>
        <v/>
      </c>
      <c r="ANO71" s="321" t="str">
        <f t="shared" ref="ANO71" ca="1" si="18340">IF(ANE71&lt;&gt;"",VLOOKUP(ANE71,AML4:AMT40,9,FALSE),"")</f>
        <v/>
      </c>
      <c r="ANP71" s="321" t="str">
        <f t="shared" ref="ANP71:ANP74" ca="1" si="18341">ANL71</f>
        <v/>
      </c>
      <c r="ANQ71" s="321" t="str">
        <f t="shared" ref="ANQ71" ca="1" si="18342">IF(ANE71&lt;&gt;"",RANK(ANP71,ANP71:ANP74),"")</f>
        <v/>
      </c>
      <c r="ANR71" s="321" t="str">
        <f t="shared" ref="ANR71" ca="1" si="18343">IF(ANE71&lt;&gt;"",SUMPRODUCT((ANP71:ANP74=ANP71)*(ANK71:ANK74&gt;ANK71)),"")</f>
        <v/>
      </c>
      <c r="ANS71" s="321" t="str">
        <f t="shared" ref="ANS71" ca="1" si="18344">IF(ANE71&lt;&gt;"",SUMPRODUCT((ANP71:ANP74=ANP71)*(ANK71:ANK74=ANK71)*(ANI71:ANI74&gt;ANI71)),"")</f>
        <v/>
      </c>
      <c r="ANT71" s="321" t="str">
        <f t="shared" ref="ANT71" ca="1" si="18345">IF(ANE71&lt;&gt;"",SUMPRODUCT((ANP71:ANP74=ANP71)*(ANK71:ANK74=ANK71)*(ANI71:ANI74=ANI71)*(ANM71:ANM74&gt;ANM71)),"")</f>
        <v/>
      </c>
      <c r="ANU71" s="321" t="str">
        <f t="shared" ref="ANU71" ca="1" si="18346">IF(ANE71&lt;&gt;"",SUMPRODUCT((ANP71:ANP74=ANP71)*(ANK71:ANK74=ANK71)*(ANI71:ANI74=ANI71)*(ANM71:ANM74=ANM71)*(ANN71:ANN74&gt;ANN71)),"")</f>
        <v/>
      </c>
      <c r="ANV71" s="321" t="str">
        <f t="shared" ref="ANV71" ca="1" si="18347">IF(ANE71&lt;&gt;"",SUMPRODUCT((ANP71:ANP74=ANP71)*(ANK71:ANK74=ANK71)*(ANI71:ANI74=ANI71)*(ANM71:ANM74=ANM71)*(ANN71:ANN74=ANN71)*(ANO71:ANO74&gt;ANO71)),"")</f>
        <v/>
      </c>
      <c r="ANW71" s="321" t="str">
        <f t="shared" ref="ANW71:ANW74" ca="1" si="18348">IF(ANE71&lt;&gt;"",SUM(ANQ71:ANV71),"")</f>
        <v/>
      </c>
      <c r="ARQ71" s="321">
        <f ca="1">SUMPRODUCT((ARQ31:ARQ34=ARQ31)*(ARP31:ARP34=ARP31)*(ARN31:ARN34&gt;ARN31))+1</f>
        <v>1</v>
      </c>
      <c r="ASB71" s="321" t="str">
        <f t="shared" ref="ASB71" ca="1" si="18349">IF(ASC31&lt;&gt;"",SUMPRODUCT((ASJ31:ASJ34=ASJ31)*(ASI31:ASI34=ASI31)*(ASG31:ASG34=ASG31)*(ASH31:ASH34=ASH31)),"")</f>
        <v/>
      </c>
      <c r="ASC71" s="321" t="str">
        <f t="shared" ref="ASC71:ASC74" ca="1" si="18350">IF(AND(ASB71&lt;&gt;"",ASB71&gt;1),ASC31,"")</f>
        <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t="str">
        <f t="shared" ref="ASJ71:ASJ74" ca="1" si="18357">IF(ASC71&lt;&gt;"",ASD71*3+ASE71*1,"")</f>
        <v/>
      </c>
      <c r="ASK71" s="321" t="str">
        <f t="shared" ref="ASK71" ca="1" si="18358">IF(ASC71&lt;&gt;"",VLOOKUP(ASC71,ARJ4:ARP40,7,FALSE),"")</f>
        <v/>
      </c>
      <c r="ASL71" s="321" t="str">
        <f t="shared" ref="ASL71" ca="1" si="18359">IF(ASC71&lt;&gt;"",VLOOKUP(ASC71,ARJ4:ARP40,5,FALSE),"")</f>
        <v/>
      </c>
      <c r="ASM71" s="321" t="str">
        <f t="shared" ref="ASM71" ca="1" si="18360">IF(ASC71&lt;&gt;"",VLOOKUP(ASC71,ARJ4:ARR40,9,FALSE),"")</f>
        <v/>
      </c>
      <c r="ASN71" s="321" t="str">
        <f t="shared" ref="ASN71:ASN74" ca="1" si="18361">ASJ71</f>
        <v/>
      </c>
      <c r="ASO71" s="321" t="str">
        <f t="shared" ref="ASO71" ca="1" si="18362">IF(ASC71&lt;&gt;"",RANK(ASN71,ASN71:ASN74),"")</f>
        <v/>
      </c>
      <c r="ASP71" s="321" t="str">
        <f t="shared" ref="ASP71" ca="1" si="18363">IF(ASC71&lt;&gt;"",SUMPRODUCT((ASN71:ASN74=ASN71)*(ASI71:ASI74&gt;ASI71)),"")</f>
        <v/>
      </c>
      <c r="ASQ71" s="321" t="str">
        <f t="shared" ref="ASQ71" ca="1" si="18364">IF(ASC71&lt;&gt;"",SUMPRODUCT((ASN71:ASN74=ASN71)*(ASI71:ASI74=ASI71)*(ASG71:ASG74&gt;ASG71)),"")</f>
        <v/>
      </c>
      <c r="ASR71" s="321" t="str">
        <f t="shared" ref="ASR71" ca="1" si="18365">IF(ASC71&lt;&gt;"",SUMPRODUCT((ASN71:ASN74=ASN71)*(ASI71:ASI74=ASI71)*(ASG71:ASG74=ASG71)*(ASK71:ASK74&gt;ASK71)),"")</f>
        <v/>
      </c>
      <c r="ASS71" s="321" t="str">
        <f t="shared" ref="ASS71" ca="1" si="18366">IF(ASC71&lt;&gt;"",SUMPRODUCT((ASN71:ASN74=ASN71)*(ASI71:ASI74=ASI71)*(ASG71:ASG74=ASG71)*(ASK71:ASK74=ASK71)*(ASL71:ASL74&gt;ASL71)),"")</f>
        <v/>
      </c>
      <c r="AST71" s="321" t="str">
        <f t="shared" ref="AST71" ca="1" si="18367">IF(ASC71&lt;&gt;"",SUMPRODUCT((ASN71:ASN74=ASN71)*(ASI71:ASI74=ASI71)*(ASG71:ASG74=ASG71)*(ASK71:ASK74=ASK71)*(ASL71:ASL74=ASL71)*(ASM71:ASM74&gt;ASM71)),"")</f>
        <v/>
      </c>
      <c r="ASU71" s="321" t="str">
        <f t="shared" ref="ASU71:ASU74" ca="1" si="18368">IF(ASC71&lt;&gt;"",SUM(ASO71:AST71),"")</f>
        <v/>
      </c>
      <c r="AWO71" s="321">
        <f ca="1">SUMPRODUCT((AWO31:AWO34=AWO31)*(AWN31:AWN34=AWN31)*(AWL31:AWL34&gt;AWL31))+1</f>
        <v>1</v>
      </c>
      <c r="AWZ71" s="321" t="str">
        <f t="shared" ref="AWZ71" ca="1" si="18369">IF(AXA31&lt;&gt;"",SUMPRODUCT((AXH31:AXH34=AXH31)*(AXG31:AXG34=AXG31)*(AXE31:AXE34=AXE31)*(AXF31:AXF34=AXF31)),"")</f>
        <v/>
      </c>
      <c r="AXA71" s="321" t="str">
        <f t="shared" ref="AXA71:AXA74" ca="1" si="18370">IF(AND(AWZ71&lt;&gt;"",AWZ71&gt;1),AXA31,"")</f>
        <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t="str">
        <f t="shared" ref="AXH71:AXH74" ca="1" si="18377">IF(AXA71&lt;&gt;"",AXB71*3+AXC71*1,"")</f>
        <v/>
      </c>
      <c r="AXI71" s="321" t="str">
        <f t="shared" ref="AXI71" ca="1" si="18378">IF(AXA71&lt;&gt;"",VLOOKUP(AXA71,AWH4:AWN40,7,FALSE),"")</f>
        <v/>
      </c>
      <c r="AXJ71" s="321" t="str">
        <f t="shared" ref="AXJ71" ca="1" si="18379">IF(AXA71&lt;&gt;"",VLOOKUP(AXA71,AWH4:AWN40,5,FALSE),"")</f>
        <v/>
      </c>
      <c r="AXK71" s="321" t="str">
        <f t="shared" ref="AXK71" ca="1" si="18380">IF(AXA71&lt;&gt;"",VLOOKUP(AXA71,AWH4:AWP40,9,FALSE),"")</f>
        <v/>
      </c>
      <c r="AXL71" s="321" t="str">
        <f t="shared" ref="AXL71:AXL74" ca="1" si="18381">AXH71</f>
        <v/>
      </c>
      <c r="AXM71" s="321" t="str">
        <f t="shared" ref="AXM71" ca="1" si="18382">IF(AXA71&lt;&gt;"",RANK(AXL71,AXL71:AXL74),"")</f>
        <v/>
      </c>
      <c r="AXN71" s="321" t="str">
        <f t="shared" ref="AXN71" ca="1" si="18383">IF(AXA71&lt;&gt;"",SUMPRODUCT((AXL71:AXL74=AXL71)*(AXG71:AXG74&gt;AXG71)),"")</f>
        <v/>
      </c>
      <c r="AXO71" s="321" t="str">
        <f t="shared" ref="AXO71" ca="1" si="18384">IF(AXA71&lt;&gt;"",SUMPRODUCT((AXL71:AXL74=AXL71)*(AXG71:AXG74=AXG71)*(AXE71:AXE74&gt;AXE71)),"")</f>
        <v/>
      </c>
      <c r="AXP71" s="321" t="str">
        <f t="shared" ref="AXP71" ca="1" si="18385">IF(AXA71&lt;&gt;"",SUMPRODUCT((AXL71:AXL74=AXL71)*(AXG71:AXG74=AXG71)*(AXE71:AXE74=AXE71)*(AXI71:AXI74&gt;AXI71)),"")</f>
        <v/>
      </c>
      <c r="AXQ71" s="321" t="str">
        <f t="shared" ref="AXQ71" ca="1" si="18386">IF(AXA71&lt;&gt;"",SUMPRODUCT((AXL71:AXL74=AXL71)*(AXG71:AXG74=AXG71)*(AXE71:AXE74=AXE71)*(AXI71:AXI74=AXI71)*(AXJ71:AXJ74&gt;AXJ71)),"")</f>
        <v/>
      </c>
      <c r="AXR71" s="321" t="str">
        <f t="shared" ref="AXR71" ca="1" si="18387">IF(AXA71&lt;&gt;"",SUMPRODUCT((AXL71:AXL74=AXL71)*(AXG71:AXG74=AXG71)*(AXE71:AXE74=AXE71)*(AXI71:AXI74=AXI71)*(AXJ71:AXJ74=AXJ71)*(AXK71:AXK74&gt;AXK71)),"")</f>
        <v/>
      </c>
      <c r="AXS71" s="321" t="str">
        <f t="shared" ref="AXS71:AXS74" ca="1" si="18388">IF(AXA71&lt;&gt;"",SUM(AXM71:AXR71),"")</f>
        <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2</v>
      </c>
      <c r="U72" s="321" t="str">
        <f t="shared" ref="U72:U74" si="18409">IF(AND(T72&lt;&gt;"",T72&gt;1),U32,"")</f>
        <v>Romania</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f t="shared" ref="AB72:AB74" si="18410">IF(U72&lt;&gt;"",V72*3+W72*1,"")</f>
        <v>0</v>
      </c>
      <c r="AC72" s="321">
        <f>IF(U72&lt;&gt;"",VLOOKUP(U72,B4:H40,7,FALSE),"")</f>
        <v>1003</v>
      </c>
      <c r="AD72" s="321">
        <f>IF(U72&lt;&gt;"",VLOOKUP(U72,B4:H40,5,FALSE),"")</f>
        <v>3</v>
      </c>
      <c r="AE72" s="321">
        <f>IF(U72&lt;&gt;"",VLOOKUP(U72,B4:J40,9,FALSE),"")</f>
        <v>46</v>
      </c>
      <c r="AF72" s="321">
        <f t="shared" ref="AF72:AF74" si="18411">AB72</f>
        <v>0</v>
      </c>
      <c r="AG72" s="321">
        <f>IF(U72&lt;&gt;"",RANK(AF72,AF71:AF74),"")</f>
        <v>1</v>
      </c>
      <c r="AH72" s="321">
        <f>IF(U72&lt;&gt;"",SUMPRODUCT((AF71:AF74=AF72)*(AA71:AA74&gt;AA72)),"")</f>
        <v>0</v>
      </c>
      <c r="AI72" s="321">
        <f>IF(U72&lt;&gt;"",SUMPRODUCT((AF71:AF74=AF72)*(AA71:AA74=AA72)*(Y71:Y74&gt;Y72)),"")</f>
        <v>0</v>
      </c>
      <c r="AJ72" s="321">
        <f>IF(U72&lt;&gt;"",SUMPRODUCT((AF71:AF74=AF72)*(AA71:AA74=AA72)*(Y71:Y74=Y72)*(AC71:AC74&gt;AC72)),"")</f>
        <v>0</v>
      </c>
      <c r="AK72" s="321">
        <f>IF(U72&lt;&gt;"",SUMPRODUCT((AF71:AF74=AF72)*(AA71:AA74=AA72)*(Y71:Y74=Y72)*(AC71:AC74=AC72)*(AD71:AD74&gt;AD72)),"")</f>
        <v>0</v>
      </c>
      <c r="AL72" s="321">
        <f>IF(U72&lt;&gt;"",SUMPRODUCT((AF71:AF74=AF72)*(AA71:AA74=AA72)*(Y71:Y74=Y72)*(AC71:AC74=AC72)*(AD71:AD74=AD72)*(AE71:AE74&gt;AE72)),"")</f>
        <v>0</v>
      </c>
      <c r="AM72" s="321">
        <f>IF(U72&lt;&gt;"",SUM(AG72:AL72),"")</f>
        <v>1</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f ca="1">IF(KK32&lt;&gt;"",SUMPRODUCT((KR31:KR34=KR32)*(KQ31:KQ34=KQ32)*(KO31:KO34=KO32)*(KP31:KP34=KP32)),"")</f>
        <v>2</v>
      </c>
      <c r="KK72" s="321" t="str">
        <f t="shared" ref="KK72:KK74" ca="1" si="18424">IF(AND(KJ72&lt;&gt;"",KJ72&gt;1),KK32,"")</f>
        <v>Ukraine</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1</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1">
        <f ca="1">KO72-KP72+1000</f>
        <v>1000</v>
      </c>
      <c r="KR72" s="321">
        <f t="shared" ref="KR72:KR74" ca="1" si="18425">IF(KK72&lt;&gt;"",KL72*3+KM72*1,"")</f>
        <v>1</v>
      </c>
      <c r="KS72" s="321">
        <f ca="1">IF(KK72&lt;&gt;"",VLOOKUP(KK72,IX4:JD40,7,FALSE),"")</f>
        <v>1000</v>
      </c>
      <c r="KT72" s="321">
        <f ca="1">IF(KK72&lt;&gt;"",VLOOKUP(KK72,IX4:JD40,5,FALSE),"")</f>
        <v>5</v>
      </c>
      <c r="KU72" s="321">
        <f ca="1">IF(KK72&lt;&gt;"",VLOOKUP(KK72,IX4:JF40,9,FALSE),"")</f>
        <v>0</v>
      </c>
      <c r="KV72" s="321">
        <f t="shared" ref="KV72:KV74" ca="1" si="18426">KR72</f>
        <v>1</v>
      </c>
      <c r="KW72" s="321">
        <f ca="1">IF(KK72&lt;&gt;"",RANK(KV72,KV71:KV74),"")</f>
        <v>1</v>
      </c>
      <c r="KX72" s="321">
        <f ca="1">IF(KK72&lt;&gt;"",SUMPRODUCT((KV71:KV74=KV72)*(KQ71:KQ74&gt;KQ72)),"")</f>
        <v>0</v>
      </c>
      <c r="KY72" s="321">
        <f ca="1">IF(KK72&lt;&gt;"",SUMPRODUCT((KV71:KV74=KV72)*(KQ71:KQ74=KQ72)*(KO71:KO74&gt;KO72)),"")</f>
        <v>0</v>
      </c>
      <c r="KZ72" s="321">
        <f ca="1">IF(KK72&lt;&gt;"",SUMPRODUCT((KV71:KV74=KV72)*(KQ71:KQ74=KQ72)*(KO71:KO74=KO72)*(KS71:KS74&gt;KS72)),"")</f>
        <v>0</v>
      </c>
      <c r="LA72" s="321">
        <f ca="1">IF(KK72&lt;&gt;"",SUMPRODUCT((KV71:KV74=KV72)*(KQ71:KQ74=KQ72)*(KO71:KO74=KO72)*(KS71:KS74=KS72)*(KT71:KT74&gt;KT72)),"")</f>
        <v>0</v>
      </c>
      <c r="LB72" s="321">
        <f ca="1">IF(KK72&lt;&gt;"",SUMPRODUCT((KV71:KV74=KV72)*(KQ71:KQ74=KQ72)*(KO71:KO74=KO72)*(KS71:KS74=KS72)*(KT71:KT74=KT72)*(KU71:KU74&gt;KU72)),"")</f>
        <v>0</v>
      </c>
      <c r="LC72" s="321">
        <f ca="1">IF(KK72&lt;&gt;"",SUM(KW72:LB72)+1,"")</f>
        <v>2</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t="str">
        <f t="shared" ref="AND72" ca="1" si="18602">IF(ANE32&lt;&gt;"",SUMPRODUCT((ANL31:ANL34=ANL32)*(ANK31:ANK34=ANK32)*(ANI31:ANI34=ANI32)*(ANJ31:ANJ34=ANJ32)),"")</f>
        <v/>
      </c>
      <c r="ANE72" s="321" t="str">
        <f t="shared" ca="1" si="18330"/>
        <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t="str">
        <f t="shared" ca="1" si="18337"/>
        <v/>
      </c>
      <c r="ANM72" s="321" t="str">
        <f t="shared" ref="ANM72" ca="1" si="18608">IF(ANE72&lt;&gt;"",VLOOKUP(ANE72,AML4:AMR40,7,FALSE),"")</f>
        <v/>
      </c>
      <c r="ANN72" s="321" t="str">
        <f t="shared" ref="ANN72" ca="1" si="18609">IF(ANE72&lt;&gt;"",VLOOKUP(ANE72,AML4:AMR40,5,FALSE),"")</f>
        <v/>
      </c>
      <c r="ANO72" s="321" t="str">
        <f t="shared" ref="ANO72" ca="1" si="18610">IF(ANE72&lt;&gt;"",VLOOKUP(ANE72,AML4:AMT40,9,FALSE),"")</f>
        <v/>
      </c>
      <c r="ANP72" s="321" t="str">
        <f t="shared" ca="1" si="18341"/>
        <v/>
      </c>
      <c r="ANQ72" s="321" t="str">
        <f t="shared" ref="ANQ72" ca="1" si="18611">IF(ANE72&lt;&gt;"",RANK(ANP72,ANP71:ANP74),"")</f>
        <v/>
      </c>
      <c r="ANR72" s="321" t="str">
        <f t="shared" ref="ANR72" ca="1" si="18612">IF(ANE72&lt;&gt;"",SUMPRODUCT((ANP71:ANP74=ANP72)*(ANK71:ANK74&gt;ANK72)),"")</f>
        <v/>
      </c>
      <c r="ANS72" s="321" t="str">
        <f t="shared" ref="ANS72" ca="1" si="18613">IF(ANE72&lt;&gt;"",SUMPRODUCT((ANP71:ANP74=ANP72)*(ANK71:ANK74=ANK72)*(ANI71:ANI74&gt;ANI72)),"")</f>
        <v/>
      </c>
      <c r="ANT72" s="321" t="str">
        <f t="shared" ref="ANT72" ca="1" si="18614">IF(ANE72&lt;&gt;"",SUMPRODUCT((ANP71:ANP74=ANP72)*(ANK71:ANK74=ANK72)*(ANI71:ANI74=ANI72)*(ANM71:ANM74&gt;ANM72)),"")</f>
        <v/>
      </c>
      <c r="ANU72" s="321" t="str">
        <f t="shared" ref="ANU72" ca="1" si="18615">IF(ANE72&lt;&gt;"",SUMPRODUCT((ANP71:ANP74=ANP72)*(ANK71:ANK74=ANK72)*(ANI71:ANI74=ANI72)*(ANM71:ANM74=ANM72)*(ANN71:ANN74&gt;ANN72)),"")</f>
        <v/>
      </c>
      <c r="ANV72" s="321" t="str">
        <f t="shared" ref="ANV72" ca="1" si="18616">IF(ANE72&lt;&gt;"",SUMPRODUCT((ANP71:ANP74=ANP72)*(ANK71:ANK74=ANK72)*(ANI71:ANI74=ANI72)*(ANM71:ANM74=ANM72)*(ANN71:ANN74=ANN72)*(ANO71:ANO74&gt;ANO72)),"")</f>
        <v/>
      </c>
      <c r="ANW72" s="321" t="str">
        <f t="shared" ca="1" si="18348"/>
        <v/>
      </c>
      <c r="ANX72" s="321">
        <f t="shared" ref="ANX72" ca="1" si="18617">IF(ANY32&lt;&gt;"",SUMPRODUCT((AOF31:AOF34=AOF32)*(AOE31:AOE34=AOE32)*(AOC31:AOC34=AOC32)*(AOD31:AOD34=AOD32)),"")</f>
        <v>2</v>
      </c>
      <c r="ANY72" s="321" t="str">
        <f t="shared" ref="ANY72:ANY74" ca="1" si="18618">IF(AND(ANX72&lt;&gt;"",ANX72&gt;1),ANY32,"")</f>
        <v>Ukraine</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1">
        <f t="shared" ref="AOE72:AOE74" ca="1" si="18624">AOC72-AOD72+1000</f>
        <v>1000</v>
      </c>
      <c r="AOF72" s="321">
        <f t="shared" ref="AOF72:AOF74" ca="1" si="18625">IF(ANY72&lt;&gt;"",ANZ72*3+AOA72*1,"")</f>
        <v>1</v>
      </c>
      <c r="AOG72" s="321">
        <f t="shared" ref="AOG72" ca="1" si="18626">IF(ANY72&lt;&gt;"",VLOOKUP(ANY72,AML4:AMR40,7,FALSE),"")</f>
        <v>997</v>
      </c>
      <c r="AOH72" s="321">
        <f t="shared" ref="AOH72" ca="1" si="18627">IF(ANY72&lt;&gt;"",VLOOKUP(ANY72,AML4:AMR40,5,FALSE),"")</f>
        <v>1</v>
      </c>
      <c r="AOI72" s="321">
        <f t="shared" ref="AOI72" ca="1" si="18628">IF(ANY72&lt;&gt;"",VLOOKUP(ANY72,AML4:AMT40,9,FALSE),"")</f>
        <v>0</v>
      </c>
      <c r="AOJ72" s="321">
        <f t="shared" ref="AOJ72:AOJ74" ca="1" si="18629">AOF72</f>
        <v>1</v>
      </c>
      <c r="AOK72" s="321">
        <f t="shared" ref="AOK72" ca="1" si="18630">IF(ANY72&lt;&gt;"",RANK(AOJ72,AOJ71:AOJ74),"")</f>
        <v>1</v>
      </c>
      <c r="AOL72" s="321">
        <f t="shared" ref="AOL72" ca="1" si="18631">IF(ANY72&lt;&gt;"",SUMPRODUCT((AOJ71:AOJ74=AOJ72)*(AOE71:AOE74&gt;AOE72)),"")</f>
        <v>0</v>
      </c>
      <c r="AOM72" s="321">
        <f t="shared" ref="AOM72" ca="1" si="18632">IF(ANY72&lt;&gt;"",SUMPRODUCT((AOJ71:AOJ74=AOJ72)*(AOE71:AOE74=AOE72)*(AOC71:AOC74&gt;AOC72)),"")</f>
        <v>0</v>
      </c>
      <c r="AON72" s="321">
        <f t="shared" ref="AON72" ca="1" si="18633">IF(ANY72&lt;&gt;"",SUMPRODUCT((AOJ71:AOJ74=AOJ72)*(AOE71:AOE74=AOE72)*(AOC71:AOC74=AOC72)*(AOG71:AOG74&gt;AOG72)),"")</f>
        <v>1</v>
      </c>
      <c r="AOO72" s="321">
        <f t="shared" ref="AOO72" ca="1" si="18634">IF(ANY72&lt;&gt;"",SUMPRODUCT((AOJ71:AOJ74=AOJ72)*(AOE71:AOE74=AOE72)*(AOC71:AOC74=AOC72)*(AOG71:AOG74=AOG72)*(AOH71:AOH74&gt;AOH72)),"")</f>
        <v>0</v>
      </c>
      <c r="AOP72" s="321">
        <f t="shared" ref="AOP72" ca="1" si="18635">IF(ANY72&lt;&gt;"",SUMPRODUCT((AOJ71:AOJ74=AOJ72)*(AOE71:AOE74=AOE72)*(AOC71:AOC74=AOC72)*(AOG71:AOG74=AOG72)*(AOH71:AOH74=AOH72)*(AOI71:AOI74&gt;AOI72)),"")</f>
        <v>0</v>
      </c>
      <c r="AOQ72" s="321">
        <f t="shared" ref="AOQ72" ca="1" si="18636">IF(ANY72&lt;&gt;"",SUM(AOK72:AOP72)+1,"")</f>
        <v>3</v>
      </c>
      <c r="ARQ72" s="321">
        <f ca="1">SUMPRODUCT((ARQ31:ARQ34=ARQ32)*(ARP31:ARP34=ARP32)*(ARN31:ARN34&gt;ARN32))+1</f>
        <v>1</v>
      </c>
      <c r="ASB72" s="321" t="str">
        <f t="shared" ref="ASB72" ca="1" si="18637">IF(ASC32&lt;&gt;"",SUMPRODUCT((ASJ31:ASJ34=ASJ32)*(ASI31:ASI34=ASI32)*(ASG31:ASG34=ASG32)*(ASH31:ASH34=ASH32)),"")</f>
        <v/>
      </c>
      <c r="ASC72" s="321" t="str">
        <f t="shared" ca="1" si="18350"/>
        <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t="str">
        <f t="shared" ca="1" si="18357"/>
        <v/>
      </c>
      <c r="ASK72" s="321" t="str">
        <f t="shared" ref="ASK72" ca="1" si="18643">IF(ASC72&lt;&gt;"",VLOOKUP(ASC72,ARJ4:ARP40,7,FALSE),"")</f>
        <v/>
      </c>
      <c r="ASL72" s="321" t="str">
        <f t="shared" ref="ASL72" ca="1" si="18644">IF(ASC72&lt;&gt;"",VLOOKUP(ASC72,ARJ4:ARP40,5,FALSE),"")</f>
        <v/>
      </c>
      <c r="ASM72" s="321" t="str">
        <f t="shared" ref="ASM72" ca="1" si="18645">IF(ASC72&lt;&gt;"",VLOOKUP(ASC72,ARJ4:ARR40,9,FALSE),"")</f>
        <v/>
      </c>
      <c r="ASN72" s="321" t="str">
        <f t="shared" ca="1" si="18361"/>
        <v/>
      </c>
      <c r="ASO72" s="321" t="str">
        <f t="shared" ref="ASO72" ca="1" si="18646">IF(ASC72&lt;&gt;"",RANK(ASN72,ASN71:ASN74),"")</f>
        <v/>
      </c>
      <c r="ASP72" s="321" t="str">
        <f t="shared" ref="ASP72" ca="1" si="18647">IF(ASC72&lt;&gt;"",SUMPRODUCT((ASN71:ASN74=ASN72)*(ASI71:ASI74&gt;ASI72)),"")</f>
        <v/>
      </c>
      <c r="ASQ72" s="321" t="str">
        <f t="shared" ref="ASQ72" ca="1" si="18648">IF(ASC72&lt;&gt;"",SUMPRODUCT((ASN71:ASN74=ASN72)*(ASI71:ASI74=ASI72)*(ASG71:ASG74&gt;ASG72)),"")</f>
        <v/>
      </c>
      <c r="ASR72" s="321" t="str">
        <f t="shared" ref="ASR72" ca="1" si="18649">IF(ASC72&lt;&gt;"",SUMPRODUCT((ASN71:ASN74=ASN72)*(ASI71:ASI74=ASI72)*(ASG71:ASG74=ASG72)*(ASK71:ASK74&gt;ASK72)),"")</f>
        <v/>
      </c>
      <c r="ASS72" s="321" t="str">
        <f t="shared" ref="ASS72" ca="1" si="18650">IF(ASC72&lt;&gt;"",SUMPRODUCT((ASN71:ASN74=ASN72)*(ASI71:ASI74=ASI72)*(ASG71:ASG74=ASG72)*(ASK71:ASK74=ASK72)*(ASL71:ASL74&gt;ASL72)),"")</f>
        <v/>
      </c>
      <c r="AST72" s="321" t="str">
        <f t="shared" ref="AST72" ca="1" si="18651">IF(ASC72&lt;&gt;"",SUMPRODUCT((ASN71:ASN74=ASN72)*(ASI71:ASI74=ASI72)*(ASG71:ASG74=ASG72)*(ASK71:ASK74=ASK72)*(ASL71:ASL74=ASL72)*(ASM71:ASM74&gt;ASM72)),"")</f>
        <v/>
      </c>
      <c r="ASU72" s="321" t="str">
        <f t="shared" ca="1" si="18368"/>
        <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t="str">
        <f t="shared" ref="AWZ72" ca="1" si="18672">IF(AXA32&lt;&gt;"",SUMPRODUCT((AXH31:AXH34=AXH32)*(AXG31:AXG34=AXG32)*(AXE31:AXE34=AXE32)*(AXF31:AXF34=AXF32)),"")</f>
        <v/>
      </c>
      <c r="AXA72" s="321" t="str">
        <f t="shared" ca="1" si="18370"/>
        <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t="str">
        <f t="shared" ca="1" si="18377"/>
        <v/>
      </c>
      <c r="AXI72" s="321" t="str">
        <f t="shared" ref="AXI72" ca="1" si="18678">IF(AXA72&lt;&gt;"",VLOOKUP(AXA72,AWH4:AWN40,7,FALSE),"")</f>
        <v/>
      </c>
      <c r="AXJ72" s="321" t="str">
        <f t="shared" ref="AXJ72" ca="1" si="18679">IF(AXA72&lt;&gt;"",VLOOKUP(AXA72,AWH4:AWN40,5,FALSE),"")</f>
        <v/>
      </c>
      <c r="AXK72" s="321" t="str">
        <f t="shared" ref="AXK72" ca="1" si="18680">IF(AXA72&lt;&gt;"",VLOOKUP(AXA72,AWH4:AWP40,9,FALSE),"")</f>
        <v/>
      </c>
      <c r="AXL72" s="321" t="str">
        <f t="shared" ca="1" si="18381"/>
        <v/>
      </c>
      <c r="AXM72" s="321" t="str">
        <f t="shared" ref="AXM72" ca="1" si="18681">IF(AXA72&lt;&gt;"",RANK(AXL72,AXL71:AXL74),"")</f>
        <v/>
      </c>
      <c r="AXN72" s="321" t="str">
        <f t="shared" ref="AXN72" ca="1" si="18682">IF(AXA72&lt;&gt;"",SUMPRODUCT((AXL71:AXL74=AXL72)*(AXG71:AXG74&gt;AXG72)),"")</f>
        <v/>
      </c>
      <c r="AXO72" s="321" t="str">
        <f t="shared" ref="AXO72" ca="1" si="18683">IF(AXA72&lt;&gt;"",SUMPRODUCT((AXL71:AXL74=AXL72)*(AXG71:AXG74=AXG72)*(AXE71:AXE74&gt;AXE72)),"")</f>
        <v/>
      </c>
      <c r="AXP72" s="321" t="str">
        <f t="shared" ref="AXP72" ca="1" si="18684">IF(AXA72&lt;&gt;"",SUMPRODUCT((AXL71:AXL74=AXL72)*(AXG71:AXG74=AXG72)*(AXE71:AXE74=AXE72)*(AXI71:AXI74&gt;AXI72)),"")</f>
        <v/>
      </c>
      <c r="AXQ72" s="321" t="str">
        <f t="shared" ref="AXQ72" ca="1" si="18685">IF(AXA72&lt;&gt;"",SUMPRODUCT((AXL71:AXL74=AXL72)*(AXG71:AXG74=AXG72)*(AXE71:AXE74=AXE72)*(AXI71:AXI74=AXI72)*(AXJ71:AXJ74&gt;AXJ72)),"")</f>
        <v/>
      </c>
      <c r="AXR72" s="321" t="str">
        <f t="shared" ref="AXR72" ca="1" si="18686">IF(AXA72&lt;&gt;"",SUMPRODUCT((AXL71:AXL74=AXL72)*(AXG71:AXG74=AXG72)*(AXE71:AXE74=AXE72)*(AXI71:AXI74=AXI72)*(AXJ71:AXJ74=AXJ72)*(AXK71:AXK74&gt;AXK72)),"")</f>
        <v/>
      </c>
      <c r="AXS72" s="321" t="str">
        <f t="shared" ca="1" si="18388"/>
        <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t="str">
        <f>IF(U33&lt;&gt;"",SUMPRODUCT((AB31:AB34=AB33)*(AA31:AA34=AA33)*(Y31:Y34=Y33)*(Z31:Z34=Z33)),"")</f>
        <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f ca="1">IF(KK33&lt;&gt;"",SUMPRODUCT((KR31:KR34=KR33)*(KQ31:KQ34=KQ33)*(KO31:KO34=KO33)*(KP31:KP34=KP33)),"")</f>
        <v>2</v>
      </c>
      <c r="KK73" s="321" t="str">
        <f t="shared" ca="1" si="18424"/>
        <v>Slovakia</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1</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1">
        <f ca="1">KO73-KP73+1000</f>
        <v>1000</v>
      </c>
      <c r="KR73" s="321">
        <f t="shared" ca="1" si="18425"/>
        <v>1</v>
      </c>
      <c r="KS73" s="321">
        <f ca="1">IF(KK73&lt;&gt;"",VLOOKUP(KK73,IX4:JD40,7,FALSE),"")</f>
        <v>999</v>
      </c>
      <c r="KT73" s="321">
        <f ca="1">IF(KK73&lt;&gt;"",VLOOKUP(KK73,IX4:JD40,5,FALSE),"")</f>
        <v>3</v>
      </c>
      <c r="KU73" s="321">
        <f ca="1">IF(KK73&lt;&gt;"",VLOOKUP(KK73,IX4:JF40,9,FALSE),"")</f>
        <v>38</v>
      </c>
      <c r="KV73" s="321">
        <f t="shared" ca="1" si="18426"/>
        <v>1</v>
      </c>
      <c r="KW73" s="321">
        <f ca="1">IF(KK73&lt;&gt;"",RANK(KV73,KV71:KV74),"")</f>
        <v>1</v>
      </c>
      <c r="KX73" s="321">
        <f ca="1">IF(KK73&lt;&gt;"",SUMPRODUCT((KV71:KV74=KV73)*(KQ71:KQ74&gt;KQ73)),"")</f>
        <v>0</v>
      </c>
      <c r="KY73" s="321">
        <f ca="1">IF(KK73&lt;&gt;"",SUMPRODUCT((KV71:KV74=KV73)*(KQ71:KQ74=KQ73)*(KO71:KO74&gt;KO73)),"")</f>
        <v>0</v>
      </c>
      <c r="KZ73" s="321">
        <f ca="1">IF(KK73&lt;&gt;"",SUMPRODUCT((KV71:KV74=KV73)*(KQ71:KQ74=KQ73)*(KO71:KO74=KO73)*(KS71:KS74&gt;KS73)),"")</f>
        <v>1</v>
      </c>
      <c r="LA73" s="321">
        <f ca="1">IF(KK73&lt;&gt;"",SUMPRODUCT((KV71:KV74=KV73)*(KQ71:KQ74=KQ73)*(KO71:KO74=KO73)*(KS71:KS74=KS73)*(KT71:KT74&gt;KT73)),"")</f>
        <v>0</v>
      </c>
      <c r="LB73" s="321">
        <f ca="1">IF(KK73&lt;&gt;"",SUMPRODUCT((KV71:KV74=KV73)*(KQ71:KQ74=KQ73)*(KO71:KO74=KO73)*(KS71:KS74=KS73)*(KT71:KT74=KT73)*(KU71:KU74&gt;KU73)),"")</f>
        <v>0</v>
      </c>
      <c r="LC73" s="321">
        <f t="shared" ref="LC73:LC74" ca="1" si="18744">IF(KK73&lt;&gt;"",SUM(KW73:LB73)+1,"")</f>
        <v>3</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t="str">
        <f t="shared" ref="AND73" ca="1" si="18900">IF(ANE33&lt;&gt;"",SUMPRODUCT((ANL31:ANL34=ANL33)*(ANK31:ANK34=ANK33)*(ANI31:ANI34=ANI33)*(ANJ31:ANJ34=ANJ33)),"")</f>
        <v/>
      </c>
      <c r="ANE73" s="321" t="str">
        <f t="shared" ca="1" si="18330"/>
        <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t="str">
        <f t="shared" ca="1" si="18337"/>
        <v/>
      </c>
      <c r="ANM73" s="321" t="str">
        <f t="shared" ref="ANM73" ca="1" si="18906">IF(ANE73&lt;&gt;"",VLOOKUP(ANE73,AML4:AMR40,7,FALSE),"")</f>
        <v/>
      </c>
      <c r="ANN73" s="321" t="str">
        <f t="shared" ref="ANN73" ca="1" si="18907">IF(ANE73&lt;&gt;"",VLOOKUP(ANE73,AML4:AMR40,5,FALSE),"")</f>
        <v/>
      </c>
      <c r="ANO73" s="321" t="str">
        <f t="shared" ref="ANO73" ca="1" si="18908">IF(ANE73&lt;&gt;"",VLOOKUP(ANE73,AML4:AMT40,9,FALSE),"")</f>
        <v/>
      </c>
      <c r="ANP73" s="321" t="str">
        <f t="shared" ca="1" si="18341"/>
        <v/>
      </c>
      <c r="ANQ73" s="321" t="str">
        <f t="shared" ref="ANQ73" ca="1" si="18909">IF(ANE73&lt;&gt;"",RANK(ANP73,ANP71:ANP74),"")</f>
        <v/>
      </c>
      <c r="ANR73" s="321" t="str">
        <f t="shared" ref="ANR73" ca="1" si="18910">IF(ANE73&lt;&gt;"",SUMPRODUCT((ANP71:ANP74=ANP73)*(ANK71:ANK74&gt;ANK73)),"")</f>
        <v/>
      </c>
      <c r="ANS73" s="321" t="str">
        <f t="shared" ref="ANS73" ca="1" si="18911">IF(ANE73&lt;&gt;"",SUMPRODUCT((ANP71:ANP74=ANP73)*(ANK71:ANK74=ANK73)*(ANI71:ANI74&gt;ANI73)),"")</f>
        <v/>
      </c>
      <c r="ANT73" s="321" t="str">
        <f t="shared" ref="ANT73" ca="1" si="18912">IF(ANE73&lt;&gt;"",SUMPRODUCT((ANP71:ANP74=ANP73)*(ANK71:ANK74=ANK73)*(ANI71:ANI74=ANI73)*(ANM71:ANM74&gt;ANM73)),"")</f>
        <v/>
      </c>
      <c r="ANU73" s="321" t="str">
        <f t="shared" ref="ANU73" ca="1" si="18913">IF(ANE73&lt;&gt;"",SUMPRODUCT((ANP71:ANP74=ANP73)*(ANK71:ANK74=ANK73)*(ANI71:ANI74=ANI73)*(ANM71:ANM74=ANM73)*(ANN71:ANN74&gt;ANN73)),"")</f>
        <v/>
      </c>
      <c r="ANV73" s="321" t="str">
        <f t="shared" ref="ANV73" ca="1" si="18914">IF(ANE73&lt;&gt;"",SUMPRODUCT((ANP71:ANP74=ANP73)*(ANK71:ANK74=ANK73)*(ANI71:ANI74=ANI73)*(ANM71:ANM74=ANM73)*(ANN71:ANN74=ANN73)*(ANO71:ANO74&gt;ANO73)),"")</f>
        <v/>
      </c>
      <c r="ANW73" s="321" t="str">
        <f t="shared" ca="1" si="18348"/>
        <v/>
      </c>
      <c r="ANX73" s="321">
        <f t="shared" ref="ANX73" ca="1" si="18915">IF(ANY33&lt;&gt;"",SUMPRODUCT((AOF31:AOF34=AOF33)*(AOE31:AOE34=AOE33)*(AOC31:AOC34=AOC33)*(AOD31:AOD34=AOD33)),"")</f>
        <v>2</v>
      </c>
      <c r="ANY73" s="321" t="str">
        <f t="shared" ca="1" si="18618"/>
        <v>Slovakia</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1">
        <f t="shared" ca="1" si="18624"/>
        <v>1000</v>
      </c>
      <c r="AOF73" s="321">
        <f t="shared" ca="1" si="18625"/>
        <v>1</v>
      </c>
      <c r="AOG73" s="321">
        <f t="shared" ref="AOG73" ca="1" si="18921">IF(ANY73&lt;&gt;"",VLOOKUP(ANY73,AML4:AMR40,7,FALSE),"")</f>
        <v>999</v>
      </c>
      <c r="AOH73" s="321">
        <f t="shared" ref="AOH73" ca="1" si="18922">IF(ANY73&lt;&gt;"",VLOOKUP(ANY73,AML4:AMR40,5,FALSE),"")</f>
        <v>1</v>
      </c>
      <c r="AOI73" s="321">
        <f t="shared" ref="AOI73" ca="1" si="18923">IF(ANY73&lt;&gt;"",VLOOKUP(ANY73,AML4:AMT40,9,FALSE),"")</f>
        <v>38</v>
      </c>
      <c r="AOJ73" s="321">
        <f t="shared" ca="1" si="18629"/>
        <v>1</v>
      </c>
      <c r="AOK73" s="321">
        <f t="shared" ref="AOK73" ca="1" si="18924">IF(ANY73&lt;&gt;"",RANK(AOJ73,AOJ71:AOJ74),"")</f>
        <v>1</v>
      </c>
      <c r="AOL73" s="321">
        <f t="shared" ref="AOL73" ca="1" si="18925">IF(ANY73&lt;&gt;"",SUMPRODUCT((AOJ71:AOJ74=AOJ73)*(AOE71:AOE74&gt;AOE73)),"")</f>
        <v>0</v>
      </c>
      <c r="AOM73" s="321">
        <f t="shared" ref="AOM73" ca="1" si="18926">IF(ANY73&lt;&gt;"",SUMPRODUCT((AOJ71:AOJ74=AOJ73)*(AOE71:AOE74=AOE73)*(AOC71:AOC74&gt;AOC73)),"")</f>
        <v>0</v>
      </c>
      <c r="AON73" s="321">
        <f t="shared" ref="AON73" ca="1" si="18927">IF(ANY73&lt;&gt;"",SUMPRODUCT((AOJ71:AOJ74=AOJ73)*(AOE71:AOE74=AOE73)*(AOC71:AOC74=AOC73)*(AOG71:AOG74&gt;AOG73)),"")</f>
        <v>0</v>
      </c>
      <c r="AOO73" s="321">
        <f t="shared" ref="AOO73" ca="1" si="18928">IF(ANY73&lt;&gt;"",SUMPRODUCT((AOJ71:AOJ74=AOJ73)*(AOE71:AOE74=AOE73)*(AOC71:AOC74=AOC73)*(AOG71:AOG74=AOG73)*(AOH71:AOH74&gt;AOH73)),"")</f>
        <v>0</v>
      </c>
      <c r="AOP73" s="321">
        <f t="shared" ref="AOP73" ca="1" si="18929">IF(ANY73&lt;&gt;"",SUMPRODUCT((AOJ71:AOJ74=AOJ73)*(AOE71:AOE74=AOE73)*(AOC71:AOC74=AOC73)*(AOG71:AOG74=AOG73)*(AOH71:AOH74=AOH73)*(AOI71:AOI74&gt;AOI73)),"")</f>
        <v>0</v>
      </c>
      <c r="AOQ73" s="321">
        <f t="shared" ref="AOQ73:AOQ74" ca="1" si="18930">IF(ANY73&lt;&gt;"",SUM(AOK73:AOP73)+1,"")</f>
        <v>2</v>
      </c>
      <c r="ARQ73" s="321">
        <f ca="1">SUMPRODUCT((ARQ31:ARQ34=ARQ33)*(ARP31:ARP34=ARP33)*(ARN31:ARN34&gt;ARN33))+1</f>
        <v>1</v>
      </c>
      <c r="ASB73" s="321" t="str">
        <f t="shared" ref="ASB73" ca="1" si="18931">IF(ASC33&lt;&gt;"",SUMPRODUCT((ASJ31:ASJ34=ASJ33)*(ASI31:ASI34=ASI33)*(ASG31:ASG34=ASG33)*(ASH31:ASH34=ASH33)),"")</f>
        <v/>
      </c>
      <c r="ASC73" s="321" t="str">
        <f t="shared" ca="1" si="18350"/>
        <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t="str">
        <f t="shared" ca="1" si="18357"/>
        <v/>
      </c>
      <c r="ASK73" s="321" t="str">
        <f t="shared" ref="ASK73" ca="1" si="18937">IF(ASC73&lt;&gt;"",VLOOKUP(ASC73,ARJ4:ARP40,7,FALSE),"")</f>
        <v/>
      </c>
      <c r="ASL73" s="321" t="str">
        <f t="shared" ref="ASL73" ca="1" si="18938">IF(ASC73&lt;&gt;"",VLOOKUP(ASC73,ARJ4:ARP40,5,FALSE),"")</f>
        <v/>
      </c>
      <c r="ASM73" s="321" t="str">
        <f t="shared" ref="ASM73" ca="1" si="18939">IF(ASC73&lt;&gt;"",VLOOKUP(ASC73,ARJ4:ARR40,9,FALSE),"")</f>
        <v/>
      </c>
      <c r="ASN73" s="321" t="str">
        <f t="shared" ca="1" si="18361"/>
        <v/>
      </c>
      <c r="ASO73" s="321" t="str">
        <f t="shared" ref="ASO73" ca="1" si="18940">IF(ASC73&lt;&gt;"",RANK(ASN73,ASN71:ASN74),"")</f>
        <v/>
      </c>
      <c r="ASP73" s="321" t="str">
        <f t="shared" ref="ASP73" ca="1" si="18941">IF(ASC73&lt;&gt;"",SUMPRODUCT((ASN71:ASN74=ASN73)*(ASI71:ASI74&gt;ASI73)),"")</f>
        <v/>
      </c>
      <c r="ASQ73" s="321" t="str">
        <f t="shared" ref="ASQ73" ca="1" si="18942">IF(ASC73&lt;&gt;"",SUMPRODUCT((ASN71:ASN74=ASN73)*(ASI71:ASI74=ASI73)*(ASG71:ASG74&gt;ASG73)),"")</f>
        <v/>
      </c>
      <c r="ASR73" s="321" t="str">
        <f t="shared" ref="ASR73" ca="1" si="18943">IF(ASC73&lt;&gt;"",SUMPRODUCT((ASN71:ASN74=ASN73)*(ASI71:ASI74=ASI73)*(ASG71:ASG74=ASG73)*(ASK71:ASK74&gt;ASK73)),"")</f>
        <v/>
      </c>
      <c r="ASS73" s="321" t="str">
        <f t="shared" ref="ASS73" ca="1" si="18944">IF(ASC73&lt;&gt;"",SUMPRODUCT((ASN71:ASN74=ASN73)*(ASI71:ASI74=ASI73)*(ASG71:ASG74=ASG73)*(ASK71:ASK74=ASK73)*(ASL71:ASL74&gt;ASL73)),"")</f>
        <v/>
      </c>
      <c r="AST73" s="321" t="str">
        <f t="shared" ref="AST73" ca="1" si="18945">IF(ASC73&lt;&gt;"",SUMPRODUCT((ASN71:ASN74=ASN73)*(ASI71:ASI74=ASI73)*(ASG71:ASG74=ASG73)*(ASK71:ASK74=ASK73)*(ASL71:ASL74=ASL73)*(ASM71:ASM74&gt;ASM73)),"")</f>
        <v/>
      </c>
      <c r="ASU73" s="321" t="str">
        <f t="shared" ca="1" si="18368"/>
        <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t="str">
        <f t="shared" ref="AWZ73" ca="1" si="18962">IF(AXA33&lt;&gt;"",SUMPRODUCT((AXH31:AXH34=AXH33)*(AXG31:AXG34=AXG33)*(AXE31:AXE34=AXE33)*(AXF31:AXF34=AXF33)),"")</f>
        <v/>
      </c>
      <c r="AXA73" s="321" t="str">
        <f t="shared" ca="1" si="18370"/>
        <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t="str">
        <f t="shared" ca="1" si="18377"/>
        <v/>
      </c>
      <c r="AXI73" s="321" t="str">
        <f t="shared" ref="AXI73" ca="1" si="18968">IF(AXA73&lt;&gt;"",VLOOKUP(AXA73,AWH4:AWN40,7,FALSE),"")</f>
        <v/>
      </c>
      <c r="AXJ73" s="321" t="str">
        <f t="shared" ref="AXJ73" ca="1" si="18969">IF(AXA73&lt;&gt;"",VLOOKUP(AXA73,AWH4:AWN40,5,FALSE),"")</f>
        <v/>
      </c>
      <c r="AXK73" s="321" t="str">
        <f t="shared" ref="AXK73" ca="1" si="18970">IF(AXA73&lt;&gt;"",VLOOKUP(AXA73,AWH4:AWP40,9,FALSE),"")</f>
        <v/>
      </c>
      <c r="AXL73" s="321" t="str">
        <f t="shared" ca="1" si="18381"/>
        <v/>
      </c>
      <c r="AXM73" s="321" t="str">
        <f t="shared" ref="AXM73" ca="1" si="18971">IF(AXA73&lt;&gt;"",RANK(AXL73,AXL71:AXL74),"")</f>
        <v/>
      </c>
      <c r="AXN73" s="321" t="str">
        <f t="shared" ref="AXN73" ca="1" si="18972">IF(AXA73&lt;&gt;"",SUMPRODUCT((AXL71:AXL74=AXL73)*(AXG71:AXG74&gt;AXG73)),"")</f>
        <v/>
      </c>
      <c r="AXO73" s="321" t="str">
        <f t="shared" ref="AXO73" ca="1" si="18973">IF(AXA73&lt;&gt;"",SUMPRODUCT((AXL71:AXL74=AXL73)*(AXG71:AXG74=AXG73)*(AXE71:AXE74&gt;AXE73)),"")</f>
        <v/>
      </c>
      <c r="AXP73" s="321" t="str">
        <f t="shared" ref="AXP73" ca="1" si="18974">IF(AXA73&lt;&gt;"",SUMPRODUCT((AXL71:AXL74=AXL73)*(AXG71:AXG74=AXG73)*(AXE71:AXE74=AXE73)*(AXI71:AXI74&gt;AXI73)),"")</f>
        <v/>
      </c>
      <c r="AXQ73" s="321" t="str">
        <f t="shared" ref="AXQ73" ca="1" si="18975">IF(AXA73&lt;&gt;"",SUMPRODUCT((AXL71:AXL74=AXL73)*(AXG71:AXG74=AXG73)*(AXE71:AXE74=AXE73)*(AXI71:AXI74=AXI73)*(AXJ71:AXJ74&gt;AXJ73)),"")</f>
        <v/>
      </c>
      <c r="AXR73" s="321" t="str">
        <f t="shared" ref="AXR73" ca="1" si="18976">IF(AXA73&lt;&gt;"",SUMPRODUCT((AXL71:AXL74=AXL73)*(AXG71:AXG74=AXG73)*(AXE71:AXE74=AXE73)*(AXI71:AXI74=AXI73)*(AXJ71:AXJ74=AXJ73)*(AXK71:AXK74&gt;AXK73)),"")</f>
        <v/>
      </c>
      <c r="AXS73" s="321" t="str">
        <f t="shared" ca="1" si="18388"/>
        <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t="str">
        <f t="shared" ref="AND74" ca="1" si="19174">IF(ANE34&lt;&gt;"",SUMPRODUCT((ANL31:ANL34=ANL34)*(ANK31:ANK34=ANK34)*(ANI31:ANI34=ANI34)*(ANJ31:ANJ34=ANJ34)),"")</f>
        <v/>
      </c>
      <c r="ANE74" s="321" t="str">
        <f t="shared" ca="1" si="18330"/>
        <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t="str">
        <f t="shared" ca="1" si="18337"/>
        <v/>
      </c>
      <c r="ANM74" s="321" t="str">
        <f t="shared" ref="ANM74" ca="1" si="19180">IF(ANE74&lt;&gt;"",VLOOKUP(ANE74,AML4:AMR40,7,FALSE),"")</f>
        <v/>
      </c>
      <c r="ANN74" s="321" t="str">
        <f t="shared" ref="ANN74" ca="1" si="19181">IF(ANE74&lt;&gt;"",VLOOKUP(ANE74,AML4:AMR40,5,FALSE),"")</f>
        <v/>
      </c>
      <c r="ANO74" s="321" t="str">
        <f t="shared" ref="ANO74" ca="1" si="19182">IF(ANE74&lt;&gt;"",VLOOKUP(ANE74,AML4:AMT40,9,FALSE),"")</f>
        <v/>
      </c>
      <c r="ANP74" s="321" t="str">
        <f t="shared" ca="1" si="18341"/>
        <v/>
      </c>
      <c r="ANQ74" s="321" t="str">
        <f t="shared" ref="ANQ74" ca="1" si="19183">IF(ANE74&lt;&gt;"",RANK(ANP74,ANP71:ANP74),"")</f>
        <v/>
      </c>
      <c r="ANR74" s="321" t="str">
        <f t="shared" ref="ANR74" ca="1" si="19184">IF(ANE74&lt;&gt;"",SUMPRODUCT((ANP71:ANP74=ANP74)*(ANK71:ANK74&gt;ANK74)),"")</f>
        <v/>
      </c>
      <c r="ANS74" s="321" t="str">
        <f t="shared" ref="ANS74" ca="1" si="19185">IF(ANE74&lt;&gt;"",SUMPRODUCT((ANP71:ANP74=ANP74)*(ANK71:ANK74=ANK74)*(ANI71:ANI74&gt;ANI74)),"")</f>
        <v/>
      </c>
      <c r="ANT74" s="321" t="str">
        <f t="shared" ref="ANT74" ca="1" si="19186">IF(ANE74&lt;&gt;"",SUMPRODUCT((ANP71:ANP74=ANP74)*(ANK71:ANK74=ANK74)*(ANI71:ANI74=ANI74)*(ANM71:ANM74&gt;ANM74)),"")</f>
        <v/>
      </c>
      <c r="ANU74" s="321" t="str">
        <f t="shared" ref="ANU74" ca="1" si="19187">IF(ANE74&lt;&gt;"",SUMPRODUCT((ANP71:ANP74=ANP74)*(ANK71:ANK74=ANK74)*(ANI71:ANI74=ANI74)*(ANM71:ANM74=ANM74)*(ANN71:ANN74&gt;ANN74)),"")</f>
        <v/>
      </c>
      <c r="ANV74" s="321" t="str">
        <f t="shared" ref="ANV74" ca="1" si="19188">IF(ANE74&lt;&gt;"",SUMPRODUCT((ANP71:ANP74=ANP74)*(ANK71:ANK74=ANK74)*(ANI71:ANI74=ANI74)*(ANM71:ANM74=ANM74)*(ANN71:ANN74=ANN74)*(ANO71:ANO74&gt;ANO74)),"")</f>
        <v/>
      </c>
      <c r="ANW74" s="321" t="str">
        <f t="shared" ca="1" si="18348"/>
        <v/>
      </c>
      <c r="ANX74" s="321">
        <f t="shared" ref="ANX74" ca="1" si="19189">IF(ANY34&lt;&gt;"",SUMPRODUCT((AOF31:AOF34=AOF34)*(AOE31:AOE34=AOE34)*(AOC31:AOC34=AOC34)*(AOD31:AOD34=AOD34)),"")</f>
        <v>1</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t="str">
        <f t="shared" ref="ASB74" ca="1" si="19204">IF(ASC34&lt;&gt;"",SUMPRODUCT((ASJ31:ASJ34=ASJ34)*(ASI31:ASI34=ASI34)*(ASG31:ASG34=ASG34)*(ASH31:ASH34=ASH34)),"")</f>
        <v/>
      </c>
      <c r="ASC74" s="321" t="str">
        <f t="shared" ca="1" si="18350"/>
        <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t="str">
        <f t="shared" ca="1" si="18357"/>
        <v/>
      </c>
      <c r="ASK74" s="321" t="str">
        <f t="shared" ref="ASK74" ca="1" si="19210">IF(ASC74&lt;&gt;"",VLOOKUP(ASC74,ARJ4:ARP40,7,FALSE),"")</f>
        <v/>
      </c>
      <c r="ASL74" s="321" t="str">
        <f t="shared" ref="ASL74" ca="1" si="19211">IF(ASC74&lt;&gt;"",VLOOKUP(ASC74,ARJ4:ARP40,5,FALSE),"")</f>
        <v/>
      </c>
      <c r="ASM74" s="321" t="str">
        <f t="shared" ref="ASM74" ca="1" si="19212">IF(ASC74&lt;&gt;"",VLOOKUP(ASC74,ARJ4:ARR40,9,FALSE),"")</f>
        <v/>
      </c>
      <c r="ASN74" s="321" t="str">
        <f t="shared" ca="1" si="18361"/>
        <v/>
      </c>
      <c r="ASO74" s="321" t="str">
        <f t="shared" ref="ASO74" ca="1" si="19213">IF(ASC74&lt;&gt;"",RANK(ASN74,ASN71:ASN74),"")</f>
        <v/>
      </c>
      <c r="ASP74" s="321" t="str">
        <f t="shared" ref="ASP74" ca="1" si="19214">IF(ASC74&lt;&gt;"",SUMPRODUCT((ASN71:ASN74=ASN74)*(ASI71:ASI74&gt;ASI74)),"")</f>
        <v/>
      </c>
      <c r="ASQ74" s="321" t="str">
        <f t="shared" ref="ASQ74" ca="1" si="19215">IF(ASC74&lt;&gt;"",SUMPRODUCT((ASN71:ASN74=ASN74)*(ASI71:ASI74=ASI74)*(ASG71:ASG74&gt;ASG74)),"")</f>
        <v/>
      </c>
      <c r="ASR74" s="321" t="str">
        <f t="shared" ref="ASR74" ca="1" si="19216">IF(ASC74&lt;&gt;"",SUMPRODUCT((ASN71:ASN74=ASN74)*(ASI71:ASI74=ASI74)*(ASG71:ASG74=ASG74)*(ASK71:ASK74&gt;ASK74)),"")</f>
        <v/>
      </c>
      <c r="ASS74" s="321" t="str">
        <f t="shared" ref="ASS74" ca="1" si="19217">IF(ASC74&lt;&gt;"",SUMPRODUCT((ASN71:ASN74=ASN74)*(ASI71:ASI74=ASI74)*(ASG71:ASG74=ASG74)*(ASK71:ASK74=ASK74)*(ASL71:ASL74&gt;ASL74)),"")</f>
        <v/>
      </c>
      <c r="AST74" s="321" t="str">
        <f t="shared" ref="AST74" ca="1" si="19218">IF(ASC74&lt;&gt;"",SUMPRODUCT((ASN71:ASN74=ASN74)*(ASI71:ASI74=ASI74)*(ASG71:ASG74=ASG74)*(ASK71:ASK74=ASK74)*(ASL71:ASL74=ASL74)*(ASM71:ASM74&gt;ASM74)),"")</f>
        <v/>
      </c>
      <c r="ASU74" s="321" t="str">
        <f t="shared" ca="1" si="18368"/>
        <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t="str">
        <f t="shared" ref="AWZ74" ca="1" si="19234">IF(AXA34&lt;&gt;"",SUMPRODUCT((AXH31:AXH34=AXH34)*(AXG31:AXG34=AXG34)*(AXE31:AXE34=AXE34)*(AXF31:AXF34=AXF34)),"")</f>
        <v/>
      </c>
      <c r="AXA74" s="321" t="str">
        <f t="shared" ca="1" si="18370"/>
        <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t="str">
        <f t="shared" ca="1" si="18377"/>
        <v/>
      </c>
      <c r="AXI74" s="321" t="str">
        <f t="shared" ref="AXI74" ca="1" si="19240">IF(AXA74&lt;&gt;"",VLOOKUP(AXA74,AWH4:AWN40,7,FALSE),"")</f>
        <v/>
      </c>
      <c r="AXJ74" s="321" t="str">
        <f t="shared" ref="AXJ74" ca="1" si="19241">IF(AXA74&lt;&gt;"",VLOOKUP(AXA74,AWH4:AWN40,5,FALSE),"")</f>
        <v/>
      </c>
      <c r="AXK74" s="321" t="str">
        <f t="shared" ref="AXK74" ca="1" si="19242">IF(AXA74&lt;&gt;"",VLOOKUP(AXA74,AWH4:AWP40,9,FALSE),"")</f>
        <v/>
      </c>
      <c r="AXL74" s="321" t="str">
        <f t="shared" ca="1" si="18381"/>
        <v/>
      </c>
      <c r="AXM74" s="321" t="str">
        <f t="shared" ref="AXM74" ca="1" si="19243">IF(AXA74&lt;&gt;"",RANK(AXL74,AXL71:AXL74),"")</f>
        <v/>
      </c>
      <c r="AXN74" s="321" t="str">
        <f t="shared" ref="AXN74" ca="1" si="19244">IF(AXA74&lt;&gt;"",SUMPRODUCT((AXL71:AXL74=AXL74)*(AXG71:AXG74&gt;AXG74)),"")</f>
        <v/>
      </c>
      <c r="AXO74" s="321" t="str">
        <f t="shared" ref="AXO74" ca="1" si="19245">IF(AXA74&lt;&gt;"",SUMPRODUCT((AXL71:AXL74=AXL74)*(AXG71:AXG74=AXG74)*(AXE71:AXE74&gt;AXE74)),"")</f>
        <v/>
      </c>
      <c r="AXP74" s="321" t="str">
        <f t="shared" ref="AXP74" ca="1" si="19246">IF(AXA74&lt;&gt;"",SUMPRODUCT((AXL71:AXL74=AXL74)*(AXG71:AXG74=AXG74)*(AXE71:AXE74=AXE74)*(AXI71:AXI74&gt;AXI74)),"")</f>
        <v/>
      </c>
      <c r="AXQ74" s="321" t="str">
        <f t="shared" ref="AXQ74" ca="1" si="19247">IF(AXA74&lt;&gt;"",SUMPRODUCT((AXL71:AXL74=AXL74)*(AXG71:AXG74=AXG74)*(AXE71:AXE74=AXE74)*(AXI71:AXI74=AXI74)*(AXJ71:AXJ74&gt;AXJ74)),"")</f>
        <v/>
      </c>
      <c r="AXR74" s="321" t="str">
        <f t="shared" ref="AXR74" ca="1" si="19248">IF(AXA74&lt;&gt;"",SUMPRODUCT((AXL71:AXL74=AXL74)*(AXG71:AXG74=AXG74)*(AXE71:AXE74=AXE74)*(AXI71:AXI74=AXI74)*(AXJ71:AXJ74=AXJ74)*(AXK71:AXK74&gt;AXK74)),"")</f>
        <v/>
      </c>
      <c r="AXS74" s="321" t="str">
        <f t="shared" ca="1" si="18388"/>
        <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t="str">
        <f t="shared" ref="ON77" ca="1" si="19312">IF(OO37&lt;&gt;"",SUMPRODUCT((OV37:OV40=OV37)*(OU37:OU40=OU37)*(OS37:OS40=OS37)*(OT37:OT40=OT37)),"")</f>
        <v/>
      </c>
      <c r="OO77" s="321" t="str">
        <f t="shared" ref="OO77:OO80" ca="1" si="19313">IF(AND(ON77&lt;&gt;"",ON77&gt;1),OO37,"")</f>
        <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t="str">
        <f t="shared" ref="OV77:OV80" ca="1" si="19320">IF(OO77&lt;&gt;"",OP77*3+OQ77*1,"")</f>
        <v/>
      </c>
      <c r="OW77" s="321" t="str">
        <f t="shared" ref="OW77" ca="1" si="19321">IF(OO77&lt;&gt;"",VLOOKUP(OO77,NV4:OB40,7,FALSE),"")</f>
        <v/>
      </c>
      <c r="OX77" s="321" t="str">
        <f t="shared" ref="OX77" ca="1" si="19322">IF(OO77&lt;&gt;"",VLOOKUP(OO77,NV4:OB40,5,FALSE),"")</f>
        <v/>
      </c>
      <c r="OY77" s="321" t="str">
        <f t="shared" ref="OY77" ca="1" si="19323">IF(OO77&lt;&gt;"",VLOOKUP(OO77,NV4:OD40,9,FALSE),"")</f>
        <v/>
      </c>
      <c r="OZ77" s="321" t="str">
        <f t="shared" ref="OZ77:OZ80" ca="1" si="19324">OV77</f>
        <v/>
      </c>
      <c r="PA77" s="321" t="str">
        <f t="shared" ref="PA77" ca="1" si="19325">IF(OO77&lt;&gt;"",RANK(OZ77,OZ77:OZ80),"")</f>
        <v/>
      </c>
      <c r="PB77" s="321" t="str">
        <f t="shared" ref="PB77" ca="1" si="19326">IF(OO77&lt;&gt;"",SUMPRODUCT((OZ77:OZ80=OZ77)*(OU77:OU80&gt;OU77)),"")</f>
        <v/>
      </c>
      <c r="PC77" s="321" t="str">
        <f t="shared" ref="PC77" ca="1" si="19327">IF(OO77&lt;&gt;"",SUMPRODUCT((OZ77:OZ80=OZ77)*(OU77:OU80=OU77)*(OS77:OS80&gt;OS77)),"")</f>
        <v/>
      </c>
      <c r="PD77" s="321" t="str">
        <f t="shared" ref="PD77" ca="1" si="19328">IF(OO77&lt;&gt;"",SUMPRODUCT((OZ77:OZ80=OZ77)*(OU77:OU80=OU77)*(OS77:OS80=OS77)*(OW77:OW80&gt;OW77)),"")</f>
        <v/>
      </c>
      <c r="PE77" s="321" t="str">
        <f t="shared" ref="PE77" ca="1" si="19329">IF(OO77&lt;&gt;"",SUMPRODUCT((OZ77:OZ80=OZ77)*(OU77:OU80=OU77)*(OS77:OS80=OS77)*(OW77:OW80=OW77)*(OX77:OX80&gt;OX77)),"")</f>
        <v/>
      </c>
      <c r="PF77" s="321" t="str">
        <f t="shared" ref="PF77" ca="1" si="19330">IF(OO77&lt;&gt;"",SUMPRODUCT((OZ77:OZ80=OZ77)*(OU77:OU80=OU77)*(OS77:OS80=OS77)*(OW77:OW80=OW77)*(OX77:OX80=OX77)*(OY77:OY80&gt;OY77)),"")</f>
        <v/>
      </c>
      <c r="PG77" s="321" t="str">
        <f t="shared" ref="PG77:PG80" ca="1" si="19331">IF(OO77&lt;&gt;"",SUM(PA77:PF77),"")</f>
        <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2</v>
      </c>
      <c r="ADI77" s="321" t="str">
        <f t="shared" ref="ADI77:ADI80" ca="1" si="19373">IF(AND(ADH77&lt;&gt;"",ADH77&gt;1),ADI37,"")</f>
        <v>Czechia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1">
        <f t="shared" ref="ADO77:ADO80" ca="1" si="19379">ADM77-ADN77+1000</f>
        <v>1000</v>
      </c>
      <c r="ADP77" s="321">
        <f t="shared" ref="ADP77:ADP80" ca="1" si="19380">IF(ADI77&lt;&gt;"",ADJ77*3+ADK77*1,"")</f>
        <v>1</v>
      </c>
      <c r="ADQ77" s="321">
        <f t="shared" ref="ADQ77" ca="1" si="19381">IF(ADI77&lt;&gt;"",VLOOKUP(ADI77,ACP4:ACV40,7,FALSE),"")</f>
        <v>1003</v>
      </c>
      <c r="ADR77" s="321">
        <f t="shared" ref="ADR77" ca="1" si="19382">IF(ADI77&lt;&gt;"",VLOOKUP(ADI77,ACP4:ACV40,5,FALSE),"")</f>
        <v>5</v>
      </c>
      <c r="ADS77" s="321">
        <f t="shared" ref="ADS77" ca="1" si="19383">IF(ADI77&lt;&gt;"",VLOOKUP(ADI77,ACP4:ACX40,9,FALSE),"")</f>
        <v>37</v>
      </c>
      <c r="ADT77" s="321">
        <f t="shared" ref="ADT77:ADT80" ca="1" si="19384">ADP77</f>
        <v>1</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1</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0</v>
      </c>
      <c r="AEA77" s="321">
        <f t="shared" ref="AEA77:AEA80" ca="1" si="19391">IF(ADI77&lt;&gt;"",SUM(ADU77:ADZ77),"")</f>
        <v>2</v>
      </c>
      <c r="AHU77" s="321">
        <f ca="1">SUMPRODUCT((AHU37:AHU40=AHU37)*(AHT37:AHT40=AHT37)*(AHR37:AHR40&gt;AHR37))+1</f>
        <v>1</v>
      </c>
      <c r="AIF77" s="321" t="str">
        <f t="shared" ref="AIF77" ca="1" si="19392">IF(AIG37&lt;&gt;"",SUMPRODUCT((AIN37:AIN40=AIN37)*(AIM37:AIM40=AIM37)*(AIK37:AIK40=AIK37)*(AIL37:AIL40=AIL37)),"")</f>
        <v/>
      </c>
      <c r="AIG77" s="321" t="str">
        <f t="shared" ref="AIG77:AIG80" ca="1" si="19393">IF(AND(AIF77&lt;&gt;"",AIF77&gt;1),AIG37,"")</f>
        <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t="str">
        <f t="shared" ref="AIN77:AIN80" ca="1" si="19400">IF(AIG77&lt;&gt;"",AIH77*3+AII77*1,"")</f>
        <v/>
      </c>
      <c r="AIO77" s="321" t="str">
        <f t="shared" ref="AIO77" ca="1" si="19401">IF(AIG77&lt;&gt;"",VLOOKUP(AIG77,AHN4:AHT40,7,FALSE),"")</f>
        <v/>
      </c>
      <c r="AIP77" s="321" t="str">
        <f t="shared" ref="AIP77" ca="1" si="19402">IF(AIG77&lt;&gt;"",VLOOKUP(AIG77,AHN4:AHT40,5,FALSE),"")</f>
        <v/>
      </c>
      <c r="AIQ77" s="321" t="str">
        <f t="shared" ref="AIQ77" ca="1" si="19403">IF(AIG77&lt;&gt;"",VLOOKUP(AIG77,AHN4:AHV40,9,FALSE),"")</f>
        <v/>
      </c>
      <c r="AIR77" s="321" t="str">
        <f t="shared" ref="AIR77:AIR80" ca="1" si="19404">AIN77</f>
        <v/>
      </c>
      <c r="AIS77" s="321" t="str">
        <f t="shared" ref="AIS77" ca="1" si="19405">IF(AIG77&lt;&gt;"",RANK(AIR77,AIR77:AIR80),"")</f>
        <v/>
      </c>
      <c r="AIT77" s="321" t="str">
        <f t="shared" ref="AIT77" ca="1" si="19406">IF(AIG77&lt;&gt;"",SUMPRODUCT((AIR77:AIR80=AIR77)*(AIM77:AIM80&gt;AIM77)),"")</f>
        <v/>
      </c>
      <c r="AIU77" s="321" t="str">
        <f t="shared" ref="AIU77" ca="1" si="19407">IF(AIG77&lt;&gt;"",SUMPRODUCT((AIR77:AIR80=AIR77)*(AIM77:AIM80=AIM77)*(AIK77:AIK80&gt;AIK77)),"")</f>
        <v/>
      </c>
      <c r="AIV77" s="321" t="str">
        <f t="shared" ref="AIV77" ca="1" si="19408">IF(AIG77&lt;&gt;"",SUMPRODUCT((AIR77:AIR80=AIR77)*(AIM77:AIM80=AIM77)*(AIK77:AIK80=AIK77)*(AIO77:AIO80&gt;AIO77)),"")</f>
        <v/>
      </c>
      <c r="AIW77" s="321" t="str">
        <f t="shared" ref="AIW77" ca="1" si="19409">IF(AIG77&lt;&gt;"",SUMPRODUCT((AIR77:AIR80=AIR77)*(AIM77:AIM80=AIM77)*(AIK77:AIK80=AIK77)*(AIO77:AIO80=AIO77)*(AIP77:AIP80&gt;AIP77)),"")</f>
        <v/>
      </c>
      <c r="AIX77" s="321" t="str">
        <f t="shared" ref="AIX77" ca="1" si="19410">IF(AIG77&lt;&gt;"",SUMPRODUCT((AIR77:AIR80=AIR77)*(AIM77:AIM80=AIM77)*(AIK77:AIK80=AIK77)*(AIO77:AIO80=AIO77)*(AIP77:AIP80=AIP77)*(AIQ77:AIQ80&gt;AIQ77)),"")</f>
        <v/>
      </c>
      <c r="AIY77" s="321" t="str">
        <f t="shared" ref="AIY77:AIY80" ca="1" si="19411">IF(AIG77&lt;&gt;"",SUM(AIS77:AIX77),"")</f>
        <v/>
      </c>
      <c r="AMS77" s="321">
        <f ca="1">SUMPRODUCT((AMS37:AMS40=AMS37)*(AMR37:AMR40=AMR37)*(AMP37:AMP40&gt;AMP37))+1</f>
        <v>1</v>
      </c>
      <c r="AND77" s="321" t="str">
        <f t="shared" ref="AND77" ca="1" si="19412">IF(ANE37&lt;&gt;"",SUMPRODUCT((ANL37:ANL40=ANL37)*(ANK37:ANK40=ANK37)*(ANI37:ANI40=ANI37)*(ANJ37:ANJ40=ANJ37)),"")</f>
        <v/>
      </c>
      <c r="ANE77" s="321" t="str">
        <f t="shared" ref="ANE77:ANE80" ca="1" si="19413">IF(AND(AND77&lt;&gt;"",AND77&gt;1),ANE37,"")</f>
        <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t="str">
        <f t="shared" ref="ANL77:ANL80" ca="1" si="19420">IF(ANE77&lt;&gt;"",ANF77*3+ANG77*1,"")</f>
        <v/>
      </c>
      <c r="ANM77" s="321" t="str">
        <f t="shared" ref="ANM77" ca="1" si="19421">IF(ANE77&lt;&gt;"",VLOOKUP(ANE77,AML4:AMR40,7,FALSE),"")</f>
        <v/>
      </c>
      <c r="ANN77" s="321" t="str">
        <f t="shared" ref="ANN77" ca="1" si="19422">IF(ANE77&lt;&gt;"",VLOOKUP(ANE77,AML4:AMR40,5,FALSE),"")</f>
        <v/>
      </c>
      <c r="ANO77" s="321" t="str">
        <f t="shared" ref="ANO77" ca="1" si="19423">IF(ANE77&lt;&gt;"",VLOOKUP(ANE77,AML4:AMT40,9,FALSE),"")</f>
        <v/>
      </c>
      <c r="ANP77" s="321" t="str">
        <f t="shared" ref="ANP77:ANP80" ca="1" si="19424">ANL77</f>
        <v/>
      </c>
      <c r="ANQ77" s="321" t="str">
        <f t="shared" ref="ANQ77" ca="1" si="19425">IF(ANE77&lt;&gt;"",RANK(ANP77,ANP77:ANP80),"")</f>
        <v/>
      </c>
      <c r="ANR77" s="321" t="str">
        <f t="shared" ref="ANR77" ca="1" si="19426">IF(ANE77&lt;&gt;"",SUMPRODUCT((ANP77:ANP80=ANP77)*(ANK77:ANK80&gt;ANK77)),"")</f>
        <v/>
      </c>
      <c r="ANS77" s="321" t="str">
        <f t="shared" ref="ANS77" ca="1" si="19427">IF(ANE77&lt;&gt;"",SUMPRODUCT((ANP77:ANP80=ANP77)*(ANK77:ANK80=ANK77)*(ANI77:ANI80&gt;ANI77)),"")</f>
        <v/>
      </c>
      <c r="ANT77" s="321" t="str">
        <f t="shared" ref="ANT77" ca="1" si="19428">IF(ANE77&lt;&gt;"",SUMPRODUCT((ANP77:ANP80=ANP77)*(ANK77:ANK80=ANK77)*(ANI77:ANI80=ANI77)*(ANM77:ANM80&gt;ANM77)),"")</f>
        <v/>
      </c>
      <c r="ANU77" s="321" t="str">
        <f t="shared" ref="ANU77" ca="1" si="19429">IF(ANE77&lt;&gt;"",SUMPRODUCT((ANP77:ANP80=ANP77)*(ANK77:ANK80=ANK77)*(ANI77:ANI80=ANI77)*(ANM77:ANM80=ANM77)*(ANN77:ANN80&gt;ANN77)),"")</f>
        <v/>
      </c>
      <c r="ANV77" s="321" t="str">
        <f t="shared" ref="ANV77" ca="1" si="19430">IF(ANE77&lt;&gt;"",SUMPRODUCT((ANP77:ANP80=ANP77)*(ANK77:ANK80=ANK77)*(ANI77:ANI80=ANI77)*(ANM77:ANM80=ANM77)*(ANN77:ANN80=ANN77)*(ANO77:ANO80&gt;ANO77)),"")</f>
        <v/>
      </c>
      <c r="ANW77" s="321" t="str">
        <f t="shared" ref="ANW77:ANW80" ca="1" si="19431">IF(ANE77&lt;&gt;"",SUM(ANQ77:ANV77),"")</f>
        <v/>
      </c>
      <c r="ARQ77" s="321">
        <f ca="1">SUMPRODUCT((ARQ37:ARQ40=ARQ37)*(ARP37:ARP40=ARP37)*(ARN37:ARN40&gt;ARN37))+1</f>
        <v>1</v>
      </c>
      <c r="ASB77" s="321" t="str">
        <f t="shared" ref="ASB77" ca="1" si="19432">IF(ASC37&lt;&gt;"",SUMPRODUCT((ASJ37:ASJ40=ASJ37)*(ASI37:ASI40=ASI37)*(ASG37:ASG40=ASG37)*(ASH37:ASH40=ASH37)),"")</f>
        <v/>
      </c>
      <c r="ASC77" s="321" t="str">
        <f t="shared" ref="ASC77:ASC80" ca="1" si="19433">IF(AND(ASB77&lt;&gt;"",ASB77&gt;1),ASC37,"")</f>
        <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t="str">
        <f t="shared" ref="ASJ77:ASJ80" ca="1" si="19440">IF(ASC77&lt;&gt;"",ASD77*3+ASE77*1,"")</f>
        <v/>
      </c>
      <c r="ASK77" s="321" t="str">
        <f t="shared" ref="ASK77" ca="1" si="19441">IF(ASC77&lt;&gt;"",VLOOKUP(ASC77,ARJ4:ARP40,7,FALSE),"")</f>
        <v/>
      </c>
      <c r="ASL77" s="321" t="str">
        <f t="shared" ref="ASL77" ca="1" si="19442">IF(ASC77&lt;&gt;"",VLOOKUP(ASC77,ARJ4:ARP40,5,FALSE),"")</f>
        <v/>
      </c>
      <c r="ASM77" s="321" t="str">
        <f t="shared" ref="ASM77" ca="1" si="19443">IF(ASC77&lt;&gt;"",VLOOKUP(ASC77,ARJ4:ARR40,9,FALSE),"")</f>
        <v/>
      </c>
      <c r="ASN77" s="321" t="str">
        <f t="shared" ref="ASN77:ASN80" ca="1" si="19444">ASJ77</f>
        <v/>
      </c>
      <c r="ASO77" s="321" t="str">
        <f t="shared" ref="ASO77" ca="1" si="19445">IF(ASC77&lt;&gt;"",RANK(ASN77,ASN77:ASN80),"")</f>
        <v/>
      </c>
      <c r="ASP77" s="321" t="str">
        <f t="shared" ref="ASP77" ca="1" si="19446">IF(ASC77&lt;&gt;"",SUMPRODUCT((ASN77:ASN80=ASN77)*(ASI77:ASI80&gt;ASI77)),"")</f>
        <v/>
      </c>
      <c r="ASQ77" s="321" t="str">
        <f t="shared" ref="ASQ77" ca="1" si="19447">IF(ASC77&lt;&gt;"",SUMPRODUCT((ASN77:ASN80=ASN77)*(ASI77:ASI80=ASI77)*(ASG77:ASG80&gt;ASG77)),"")</f>
        <v/>
      </c>
      <c r="ASR77" s="321" t="str">
        <f t="shared" ref="ASR77" ca="1" si="19448">IF(ASC77&lt;&gt;"",SUMPRODUCT((ASN77:ASN80=ASN77)*(ASI77:ASI80=ASI77)*(ASG77:ASG80=ASG77)*(ASK77:ASK80&gt;ASK77)),"")</f>
        <v/>
      </c>
      <c r="ASS77" s="321" t="str">
        <f t="shared" ref="ASS77" ca="1" si="19449">IF(ASC77&lt;&gt;"",SUMPRODUCT((ASN77:ASN80=ASN77)*(ASI77:ASI80=ASI77)*(ASG77:ASG80=ASG77)*(ASK77:ASK80=ASK77)*(ASL77:ASL80&gt;ASL77)),"")</f>
        <v/>
      </c>
      <c r="AST77" s="321" t="str">
        <f t="shared" ref="AST77" ca="1" si="19450">IF(ASC77&lt;&gt;"",SUMPRODUCT((ASN77:ASN80=ASN77)*(ASI77:ASI80=ASI77)*(ASG77:ASG80=ASG77)*(ASK77:ASK80=ASK77)*(ASL77:ASL80=ASL77)*(ASM77:ASM80&gt;ASM77)),"")</f>
        <v/>
      </c>
      <c r="ASU77" s="321" t="str">
        <f t="shared" ref="ASU77:ASU80" ca="1" si="19451">IF(ASC77&lt;&gt;"",SUM(ASO77:AST77),"")</f>
        <v/>
      </c>
      <c r="AWO77" s="321">
        <f ca="1">SUMPRODUCT((AWO37:AWO40=AWO37)*(AWN37:AWN40=AWN37)*(AWL37:AWL40&gt;AWL37))+1</f>
        <v>1</v>
      </c>
      <c r="AWZ77" s="321" t="str">
        <f t="shared" ref="AWZ77" ca="1" si="19452">IF(AXA37&lt;&gt;"",SUMPRODUCT((AXH37:AXH40=AXH37)*(AXG37:AXG40=AXG37)*(AXE37:AXE40=AXE37)*(AXF37:AXF40=AXF37)),"")</f>
        <v/>
      </c>
      <c r="AXA77" s="321" t="str">
        <f t="shared" ref="AXA77:AXA80" ca="1" si="19453">IF(AND(AWZ77&lt;&gt;"",AWZ77&gt;1),AXA37,"")</f>
        <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t="str">
        <f t="shared" ref="AXH77:AXH80" ca="1" si="19460">IF(AXA77&lt;&gt;"",AXB77*3+AXC77*1,"")</f>
        <v/>
      </c>
      <c r="AXI77" s="321" t="str">
        <f t="shared" ref="AXI77" ca="1" si="19461">IF(AXA77&lt;&gt;"",VLOOKUP(AXA77,AWH4:AWN40,7,FALSE),"")</f>
        <v/>
      </c>
      <c r="AXJ77" s="321" t="str">
        <f t="shared" ref="AXJ77" ca="1" si="19462">IF(AXA77&lt;&gt;"",VLOOKUP(AXA77,AWH4:AWN40,5,FALSE),"")</f>
        <v/>
      </c>
      <c r="AXK77" s="321" t="str">
        <f t="shared" ref="AXK77" ca="1" si="19463">IF(AXA77&lt;&gt;"",VLOOKUP(AXA77,AWH4:AWP40,9,FALSE),"")</f>
        <v/>
      </c>
      <c r="AXL77" s="321" t="str">
        <f t="shared" ref="AXL77:AXL80" ca="1" si="19464">AXH77</f>
        <v/>
      </c>
      <c r="AXM77" s="321" t="str">
        <f t="shared" ref="AXM77" ca="1" si="19465">IF(AXA77&lt;&gt;"",RANK(AXL77,AXL77:AXL80),"")</f>
        <v/>
      </c>
      <c r="AXN77" s="321" t="str">
        <f t="shared" ref="AXN77" ca="1" si="19466">IF(AXA77&lt;&gt;"",SUMPRODUCT((AXL77:AXL80=AXL77)*(AXG77:AXG80&gt;AXG77)),"")</f>
        <v/>
      </c>
      <c r="AXO77" s="321" t="str">
        <f t="shared" ref="AXO77" ca="1" si="19467">IF(AXA77&lt;&gt;"",SUMPRODUCT((AXL77:AXL80=AXL77)*(AXG77:AXG80=AXG77)*(AXE77:AXE80&gt;AXE77)),"")</f>
        <v/>
      </c>
      <c r="AXP77" s="321" t="str">
        <f t="shared" ref="AXP77" ca="1" si="19468">IF(AXA77&lt;&gt;"",SUMPRODUCT((AXL77:AXL80=AXL77)*(AXG77:AXG80=AXG77)*(AXE77:AXE80=AXE77)*(AXI77:AXI80&gt;AXI77)),"")</f>
        <v/>
      </c>
      <c r="AXQ77" s="321" t="str">
        <f t="shared" ref="AXQ77" ca="1" si="19469">IF(AXA77&lt;&gt;"",SUMPRODUCT((AXL77:AXL80=AXL77)*(AXG77:AXG80=AXG77)*(AXE77:AXE80=AXE77)*(AXI77:AXI80=AXI77)*(AXJ77:AXJ80&gt;AXJ77)),"")</f>
        <v/>
      </c>
      <c r="AXR77" s="321" t="str">
        <f t="shared" ref="AXR77" ca="1" si="19470">IF(AXA77&lt;&gt;"",SUMPRODUCT((AXL77:AXL80=AXL77)*(AXG77:AXG80=AXG77)*(AXE77:AXE80=AXE77)*(AXI77:AXI80=AXI77)*(AXJ77:AXJ80=AXJ77)*(AXK77:AXK80&gt;AXK77)),"")</f>
        <v/>
      </c>
      <c r="AXS77" s="321" t="str">
        <f t="shared" ref="AXS77:AXS80" ca="1" si="19471">IF(AXA77&lt;&gt;"",SUM(AXM77:AXR77),"")</f>
        <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1">
        <f ca="1">FQ78-FR78+1000</f>
        <v>1000</v>
      </c>
      <c r="FT78" s="321">
        <f t="shared" ref="FT78:FT80" ca="1" si="19502">IF(FM78&lt;&gt;"",FN78*3+FO78*1,"")</f>
        <v>1</v>
      </c>
      <c r="FU78" s="321">
        <f ca="1">IF(FM78&lt;&gt;"",VLOOKUP(FM78,DZ4:EF40,7,FALSE),"")</f>
        <v>1001</v>
      </c>
      <c r="FV78" s="321">
        <f ca="1">IF(FM78&lt;&gt;"",VLOOKUP(FM78,DZ4:EF40,5,FALSE),"")</f>
        <v>4</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0</v>
      </c>
      <c r="GC78" s="321">
        <f ca="1">IF(FM78&lt;&gt;"",SUMPRODUCT((FX77:FX80=FX78)*(FS77:FS80=FS78)*(FQ77:FQ80=FQ78)*(FU77:FU80=FU78)*(FV77:FV80&gt;FV78)),"")</f>
        <v>0</v>
      </c>
      <c r="GD78" s="321">
        <f ca="1">IF(FM78&lt;&gt;"",SUMPRODUCT((FX77:FX80=FX78)*(FS77:FS80=FS78)*(FQ77:FQ80=FQ78)*(FU77:FU80=FU78)*(FV77:FV80=FV78)*(FW77:FW80&gt;FW78)),"")</f>
        <v>1</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t="str">
        <f t="shared" ref="ON78" ca="1" si="19510">IF(OO38&lt;&gt;"",SUMPRODUCT((OV37:OV40=OV38)*(OU37:OU40=OU38)*(OS37:OS40=OS38)*(OT37:OT40=OT38)),"")</f>
        <v/>
      </c>
      <c r="OO78" s="321" t="str">
        <f t="shared" ca="1" si="19313"/>
        <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t="str">
        <f t="shared" ca="1" si="19320"/>
        <v/>
      </c>
      <c r="OW78" s="321" t="str">
        <f t="shared" ref="OW78" ca="1" si="19516">IF(OO78&lt;&gt;"",VLOOKUP(OO78,NV4:OB40,7,FALSE),"")</f>
        <v/>
      </c>
      <c r="OX78" s="321" t="str">
        <f t="shared" ref="OX78" ca="1" si="19517">IF(OO78&lt;&gt;"",VLOOKUP(OO78,NV4:OB40,5,FALSE),"")</f>
        <v/>
      </c>
      <c r="OY78" s="321" t="str">
        <f t="shared" ref="OY78" ca="1" si="19518">IF(OO78&lt;&gt;"",VLOOKUP(OO78,NV4:OD40,9,FALSE),"")</f>
        <v/>
      </c>
      <c r="OZ78" s="321" t="str">
        <f t="shared" ca="1" si="19324"/>
        <v/>
      </c>
      <c r="PA78" s="321" t="str">
        <f t="shared" ref="PA78" ca="1" si="19519">IF(OO78&lt;&gt;"",RANK(OZ78,OZ77:OZ80),"")</f>
        <v/>
      </c>
      <c r="PB78" s="321" t="str">
        <f t="shared" ref="PB78" ca="1" si="19520">IF(OO78&lt;&gt;"",SUMPRODUCT((OZ77:OZ80=OZ78)*(OU77:OU80&gt;OU78)),"")</f>
        <v/>
      </c>
      <c r="PC78" s="321" t="str">
        <f t="shared" ref="PC78" ca="1" si="19521">IF(OO78&lt;&gt;"",SUMPRODUCT((OZ77:OZ80=OZ78)*(OU77:OU80=OU78)*(OS77:OS80&gt;OS78)),"")</f>
        <v/>
      </c>
      <c r="PD78" s="321" t="str">
        <f t="shared" ref="PD78" ca="1" si="19522">IF(OO78&lt;&gt;"",SUMPRODUCT((OZ77:OZ80=OZ78)*(OU77:OU80=OU78)*(OS77:OS80=OS78)*(OW77:OW80&gt;OW78)),"")</f>
        <v/>
      </c>
      <c r="PE78" s="321" t="str">
        <f t="shared" ref="PE78" ca="1" si="19523">IF(OO78&lt;&gt;"",SUMPRODUCT((OZ77:OZ80=OZ78)*(OU77:OU80=OU78)*(OS77:OS80=OS78)*(OW77:OW80=OW78)*(OX77:OX80&gt;OX78)),"")</f>
        <v/>
      </c>
      <c r="PF78" s="321" t="str">
        <f t="shared" ref="PF78" ca="1" si="19524">IF(OO78&lt;&gt;"",SUMPRODUCT((OZ77:OZ80=OZ78)*(OU77:OU80=OU78)*(OS77:OS80=OS78)*(OW77:OW80=OW78)*(OX77:OX80=OX78)*(OY77:OY80&gt;OY78)),"")</f>
        <v/>
      </c>
      <c r="PG78" s="321" t="str">
        <f t="shared" ca="1" si="19331"/>
        <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f t="shared" ref="UF78" ca="1" si="19560">IF(UG38&lt;&gt;"",SUMPRODUCT((UN37:UN40=UN38)*(UM37:UM40=UM38)*(UK37:UK40=UK38)*(UL37:UL40=UL38)),"")</f>
        <v>2</v>
      </c>
      <c r="UG78" s="321" t="str">
        <f t="shared" ref="UG78:UG80" ca="1" si="19561">IF(AND(UF78&lt;&gt;"",UF78&gt;1),UG38,"")</f>
        <v>Czechia</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1">
        <f t="shared" ref="UM78:UM80" ca="1" si="19567">UK78-UL78+1000</f>
        <v>1000</v>
      </c>
      <c r="UN78" s="321">
        <f t="shared" ref="UN78:UN80" ca="1" si="19568">IF(UG78&lt;&gt;"",UH78*3+UI78*1,"")</f>
        <v>1</v>
      </c>
      <c r="UO78" s="321">
        <f t="shared" ref="UO78" ca="1" si="19569">IF(UG78&lt;&gt;"",VLOOKUP(UG78,ST4:SZ40,7,FALSE),"")</f>
        <v>1000</v>
      </c>
      <c r="UP78" s="321">
        <f t="shared" ref="UP78" ca="1" si="19570">IF(UG78&lt;&gt;"",VLOOKUP(UG78,ST4:SZ40,5,FALSE),"")</f>
        <v>5</v>
      </c>
      <c r="UQ78" s="321">
        <f t="shared" ref="UQ78" ca="1" si="19571">IF(UG78&lt;&gt;"",VLOOKUP(UG78,ST4:TB40,9,FALSE),"")</f>
        <v>37</v>
      </c>
      <c r="UR78" s="321">
        <f t="shared" ref="UR78:UR80" ca="1" si="19572">UN78</f>
        <v>1</v>
      </c>
      <c r="US78" s="321">
        <f t="shared" ref="US78" ca="1" si="19573">IF(UG78&lt;&gt;"",RANK(UR78,UR77:UR80),"")</f>
        <v>1</v>
      </c>
      <c r="UT78" s="321">
        <f t="shared" ref="UT78" ca="1" si="19574">IF(UG78&lt;&gt;"",SUMPRODUCT((UR77:UR80=UR78)*(UM77:UM80&gt;UM78)),"")</f>
        <v>0</v>
      </c>
      <c r="UU78" s="321">
        <f t="shared" ref="UU78" ca="1" si="19575">IF(UG78&lt;&gt;"",SUMPRODUCT((UR77:UR80=UR78)*(UM77:UM80=UM78)*(UK77:UK80&gt;UK78)),"")</f>
        <v>0</v>
      </c>
      <c r="UV78" s="321">
        <f t="shared" ref="UV78" ca="1" si="19576">IF(UG78&lt;&gt;"",SUMPRODUCT((UR77:UR80=UR78)*(UM77:UM80=UM78)*(UK77:UK80=UK78)*(UO77:UO80&gt;UO78)),"")</f>
        <v>0</v>
      </c>
      <c r="UW78" s="321">
        <f t="shared" ref="UW78" ca="1" si="19577">IF(UG78&lt;&gt;"",SUMPRODUCT((UR77:UR80=UR78)*(UM77:UM80=UM78)*(UK77:UK80=UK78)*(UO77:UO80=UO78)*(UP77:UP80&gt;UP78)),"")</f>
        <v>0</v>
      </c>
      <c r="UX78" s="321">
        <f t="shared" ref="UX78" ca="1" si="19578">IF(UG78&lt;&gt;"",SUMPRODUCT((UR77:UR80=UR78)*(UM77:UM80=UM78)*(UK77:UK80=UK78)*(UO77:UO80=UO78)*(UP77:UP80=UP78)*(UQ77:UQ80&gt;UQ78)),"")</f>
        <v>0</v>
      </c>
      <c r="UY78" s="321">
        <f t="shared" ref="UY78" ca="1" si="19579">IF(UG78&lt;&gt;"",SUM(US78:UX78)+1,"")</f>
        <v>2</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2</v>
      </c>
      <c r="ADI78" s="321" t="str">
        <f t="shared" ca="1" si="19373"/>
        <v>Türkiye</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1">
        <f t="shared" ca="1" si="19379"/>
        <v>1000</v>
      </c>
      <c r="ADP78" s="321">
        <f t="shared" ca="1" si="19380"/>
        <v>1</v>
      </c>
      <c r="ADQ78" s="321">
        <f t="shared" ref="ADQ78" ca="1" si="19621">IF(ADI78&lt;&gt;"",VLOOKUP(ADI78,ACP4:ACV40,7,FALSE),"")</f>
        <v>1004</v>
      </c>
      <c r="ADR78" s="321">
        <f t="shared" ref="ADR78" ca="1" si="19622">IF(ADI78&lt;&gt;"",VLOOKUP(ADI78,ACP4:ACV40,5,FALSE),"")</f>
        <v>6</v>
      </c>
      <c r="ADS78" s="321">
        <f t="shared" ref="ADS78" ca="1" si="19623">IF(ADI78&lt;&gt;"",VLOOKUP(ADI78,ACP4:ACX40,9,FALSE),"")</f>
        <v>47</v>
      </c>
      <c r="ADT78" s="321">
        <f t="shared" ca="1" si="19384"/>
        <v>1</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0</v>
      </c>
      <c r="AEA78" s="321">
        <f t="shared" ca="1" si="19391"/>
        <v>1</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t="str">
        <f t="shared" ref="AIF78" ca="1" si="19650">IF(AIG38&lt;&gt;"",SUMPRODUCT((AIN37:AIN40=AIN38)*(AIM37:AIM40=AIM38)*(AIK37:AIK40=AIK38)*(AIL37:AIL40=AIL38)),"")</f>
        <v/>
      </c>
      <c r="AIG78" s="321" t="str">
        <f t="shared" ca="1" si="19393"/>
        <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t="str">
        <f t="shared" ca="1" si="19400"/>
        <v/>
      </c>
      <c r="AIO78" s="321" t="str">
        <f t="shared" ref="AIO78" ca="1" si="19656">IF(AIG78&lt;&gt;"",VLOOKUP(AIG78,AHN4:AHT40,7,FALSE),"")</f>
        <v/>
      </c>
      <c r="AIP78" s="321" t="str">
        <f t="shared" ref="AIP78" ca="1" si="19657">IF(AIG78&lt;&gt;"",VLOOKUP(AIG78,AHN4:AHT40,5,FALSE),"")</f>
        <v/>
      </c>
      <c r="AIQ78" s="321" t="str">
        <f t="shared" ref="AIQ78" ca="1" si="19658">IF(AIG78&lt;&gt;"",VLOOKUP(AIG78,AHN4:AHV40,9,FALSE),"")</f>
        <v/>
      </c>
      <c r="AIR78" s="321" t="str">
        <f t="shared" ca="1" si="19404"/>
        <v/>
      </c>
      <c r="AIS78" s="321" t="str">
        <f t="shared" ref="AIS78" ca="1" si="19659">IF(AIG78&lt;&gt;"",RANK(AIR78,AIR77:AIR80),"")</f>
        <v/>
      </c>
      <c r="AIT78" s="321" t="str">
        <f t="shared" ref="AIT78" ca="1" si="19660">IF(AIG78&lt;&gt;"",SUMPRODUCT((AIR77:AIR80=AIR78)*(AIM77:AIM80&gt;AIM78)),"")</f>
        <v/>
      </c>
      <c r="AIU78" s="321" t="str">
        <f t="shared" ref="AIU78" ca="1" si="19661">IF(AIG78&lt;&gt;"",SUMPRODUCT((AIR77:AIR80=AIR78)*(AIM77:AIM80=AIM78)*(AIK77:AIK80&gt;AIK78)),"")</f>
        <v/>
      </c>
      <c r="AIV78" s="321" t="str">
        <f t="shared" ref="AIV78" ca="1" si="19662">IF(AIG78&lt;&gt;"",SUMPRODUCT((AIR77:AIR80=AIR78)*(AIM77:AIM80=AIM78)*(AIK77:AIK80=AIK78)*(AIO77:AIO80&gt;AIO78)),"")</f>
        <v/>
      </c>
      <c r="AIW78" s="321" t="str">
        <f t="shared" ref="AIW78" ca="1" si="19663">IF(AIG78&lt;&gt;"",SUMPRODUCT((AIR77:AIR80=AIR78)*(AIM77:AIM80=AIM78)*(AIK77:AIK80=AIK78)*(AIO77:AIO80=AIO78)*(AIP77:AIP80&gt;AIP78)),"")</f>
        <v/>
      </c>
      <c r="AIX78" s="321" t="str">
        <f t="shared" ref="AIX78" ca="1" si="19664">IF(AIG78&lt;&gt;"",SUMPRODUCT((AIR77:AIR80=AIR78)*(AIM77:AIM80=AIM78)*(AIK77:AIK80=AIK78)*(AIO77:AIO80=AIO78)*(AIP77:AIP80=AIP78)*(AIQ77:AIQ80&gt;AIQ78)),"")</f>
        <v/>
      </c>
      <c r="AIY78" s="321" t="str">
        <f t="shared" ca="1" si="19411"/>
        <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t="str">
        <f t="shared" ref="AND78" ca="1" si="19685">IF(ANE38&lt;&gt;"",SUMPRODUCT((ANL37:ANL40=ANL38)*(ANK37:ANK40=ANK38)*(ANI37:ANI40=ANI38)*(ANJ37:ANJ40=ANJ38)),"")</f>
        <v/>
      </c>
      <c r="ANE78" s="321" t="str">
        <f t="shared" ca="1" si="19413"/>
        <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t="str">
        <f t="shared" ca="1" si="19420"/>
        <v/>
      </c>
      <c r="ANM78" s="321" t="str">
        <f t="shared" ref="ANM78" ca="1" si="19691">IF(ANE78&lt;&gt;"",VLOOKUP(ANE78,AML4:AMR40,7,FALSE),"")</f>
        <v/>
      </c>
      <c r="ANN78" s="321" t="str">
        <f t="shared" ref="ANN78" ca="1" si="19692">IF(ANE78&lt;&gt;"",VLOOKUP(ANE78,AML4:AMR40,5,FALSE),"")</f>
        <v/>
      </c>
      <c r="ANO78" s="321" t="str">
        <f t="shared" ref="ANO78" ca="1" si="19693">IF(ANE78&lt;&gt;"",VLOOKUP(ANE78,AML4:AMT40,9,FALSE),"")</f>
        <v/>
      </c>
      <c r="ANP78" s="321" t="str">
        <f t="shared" ca="1" si="19424"/>
        <v/>
      </c>
      <c r="ANQ78" s="321" t="str">
        <f t="shared" ref="ANQ78" ca="1" si="19694">IF(ANE78&lt;&gt;"",RANK(ANP78,ANP77:ANP80),"")</f>
        <v/>
      </c>
      <c r="ANR78" s="321" t="str">
        <f t="shared" ref="ANR78" ca="1" si="19695">IF(ANE78&lt;&gt;"",SUMPRODUCT((ANP77:ANP80=ANP78)*(ANK77:ANK80&gt;ANK78)),"")</f>
        <v/>
      </c>
      <c r="ANS78" s="321" t="str">
        <f t="shared" ref="ANS78" ca="1" si="19696">IF(ANE78&lt;&gt;"",SUMPRODUCT((ANP77:ANP80=ANP78)*(ANK77:ANK80=ANK78)*(ANI77:ANI80&gt;ANI78)),"")</f>
        <v/>
      </c>
      <c r="ANT78" s="321" t="str">
        <f t="shared" ref="ANT78" ca="1" si="19697">IF(ANE78&lt;&gt;"",SUMPRODUCT((ANP77:ANP80=ANP78)*(ANK77:ANK80=ANK78)*(ANI77:ANI80=ANI78)*(ANM77:ANM80&gt;ANM78)),"")</f>
        <v/>
      </c>
      <c r="ANU78" s="321" t="str">
        <f t="shared" ref="ANU78" ca="1" si="19698">IF(ANE78&lt;&gt;"",SUMPRODUCT((ANP77:ANP80=ANP78)*(ANK77:ANK80=ANK78)*(ANI77:ANI80=ANI78)*(ANM77:ANM80=ANM78)*(ANN77:ANN80&gt;ANN78)),"")</f>
        <v/>
      </c>
      <c r="ANV78" s="321" t="str">
        <f t="shared" ref="ANV78" ca="1" si="19699">IF(ANE78&lt;&gt;"",SUMPRODUCT((ANP77:ANP80=ANP78)*(ANK77:ANK80=ANK78)*(ANI77:ANI80=ANI78)*(ANM77:ANM80=ANM78)*(ANN77:ANN80=ANN78)*(ANO77:ANO80&gt;ANO78)),"")</f>
        <v/>
      </c>
      <c r="ANW78" s="321" t="str">
        <f t="shared" ca="1" si="19431"/>
        <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t="str">
        <f t="shared" ref="ASB78" ca="1" si="19720">IF(ASC38&lt;&gt;"",SUMPRODUCT((ASJ37:ASJ40=ASJ38)*(ASI37:ASI40=ASI38)*(ASG37:ASG40=ASG38)*(ASH37:ASH40=ASH38)),"")</f>
        <v/>
      </c>
      <c r="ASC78" s="321" t="str">
        <f t="shared" ca="1" si="19433"/>
        <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t="str">
        <f t="shared" ca="1" si="19440"/>
        <v/>
      </c>
      <c r="ASK78" s="321" t="str">
        <f t="shared" ref="ASK78" ca="1" si="19726">IF(ASC78&lt;&gt;"",VLOOKUP(ASC78,ARJ4:ARP40,7,FALSE),"")</f>
        <v/>
      </c>
      <c r="ASL78" s="321" t="str">
        <f t="shared" ref="ASL78" ca="1" si="19727">IF(ASC78&lt;&gt;"",VLOOKUP(ASC78,ARJ4:ARP40,5,FALSE),"")</f>
        <v/>
      </c>
      <c r="ASM78" s="321" t="str">
        <f t="shared" ref="ASM78" ca="1" si="19728">IF(ASC78&lt;&gt;"",VLOOKUP(ASC78,ARJ4:ARR40,9,FALSE),"")</f>
        <v/>
      </c>
      <c r="ASN78" s="321" t="str">
        <f t="shared" ca="1" si="19444"/>
        <v/>
      </c>
      <c r="ASO78" s="321" t="str">
        <f t="shared" ref="ASO78" ca="1" si="19729">IF(ASC78&lt;&gt;"",RANK(ASN78,ASN77:ASN80),"")</f>
        <v/>
      </c>
      <c r="ASP78" s="321" t="str">
        <f t="shared" ref="ASP78" ca="1" si="19730">IF(ASC78&lt;&gt;"",SUMPRODUCT((ASN77:ASN80=ASN78)*(ASI77:ASI80&gt;ASI78)),"")</f>
        <v/>
      </c>
      <c r="ASQ78" s="321" t="str">
        <f t="shared" ref="ASQ78" ca="1" si="19731">IF(ASC78&lt;&gt;"",SUMPRODUCT((ASN77:ASN80=ASN78)*(ASI77:ASI80=ASI78)*(ASG77:ASG80&gt;ASG78)),"")</f>
        <v/>
      </c>
      <c r="ASR78" s="321" t="str">
        <f t="shared" ref="ASR78" ca="1" si="19732">IF(ASC78&lt;&gt;"",SUMPRODUCT((ASN77:ASN80=ASN78)*(ASI77:ASI80=ASI78)*(ASG77:ASG80=ASG78)*(ASK77:ASK80&gt;ASK78)),"")</f>
        <v/>
      </c>
      <c r="ASS78" s="321" t="str">
        <f t="shared" ref="ASS78" ca="1" si="19733">IF(ASC78&lt;&gt;"",SUMPRODUCT((ASN77:ASN80=ASN78)*(ASI77:ASI80=ASI78)*(ASG77:ASG80=ASG78)*(ASK77:ASK80=ASK78)*(ASL77:ASL80&gt;ASL78)),"")</f>
        <v/>
      </c>
      <c r="AST78" s="321" t="str">
        <f t="shared" ref="AST78" ca="1" si="19734">IF(ASC78&lt;&gt;"",SUMPRODUCT((ASN77:ASN80=ASN78)*(ASI77:ASI80=ASI78)*(ASG77:ASG80=ASG78)*(ASK77:ASK80=ASK78)*(ASL77:ASL80=ASL78)*(ASM77:ASM80&gt;ASM78)),"")</f>
        <v/>
      </c>
      <c r="ASU78" s="321" t="str">
        <f t="shared" ca="1" si="19451"/>
        <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t="str">
        <f t="shared" ref="AWZ78" ca="1" si="19755">IF(AXA38&lt;&gt;"",SUMPRODUCT((AXH37:AXH40=AXH38)*(AXG37:AXG40=AXG38)*(AXE37:AXE40=AXE38)*(AXF37:AXF40=AXF38)),"")</f>
        <v/>
      </c>
      <c r="AXA78" s="321" t="str">
        <f t="shared" ca="1" si="19453"/>
        <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t="str">
        <f t="shared" ca="1" si="19460"/>
        <v/>
      </c>
      <c r="AXI78" s="321" t="str">
        <f t="shared" ref="AXI78" ca="1" si="19761">IF(AXA78&lt;&gt;"",VLOOKUP(AXA78,AWH4:AWN40,7,FALSE),"")</f>
        <v/>
      </c>
      <c r="AXJ78" s="321" t="str">
        <f t="shared" ref="AXJ78" ca="1" si="19762">IF(AXA78&lt;&gt;"",VLOOKUP(AXA78,AWH4:AWN40,5,FALSE),"")</f>
        <v/>
      </c>
      <c r="AXK78" s="321" t="str">
        <f t="shared" ref="AXK78" ca="1" si="19763">IF(AXA78&lt;&gt;"",VLOOKUP(AXA78,AWH4:AWP40,9,FALSE),"")</f>
        <v/>
      </c>
      <c r="AXL78" s="321" t="str">
        <f t="shared" ca="1" si="19464"/>
        <v/>
      </c>
      <c r="AXM78" s="321" t="str">
        <f t="shared" ref="AXM78" ca="1" si="19764">IF(AXA78&lt;&gt;"",RANK(AXL78,AXL77:AXL80),"")</f>
        <v/>
      </c>
      <c r="AXN78" s="321" t="str">
        <f t="shared" ref="AXN78" ca="1" si="19765">IF(AXA78&lt;&gt;"",SUMPRODUCT((AXL77:AXL80=AXL78)*(AXG77:AXG80&gt;AXG78)),"")</f>
        <v/>
      </c>
      <c r="AXO78" s="321" t="str">
        <f t="shared" ref="AXO78" ca="1" si="19766">IF(AXA78&lt;&gt;"",SUMPRODUCT((AXL77:AXL80=AXL78)*(AXG77:AXG80=AXG78)*(AXE77:AXE80&gt;AXE78)),"")</f>
        <v/>
      </c>
      <c r="AXP78" s="321" t="str">
        <f t="shared" ref="AXP78" ca="1" si="19767">IF(AXA78&lt;&gt;"",SUMPRODUCT((AXL77:AXL80=AXL78)*(AXG77:AXG80=AXG78)*(AXE77:AXE80=AXE78)*(AXI77:AXI80&gt;AXI78)),"")</f>
        <v/>
      </c>
      <c r="AXQ78" s="321" t="str">
        <f t="shared" ref="AXQ78" ca="1" si="19768">IF(AXA78&lt;&gt;"",SUMPRODUCT((AXL77:AXL80=AXL78)*(AXG77:AXG80=AXG78)*(AXE77:AXE80=AXE78)*(AXI77:AXI80=AXI78)*(AXJ77:AXJ80&gt;AXJ78)),"")</f>
        <v/>
      </c>
      <c r="AXR78" s="321" t="str">
        <f t="shared" ref="AXR78" ca="1" si="19769">IF(AXA78&lt;&gt;"",SUMPRODUCT((AXL77:AXL80=AXL78)*(AXG77:AXG80=AXG78)*(AXE77:AXE80=AXE78)*(AXI77:AXI80=AXI78)*(AXJ77:AXJ80=AXJ78)*(AXK77:AXK80&gt;AXK78)),"")</f>
        <v/>
      </c>
      <c r="AXS78" s="321" t="str">
        <f t="shared" ca="1" si="19471"/>
        <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1">
        <f ca="1">FQ79-FR79+1000</f>
        <v>1000</v>
      </c>
      <c r="FT79" s="321">
        <f t="shared" ca="1" si="19502"/>
        <v>1</v>
      </c>
      <c r="FU79" s="321">
        <f ca="1">IF(FM79&lt;&gt;"",VLOOKUP(FM79,DZ4:EF40,7,FALSE),"")</f>
        <v>1001</v>
      </c>
      <c r="FV79" s="321">
        <f ca="1">IF(FM79&lt;&gt;"",VLOOKUP(FM79,DZ4:EF40,5,FALSE),"")</f>
        <v>4</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f t="shared" ref="UF79" ca="1" si="19874">IF(UG39&lt;&gt;"",SUMPRODUCT((UN37:UN40=UN39)*(UM37:UM40=UM39)*(UK37:UK40=UK39)*(UL37:UL40=UL39)),"")</f>
        <v>2</v>
      </c>
      <c r="UG79" s="321" t="str">
        <f t="shared" ca="1" si="19561"/>
        <v>Türkiye</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1">
        <f t="shared" ca="1" si="19567"/>
        <v>1000</v>
      </c>
      <c r="UN79" s="321">
        <f t="shared" ca="1" si="19568"/>
        <v>1</v>
      </c>
      <c r="UO79" s="321">
        <f t="shared" ref="UO79" ca="1" si="19880">IF(UG79&lt;&gt;"",VLOOKUP(UG79,ST4:SZ40,7,FALSE),"")</f>
        <v>999</v>
      </c>
      <c r="UP79" s="321">
        <f t="shared" ref="UP79" ca="1" si="19881">IF(UG79&lt;&gt;"",VLOOKUP(UG79,ST4:SZ40,5,FALSE),"")</f>
        <v>4</v>
      </c>
      <c r="UQ79" s="321">
        <f t="shared" ref="UQ79" ca="1" si="19882">IF(UG79&lt;&gt;"",VLOOKUP(UG79,ST4:TB40,9,FALSE),"")</f>
        <v>47</v>
      </c>
      <c r="UR79" s="321">
        <f t="shared" ca="1" si="19572"/>
        <v>1</v>
      </c>
      <c r="US79" s="321">
        <f t="shared" ref="US79" ca="1" si="19883">IF(UG79&lt;&gt;"",RANK(UR79,UR77:UR80),"")</f>
        <v>1</v>
      </c>
      <c r="UT79" s="321">
        <f t="shared" ref="UT79" ca="1" si="19884">IF(UG79&lt;&gt;"",SUMPRODUCT((UR77:UR80=UR79)*(UM77:UM80&gt;UM79)),"")</f>
        <v>0</v>
      </c>
      <c r="UU79" s="321">
        <f t="shared" ref="UU79" ca="1" si="19885">IF(UG79&lt;&gt;"",SUMPRODUCT((UR77:UR80=UR79)*(UM77:UM80=UM79)*(UK77:UK80&gt;UK79)),"")</f>
        <v>0</v>
      </c>
      <c r="UV79" s="321">
        <f t="shared" ref="UV79" ca="1" si="19886">IF(UG79&lt;&gt;"",SUMPRODUCT((UR77:UR80=UR79)*(UM77:UM80=UM79)*(UK77:UK80=UK79)*(UO77:UO80&gt;UO79)),"")</f>
        <v>1</v>
      </c>
      <c r="UW79" s="321">
        <f t="shared" ref="UW79" ca="1" si="19887">IF(UG79&lt;&gt;"",SUMPRODUCT((UR77:UR80=UR79)*(UM77:UM80=UM79)*(UK77:UK80=UK79)*(UO77:UO80=UO79)*(UP77:UP80&gt;UP79)),"")</f>
        <v>0</v>
      </c>
      <c r="UX79" s="321">
        <f t="shared" ref="UX79" ca="1" si="19888">IF(UG79&lt;&gt;"",SUMPRODUCT((UR77:UR80=UR79)*(UM77:UM80=UM79)*(UK77:UK80=UK79)*(UO77:UO80=UO79)*(UP77:UP80=UP79)*(UQ77:UQ80&gt;UQ79)),"")</f>
        <v>0</v>
      </c>
      <c r="UY79" s="321">
        <f t="shared" ref="UY79:UY80" ca="1" si="19889">IF(UG79&lt;&gt;"",SUM(US79:UX79)+1,"")</f>
        <v>3</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t="str">
        <f t="shared" ref="AND79" ca="1" si="19983">IF(ANE39&lt;&gt;"",SUMPRODUCT((ANL37:ANL40=ANL39)*(ANK37:ANK40=ANK39)*(ANI37:ANI40=ANI39)*(ANJ37:ANJ40=ANJ39)),"")</f>
        <v/>
      </c>
      <c r="ANE79" s="321" t="str">
        <f t="shared" ca="1" si="19413"/>
        <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t="str">
        <f t="shared" ca="1" si="19420"/>
        <v/>
      </c>
      <c r="ANM79" s="321" t="str">
        <f t="shared" ref="ANM79" ca="1" si="19989">IF(ANE79&lt;&gt;"",VLOOKUP(ANE79,AML4:AMR40,7,FALSE),"")</f>
        <v/>
      </c>
      <c r="ANN79" s="321" t="str">
        <f t="shared" ref="ANN79" ca="1" si="19990">IF(ANE79&lt;&gt;"",VLOOKUP(ANE79,AML4:AMR40,5,FALSE),"")</f>
        <v/>
      </c>
      <c r="ANO79" s="321" t="str">
        <f t="shared" ref="ANO79" ca="1" si="19991">IF(ANE79&lt;&gt;"",VLOOKUP(ANE79,AML4:AMT40,9,FALSE),"")</f>
        <v/>
      </c>
      <c r="ANP79" s="321" t="str">
        <f t="shared" ca="1" si="19424"/>
        <v/>
      </c>
      <c r="ANQ79" s="321" t="str">
        <f t="shared" ref="ANQ79" ca="1" si="19992">IF(ANE79&lt;&gt;"",RANK(ANP79,ANP77:ANP80),"")</f>
        <v/>
      </c>
      <c r="ANR79" s="321" t="str">
        <f t="shared" ref="ANR79" ca="1" si="19993">IF(ANE79&lt;&gt;"",SUMPRODUCT((ANP77:ANP80=ANP79)*(ANK77:ANK80&gt;ANK79)),"")</f>
        <v/>
      </c>
      <c r="ANS79" s="321" t="str">
        <f t="shared" ref="ANS79" ca="1" si="19994">IF(ANE79&lt;&gt;"",SUMPRODUCT((ANP77:ANP80=ANP79)*(ANK77:ANK80=ANK79)*(ANI77:ANI80&gt;ANI79)),"")</f>
        <v/>
      </c>
      <c r="ANT79" s="321" t="str">
        <f t="shared" ref="ANT79" ca="1" si="19995">IF(ANE79&lt;&gt;"",SUMPRODUCT((ANP77:ANP80=ANP79)*(ANK77:ANK80=ANK79)*(ANI77:ANI80=ANI79)*(ANM77:ANM80&gt;ANM79)),"")</f>
        <v/>
      </c>
      <c r="ANU79" s="321" t="str">
        <f t="shared" ref="ANU79" ca="1" si="19996">IF(ANE79&lt;&gt;"",SUMPRODUCT((ANP77:ANP80=ANP79)*(ANK77:ANK80=ANK79)*(ANI77:ANI80=ANI79)*(ANM77:ANM80=ANM79)*(ANN77:ANN80&gt;ANN79)),"")</f>
        <v/>
      </c>
      <c r="ANV79" s="321" t="str">
        <f t="shared" ref="ANV79" ca="1" si="19997">IF(ANE79&lt;&gt;"",SUMPRODUCT((ANP77:ANP80=ANP79)*(ANK77:ANK80=ANK79)*(ANI77:ANI80=ANI79)*(ANM77:ANM80=ANM79)*(ANN77:ANN80=ANN79)*(ANO77:ANO80&gt;ANO79)),"")</f>
        <v/>
      </c>
      <c r="ANW79" s="321" t="str">
        <f t="shared" ca="1" si="19431"/>
        <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t="str">
        <f t="shared" ref="ASB79" ca="1" si="20014">IF(ASC39&lt;&gt;"",SUMPRODUCT((ASJ37:ASJ40=ASJ39)*(ASI37:ASI40=ASI39)*(ASG37:ASG40=ASG39)*(ASH37:ASH40=ASH39)),"")</f>
        <v/>
      </c>
      <c r="ASC79" s="321" t="str">
        <f t="shared" ca="1" si="19433"/>
        <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t="str">
        <f t="shared" ca="1" si="19440"/>
        <v/>
      </c>
      <c r="ASK79" s="321" t="str">
        <f t="shared" ref="ASK79" ca="1" si="20020">IF(ASC79&lt;&gt;"",VLOOKUP(ASC79,ARJ4:ARP40,7,FALSE),"")</f>
        <v/>
      </c>
      <c r="ASL79" s="321" t="str">
        <f t="shared" ref="ASL79" ca="1" si="20021">IF(ASC79&lt;&gt;"",VLOOKUP(ASC79,ARJ4:ARP40,5,FALSE),"")</f>
        <v/>
      </c>
      <c r="ASM79" s="321" t="str">
        <f t="shared" ref="ASM79" ca="1" si="20022">IF(ASC79&lt;&gt;"",VLOOKUP(ASC79,ARJ4:ARR40,9,FALSE),"")</f>
        <v/>
      </c>
      <c r="ASN79" s="321" t="str">
        <f t="shared" ca="1" si="19444"/>
        <v/>
      </c>
      <c r="ASO79" s="321" t="str">
        <f t="shared" ref="ASO79" ca="1" si="20023">IF(ASC79&lt;&gt;"",RANK(ASN79,ASN77:ASN80),"")</f>
        <v/>
      </c>
      <c r="ASP79" s="321" t="str">
        <f t="shared" ref="ASP79" ca="1" si="20024">IF(ASC79&lt;&gt;"",SUMPRODUCT((ASN77:ASN80=ASN79)*(ASI77:ASI80&gt;ASI79)),"")</f>
        <v/>
      </c>
      <c r="ASQ79" s="321" t="str">
        <f t="shared" ref="ASQ79" ca="1" si="20025">IF(ASC79&lt;&gt;"",SUMPRODUCT((ASN77:ASN80=ASN79)*(ASI77:ASI80=ASI79)*(ASG77:ASG80&gt;ASG79)),"")</f>
        <v/>
      </c>
      <c r="ASR79" s="321" t="str">
        <f t="shared" ref="ASR79" ca="1" si="20026">IF(ASC79&lt;&gt;"",SUMPRODUCT((ASN77:ASN80=ASN79)*(ASI77:ASI80=ASI79)*(ASG77:ASG80=ASG79)*(ASK77:ASK80&gt;ASK79)),"")</f>
        <v/>
      </c>
      <c r="ASS79" s="321" t="str">
        <f t="shared" ref="ASS79" ca="1" si="20027">IF(ASC79&lt;&gt;"",SUMPRODUCT((ASN77:ASN80=ASN79)*(ASI77:ASI80=ASI79)*(ASG77:ASG80=ASG79)*(ASK77:ASK80=ASK79)*(ASL77:ASL80&gt;ASL79)),"")</f>
        <v/>
      </c>
      <c r="AST79" s="321" t="str">
        <f t="shared" ref="AST79" ca="1" si="20028">IF(ASC79&lt;&gt;"",SUMPRODUCT((ASN77:ASN80=ASN79)*(ASI77:ASI80=ASI79)*(ASG77:ASG80=ASG79)*(ASK77:ASK80=ASK79)*(ASL77:ASL80=ASL79)*(ASM77:ASM80&gt;ASM79)),"")</f>
        <v/>
      </c>
      <c r="ASU79" s="321" t="str">
        <f t="shared" ca="1" si="19451"/>
        <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t="str">
        <f t="shared" ref="AWZ79" ca="1" si="20045">IF(AXA39&lt;&gt;"",SUMPRODUCT((AXH37:AXH40=AXH39)*(AXG37:AXG40=AXG39)*(AXE37:AXE40=AXE39)*(AXF37:AXF40=AXF39)),"")</f>
        <v/>
      </c>
      <c r="AXA79" s="321" t="str">
        <f t="shared" ca="1" si="19453"/>
        <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t="str">
        <f t="shared" ca="1" si="19460"/>
        <v/>
      </c>
      <c r="AXI79" s="321" t="str">
        <f t="shared" ref="AXI79" ca="1" si="20051">IF(AXA79&lt;&gt;"",VLOOKUP(AXA79,AWH4:AWN40,7,FALSE),"")</f>
        <v/>
      </c>
      <c r="AXJ79" s="321" t="str">
        <f t="shared" ref="AXJ79" ca="1" si="20052">IF(AXA79&lt;&gt;"",VLOOKUP(AXA79,AWH4:AWN40,5,FALSE),"")</f>
        <v/>
      </c>
      <c r="AXK79" s="321" t="str">
        <f t="shared" ref="AXK79" ca="1" si="20053">IF(AXA79&lt;&gt;"",VLOOKUP(AXA79,AWH4:AWP40,9,FALSE),"")</f>
        <v/>
      </c>
      <c r="AXL79" s="321" t="str">
        <f t="shared" ca="1" si="19464"/>
        <v/>
      </c>
      <c r="AXM79" s="321" t="str">
        <f t="shared" ref="AXM79" ca="1" si="20054">IF(AXA79&lt;&gt;"",RANK(AXL79,AXL77:AXL80),"")</f>
        <v/>
      </c>
      <c r="AXN79" s="321" t="str">
        <f t="shared" ref="AXN79" ca="1" si="20055">IF(AXA79&lt;&gt;"",SUMPRODUCT((AXL77:AXL80=AXL79)*(AXG77:AXG80&gt;AXG79)),"")</f>
        <v/>
      </c>
      <c r="AXO79" s="321" t="str">
        <f t="shared" ref="AXO79" ca="1" si="20056">IF(AXA79&lt;&gt;"",SUMPRODUCT((AXL77:AXL80=AXL79)*(AXG77:AXG80=AXG79)*(AXE77:AXE80&gt;AXE79)),"")</f>
        <v/>
      </c>
      <c r="AXP79" s="321" t="str">
        <f t="shared" ref="AXP79" ca="1" si="20057">IF(AXA79&lt;&gt;"",SUMPRODUCT((AXL77:AXL80=AXL79)*(AXG77:AXG80=AXG79)*(AXE77:AXE80=AXE79)*(AXI77:AXI80&gt;AXI79)),"")</f>
        <v/>
      </c>
      <c r="AXQ79" s="321" t="str">
        <f t="shared" ref="AXQ79" ca="1" si="20058">IF(AXA79&lt;&gt;"",SUMPRODUCT((AXL77:AXL80=AXL79)*(AXG77:AXG80=AXG79)*(AXE77:AXE80=AXE79)*(AXI77:AXI80=AXI79)*(AXJ77:AXJ80&gt;AXJ79)),"")</f>
        <v/>
      </c>
      <c r="AXR79" s="321" t="str">
        <f t="shared" ref="AXR79" ca="1" si="20059">IF(AXA79&lt;&gt;"",SUMPRODUCT((AXL77:AXL80=AXL79)*(AXG77:AXG80=AXG79)*(AXE77:AXE80=AXE79)*(AXI77:AXI80=AXI79)*(AXJ77:AXJ80=AXJ79)*(AXK77:AXK80&gt;AXK79)),"")</f>
        <v/>
      </c>
      <c r="AXS79" s="321" t="str">
        <f t="shared" ca="1" si="19471"/>
        <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t="str">
        <f t="shared" ref="AND80" ca="1" si="20257">IF(ANE40&lt;&gt;"",SUMPRODUCT((ANL37:ANL40=ANL40)*(ANK37:ANK40=ANK40)*(ANI37:ANI40=ANI40)*(ANJ37:ANJ40=ANJ40)),"")</f>
        <v/>
      </c>
      <c r="ANE80" s="321" t="str">
        <f t="shared" ca="1" si="19413"/>
        <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t="str">
        <f t="shared" ca="1" si="19420"/>
        <v/>
      </c>
      <c r="ANM80" s="321" t="str">
        <f t="shared" ref="ANM80" ca="1" si="20263">IF(ANE80&lt;&gt;"",VLOOKUP(ANE80,AML4:AMR40,7,FALSE),"")</f>
        <v/>
      </c>
      <c r="ANN80" s="321" t="str">
        <f t="shared" ref="ANN80" ca="1" si="20264">IF(ANE80&lt;&gt;"",VLOOKUP(ANE80,AML4:AMR40,5,FALSE),"")</f>
        <v/>
      </c>
      <c r="ANO80" s="321" t="str">
        <f t="shared" ref="ANO80" ca="1" si="20265">IF(ANE80&lt;&gt;"",VLOOKUP(ANE80,AML4:AMT40,9,FALSE),"")</f>
        <v/>
      </c>
      <c r="ANP80" s="321" t="str">
        <f t="shared" ca="1" si="19424"/>
        <v/>
      </c>
      <c r="ANQ80" s="321" t="str">
        <f t="shared" ref="ANQ80" ca="1" si="20266">IF(ANE80&lt;&gt;"",RANK(ANP80,ANP77:ANP80),"")</f>
        <v/>
      </c>
      <c r="ANR80" s="321" t="str">
        <f t="shared" ref="ANR80" ca="1" si="20267">IF(ANE80&lt;&gt;"",SUMPRODUCT((ANP77:ANP80=ANP80)*(ANK77:ANK80&gt;ANK80)),"")</f>
        <v/>
      </c>
      <c r="ANS80" s="321" t="str">
        <f t="shared" ref="ANS80" ca="1" si="20268">IF(ANE80&lt;&gt;"",SUMPRODUCT((ANP77:ANP80=ANP80)*(ANK77:ANK80=ANK80)*(ANI77:ANI80&gt;ANI80)),"")</f>
        <v/>
      </c>
      <c r="ANT80" s="321" t="str">
        <f t="shared" ref="ANT80" ca="1" si="20269">IF(ANE80&lt;&gt;"",SUMPRODUCT((ANP77:ANP80=ANP80)*(ANK77:ANK80=ANK80)*(ANI77:ANI80=ANI80)*(ANM77:ANM80&gt;ANM80)),"")</f>
        <v/>
      </c>
      <c r="ANU80" s="321" t="str">
        <f t="shared" ref="ANU80" ca="1" si="20270">IF(ANE80&lt;&gt;"",SUMPRODUCT((ANP77:ANP80=ANP80)*(ANK77:ANK80=ANK80)*(ANI77:ANI80=ANI80)*(ANM77:ANM80=ANM80)*(ANN77:ANN80&gt;ANN80)),"")</f>
        <v/>
      </c>
      <c r="ANV80" s="321" t="str">
        <f t="shared" ref="ANV80" ca="1" si="20271">IF(ANE80&lt;&gt;"",SUMPRODUCT((ANP77:ANP80=ANP80)*(ANK77:ANK80=ANK80)*(ANI77:ANI80=ANI80)*(ANM77:ANM80=ANM80)*(ANN77:ANN80=ANN80)*(ANO77:ANO80&gt;ANO80)),"")</f>
        <v/>
      </c>
      <c r="ANW80" s="321" t="str">
        <f t="shared" ca="1" si="19431"/>
        <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t="str">
        <f t="shared" ref="ASB80" ca="1" si="20287">IF(ASC40&lt;&gt;"",SUMPRODUCT((ASJ37:ASJ40=ASJ40)*(ASI37:ASI40=ASI40)*(ASG37:ASG40=ASG40)*(ASH37:ASH40=ASH40)),"")</f>
        <v/>
      </c>
      <c r="ASC80" s="321" t="str">
        <f t="shared" ca="1" si="19433"/>
        <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t="str">
        <f t="shared" ca="1" si="19440"/>
        <v/>
      </c>
      <c r="ASK80" s="321" t="str">
        <f t="shared" ref="ASK80" ca="1" si="20293">IF(ASC80&lt;&gt;"",VLOOKUP(ASC80,ARJ4:ARP40,7,FALSE),"")</f>
        <v/>
      </c>
      <c r="ASL80" s="321" t="str">
        <f t="shared" ref="ASL80" ca="1" si="20294">IF(ASC80&lt;&gt;"",VLOOKUP(ASC80,ARJ4:ARP40,5,FALSE),"")</f>
        <v/>
      </c>
      <c r="ASM80" s="321" t="str">
        <f t="shared" ref="ASM80" ca="1" si="20295">IF(ASC80&lt;&gt;"",VLOOKUP(ASC80,ARJ4:ARR40,9,FALSE),"")</f>
        <v/>
      </c>
      <c r="ASN80" s="321" t="str">
        <f t="shared" ca="1" si="19444"/>
        <v/>
      </c>
      <c r="ASO80" s="321" t="str">
        <f t="shared" ref="ASO80" ca="1" si="20296">IF(ASC80&lt;&gt;"",RANK(ASN80,ASN77:ASN80),"")</f>
        <v/>
      </c>
      <c r="ASP80" s="321" t="str">
        <f t="shared" ref="ASP80" ca="1" si="20297">IF(ASC80&lt;&gt;"",SUMPRODUCT((ASN77:ASN80=ASN80)*(ASI77:ASI80&gt;ASI80)),"")</f>
        <v/>
      </c>
      <c r="ASQ80" s="321" t="str">
        <f t="shared" ref="ASQ80" ca="1" si="20298">IF(ASC80&lt;&gt;"",SUMPRODUCT((ASN77:ASN80=ASN80)*(ASI77:ASI80=ASI80)*(ASG77:ASG80&gt;ASG80)),"")</f>
        <v/>
      </c>
      <c r="ASR80" s="321" t="str">
        <f t="shared" ref="ASR80" ca="1" si="20299">IF(ASC80&lt;&gt;"",SUMPRODUCT((ASN77:ASN80=ASN80)*(ASI77:ASI80=ASI80)*(ASG77:ASG80=ASG80)*(ASK77:ASK80&gt;ASK80)),"")</f>
        <v/>
      </c>
      <c r="ASS80" s="321" t="str">
        <f t="shared" ref="ASS80" ca="1" si="20300">IF(ASC80&lt;&gt;"",SUMPRODUCT((ASN77:ASN80=ASN80)*(ASI77:ASI80=ASI80)*(ASG77:ASG80=ASG80)*(ASK77:ASK80=ASK80)*(ASL77:ASL80&gt;ASL80)),"")</f>
        <v/>
      </c>
      <c r="AST80" s="321" t="str">
        <f t="shared" ref="AST80" ca="1" si="20301">IF(ASC80&lt;&gt;"",SUMPRODUCT((ASN77:ASN80=ASN80)*(ASI77:ASI80=ASI80)*(ASG77:ASG80=ASG80)*(ASK77:ASK80=ASK80)*(ASL77:ASL80=ASL80)*(ASM77:ASM80&gt;ASM80)),"")</f>
        <v/>
      </c>
      <c r="ASU80" s="321" t="str">
        <f t="shared" ca="1" si="19451"/>
        <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t="str">
        <f t="shared" ref="AWZ80" ca="1" si="20317">IF(AXA40&lt;&gt;"",SUMPRODUCT((AXH37:AXH40=AXH40)*(AXG37:AXG40=AXG40)*(AXE37:AXE40=AXE40)*(AXF37:AXF40=AXF40)),"")</f>
        <v/>
      </c>
      <c r="AXA80" s="321" t="str">
        <f t="shared" ca="1" si="19453"/>
        <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t="str">
        <f t="shared" ca="1" si="19460"/>
        <v/>
      </c>
      <c r="AXI80" s="321" t="str">
        <f t="shared" ref="AXI80" ca="1" si="20323">IF(AXA80&lt;&gt;"",VLOOKUP(AXA80,AWH4:AWN40,7,FALSE),"")</f>
        <v/>
      </c>
      <c r="AXJ80" s="321" t="str">
        <f t="shared" ref="AXJ80" ca="1" si="20324">IF(AXA80&lt;&gt;"",VLOOKUP(AXA80,AWH4:AWN40,5,FALSE),"")</f>
        <v/>
      </c>
      <c r="AXK80" s="321" t="str">
        <f t="shared" ref="AXK80" ca="1" si="20325">IF(AXA80&lt;&gt;"",VLOOKUP(AXA80,AWH4:AWP40,9,FALSE),"")</f>
        <v/>
      </c>
      <c r="AXL80" s="321" t="str">
        <f t="shared" ca="1" si="19464"/>
        <v/>
      </c>
      <c r="AXM80" s="321" t="str">
        <f t="shared" ref="AXM80" ca="1" si="20326">IF(AXA80&lt;&gt;"",RANK(AXL80,AXL77:AXL80),"")</f>
        <v/>
      </c>
      <c r="AXN80" s="321" t="str">
        <f t="shared" ref="AXN80" ca="1" si="20327">IF(AXA80&lt;&gt;"",SUMPRODUCT((AXL77:AXL80=AXL80)*(AXG77:AXG80&gt;AXG80)),"")</f>
        <v/>
      </c>
      <c r="AXO80" s="321" t="str">
        <f t="shared" ref="AXO80" ca="1" si="20328">IF(AXA80&lt;&gt;"",SUMPRODUCT((AXL77:AXL80=AXL80)*(AXG77:AXG80=AXG80)*(AXE77:AXE80&gt;AXE80)),"")</f>
        <v/>
      </c>
      <c r="AXP80" s="321" t="str">
        <f t="shared" ref="AXP80" ca="1" si="20329">IF(AXA80&lt;&gt;"",SUMPRODUCT((AXL77:AXL80=AXL80)*(AXG77:AXG80=AXG80)*(AXE77:AXE80=AXE80)*(AXI77:AXI80&gt;AXI80)),"")</f>
        <v/>
      </c>
      <c r="AXQ80" s="321" t="str">
        <f t="shared" ref="AXQ80" ca="1" si="20330">IF(AXA80&lt;&gt;"",SUMPRODUCT((AXL77:AXL80=AXL80)*(AXG77:AXG80=AXG80)*(AXE77:AXE80=AXE80)*(AXI77:AXI80=AXI80)*(AXJ77:AXJ80&gt;AXJ80)),"")</f>
        <v/>
      </c>
      <c r="AXR80" s="321" t="str">
        <f t="shared" ref="AXR80" ca="1" si="20331">IF(AXA80&lt;&gt;"",SUMPRODUCT((AXL77:AXL80=AXL80)*(AXG77:AXG80=AXG80)*(AXE77:AXE80=AXE80)*(AXI77:AXI80=AXI80)*(AXJ77:AXJ80=AXJ80)*(AXK77:AXK80&gt;AXK80)),"")</f>
        <v/>
      </c>
      <c r="AXS80" s="321" t="str">
        <f t="shared" ca="1" si="19471"/>
        <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376</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377</v>
      </c>
      <c r="C6" s="143" t="s">
        <v>378</v>
      </c>
      <c r="D6" s="143" t="s">
        <v>379</v>
      </c>
      <c r="E6" s="143" t="s">
        <v>380</v>
      </c>
      <c r="F6" s="142" t="s">
        <v>274</v>
      </c>
      <c r="G6" s="142" t="s">
        <v>380</v>
      </c>
    </row>
    <row r="7" spans="1:7" x14ac:dyDescent="0.3">
      <c r="A7" s="144">
        <f>IF('Player Scoreboard'!C10&lt;&gt;"",'Player Scoreboard'!B10,"")</f>
        <v>1</v>
      </c>
      <c r="B7" s="144">
        <f ca="1">IF('Player Scoreboard'!C10&lt;&gt;"",RANK('Player Scoreboard'!D10,'Player Scoreboard'!D10:D19),"")</f>
        <v>3</v>
      </c>
      <c r="C7" s="144">
        <f ca="1">SUMPRODUCT((B7:B16=B7)*('Player Scoreboard'!H10:H19&gt;'Player Scoreboard'!H10))</f>
        <v>0</v>
      </c>
      <c r="D7" s="144">
        <f ca="1">SUMPRODUCT((B7:B16=B7)*(C7:C16=C7)*(A7:A16&lt;A7))</f>
        <v>0</v>
      </c>
      <c r="E7" s="144">
        <f ca="1">B7+C7+D7</f>
        <v>3</v>
      </c>
      <c r="F7" s="145" t="str">
        <f>'Player Scoreboard'!C10</f>
        <v>Håvard (ChatGPT)</v>
      </c>
      <c r="G7" s="146">
        <f ca="1">E7</f>
        <v>3</v>
      </c>
    </row>
    <row r="8" spans="1:7" x14ac:dyDescent="0.3">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Levi (happy go lucky)</v>
      </c>
      <c r="G8" s="146">
        <f t="shared" ref="G8:G16" ca="1" si="1">E8</f>
        <v>1</v>
      </c>
    </row>
    <row r="9" spans="1:7" x14ac:dyDescent="0.3">
      <c r="A9" s="144">
        <f>IF('Player Scoreboard'!C12&lt;&gt;"",'Player Scoreboard'!B12,"")</f>
        <v>3</v>
      </c>
      <c r="B9" s="144">
        <f ca="1">IF('Player Scoreboard'!C12&lt;&gt;"",RANK('Player Scoreboard'!D12,'Player Scoreboard'!D10:D19),"")</f>
        <v>10</v>
      </c>
      <c r="C9" s="144">
        <f ca="1">SUMPRODUCT((B7:B16=B9)*('Player Scoreboard'!H10:H19&gt;'Player Scoreboard'!H12))</f>
        <v>0</v>
      </c>
      <c r="D9" s="144">
        <f ca="1">SUMPRODUCT((B7:B16=B9)*(C7:C16=C9)*(A7:A16&lt;A9))</f>
        <v>0</v>
      </c>
      <c r="E9" s="144">
        <f t="shared" ca="1" si="0"/>
        <v>10</v>
      </c>
      <c r="F9" s="145" t="str">
        <f>'Player Scoreboard'!C12</f>
        <v>Iben</v>
      </c>
      <c r="G9" s="146">
        <f t="shared" ca="1" si="1"/>
        <v>10</v>
      </c>
    </row>
    <row r="10" spans="1:7" x14ac:dyDescent="0.3">
      <c r="A10" s="144">
        <f>IF('Player Scoreboard'!C13&lt;&gt;"",'Player Scoreboard'!B13,"")</f>
        <v>4</v>
      </c>
      <c r="B10" s="144">
        <f ca="1">IF('Player Scoreboard'!C13&lt;&gt;"",RANK('Player Scoreboard'!D13,'Player Scoreboard'!D10:D19),"")</f>
        <v>3</v>
      </c>
      <c r="C10" s="144">
        <f ca="1">SUMPRODUCT((B7:B16=B10)*('Player Scoreboard'!H10:H19&gt;'Player Scoreboard'!H13))</f>
        <v>0</v>
      </c>
      <c r="D10" s="144">
        <f ca="1">SUMPRODUCT((B7:B16=B10)*(C7:C16=C10)*(A7:A16&lt;A10))</f>
        <v>1</v>
      </c>
      <c r="E10" s="144">
        <f t="shared" ca="1" si="0"/>
        <v>4</v>
      </c>
      <c r="F10" s="145" t="str">
        <f>'Player Scoreboard'!C13</f>
        <v>Joakim</v>
      </c>
      <c r="G10" s="146">
        <f t="shared" ca="1" si="1"/>
        <v>4</v>
      </c>
    </row>
    <row r="11" spans="1:7" x14ac:dyDescent="0.3">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3">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3">
      <c r="A13" s="144">
        <f>IF('Player Scoreboard'!C16&lt;&gt;"",'Player Scoreboard'!B16,"")</f>
        <v>7</v>
      </c>
      <c r="B13" s="144">
        <f ca="1">IF('Player Scoreboard'!C16&lt;&gt;"",RANK('Player Scoreboard'!D16,'Player Scoreboard'!D10:D19),"")</f>
        <v>5</v>
      </c>
      <c r="C13" s="144">
        <f ca="1">SUMPRODUCT((B7:B16=B13)*('Player Scoreboard'!H10:H19&gt;'Player Scoreboard'!H16))</f>
        <v>0</v>
      </c>
      <c r="D13" s="144">
        <f ca="1">SUMPRODUCT((B7:B16=B13)*(C7:C16=C13)*(A7:A16&lt;A13))</f>
        <v>0</v>
      </c>
      <c r="E13" s="144">
        <f t="shared" ca="1" si="0"/>
        <v>5</v>
      </c>
      <c r="F13" s="145" t="str">
        <f>'Player Scoreboard'!C16</f>
        <v>Sverre</v>
      </c>
      <c r="G13" s="146">
        <f t="shared" ca="1" si="1"/>
        <v>5</v>
      </c>
    </row>
    <row r="14" spans="1:7" x14ac:dyDescent="0.3">
      <c r="A14" s="144">
        <f>IF('Player Scoreboard'!C17&lt;&gt;"",'Player Scoreboard'!B17,"")</f>
        <v>8</v>
      </c>
      <c r="B14" s="144">
        <f ca="1">IF('Player Scoreboard'!C17&lt;&gt;"",RANK('Player Scoreboard'!D17,'Player Scoreboard'!D10:D19),"")</f>
        <v>1</v>
      </c>
      <c r="C14" s="144">
        <f ca="1">SUMPRODUCT((B7:B16=B14)*('Player Scoreboard'!H10:H19&gt;'Player Scoreboard'!H17))</f>
        <v>0</v>
      </c>
      <c r="D14" s="144">
        <f ca="1">SUMPRODUCT((B7:B16=B14)*(C7:C16=C14)*(A7:A16&lt;A14))</f>
        <v>1</v>
      </c>
      <c r="E14" s="144">
        <f t="shared" ca="1" si="0"/>
        <v>2</v>
      </c>
      <c r="F14" s="145" t="str">
        <f>'Player Scoreboard'!C17</f>
        <v>Therese</v>
      </c>
      <c r="G14" s="146">
        <f t="shared" ca="1" si="1"/>
        <v>2</v>
      </c>
    </row>
    <row r="15" spans="1:7" x14ac:dyDescent="0.3">
      <c r="A15" s="144">
        <f>IF('Player Scoreboard'!C18&lt;&gt;"",'Player Scoreboard'!B18,"")</f>
        <v>9</v>
      </c>
      <c r="B15" s="144">
        <f ca="1">IF('Player Scoreboard'!C18&lt;&gt;"",RANK('Player Scoreboard'!D18,'Player Scoreboard'!D10:D19),"")</f>
        <v>9</v>
      </c>
      <c r="C15" s="144">
        <f ca="1">SUMPRODUCT((B7:B16=B15)*('Player Scoreboard'!H10:H19&gt;'Player Scoreboard'!H18))</f>
        <v>0</v>
      </c>
      <c r="D15" s="144">
        <f ca="1">SUMPRODUCT((B7:B16=B15)*(C7:C16=C15)*(A7:A16&lt;A15))</f>
        <v>0</v>
      </c>
      <c r="E15" s="144">
        <f t="shared" ca="1" si="0"/>
        <v>9</v>
      </c>
      <c r="F15" s="145" t="str">
        <f>'Player Scoreboard'!C18</f>
        <v>Wanja</v>
      </c>
      <c r="G15" s="146">
        <f t="shared" ca="1" si="1"/>
        <v>9</v>
      </c>
    </row>
    <row r="16" spans="1:7" x14ac:dyDescent="0.3">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0</v>
      </c>
      <c r="E16" s="144">
        <f t="shared" ca="1" si="0"/>
        <v>8</v>
      </c>
      <c r="F16" s="145" t="str">
        <f>'Player Scoreboard'!C19</f>
        <v>Baptiste</v>
      </c>
      <c r="G16" s="146">
        <f t="shared" ca="1" si="1"/>
        <v>8</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2" sqref="D22"/>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51" t="s">
        <v>73</v>
      </c>
      <c r="D6" s="266">
        <v>0</v>
      </c>
      <c r="E6" s="267">
        <v>0</v>
      </c>
      <c r="F6" s="268"/>
      <c r="G6" s="268"/>
      <c r="K6" s="257" t="s">
        <v>74</v>
      </c>
      <c r="L6" s="1" t="s">
        <v>75</v>
      </c>
    </row>
    <row r="7" spans="2:14" ht="15" customHeight="1" x14ac:dyDescent="0.3">
      <c r="B7" s="271">
        <v>2</v>
      </c>
      <c r="C7" s="352" t="s">
        <v>76</v>
      </c>
      <c r="D7" s="266">
        <v>0</v>
      </c>
      <c r="E7" s="267">
        <v>0</v>
      </c>
      <c r="F7" s="269"/>
      <c r="G7" s="269"/>
      <c r="L7" s="2" t="s">
        <v>77</v>
      </c>
    </row>
    <row r="8" spans="2:14" ht="15" customHeight="1" x14ac:dyDescent="0.3">
      <c r="B8" s="271">
        <v>3</v>
      </c>
      <c r="C8" s="352" t="s">
        <v>78</v>
      </c>
      <c r="D8" s="266">
        <v>0</v>
      </c>
      <c r="E8" s="267">
        <v>0</v>
      </c>
      <c r="F8" s="269"/>
      <c r="G8" s="269"/>
      <c r="K8" s="257" t="s">
        <v>74</v>
      </c>
      <c r="L8" s="2" t="s">
        <v>79</v>
      </c>
    </row>
    <row r="9" spans="2:14" ht="15" customHeight="1" x14ac:dyDescent="0.3">
      <c r="B9" s="271">
        <v>4</v>
      </c>
      <c r="C9" s="352" t="s">
        <v>80</v>
      </c>
      <c r="D9" s="266">
        <v>0</v>
      </c>
      <c r="E9" s="267">
        <v>0</v>
      </c>
      <c r="F9" s="269"/>
      <c r="G9" s="269"/>
      <c r="K9" s="257" t="s">
        <v>74</v>
      </c>
      <c r="L9" s="2" t="s">
        <v>81</v>
      </c>
    </row>
    <row r="10" spans="2:14" ht="15" customHeight="1" x14ac:dyDescent="0.3">
      <c r="B10" s="271">
        <v>5</v>
      </c>
      <c r="C10" s="352" t="s">
        <v>82</v>
      </c>
      <c r="D10" s="266">
        <v>0</v>
      </c>
      <c r="E10" s="267">
        <v>0</v>
      </c>
      <c r="F10" s="269"/>
      <c r="G10" s="269"/>
      <c r="L10" s="2" t="s">
        <v>83</v>
      </c>
    </row>
    <row r="11" spans="2:14" ht="15" customHeight="1" x14ac:dyDescent="0.3">
      <c r="B11" s="271">
        <v>6</v>
      </c>
      <c r="C11" s="352" t="s">
        <v>84</v>
      </c>
      <c r="D11" s="266">
        <v>0</v>
      </c>
      <c r="E11" s="267">
        <v>0</v>
      </c>
      <c r="F11" s="269"/>
      <c r="G11" s="269"/>
      <c r="K11" s="257"/>
      <c r="L11" s="2" t="s">
        <v>85</v>
      </c>
    </row>
    <row r="12" spans="2:14" ht="15" customHeight="1" x14ac:dyDescent="0.3">
      <c r="B12" s="271">
        <v>7</v>
      </c>
      <c r="C12" s="352" t="s">
        <v>86</v>
      </c>
      <c r="D12" s="266">
        <v>0</v>
      </c>
      <c r="E12" s="267">
        <v>0</v>
      </c>
      <c r="F12" s="269"/>
      <c r="G12" s="269"/>
      <c r="L12" s="2" t="s">
        <v>87</v>
      </c>
    </row>
    <row r="13" spans="2:14" ht="15" customHeight="1" x14ac:dyDescent="0.3">
      <c r="B13" s="271">
        <v>8</v>
      </c>
      <c r="C13" s="352" t="s">
        <v>88</v>
      </c>
      <c r="D13" s="266">
        <v>0</v>
      </c>
      <c r="E13" s="267">
        <v>0</v>
      </c>
      <c r="F13" s="269"/>
      <c r="G13" s="269"/>
      <c r="L13" s="258" t="s">
        <v>89</v>
      </c>
      <c r="M13" s="2" t="s">
        <v>90</v>
      </c>
    </row>
    <row r="14" spans="2:14" ht="15" customHeight="1" x14ac:dyDescent="0.3">
      <c r="B14" s="271">
        <v>9</v>
      </c>
      <c r="C14" s="352" t="s">
        <v>91</v>
      </c>
      <c r="D14" s="266">
        <v>0</v>
      </c>
      <c r="E14" s="267">
        <v>0</v>
      </c>
      <c r="F14" s="269"/>
      <c r="G14" s="269"/>
      <c r="L14" s="258" t="s">
        <v>89</v>
      </c>
      <c r="M14" s="2" t="s">
        <v>92</v>
      </c>
    </row>
    <row r="15" spans="2:14" ht="15" customHeight="1" x14ac:dyDescent="0.3">
      <c r="B15" s="271">
        <v>10</v>
      </c>
      <c r="C15" s="352" t="s">
        <v>93</v>
      </c>
      <c r="D15" s="266">
        <v>0</v>
      </c>
      <c r="E15" s="267">
        <v>0</v>
      </c>
      <c r="F15" s="269"/>
      <c r="G15" s="269"/>
      <c r="L15" s="258" t="s">
        <v>89</v>
      </c>
      <c r="M15" s="2" t="s">
        <v>94</v>
      </c>
    </row>
    <row r="16" spans="2:14" ht="15" customHeight="1" x14ac:dyDescent="0.3">
      <c r="E16" s="255"/>
      <c r="F16" s="255"/>
      <c r="G16" s="255"/>
      <c r="K16" s="257" t="s">
        <v>74</v>
      </c>
      <c r="L16" s="259" t="s">
        <v>95</v>
      </c>
    </row>
    <row r="17" spans="5:13" ht="15" customHeight="1" x14ac:dyDescent="0.3">
      <c r="E17" s="255"/>
      <c r="F17" s="255"/>
      <c r="G17" s="255"/>
    </row>
    <row r="18" spans="5:13" ht="15" customHeight="1" x14ac:dyDescent="0.3">
      <c r="E18" s="255"/>
      <c r="F18" s="255"/>
      <c r="G18" s="255"/>
      <c r="K18" s="249" t="s">
        <v>74</v>
      </c>
      <c r="L18" s="250" t="s">
        <v>96</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Normal="100" workbookViewId="0">
      <pane xSplit="13" ySplit="8" topLeftCell="Z21" activePane="bottomRight" state="frozen"/>
      <selection pane="topRight" activeCell="N1" sqref="N1"/>
      <selection pane="bottomLeft" activeCell="A9" sqref="A9"/>
      <selection pane="bottomRight" activeCell="H28" sqref="H28"/>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97</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97" t="s">
        <v>98</v>
      </c>
      <c r="C3" s="397"/>
      <c r="D3" s="397"/>
      <c r="E3" s="397"/>
      <c r="F3" s="397"/>
      <c r="G3" s="397"/>
      <c r="H3" s="397"/>
      <c r="I3" s="397"/>
      <c r="J3" s="125"/>
      <c r="K3" s="125"/>
      <c r="L3" s="125"/>
      <c r="M3" s="125"/>
      <c r="N3" s="370" t="s">
        <v>99</v>
      </c>
      <c r="O3" s="371"/>
      <c r="P3" s="371"/>
      <c r="Q3" s="371"/>
      <c r="R3" s="371"/>
      <c r="S3" s="371"/>
      <c r="T3" s="371"/>
      <c r="U3" s="371"/>
      <c r="V3" s="371"/>
      <c r="W3" s="371"/>
      <c r="X3" s="371"/>
      <c r="Y3" s="371"/>
      <c r="Z3" s="371"/>
      <c r="AA3" s="371"/>
      <c r="AB3" s="371"/>
      <c r="AC3" s="371"/>
      <c r="AD3" s="371"/>
      <c r="AE3" s="44"/>
      <c r="AF3" s="44"/>
      <c r="AG3" s="44"/>
      <c r="AH3" s="406"/>
      <c r="AI3" s="407"/>
      <c r="AJ3" s="407"/>
      <c r="AK3" s="407"/>
      <c r="AL3" s="407"/>
      <c r="AM3" s="44"/>
      <c r="AN3" s="44"/>
      <c r="AO3" s="44"/>
      <c r="AP3" s="44"/>
      <c r="AQ3" s="44"/>
      <c r="AR3" s="406"/>
      <c r="AS3" s="407"/>
      <c r="AT3" s="407"/>
      <c r="AU3" s="407"/>
      <c r="AV3" s="407"/>
      <c r="AW3" s="44"/>
      <c r="AX3" s="44"/>
      <c r="AY3" s="44"/>
      <c r="AZ3" s="44"/>
      <c r="BA3" s="44"/>
      <c r="BB3" s="406"/>
      <c r="BC3" s="407"/>
      <c r="BD3" s="407"/>
      <c r="BE3" s="407"/>
      <c r="BF3" s="407"/>
      <c r="BG3" s="44"/>
      <c r="BH3" s="44"/>
      <c r="BI3" s="44"/>
      <c r="BJ3" s="44"/>
      <c r="BK3" s="44"/>
      <c r="BL3" s="406"/>
      <c r="BM3" s="407"/>
      <c r="BN3" s="407"/>
      <c r="BO3" s="407"/>
      <c r="BP3" s="407"/>
      <c r="BQ3" s="44"/>
      <c r="BR3" s="44"/>
      <c r="BS3" s="44"/>
      <c r="BT3" s="44"/>
      <c r="BU3" s="44"/>
      <c r="BV3" s="406"/>
      <c r="BW3" s="407"/>
      <c r="BX3" s="407"/>
      <c r="BY3" s="407"/>
      <c r="BZ3" s="407"/>
      <c r="CA3" s="44"/>
      <c r="CB3" s="44"/>
      <c r="CC3" s="44"/>
      <c r="CD3" s="44"/>
      <c r="CE3" s="44"/>
      <c r="CF3" s="406"/>
      <c r="CG3" s="407"/>
      <c r="CH3" s="407"/>
      <c r="CI3" s="407"/>
      <c r="CJ3" s="407"/>
      <c r="CK3" s="44"/>
      <c r="CL3" s="44"/>
      <c r="CM3" s="44"/>
      <c r="CN3" s="44"/>
      <c r="CO3" s="44"/>
      <c r="CP3" s="406"/>
      <c r="CQ3" s="407"/>
      <c r="CR3" s="407"/>
      <c r="CS3" s="407"/>
      <c r="CT3" s="407"/>
      <c r="CU3" s="44"/>
      <c r="CV3" s="44"/>
      <c r="CW3" s="44"/>
      <c r="CX3" s="44"/>
      <c r="CY3" s="44"/>
      <c r="CZ3" s="406"/>
      <c r="DA3" s="407"/>
      <c r="DB3" s="407"/>
      <c r="DC3" s="407"/>
      <c r="DD3" s="407"/>
      <c r="DE3" s="44"/>
      <c r="DF3" s="44"/>
      <c r="DG3" s="44"/>
      <c r="DH3" s="44"/>
      <c r="DI3" s="44"/>
    </row>
    <row r="4" spans="1:113" s="43" customFormat="1" ht="15" customHeight="1" x14ac:dyDescent="0.25">
      <c r="A4" s="41"/>
      <c r="B4" s="397"/>
      <c r="C4" s="397"/>
      <c r="D4" s="397"/>
      <c r="E4" s="397"/>
      <c r="F4" s="397"/>
      <c r="G4" s="397"/>
      <c r="H4" s="397"/>
      <c r="I4" s="397"/>
      <c r="J4" s="125"/>
      <c r="K4" s="125"/>
      <c r="L4" s="125"/>
      <c r="M4" s="125"/>
      <c r="N4" s="370"/>
      <c r="O4" s="371"/>
      <c r="P4" s="371"/>
      <c r="Q4" s="371"/>
      <c r="R4" s="371"/>
      <c r="S4" s="371"/>
      <c r="T4" s="371"/>
      <c r="U4" s="371"/>
      <c r="V4" s="371"/>
      <c r="W4" s="371"/>
      <c r="X4" s="371"/>
      <c r="Y4" s="371"/>
      <c r="Z4" s="371"/>
      <c r="AA4" s="371"/>
      <c r="AB4" s="371"/>
      <c r="AC4" s="371"/>
      <c r="AD4" s="371"/>
      <c r="AE4" s="46"/>
      <c r="AF4" s="45"/>
      <c r="AG4" s="45"/>
      <c r="AH4" s="406"/>
      <c r="AI4" s="407"/>
      <c r="AJ4" s="407"/>
      <c r="AK4" s="407"/>
      <c r="AL4" s="407"/>
      <c r="AM4" s="46"/>
      <c r="AN4" s="46"/>
      <c r="AO4" s="46"/>
      <c r="AP4" s="45"/>
      <c r="AQ4" s="45"/>
      <c r="AR4" s="406"/>
      <c r="AS4" s="407"/>
      <c r="AT4" s="407"/>
      <c r="AU4" s="407"/>
      <c r="AV4" s="407"/>
      <c r="AW4" s="46"/>
      <c r="AX4" s="46"/>
      <c r="AY4" s="46"/>
      <c r="AZ4" s="45"/>
      <c r="BA4" s="45"/>
      <c r="BB4" s="406"/>
      <c r="BC4" s="407"/>
      <c r="BD4" s="407"/>
      <c r="BE4" s="407"/>
      <c r="BF4" s="407"/>
      <c r="BG4" s="46"/>
      <c r="BH4" s="46"/>
      <c r="BI4" s="46"/>
      <c r="BJ4" s="45"/>
      <c r="BK4" s="45"/>
      <c r="BL4" s="406"/>
      <c r="BM4" s="407"/>
      <c r="BN4" s="407"/>
      <c r="BO4" s="407"/>
      <c r="BP4" s="407"/>
      <c r="BQ4" s="46"/>
      <c r="BR4" s="46"/>
      <c r="BS4" s="46"/>
      <c r="BT4" s="45"/>
      <c r="BU4" s="45"/>
      <c r="BV4" s="406"/>
      <c r="BW4" s="407"/>
      <c r="BX4" s="407"/>
      <c r="BY4" s="407"/>
      <c r="BZ4" s="407"/>
      <c r="CA4" s="46"/>
      <c r="CB4" s="46"/>
      <c r="CC4" s="46"/>
      <c r="CD4" s="45"/>
      <c r="CE4" s="45"/>
      <c r="CF4" s="406"/>
      <c r="CG4" s="407"/>
      <c r="CH4" s="407"/>
      <c r="CI4" s="407"/>
      <c r="CJ4" s="407"/>
      <c r="CK4" s="46"/>
      <c r="CL4" s="46"/>
      <c r="CM4" s="46"/>
      <c r="CN4" s="45"/>
      <c r="CO4" s="45"/>
      <c r="CP4" s="406"/>
      <c r="CQ4" s="407"/>
      <c r="CR4" s="407"/>
      <c r="CS4" s="407"/>
      <c r="CT4" s="407"/>
      <c r="CU4" s="46"/>
      <c r="CV4" s="46"/>
      <c r="CW4" s="46"/>
      <c r="CX4" s="45"/>
      <c r="CY4" s="45"/>
      <c r="CZ4" s="406"/>
      <c r="DA4" s="407"/>
      <c r="DB4" s="407"/>
      <c r="DC4" s="407"/>
      <c r="DD4" s="407"/>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100</v>
      </c>
      <c r="P6" s="53" t="str">
        <f>VLOOKUP(N6,'Player Scoreboard'!B10:C19,2,FALSE)</f>
        <v>Håvard (ChatGPT)</v>
      </c>
      <c r="Q6" s="52"/>
      <c r="R6" s="52"/>
      <c r="S6" s="52"/>
      <c r="T6" s="52"/>
      <c r="U6" s="54" t="s">
        <v>101</v>
      </c>
      <c r="V6" s="54" t="s">
        <v>3</v>
      </c>
      <c r="W6" s="54" t="s">
        <v>102</v>
      </c>
      <c r="X6" s="51">
        <f>N6+1</f>
        <v>2</v>
      </c>
      <c r="Y6" s="52" t="s">
        <v>100</v>
      </c>
      <c r="Z6" s="53" t="str">
        <f>VLOOKUP(X6,'Player Scoreboard'!B10:C19,2,FALSE)</f>
        <v>Levi (happy go lucky)</v>
      </c>
      <c r="AA6" s="52"/>
      <c r="AB6" s="52"/>
      <c r="AC6" s="52"/>
      <c r="AD6" s="52"/>
      <c r="AE6" s="54" t="s">
        <v>101</v>
      </c>
      <c r="AF6" s="54" t="s">
        <v>3</v>
      </c>
      <c r="AG6" s="54" t="s">
        <v>102</v>
      </c>
      <c r="AH6" s="51">
        <f t="shared" ref="AH6" si="64">X6+1</f>
        <v>3</v>
      </c>
      <c r="AI6" s="52" t="s">
        <v>100</v>
      </c>
      <c r="AJ6" s="53" t="str">
        <f>VLOOKUP(AH6,'Player Scoreboard'!B10:C19,2,FALSE)</f>
        <v>Iben</v>
      </c>
      <c r="AK6" s="52"/>
      <c r="AL6" s="52"/>
      <c r="AM6" s="52"/>
      <c r="AN6" s="52"/>
      <c r="AO6" s="54" t="s">
        <v>101</v>
      </c>
      <c r="AP6" s="54" t="s">
        <v>3</v>
      </c>
      <c r="AQ6" s="54" t="s">
        <v>102</v>
      </c>
      <c r="AR6" s="51">
        <f t="shared" ref="AR6" si="65">AH6+1</f>
        <v>4</v>
      </c>
      <c r="AS6" s="52" t="s">
        <v>100</v>
      </c>
      <c r="AT6" s="53" t="str">
        <f>VLOOKUP(AR6,'Player Scoreboard'!B10:C19,2,FALSE)</f>
        <v>Joakim</v>
      </c>
      <c r="AU6" s="52"/>
      <c r="AV6" s="52"/>
      <c r="AW6" s="52"/>
      <c r="AX6" s="52"/>
      <c r="AY6" s="54" t="s">
        <v>101</v>
      </c>
      <c r="AZ6" s="54" t="s">
        <v>3</v>
      </c>
      <c r="BA6" s="54" t="s">
        <v>102</v>
      </c>
      <c r="BB6" s="51">
        <f t="shared" ref="BB6" si="66">AR6+1</f>
        <v>5</v>
      </c>
      <c r="BC6" s="52" t="s">
        <v>100</v>
      </c>
      <c r="BD6" s="53" t="str">
        <f>VLOOKUP(BB6,'Player Scoreboard'!B10:C19,2,FALSE)</f>
        <v>Kristoffer (Fasiten)</v>
      </c>
      <c r="BE6" s="52"/>
      <c r="BF6" s="52"/>
      <c r="BG6" s="52"/>
      <c r="BH6" s="52"/>
      <c r="BI6" s="54" t="s">
        <v>101</v>
      </c>
      <c r="BJ6" s="54" t="s">
        <v>3</v>
      </c>
      <c r="BK6" s="54" t="s">
        <v>102</v>
      </c>
      <c r="BL6" s="51">
        <f t="shared" ref="BL6" si="67">BB6+1</f>
        <v>6</v>
      </c>
      <c r="BM6" s="52" t="s">
        <v>100</v>
      </c>
      <c r="BN6" s="53" t="str">
        <f>VLOOKUP(BL6,'Player Scoreboard'!B10:C19,2,FALSE)</f>
        <v>George</v>
      </c>
      <c r="BO6" s="52"/>
      <c r="BP6" s="52"/>
      <c r="BQ6" s="52"/>
      <c r="BR6" s="52"/>
      <c r="BS6" s="54" t="s">
        <v>101</v>
      </c>
      <c r="BT6" s="54" t="s">
        <v>3</v>
      </c>
      <c r="BU6" s="54" t="s">
        <v>102</v>
      </c>
      <c r="BV6" s="51">
        <f t="shared" ref="BV6" si="68">BL6+1</f>
        <v>7</v>
      </c>
      <c r="BW6" s="52" t="s">
        <v>100</v>
      </c>
      <c r="BX6" s="53" t="str">
        <f>VLOOKUP(BV6,'Player Scoreboard'!B10:C19,2,FALSE)</f>
        <v>Sverre</v>
      </c>
      <c r="BY6" s="52"/>
      <c r="BZ6" s="52"/>
      <c r="CA6" s="52"/>
      <c r="CB6" s="52"/>
      <c r="CC6" s="54" t="s">
        <v>101</v>
      </c>
      <c r="CD6" s="54" t="s">
        <v>3</v>
      </c>
      <c r="CE6" s="54" t="s">
        <v>102</v>
      </c>
      <c r="CF6" s="51">
        <f t="shared" ref="CF6" si="69">BV6+1</f>
        <v>8</v>
      </c>
      <c r="CG6" s="52" t="s">
        <v>100</v>
      </c>
      <c r="CH6" s="53" t="str">
        <f>VLOOKUP(CF6,'Player Scoreboard'!B10:C19,2,FALSE)</f>
        <v>Therese</v>
      </c>
      <c r="CI6" s="52"/>
      <c r="CJ6" s="52"/>
      <c r="CK6" s="52"/>
      <c r="CL6" s="52"/>
      <c r="CM6" s="54" t="s">
        <v>101</v>
      </c>
      <c r="CN6" s="54" t="s">
        <v>3</v>
      </c>
      <c r="CO6" s="54" t="s">
        <v>102</v>
      </c>
      <c r="CP6" s="51">
        <f t="shared" ref="CP6" si="70">CF6+1</f>
        <v>9</v>
      </c>
      <c r="CQ6" s="52" t="s">
        <v>100</v>
      </c>
      <c r="CR6" s="53" t="str">
        <f>VLOOKUP(CP6,'Player Scoreboard'!B10:C19,2,FALSE)</f>
        <v>Wanja</v>
      </c>
      <c r="CS6" s="52"/>
      <c r="CT6" s="52"/>
      <c r="CU6" s="52"/>
      <c r="CV6" s="52"/>
      <c r="CW6" s="54" t="s">
        <v>101</v>
      </c>
      <c r="CX6" s="54" t="s">
        <v>3</v>
      </c>
      <c r="CY6" s="54" t="s">
        <v>102</v>
      </c>
      <c r="CZ6" s="51">
        <f t="shared" ref="CZ6" si="71">CP6+1</f>
        <v>10</v>
      </c>
      <c r="DA6" s="52" t="s">
        <v>100</v>
      </c>
      <c r="DB6" s="53" t="str">
        <f>VLOOKUP(CZ6,'Player Scoreboard'!B10:C19,2,FALSE)</f>
        <v>Baptiste</v>
      </c>
      <c r="DC6" s="52"/>
      <c r="DD6" s="52"/>
      <c r="DE6" s="52"/>
      <c r="DF6" s="52"/>
      <c r="DG6" s="54" t="s">
        <v>101</v>
      </c>
      <c r="DH6" s="54" t="s">
        <v>3</v>
      </c>
      <c r="DI6" s="54" t="s">
        <v>102</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403" t="str">
        <f>'Language Table'!C38</f>
        <v>Score</v>
      </c>
      <c r="I7" s="403"/>
      <c r="J7" s="123" t="str">
        <f>G7</f>
        <v>Country</v>
      </c>
      <c r="K7" s="56"/>
      <c r="L7" s="56"/>
      <c r="M7" s="55"/>
      <c r="N7" s="51"/>
      <c r="O7" s="52" t="s">
        <v>103</v>
      </c>
      <c r="P7" s="57">
        <f ca="1">VLOOKUP(P6,'Dummy Rank'!F7:G16,2,FALSE)</f>
        <v>3</v>
      </c>
      <c r="Q7" s="52"/>
      <c r="R7" s="52"/>
      <c r="S7" s="52"/>
      <c r="T7" s="52"/>
      <c r="U7" s="58">
        <f ca="1">V7+W7</f>
        <v>40</v>
      </c>
      <c r="V7" s="58">
        <f ca="1">SUM(V10:V75)</f>
        <v>40</v>
      </c>
      <c r="W7" s="59">
        <f ca="1">SUM(W10:W88)</f>
        <v>0</v>
      </c>
      <c r="X7" s="51"/>
      <c r="Y7" s="52" t="s">
        <v>103</v>
      </c>
      <c r="Z7" s="148">
        <f ca="1">VLOOKUP(Z6,'Dummy Rank'!F7:G16,2,FALSE)</f>
        <v>1</v>
      </c>
      <c r="AA7" s="52"/>
      <c r="AB7" s="52"/>
      <c r="AC7" s="52"/>
      <c r="AD7" s="52"/>
      <c r="AE7" s="58">
        <f ca="1">AF7+AG7</f>
        <v>42</v>
      </c>
      <c r="AF7" s="58">
        <f ca="1">SUM(AF10:AF75)</f>
        <v>42</v>
      </c>
      <c r="AG7" s="59">
        <f ca="1">SUM(AG10:AG88)</f>
        <v>0</v>
      </c>
      <c r="AH7" s="51"/>
      <c r="AI7" s="52" t="s">
        <v>103</v>
      </c>
      <c r="AJ7" s="148">
        <f ca="1">VLOOKUP(AJ6,'Dummy Rank'!F7:G16,2,FALSE)</f>
        <v>10</v>
      </c>
      <c r="AK7" s="52"/>
      <c r="AL7" s="52"/>
      <c r="AM7" s="52"/>
      <c r="AN7" s="52"/>
      <c r="AO7" s="58">
        <f t="shared" ref="AO7" ca="1" si="72">AP7+AQ7</f>
        <v>24</v>
      </c>
      <c r="AP7" s="58">
        <f t="shared" ref="AP7" ca="1" si="73">SUM(AP10:AP75)</f>
        <v>24</v>
      </c>
      <c r="AQ7" s="59">
        <f t="shared" ref="AQ7" ca="1" si="74">SUM(AQ10:AQ88)</f>
        <v>0</v>
      </c>
      <c r="AR7" s="51"/>
      <c r="AS7" s="52" t="s">
        <v>103</v>
      </c>
      <c r="AT7" s="148">
        <f ca="1">VLOOKUP(AT6,'Dummy Rank'!F7:G16,2,FALSE)</f>
        <v>4</v>
      </c>
      <c r="AU7" s="52"/>
      <c r="AV7" s="52"/>
      <c r="AW7" s="52"/>
      <c r="AX7" s="52"/>
      <c r="AY7" s="58">
        <f t="shared" ref="AY7" ca="1" si="75">AZ7+BA7</f>
        <v>40</v>
      </c>
      <c r="AZ7" s="58">
        <f t="shared" ref="AZ7" ca="1" si="76">SUM(AZ10:AZ75)</f>
        <v>40</v>
      </c>
      <c r="BA7" s="59">
        <f t="shared" ref="BA7" ca="1" si="77">SUM(BA10:BA88)</f>
        <v>0</v>
      </c>
      <c r="BB7" s="51"/>
      <c r="BC7" s="52" t="s">
        <v>103</v>
      </c>
      <c r="BD7" s="148">
        <f ca="1">VLOOKUP(BD6,'Dummy Rank'!F7:G16,2,FALSE)</f>
        <v>7</v>
      </c>
      <c r="BE7" s="52"/>
      <c r="BF7" s="52"/>
      <c r="BG7" s="52"/>
      <c r="BH7" s="52"/>
      <c r="BI7" s="58">
        <f t="shared" ref="BI7" ca="1" si="78">BJ7+BK7</f>
        <v>30</v>
      </c>
      <c r="BJ7" s="58">
        <f t="shared" ref="BJ7" ca="1" si="79">SUM(BJ10:BJ75)</f>
        <v>30</v>
      </c>
      <c r="BK7" s="59">
        <f t="shared" ref="BK7" ca="1" si="80">SUM(BK10:BK88)</f>
        <v>0</v>
      </c>
      <c r="BL7" s="51"/>
      <c r="BM7" s="52" t="s">
        <v>103</v>
      </c>
      <c r="BN7" s="148">
        <f ca="1">VLOOKUP(BN6,'Dummy Rank'!F7:G16,2,FALSE)</f>
        <v>6</v>
      </c>
      <c r="BO7" s="52"/>
      <c r="BP7" s="52"/>
      <c r="BQ7" s="52"/>
      <c r="BR7" s="52"/>
      <c r="BS7" s="58">
        <f t="shared" ref="BS7" ca="1" si="81">BT7+BU7</f>
        <v>36</v>
      </c>
      <c r="BT7" s="58">
        <f t="shared" ref="BT7" ca="1" si="82">SUM(BT10:BT75)</f>
        <v>36</v>
      </c>
      <c r="BU7" s="59">
        <f t="shared" ref="BU7" ca="1" si="83">SUM(BU10:BU88)</f>
        <v>0</v>
      </c>
      <c r="BV7" s="51"/>
      <c r="BW7" s="52" t="s">
        <v>103</v>
      </c>
      <c r="BX7" s="148">
        <f ca="1">VLOOKUP(BX6,'Dummy Rank'!F7:G16,2,FALSE)</f>
        <v>5</v>
      </c>
      <c r="BY7" s="52"/>
      <c r="BZ7" s="52"/>
      <c r="CA7" s="52"/>
      <c r="CB7" s="52"/>
      <c r="CC7" s="58">
        <f t="shared" ref="CC7" ca="1" si="84">CD7+CE7</f>
        <v>38</v>
      </c>
      <c r="CD7" s="58">
        <f t="shared" ref="CD7" ca="1" si="85">SUM(CD10:CD75)</f>
        <v>38</v>
      </c>
      <c r="CE7" s="59">
        <f t="shared" ref="CE7" ca="1" si="86">SUM(CE10:CE88)</f>
        <v>0</v>
      </c>
      <c r="CF7" s="51"/>
      <c r="CG7" s="52" t="s">
        <v>103</v>
      </c>
      <c r="CH7" s="148">
        <f ca="1">VLOOKUP(CH6,'Dummy Rank'!F7:G16,2,FALSE)</f>
        <v>2</v>
      </c>
      <c r="CI7" s="52"/>
      <c r="CJ7" s="52"/>
      <c r="CK7" s="52"/>
      <c r="CL7" s="52"/>
      <c r="CM7" s="58">
        <f t="shared" ref="CM7" ca="1" si="87">CN7+CO7</f>
        <v>42</v>
      </c>
      <c r="CN7" s="58">
        <f t="shared" ref="CN7" ca="1" si="88">SUM(CN10:CN75)</f>
        <v>42</v>
      </c>
      <c r="CO7" s="59">
        <f t="shared" ref="CO7" ca="1" si="89">SUM(CO10:CO88)</f>
        <v>0</v>
      </c>
      <c r="CP7" s="51"/>
      <c r="CQ7" s="52" t="s">
        <v>103</v>
      </c>
      <c r="CR7" s="148">
        <f ca="1">VLOOKUP(CR6,'Dummy Rank'!F7:G16,2,FALSE)</f>
        <v>9</v>
      </c>
      <c r="CS7" s="52"/>
      <c r="CT7" s="52"/>
      <c r="CU7" s="52"/>
      <c r="CV7" s="52"/>
      <c r="CW7" s="58">
        <f t="shared" ref="CW7" ca="1" si="90">CX7+CY7</f>
        <v>26</v>
      </c>
      <c r="CX7" s="58">
        <f t="shared" ref="CX7" ca="1" si="91">SUM(CX10:CX75)</f>
        <v>26</v>
      </c>
      <c r="CY7" s="59">
        <f t="shared" ref="CY7" ca="1" si="92">SUM(CY10:CY88)</f>
        <v>0</v>
      </c>
      <c r="CZ7" s="51"/>
      <c r="DA7" s="52" t="s">
        <v>103</v>
      </c>
      <c r="DB7" s="148">
        <f ca="1">VLOOKUP(DB6,'Dummy Rank'!F7:G16,2,FALSE)</f>
        <v>8</v>
      </c>
      <c r="DC7" s="52"/>
      <c r="DD7" s="52"/>
      <c r="DE7" s="52"/>
      <c r="DF7" s="52"/>
      <c r="DG7" s="58">
        <f t="shared" ref="DG7" ca="1" si="93">DH7+DI7</f>
        <v>28</v>
      </c>
      <c r="DH7" s="58">
        <f t="shared" ref="DH7" ca="1" si="94">SUM(DH10:DH75)</f>
        <v>28</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3</v>
      </c>
      <c r="V9" s="68"/>
      <c r="W9" s="69"/>
      <c r="X9" s="126">
        <f>SUM(AE10:AE45)</f>
        <v>3</v>
      </c>
      <c r="Z9" s="43" t="s">
        <v>104</v>
      </c>
      <c r="AF9" s="68"/>
      <c r="AG9" s="69"/>
      <c r="AH9" s="126">
        <f t="shared" ref="AH9" si="96">SUM(AO10:AO45)</f>
        <v>1</v>
      </c>
      <c r="AJ9" s="43" t="s">
        <v>104</v>
      </c>
      <c r="AP9" s="68"/>
      <c r="AQ9" s="69"/>
      <c r="AR9" s="126">
        <f t="shared" ref="AR9" si="97">SUM(AY10:AY45)</f>
        <v>3</v>
      </c>
      <c r="AT9" s="43" t="s">
        <v>104</v>
      </c>
      <c r="AZ9" s="68"/>
      <c r="BA9" s="69"/>
      <c r="BB9" s="126">
        <f t="shared" ref="BB9" si="98">SUM(BI10:BI45)</f>
        <v>3</v>
      </c>
      <c r="BD9" s="43" t="s">
        <v>104</v>
      </c>
      <c r="BJ9" s="68"/>
      <c r="BK9" s="69"/>
      <c r="BL9" s="126">
        <f t="shared" ref="BL9" si="99">SUM(BS10:BS45)</f>
        <v>3</v>
      </c>
      <c r="BN9" s="43" t="s">
        <v>104</v>
      </c>
      <c r="BT9" s="68"/>
      <c r="BU9" s="69"/>
      <c r="BV9" s="126">
        <f t="shared" ref="BV9" si="100">SUM(CC10:CC45)</f>
        <v>1</v>
      </c>
      <c r="BX9" s="43" t="s">
        <v>104</v>
      </c>
      <c r="CD9" s="68"/>
      <c r="CE9" s="69"/>
      <c r="CF9" s="126">
        <f t="shared" ref="CF9" si="101">SUM(CM10:CM45)</f>
        <v>3</v>
      </c>
      <c r="CH9" s="43" t="s">
        <v>104</v>
      </c>
      <c r="CN9" s="68"/>
      <c r="CO9" s="69"/>
      <c r="CP9" s="126">
        <f t="shared" ref="CP9" si="102">SUM(CW10:CW45)</f>
        <v>1</v>
      </c>
      <c r="CR9" s="43" t="s">
        <v>104</v>
      </c>
      <c r="CX9" s="68"/>
      <c r="CY9" s="69"/>
      <c r="CZ9" s="126">
        <f t="shared" ref="CZ9" si="103">SUM(DG10:DG45)</f>
        <v>2</v>
      </c>
      <c r="DB9" s="43" t="s">
        <v>104</v>
      </c>
      <c r="DH9" s="68"/>
      <c r="DI9" s="69"/>
    </row>
    <row r="10" spans="1:113" s="43" customFormat="1" ht="15" customHeight="1" x14ac:dyDescent="0.25">
      <c r="A10" s="41">
        <v>15</v>
      </c>
      <c r="B10" s="65"/>
      <c r="C10" s="55">
        <v>1</v>
      </c>
      <c r="D10" s="20" t="s">
        <v>105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5">
      <c r="A11" s="41">
        <v>16</v>
      </c>
      <c r="B11" s="65"/>
      <c r="C11" s="55">
        <v>2</v>
      </c>
      <c r="D11" s="20" t="s">
        <v>105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5">
      <c r="A12" s="41">
        <v>17</v>
      </c>
      <c r="B12" s="65"/>
      <c r="C12" s="55">
        <v>3</v>
      </c>
      <c r="D12" s="20" t="s">
        <v>106</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5">
      <c r="A13" s="41">
        <v>18</v>
      </c>
      <c r="B13" s="65"/>
      <c r="C13" s="55">
        <v>4</v>
      </c>
      <c r="D13" s="20" t="s">
        <v>106</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5">
      <c r="A14" s="41">
        <v>19</v>
      </c>
      <c r="B14" s="65"/>
      <c r="C14" s="55">
        <v>5</v>
      </c>
      <c r="D14" s="20" t="s">
        <v>107</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5">
      <c r="A15" s="41">
        <v>20</v>
      </c>
      <c r="B15" s="65"/>
      <c r="C15" s="55">
        <v>6</v>
      </c>
      <c r="D15" s="20" t="s">
        <v>107</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5">
      <c r="A16" s="41">
        <v>21</v>
      </c>
      <c r="B16" s="65"/>
      <c r="C16" s="55">
        <v>7</v>
      </c>
      <c r="D16" s="20" t="s">
        <v>108</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5">
      <c r="A17" s="41">
        <v>22</v>
      </c>
      <c r="B17" s="65"/>
      <c r="C17" s="55">
        <v>8</v>
      </c>
      <c r="D17" s="20" t="s">
        <v>108</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5">
      <c r="A18" s="41">
        <v>23</v>
      </c>
      <c r="B18" s="65"/>
      <c r="C18" s="55">
        <v>9</v>
      </c>
      <c r="D18" s="20" t="s">
        <v>109</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5">
      <c r="A19" s="41">
        <v>24</v>
      </c>
      <c r="B19" s="65"/>
      <c r="C19" s="55">
        <v>10</v>
      </c>
      <c r="D19" s="20" t="s">
        <v>109</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5">
      <c r="A20" s="41">
        <v>25</v>
      </c>
      <c r="B20" s="65"/>
      <c r="C20" s="55">
        <v>11</v>
      </c>
      <c r="D20" s="20" t="s">
        <v>110</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5">
      <c r="A21" s="41">
        <v>26</v>
      </c>
      <c r="B21" s="65"/>
      <c r="C21" s="55">
        <v>12</v>
      </c>
      <c r="D21" s="20" t="s">
        <v>110</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5">
      <c r="A22" s="41">
        <v>27</v>
      </c>
      <c r="B22" s="65"/>
      <c r="C22" s="55">
        <v>13</v>
      </c>
      <c r="D22" s="20" t="s">
        <v>105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5">
      <c r="A23" s="41">
        <v>28</v>
      </c>
      <c r="B23" s="65"/>
      <c r="C23" s="55">
        <v>14</v>
      </c>
      <c r="D23" s="20" t="s">
        <v>105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5">
      <c r="A24" s="41">
        <v>29</v>
      </c>
      <c r="B24" s="65"/>
      <c r="C24" s="55">
        <v>15</v>
      </c>
      <c r="D24" s="20" t="s">
        <v>106</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5">
      <c r="A25" s="41">
        <v>30</v>
      </c>
      <c r="B25" s="65"/>
      <c r="C25" s="55">
        <v>16</v>
      </c>
      <c r="D25" s="20" t="s">
        <v>106</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5">
      <c r="A26" s="41">
        <v>31</v>
      </c>
      <c r="B26" s="65"/>
      <c r="C26" s="55">
        <v>17</v>
      </c>
      <c r="D26" s="20" t="s">
        <v>107</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5">
      <c r="A27" s="41">
        <v>32</v>
      </c>
      <c r="B27" s="65"/>
      <c r="C27" s="55">
        <v>18</v>
      </c>
      <c r="D27" s="20" t="s">
        <v>107</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5">
      <c r="A28" s="41">
        <v>33</v>
      </c>
      <c r="B28" s="65"/>
      <c r="C28" s="55">
        <v>19</v>
      </c>
      <c r="D28" s="20" t="s">
        <v>108</v>
      </c>
      <c r="E28" s="157">
        <f t="shared" si="144"/>
        <v>45464.75</v>
      </c>
      <c r="F28" s="158">
        <v>45464.75</v>
      </c>
      <c r="G28" s="72" t="str">
        <f>Matches!G26</f>
        <v>Poland</v>
      </c>
      <c r="H28" s="75"/>
      <c r="I28" s="75"/>
      <c r="J28" s="73" t="str">
        <f>Matches!J26</f>
        <v>Austria</v>
      </c>
      <c r="K28" s="55"/>
      <c r="L28" s="55"/>
      <c r="M28" s="67"/>
      <c r="N28" s="127"/>
      <c r="O28" s="74" t="str">
        <f t="shared" si="104"/>
        <v>Poland</v>
      </c>
      <c r="P28" s="75">
        <v>2</v>
      </c>
      <c r="Q28" s="75">
        <v>1</v>
      </c>
      <c r="R28" s="76" t="str">
        <f t="shared" si="105"/>
        <v>Austria</v>
      </c>
      <c r="U28" s="77">
        <f t="shared" si="106"/>
        <v>0</v>
      </c>
      <c r="V28" s="78" t="str">
        <f t="shared" si="107"/>
        <v/>
      </c>
      <c r="W28" s="69"/>
      <c r="X28" s="127"/>
      <c r="Y28" s="74" t="str">
        <f t="shared" si="108"/>
        <v>Poland</v>
      </c>
      <c r="Z28" s="75">
        <v>2</v>
      </c>
      <c r="AA28" s="75">
        <v>1</v>
      </c>
      <c r="AB28" s="76" t="str">
        <f t="shared" si="109"/>
        <v>Austria</v>
      </c>
      <c r="AE28" s="77">
        <f t="shared" si="110"/>
        <v>0</v>
      </c>
      <c r="AF28" s="78" t="str">
        <f t="shared" si="111"/>
        <v/>
      </c>
      <c r="AG28" s="69"/>
      <c r="AH28" s="127"/>
      <c r="AI28" s="74" t="str">
        <f t="shared" si="112"/>
        <v>Poland</v>
      </c>
      <c r="AJ28" s="75">
        <v>0</v>
      </c>
      <c r="AK28" s="75">
        <v>1</v>
      </c>
      <c r="AL28" s="76" t="str">
        <f t="shared" si="113"/>
        <v>Austria</v>
      </c>
      <c r="AO28" s="77">
        <f t="shared" si="114"/>
        <v>0</v>
      </c>
      <c r="AP28" s="78" t="str">
        <f t="shared" si="115"/>
        <v/>
      </c>
      <c r="AQ28" s="69"/>
      <c r="AR28" s="127"/>
      <c r="AS28" s="74" t="str">
        <f t="shared" si="116"/>
        <v>Poland</v>
      </c>
      <c r="AT28" s="75">
        <v>2</v>
      </c>
      <c r="AU28" s="75">
        <v>1</v>
      </c>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t="str">
        <f t="shared" si="123"/>
        <v/>
      </c>
      <c r="BK28" s="69"/>
      <c r="BL28" s="127"/>
      <c r="BM28" s="74" t="str">
        <f t="shared" si="124"/>
        <v>Poland</v>
      </c>
      <c r="BN28" s="75">
        <v>3</v>
      </c>
      <c r="BO28" s="75">
        <v>2</v>
      </c>
      <c r="BP28" s="76" t="str">
        <f t="shared" si="125"/>
        <v>Austria</v>
      </c>
      <c r="BS28" s="77">
        <f t="shared" si="126"/>
        <v>0</v>
      </c>
      <c r="BT28" s="78" t="str">
        <f t="shared" si="127"/>
        <v/>
      </c>
      <c r="BU28" s="69"/>
      <c r="BV28" s="127"/>
      <c r="BW28" s="74" t="str">
        <f t="shared" si="128"/>
        <v>Poland</v>
      </c>
      <c r="BX28" s="75">
        <v>0</v>
      </c>
      <c r="BY28" s="75">
        <v>1</v>
      </c>
      <c r="BZ28" s="76" t="str">
        <f t="shared" si="129"/>
        <v>Austria</v>
      </c>
      <c r="CC28" s="77">
        <f t="shared" si="130"/>
        <v>0</v>
      </c>
      <c r="CD28" s="78" t="str">
        <f t="shared" si="131"/>
        <v/>
      </c>
      <c r="CE28" s="69"/>
      <c r="CF28" s="127"/>
      <c r="CG28" s="74" t="str">
        <f t="shared" si="132"/>
        <v>Poland</v>
      </c>
      <c r="CH28" s="75">
        <v>1</v>
      </c>
      <c r="CI28" s="75">
        <v>1</v>
      </c>
      <c r="CJ28" s="76" t="str">
        <f t="shared" si="133"/>
        <v>Austria</v>
      </c>
      <c r="CM28" s="77">
        <f t="shared" si="134"/>
        <v>0</v>
      </c>
      <c r="CN28" s="78" t="str">
        <f t="shared" si="135"/>
        <v/>
      </c>
      <c r="CO28" s="69"/>
      <c r="CP28" s="127"/>
      <c r="CQ28" s="74" t="str">
        <f t="shared" si="136"/>
        <v>Poland</v>
      </c>
      <c r="CR28" s="75">
        <v>2</v>
      </c>
      <c r="CS28" s="75">
        <v>1</v>
      </c>
      <c r="CT28" s="76" t="str">
        <f t="shared" si="137"/>
        <v>Austria</v>
      </c>
      <c r="CW28" s="77">
        <f t="shared" si="138"/>
        <v>0</v>
      </c>
      <c r="CX28" s="78" t="str">
        <f t="shared" si="139"/>
        <v/>
      </c>
      <c r="CY28" s="69"/>
      <c r="CZ28" s="127"/>
      <c r="DA28" s="74" t="str">
        <f t="shared" si="140"/>
        <v>Poland</v>
      </c>
      <c r="DB28" s="75">
        <v>2</v>
      </c>
      <c r="DC28" s="75">
        <v>1</v>
      </c>
      <c r="DD28" s="76" t="str">
        <f t="shared" si="141"/>
        <v>Austria</v>
      </c>
      <c r="DG28" s="77">
        <f t="shared" si="142"/>
        <v>0</v>
      </c>
      <c r="DH28" s="78" t="str">
        <f t="shared" si="143"/>
        <v/>
      </c>
      <c r="DI28" s="69"/>
    </row>
    <row r="29" spans="1:113" s="43" customFormat="1" ht="15" customHeight="1" x14ac:dyDescent="0.25">
      <c r="A29" s="41">
        <v>34</v>
      </c>
      <c r="B29" s="65"/>
      <c r="C29" s="55">
        <v>20</v>
      </c>
      <c r="D29" s="20" t="s">
        <v>108</v>
      </c>
      <c r="E29" s="157">
        <f t="shared" si="144"/>
        <v>45464.875</v>
      </c>
      <c r="F29" s="158">
        <v>45464.875</v>
      </c>
      <c r="G29" s="72" t="str">
        <f>Matches!G27</f>
        <v>Netherlands</v>
      </c>
      <c r="H29" s="75"/>
      <c r="I29" s="75"/>
      <c r="J29" s="73" t="str">
        <f>Matches!J27</f>
        <v>France</v>
      </c>
      <c r="K29" s="55"/>
      <c r="L29" s="55"/>
      <c r="M29" s="67"/>
      <c r="N29" s="127"/>
      <c r="O29" s="74" t="str">
        <f t="shared" si="104"/>
        <v>Netherlands</v>
      </c>
      <c r="P29" s="75">
        <v>1</v>
      </c>
      <c r="Q29" s="75">
        <v>2</v>
      </c>
      <c r="R29" s="76" t="str">
        <f t="shared" si="105"/>
        <v>France</v>
      </c>
      <c r="U29" s="77">
        <f t="shared" si="106"/>
        <v>0</v>
      </c>
      <c r="V29" s="78" t="str">
        <f t="shared" si="107"/>
        <v/>
      </c>
      <c r="W29" s="69"/>
      <c r="X29" s="127"/>
      <c r="Y29" s="74" t="str">
        <f t="shared" si="108"/>
        <v>Netherlands</v>
      </c>
      <c r="Z29" s="75">
        <v>2</v>
      </c>
      <c r="AA29" s="75">
        <v>2</v>
      </c>
      <c r="AB29" s="76" t="str">
        <f t="shared" si="109"/>
        <v>France</v>
      </c>
      <c r="AE29" s="77">
        <f t="shared" si="110"/>
        <v>0</v>
      </c>
      <c r="AF29" s="78" t="str">
        <f t="shared" si="111"/>
        <v/>
      </c>
      <c r="AG29" s="69"/>
      <c r="AH29" s="127"/>
      <c r="AI29" s="74" t="str">
        <f t="shared" si="112"/>
        <v>Netherlands</v>
      </c>
      <c r="AJ29" s="75">
        <v>2</v>
      </c>
      <c r="AK29" s="75">
        <v>2</v>
      </c>
      <c r="AL29" s="76" t="str">
        <f t="shared" si="113"/>
        <v>France</v>
      </c>
      <c r="AO29" s="77">
        <f t="shared" si="114"/>
        <v>0</v>
      </c>
      <c r="AP29" s="78" t="str">
        <f t="shared" si="115"/>
        <v/>
      </c>
      <c r="AQ29" s="69"/>
      <c r="AR29" s="127"/>
      <c r="AS29" s="74" t="str">
        <f t="shared" si="116"/>
        <v>Netherlands</v>
      </c>
      <c r="AT29" s="75">
        <v>2</v>
      </c>
      <c r="AU29" s="75">
        <v>3</v>
      </c>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t="str">
        <f t="shared" si="123"/>
        <v/>
      </c>
      <c r="BK29" s="69"/>
      <c r="BL29" s="127"/>
      <c r="BM29" s="74" t="str">
        <f t="shared" si="124"/>
        <v>Netherlands</v>
      </c>
      <c r="BN29" s="75">
        <v>1</v>
      </c>
      <c r="BO29" s="75">
        <v>1</v>
      </c>
      <c r="BP29" s="76" t="str">
        <f t="shared" si="125"/>
        <v>France</v>
      </c>
      <c r="BS29" s="77">
        <f t="shared" si="126"/>
        <v>0</v>
      </c>
      <c r="BT29" s="78" t="str">
        <f t="shared" si="127"/>
        <v/>
      </c>
      <c r="BU29" s="69"/>
      <c r="BV29" s="127"/>
      <c r="BW29" s="74" t="str">
        <f t="shared" si="128"/>
        <v>Netherlands</v>
      </c>
      <c r="BX29" s="75">
        <v>2</v>
      </c>
      <c r="BY29" s="75">
        <v>2</v>
      </c>
      <c r="BZ29" s="76" t="str">
        <f t="shared" si="129"/>
        <v>France</v>
      </c>
      <c r="CC29" s="77">
        <f t="shared" si="130"/>
        <v>0</v>
      </c>
      <c r="CD29" s="78" t="str">
        <f t="shared" si="131"/>
        <v/>
      </c>
      <c r="CE29" s="69"/>
      <c r="CF29" s="127"/>
      <c r="CG29" s="74" t="str">
        <f t="shared" si="132"/>
        <v>Netherlands</v>
      </c>
      <c r="CH29" s="75">
        <v>2</v>
      </c>
      <c r="CI29" s="75">
        <v>3</v>
      </c>
      <c r="CJ29" s="76" t="str">
        <f t="shared" si="133"/>
        <v>France</v>
      </c>
      <c r="CM29" s="77">
        <f t="shared" si="134"/>
        <v>0</v>
      </c>
      <c r="CN29" s="78" t="str">
        <f t="shared" si="135"/>
        <v/>
      </c>
      <c r="CO29" s="69"/>
      <c r="CP29" s="127"/>
      <c r="CQ29" s="74" t="str">
        <f t="shared" si="136"/>
        <v>Netherlands</v>
      </c>
      <c r="CR29" s="75">
        <v>0</v>
      </c>
      <c r="CS29" s="75">
        <v>1</v>
      </c>
      <c r="CT29" s="76" t="str">
        <f t="shared" si="137"/>
        <v>France</v>
      </c>
      <c r="CW29" s="77">
        <f t="shared" si="138"/>
        <v>0</v>
      </c>
      <c r="CX29" s="78" t="str">
        <f t="shared" si="139"/>
        <v/>
      </c>
      <c r="CY29" s="69"/>
      <c r="CZ29" s="127"/>
      <c r="DA29" s="74" t="str">
        <f t="shared" si="140"/>
        <v>Netherlands</v>
      </c>
      <c r="DB29" s="75">
        <v>1</v>
      </c>
      <c r="DC29" s="75">
        <v>2</v>
      </c>
      <c r="DD29" s="76" t="str">
        <f t="shared" si="141"/>
        <v>France</v>
      </c>
      <c r="DG29" s="77">
        <f t="shared" si="142"/>
        <v>0</v>
      </c>
      <c r="DH29" s="78" t="str">
        <f t="shared" si="143"/>
        <v/>
      </c>
      <c r="DI29" s="69"/>
    </row>
    <row r="30" spans="1:113" s="43" customFormat="1" ht="15" customHeight="1" x14ac:dyDescent="0.25">
      <c r="A30" s="41">
        <v>35</v>
      </c>
      <c r="B30" s="65"/>
      <c r="C30" s="55">
        <v>21</v>
      </c>
      <c r="D30" s="20" t="s">
        <v>109</v>
      </c>
      <c r="E30" s="157">
        <f t="shared" si="144"/>
        <v>45464.625</v>
      </c>
      <c r="F30" s="158">
        <v>45464.625</v>
      </c>
      <c r="G30" s="72" t="str">
        <f>Matches!G28</f>
        <v>Slovakia</v>
      </c>
      <c r="H30" s="75"/>
      <c r="I30" s="75"/>
      <c r="J30" s="73" t="str">
        <f>Matches!J28</f>
        <v>Ukraine</v>
      </c>
      <c r="K30" s="55"/>
      <c r="L30" s="55"/>
      <c r="M30" s="67"/>
      <c r="N30" s="127"/>
      <c r="O30" s="74" t="str">
        <f t="shared" si="104"/>
        <v>Slovakia</v>
      </c>
      <c r="P30" s="75">
        <v>1</v>
      </c>
      <c r="Q30" s="75">
        <v>1</v>
      </c>
      <c r="R30" s="76" t="str">
        <f t="shared" si="105"/>
        <v>Ukraine</v>
      </c>
      <c r="U30" s="77">
        <f t="shared" si="106"/>
        <v>0</v>
      </c>
      <c r="V30" s="78" t="str">
        <f t="shared" si="107"/>
        <v/>
      </c>
      <c r="W30" s="69"/>
      <c r="X30" s="127"/>
      <c r="Y30" s="74" t="str">
        <f t="shared" si="108"/>
        <v>Slovakia</v>
      </c>
      <c r="Z30" s="75">
        <v>1</v>
      </c>
      <c r="AA30" s="75">
        <v>1</v>
      </c>
      <c r="AB30" s="76" t="str">
        <f t="shared" si="109"/>
        <v>Ukraine</v>
      </c>
      <c r="AE30" s="77">
        <f t="shared" si="110"/>
        <v>0</v>
      </c>
      <c r="AF30" s="78" t="str">
        <f t="shared" si="111"/>
        <v/>
      </c>
      <c r="AG30" s="69"/>
      <c r="AH30" s="127"/>
      <c r="AI30" s="74" t="str">
        <f t="shared" si="112"/>
        <v>Slovakia</v>
      </c>
      <c r="AJ30" s="75">
        <v>0</v>
      </c>
      <c r="AK30" s="75">
        <v>1</v>
      </c>
      <c r="AL30" s="76" t="str">
        <f t="shared" si="113"/>
        <v>Ukraine</v>
      </c>
      <c r="AO30" s="77">
        <f t="shared" si="114"/>
        <v>0</v>
      </c>
      <c r="AP30" s="78" t="str">
        <f t="shared" si="115"/>
        <v/>
      </c>
      <c r="AQ30" s="69"/>
      <c r="AR30" s="127"/>
      <c r="AS30" s="74" t="str">
        <f t="shared" si="116"/>
        <v>Slovakia</v>
      </c>
      <c r="AT30" s="75">
        <v>2</v>
      </c>
      <c r="AU30" s="75">
        <v>3</v>
      </c>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t="str">
        <f t="shared" si="123"/>
        <v/>
      </c>
      <c r="BK30" s="69"/>
      <c r="BL30" s="127"/>
      <c r="BM30" s="74" t="str">
        <f t="shared" si="124"/>
        <v>Slovakia</v>
      </c>
      <c r="BN30" s="75">
        <v>2</v>
      </c>
      <c r="BO30" s="75">
        <v>1</v>
      </c>
      <c r="BP30" s="76" t="str">
        <f t="shared" si="125"/>
        <v>Ukraine</v>
      </c>
      <c r="BS30" s="77">
        <f t="shared" si="126"/>
        <v>0</v>
      </c>
      <c r="BT30" s="78" t="str">
        <f t="shared" si="127"/>
        <v/>
      </c>
      <c r="BU30" s="69"/>
      <c r="BV30" s="127"/>
      <c r="BW30" s="74" t="str">
        <f t="shared" si="128"/>
        <v>Slovakia</v>
      </c>
      <c r="BX30" s="75">
        <v>0</v>
      </c>
      <c r="BY30" s="75">
        <v>0</v>
      </c>
      <c r="BZ30" s="76" t="str">
        <f t="shared" si="129"/>
        <v>Ukraine</v>
      </c>
      <c r="CC30" s="77">
        <f t="shared" si="130"/>
        <v>0</v>
      </c>
      <c r="CD30" s="78" t="str">
        <f t="shared" si="131"/>
        <v/>
      </c>
      <c r="CE30" s="69"/>
      <c r="CF30" s="127"/>
      <c r="CG30" s="74" t="str">
        <f t="shared" si="132"/>
        <v>Slovakia</v>
      </c>
      <c r="CH30" s="75">
        <v>1</v>
      </c>
      <c r="CI30" s="75">
        <v>1</v>
      </c>
      <c r="CJ30" s="76" t="str">
        <f t="shared" si="133"/>
        <v>Ukraine</v>
      </c>
      <c r="CM30" s="77">
        <f t="shared" si="134"/>
        <v>0</v>
      </c>
      <c r="CN30" s="78" t="str">
        <f t="shared" si="135"/>
        <v/>
      </c>
      <c r="CO30" s="69"/>
      <c r="CP30" s="127"/>
      <c r="CQ30" s="74" t="str">
        <f t="shared" si="136"/>
        <v>Slovakia</v>
      </c>
      <c r="CR30" s="75">
        <v>3</v>
      </c>
      <c r="CS30" s="75">
        <v>2</v>
      </c>
      <c r="CT30" s="76" t="str">
        <f t="shared" si="137"/>
        <v>Ukraine</v>
      </c>
      <c r="CW30" s="77">
        <f t="shared" si="138"/>
        <v>0</v>
      </c>
      <c r="CX30" s="78" t="str">
        <f t="shared" si="139"/>
        <v/>
      </c>
      <c r="CY30" s="69"/>
      <c r="CZ30" s="127"/>
      <c r="DA30" s="74" t="str">
        <f t="shared" si="140"/>
        <v>Slovakia</v>
      </c>
      <c r="DB30" s="75">
        <v>2</v>
      </c>
      <c r="DC30" s="75">
        <v>0</v>
      </c>
      <c r="DD30" s="76" t="str">
        <f t="shared" si="141"/>
        <v>Ukraine</v>
      </c>
      <c r="DG30" s="77">
        <f t="shared" si="142"/>
        <v>0</v>
      </c>
      <c r="DH30" s="78" t="str">
        <f t="shared" si="143"/>
        <v/>
      </c>
      <c r="DI30" s="69"/>
    </row>
    <row r="31" spans="1:113" s="43" customFormat="1" ht="15" customHeight="1" x14ac:dyDescent="0.25">
      <c r="A31" s="41">
        <v>36</v>
      </c>
      <c r="B31" s="65"/>
      <c r="C31" s="55">
        <v>22</v>
      </c>
      <c r="D31" s="20" t="s">
        <v>109</v>
      </c>
      <c r="E31" s="157">
        <f t="shared" si="144"/>
        <v>45465.875</v>
      </c>
      <c r="F31" s="158">
        <v>45465.875</v>
      </c>
      <c r="G31" s="72" t="str">
        <f>Matches!G29</f>
        <v>Belgium</v>
      </c>
      <c r="H31" s="75"/>
      <c r="I31" s="75"/>
      <c r="J31" s="73" t="str">
        <f>Matches!J29</f>
        <v>Romania</v>
      </c>
      <c r="K31" s="55"/>
      <c r="L31" s="55"/>
      <c r="M31" s="67"/>
      <c r="N31" s="127"/>
      <c r="O31" s="74" t="str">
        <f t="shared" si="104"/>
        <v>Belgium</v>
      </c>
      <c r="P31" s="75">
        <v>3</v>
      </c>
      <c r="Q31" s="75">
        <v>1</v>
      </c>
      <c r="R31" s="76" t="str">
        <f t="shared" si="105"/>
        <v>Romania</v>
      </c>
      <c r="U31" s="77">
        <f t="shared" si="106"/>
        <v>0</v>
      </c>
      <c r="V31" s="78" t="str">
        <f t="shared" si="107"/>
        <v/>
      </c>
      <c r="W31" s="69"/>
      <c r="X31" s="127"/>
      <c r="Y31" s="74" t="str">
        <f t="shared" si="108"/>
        <v>Belgium</v>
      </c>
      <c r="Z31" s="75">
        <v>3</v>
      </c>
      <c r="AA31" s="75">
        <v>0</v>
      </c>
      <c r="AB31" s="76" t="str">
        <f t="shared" si="109"/>
        <v>Romania</v>
      </c>
      <c r="AE31" s="77">
        <f t="shared" si="110"/>
        <v>0</v>
      </c>
      <c r="AF31" s="78" t="str">
        <f t="shared" si="111"/>
        <v/>
      </c>
      <c r="AG31" s="69"/>
      <c r="AH31" s="127"/>
      <c r="AI31" s="74" t="str">
        <f t="shared" si="112"/>
        <v>Belgium</v>
      </c>
      <c r="AJ31" s="75">
        <v>2</v>
      </c>
      <c r="AK31" s="75">
        <v>0</v>
      </c>
      <c r="AL31" s="76" t="str">
        <f t="shared" si="113"/>
        <v>Romania</v>
      </c>
      <c r="AO31" s="77">
        <f t="shared" si="114"/>
        <v>0</v>
      </c>
      <c r="AP31" s="78" t="str">
        <f t="shared" si="115"/>
        <v/>
      </c>
      <c r="AQ31" s="69"/>
      <c r="AR31" s="127"/>
      <c r="AS31" s="74" t="str">
        <f t="shared" si="116"/>
        <v>Belgium</v>
      </c>
      <c r="AT31" s="75">
        <v>4</v>
      </c>
      <c r="AU31" s="75">
        <v>1</v>
      </c>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v>2</v>
      </c>
      <c r="BO31" s="75">
        <v>0</v>
      </c>
      <c r="BP31" s="76" t="str">
        <f t="shared" si="125"/>
        <v>Romania</v>
      </c>
      <c r="BS31" s="77">
        <f t="shared" si="126"/>
        <v>0</v>
      </c>
      <c r="BT31" s="78" t="str">
        <f t="shared" si="127"/>
        <v/>
      </c>
      <c r="BU31" s="69"/>
      <c r="BV31" s="127"/>
      <c r="BW31" s="74" t="str">
        <f t="shared" si="128"/>
        <v>Belgium</v>
      </c>
      <c r="BX31" s="75">
        <v>1</v>
      </c>
      <c r="BY31" s="75">
        <v>0</v>
      </c>
      <c r="BZ31" s="76" t="str">
        <f t="shared" si="129"/>
        <v>Romania</v>
      </c>
      <c r="CC31" s="77">
        <f t="shared" si="130"/>
        <v>0</v>
      </c>
      <c r="CD31" s="78" t="str">
        <f t="shared" si="131"/>
        <v/>
      </c>
      <c r="CE31" s="69"/>
      <c r="CF31" s="127"/>
      <c r="CG31" s="74" t="str">
        <f t="shared" si="132"/>
        <v>Belgium</v>
      </c>
      <c r="CH31" s="75">
        <v>3</v>
      </c>
      <c r="CI31" s="75">
        <v>1</v>
      </c>
      <c r="CJ31" s="76" t="str">
        <f t="shared" si="133"/>
        <v>Romania</v>
      </c>
      <c r="CM31" s="77">
        <f t="shared" si="134"/>
        <v>0</v>
      </c>
      <c r="CN31" s="78" t="str">
        <f t="shared" si="135"/>
        <v/>
      </c>
      <c r="CO31" s="69"/>
      <c r="CP31" s="127"/>
      <c r="CQ31" s="74" t="str">
        <f t="shared" si="136"/>
        <v>Belgium</v>
      </c>
      <c r="CR31" s="75">
        <v>1</v>
      </c>
      <c r="CS31" s="75">
        <v>0</v>
      </c>
      <c r="CT31" s="76" t="str">
        <f t="shared" si="137"/>
        <v>Romania</v>
      </c>
      <c r="CW31" s="77">
        <f t="shared" si="138"/>
        <v>0</v>
      </c>
      <c r="CX31" s="78" t="str">
        <f t="shared" si="139"/>
        <v/>
      </c>
      <c r="CY31" s="69"/>
      <c r="CZ31" s="127"/>
      <c r="DA31" s="74" t="str">
        <f t="shared" si="140"/>
        <v>Belgium</v>
      </c>
      <c r="DB31" s="75">
        <v>4</v>
      </c>
      <c r="DC31" s="75">
        <v>2</v>
      </c>
      <c r="DD31" s="76" t="str">
        <f t="shared" si="141"/>
        <v>Romania</v>
      </c>
      <c r="DG31" s="77">
        <f t="shared" si="142"/>
        <v>0</v>
      </c>
      <c r="DH31" s="78" t="str">
        <f t="shared" si="143"/>
        <v/>
      </c>
      <c r="DI31" s="69"/>
    </row>
    <row r="32" spans="1:113" s="43" customFormat="1" ht="15" customHeight="1" x14ac:dyDescent="0.25">
      <c r="A32" s="41">
        <v>37</v>
      </c>
      <c r="B32" s="65"/>
      <c r="C32" s="55">
        <v>23</v>
      </c>
      <c r="D32" s="20" t="s">
        <v>110</v>
      </c>
      <c r="E32" s="157">
        <f t="shared" si="144"/>
        <v>45465.75</v>
      </c>
      <c r="F32" s="158">
        <v>45465.75</v>
      </c>
      <c r="G32" s="72" t="str">
        <f>Matches!G30</f>
        <v>Türkiye</v>
      </c>
      <c r="H32" s="75"/>
      <c r="I32" s="75"/>
      <c r="J32" s="73" t="str">
        <f>Matches!J30</f>
        <v>Portugal</v>
      </c>
      <c r="K32" s="55"/>
      <c r="L32" s="55"/>
      <c r="M32" s="67"/>
      <c r="N32" s="127"/>
      <c r="O32" s="74" t="str">
        <f t="shared" si="104"/>
        <v>Türkiye</v>
      </c>
      <c r="P32" s="75">
        <v>1</v>
      </c>
      <c r="Q32" s="75">
        <v>2</v>
      </c>
      <c r="R32" s="76" t="str">
        <f t="shared" si="105"/>
        <v>Portugal</v>
      </c>
      <c r="U32" s="77">
        <f t="shared" si="106"/>
        <v>0</v>
      </c>
      <c r="V32" s="78" t="str">
        <f t="shared" si="107"/>
        <v/>
      </c>
      <c r="W32" s="69"/>
      <c r="X32" s="127"/>
      <c r="Y32" s="74" t="str">
        <f t="shared" si="108"/>
        <v>Türkiye</v>
      </c>
      <c r="Z32" s="75">
        <v>1</v>
      </c>
      <c r="AA32" s="75">
        <v>2</v>
      </c>
      <c r="AB32" s="76" t="str">
        <f t="shared" si="109"/>
        <v>Portugal</v>
      </c>
      <c r="AE32" s="77">
        <f t="shared" si="110"/>
        <v>0</v>
      </c>
      <c r="AF32" s="78" t="str">
        <f t="shared" si="111"/>
        <v/>
      </c>
      <c r="AG32" s="69"/>
      <c r="AH32" s="127"/>
      <c r="AI32" s="74" t="str">
        <f t="shared" si="112"/>
        <v>Türkiye</v>
      </c>
      <c r="AJ32" s="75">
        <v>0</v>
      </c>
      <c r="AK32" s="75">
        <v>2</v>
      </c>
      <c r="AL32" s="76" t="str">
        <f t="shared" si="113"/>
        <v>Portugal</v>
      </c>
      <c r="AO32" s="77">
        <f t="shared" si="114"/>
        <v>0</v>
      </c>
      <c r="AP32" s="78" t="str">
        <f t="shared" si="115"/>
        <v/>
      </c>
      <c r="AQ32" s="69"/>
      <c r="AR32" s="127"/>
      <c r="AS32" s="74" t="str">
        <f t="shared" si="116"/>
        <v>Türkiye</v>
      </c>
      <c r="AT32" s="75">
        <v>1</v>
      </c>
      <c r="AU32" s="75">
        <v>3</v>
      </c>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v>2</v>
      </c>
      <c r="BO32" s="75">
        <v>1</v>
      </c>
      <c r="BP32" s="76" t="str">
        <f t="shared" si="125"/>
        <v>Portugal</v>
      </c>
      <c r="BS32" s="77">
        <f t="shared" si="126"/>
        <v>0</v>
      </c>
      <c r="BT32" s="78" t="str">
        <f t="shared" si="127"/>
        <v/>
      </c>
      <c r="BU32" s="69"/>
      <c r="BV32" s="127"/>
      <c r="BW32" s="74" t="str">
        <f t="shared" si="128"/>
        <v>Türkiye</v>
      </c>
      <c r="BX32" s="75">
        <v>0</v>
      </c>
      <c r="BY32" s="75">
        <v>2</v>
      </c>
      <c r="BZ32" s="76" t="str">
        <f t="shared" si="129"/>
        <v>Portugal</v>
      </c>
      <c r="CC32" s="77">
        <f t="shared" si="130"/>
        <v>0</v>
      </c>
      <c r="CD32" s="78" t="str">
        <f t="shared" si="131"/>
        <v/>
      </c>
      <c r="CE32" s="69"/>
      <c r="CF32" s="127"/>
      <c r="CG32" s="74" t="str">
        <f t="shared" si="132"/>
        <v>Türkiye</v>
      </c>
      <c r="CH32" s="75">
        <v>1</v>
      </c>
      <c r="CI32" s="75">
        <v>3</v>
      </c>
      <c r="CJ32" s="76" t="str">
        <f t="shared" si="133"/>
        <v>Portugal</v>
      </c>
      <c r="CM32" s="77">
        <f t="shared" si="134"/>
        <v>0</v>
      </c>
      <c r="CN32" s="78" t="str">
        <f t="shared" si="135"/>
        <v/>
      </c>
      <c r="CO32" s="69"/>
      <c r="CP32" s="127"/>
      <c r="CQ32" s="74" t="str">
        <f t="shared" si="136"/>
        <v>Türkiye</v>
      </c>
      <c r="CR32" s="75">
        <v>2</v>
      </c>
      <c r="CS32" s="75">
        <v>0</v>
      </c>
      <c r="CT32" s="76" t="str">
        <f t="shared" si="137"/>
        <v>Portugal</v>
      </c>
      <c r="CW32" s="77">
        <f t="shared" si="138"/>
        <v>0</v>
      </c>
      <c r="CX32" s="78" t="str">
        <f t="shared" si="139"/>
        <v/>
      </c>
      <c r="CY32" s="69"/>
      <c r="CZ32" s="127"/>
      <c r="DA32" s="74" t="str">
        <f t="shared" si="140"/>
        <v>Türkiye</v>
      </c>
      <c r="DB32" s="75">
        <v>1</v>
      </c>
      <c r="DC32" s="75">
        <v>3</v>
      </c>
      <c r="DD32" s="76" t="str">
        <f t="shared" si="141"/>
        <v>Portugal</v>
      </c>
      <c r="DG32" s="77">
        <f t="shared" si="142"/>
        <v>0</v>
      </c>
      <c r="DH32" s="78" t="str">
        <f t="shared" si="143"/>
        <v/>
      </c>
      <c r="DI32" s="69"/>
    </row>
    <row r="33" spans="1:113" s="43" customFormat="1" ht="15" customHeight="1" x14ac:dyDescent="0.25">
      <c r="A33" s="41">
        <v>38</v>
      </c>
      <c r="B33" s="65"/>
      <c r="C33" s="55">
        <v>24</v>
      </c>
      <c r="D33" s="20" t="s">
        <v>110</v>
      </c>
      <c r="E33" s="157">
        <f t="shared" si="144"/>
        <v>45465.625</v>
      </c>
      <c r="F33" s="158">
        <v>45465.625</v>
      </c>
      <c r="G33" s="72" t="str">
        <f>Matches!G31</f>
        <v>Georgia</v>
      </c>
      <c r="H33" s="75"/>
      <c r="I33" s="75"/>
      <c r="J33" s="73" t="str">
        <f>Matches!J31</f>
        <v>Czechia</v>
      </c>
      <c r="K33" s="55"/>
      <c r="L33" s="55"/>
      <c r="M33" s="67"/>
      <c r="N33" s="127"/>
      <c r="O33" s="74" t="str">
        <f t="shared" si="104"/>
        <v>Georgia</v>
      </c>
      <c r="P33" s="75">
        <v>0</v>
      </c>
      <c r="Q33" s="75">
        <v>2</v>
      </c>
      <c r="R33" s="76" t="str">
        <f t="shared" si="105"/>
        <v>Czechia</v>
      </c>
      <c r="U33" s="77">
        <f t="shared" si="106"/>
        <v>0</v>
      </c>
      <c r="V33" s="78" t="str">
        <f t="shared" si="107"/>
        <v/>
      </c>
      <c r="W33" s="69"/>
      <c r="X33" s="127"/>
      <c r="Y33" s="74" t="str">
        <f t="shared" si="108"/>
        <v>Georgia</v>
      </c>
      <c r="Z33" s="75">
        <v>1</v>
      </c>
      <c r="AA33" s="75">
        <v>1</v>
      </c>
      <c r="AB33" s="76" t="str">
        <f t="shared" si="109"/>
        <v>Czechia</v>
      </c>
      <c r="AE33" s="77">
        <f t="shared" si="110"/>
        <v>0</v>
      </c>
      <c r="AF33" s="78" t="str">
        <f t="shared" si="111"/>
        <v/>
      </c>
      <c r="AG33" s="69"/>
      <c r="AH33" s="127"/>
      <c r="AI33" s="74" t="str">
        <f t="shared" si="112"/>
        <v>Georgia</v>
      </c>
      <c r="AJ33" s="75">
        <v>0</v>
      </c>
      <c r="AK33" s="75">
        <v>0</v>
      </c>
      <c r="AL33" s="76" t="str">
        <f t="shared" si="113"/>
        <v>Czechia</v>
      </c>
      <c r="AO33" s="77">
        <f t="shared" si="114"/>
        <v>0</v>
      </c>
      <c r="AP33" s="78" t="str">
        <f t="shared" si="115"/>
        <v/>
      </c>
      <c r="AQ33" s="69"/>
      <c r="AR33" s="127"/>
      <c r="AS33" s="74" t="str">
        <f t="shared" si="116"/>
        <v>Georgia</v>
      </c>
      <c r="AT33" s="75">
        <v>1</v>
      </c>
      <c r="AU33" s="75">
        <v>2</v>
      </c>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v>0</v>
      </c>
      <c r="BO33" s="75">
        <v>2</v>
      </c>
      <c r="BP33" s="76" t="str">
        <f t="shared" si="125"/>
        <v>Czechia</v>
      </c>
      <c r="BS33" s="77">
        <f t="shared" si="126"/>
        <v>0</v>
      </c>
      <c r="BT33" s="78" t="str">
        <f t="shared" si="127"/>
        <v/>
      </c>
      <c r="BU33" s="69"/>
      <c r="BV33" s="127"/>
      <c r="BW33" s="74" t="str">
        <f t="shared" si="128"/>
        <v>Georgia</v>
      </c>
      <c r="BX33" s="75">
        <v>0</v>
      </c>
      <c r="BY33" s="75">
        <v>0</v>
      </c>
      <c r="BZ33" s="76" t="str">
        <f t="shared" si="129"/>
        <v>Czechia</v>
      </c>
      <c r="CC33" s="77">
        <f t="shared" si="130"/>
        <v>0</v>
      </c>
      <c r="CD33" s="78" t="str">
        <f t="shared" si="131"/>
        <v/>
      </c>
      <c r="CE33" s="69"/>
      <c r="CF33" s="127"/>
      <c r="CG33" s="74" t="str">
        <f t="shared" si="132"/>
        <v>Georgia</v>
      </c>
      <c r="CH33" s="75">
        <v>0</v>
      </c>
      <c r="CI33" s="75">
        <v>1</v>
      </c>
      <c r="CJ33" s="76" t="str">
        <f t="shared" si="133"/>
        <v>Czechia</v>
      </c>
      <c r="CM33" s="77">
        <f t="shared" si="134"/>
        <v>0</v>
      </c>
      <c r="CN33" s="78" t="str">
        <f t="shared" si="135"/>
        <v/>
      </c>
      <c r="CO33" s="69"/>
      <c r="CP33" s="127"/>
      <c r="CQ33" s="74" t="str">
        <f t="shared" si="136"/>
        <v>Georgia</v>
      </c>
      <c r="CR33" s="75">
        <v>3</v>
      </c>
      <c r="CS33" s="75">
        <v>3</v>
      </c>
      <c r="CT33" s="76" t="str">
        <f t="shared" si="137"/>
        <v>Czechia</v>
      </c>
      <c r="CW33" s="77">
        <f t="shared" si="138"/>
        <v>0</v>
      </c>
      <c r="CX33" s="78" t="str">
        <f t="shared" si="139"/>
        <v/>
      </c>
      <c r="CY33" s="69"/>
      <c r="CZ33" s="127"/>
      <c r="DA33" s="74" t="str">
        <f t="shared" si="140"/>
        <v>Georgia</v>
      </c>
      <c r="DB33" s="75">
        <v>2</v>
      </c>
      <c r="DC33" s="75">
        <v>1</v>
      </c>
      <c r="DD33" s="76" t="str">
        <f t="shared" si="141"/>
        <v>Czechia</v>
      </c>
      <c r="DG33" s="77">
        <f t="shared" si="142"/>
        <v>0</v>
      </c>
      <c r="DH33" s="78" t="str">
        <f t="shared" si="143"/>
        <v/>
      </c>
      <c r="DI33" s="69"/>
    </row>
    <row r="34" spans="1:113" s="43" customFormat="1" ht="15" customHeight="1" x14ac:dyDescent="0.25">
      <c r="A34" s="41">
        <v>39</v>
      </c>
      <c r="B34" s="65"/>
      <c r="C34" s="55">
        <v>25</v>
      </c>
      <c r="D34" s="20" t="s">
        <v>105</v>
      </c>
      <c r="E34" s="157">
        <f t="shared" si="144"/>
        <v>45466.875</v>
      </c>
      <c r="F34" s="158">
        <v>45466.875</v>
      </c>
      <c r="G34" s="72" t="str">
        <f>Matches!G32</f>
        <v>Switzerland</v>
      </c>
      <c r="H34" s="75"/>
      <c r="I34" s="75"/>
      <c r="J34" s="73" t="str">
        <f>Matches!J32</f>
        <v>Germany</v>
      </c>
      <c r="K34" s="55"/>
      <c r="L34" s="55"/>
      <c r="M34" s="67"/>
      <c r="N34" s="127"/>
      <c r="O34" s="74" t="str">
        <f t="shared" si="104"/>
        <v>Switzerland</v>
      </c>
      <c r="P34" s="75">
        <v>1</v>
      </c>
      <c r="Q34" s="75">
        <v>3</v>
      </c>
      <c r="R34" s="76" t="str">
        <f t="shared" si="105"/>
        <v>Germany</v>
      </c>
      <c r="U34" s="77">
        <f t="shared" si="106"/>
        <v>0</v>
      </c>
      <c r="V34" s="78" t="str">
        <f t="shared" si="107"/>
        <v/>
      </c>
      <c r="W34" s="69"/>
      <c r="X34" s="127"/>
      <c r="Y34" s="74" t="str">
        <f t="shared" si="108"/>
        <v>Switzerland</v>
      </c>
      <c r="Z34" s="75">
        <v>1</v>
      </c>
      <c r="AA34" s="75">
        <v>3</v>
      </c>
      <c r="AB34" s="76" t="str">
        <f t="shared" si="109"/>
        <v>Germany</v>
      </c>
      <c r="AE34" s="77">
        <f t="shared" si="110"/>
        <v>0</v>
      </c>
      <c r="AF34" s="78" t="str">
        <f t="shared" si="111"/>
        <v/>
      </c>
      <c r="AG34" s="69"/>
      <c r="AH34" s="127"/>
      <c r="AI34" s="74" t="str">
        <f t="shared" si="112"/>
        <v>Switzerland</v>
      </c>
      <c r="AJ34" s="75">
        <v>1</v>
      </c>
      <c r="AK34" s="75">
        <v>2</v>
      </c>
      <c r="AL34" s="76" t="str">
        <f t="shared" si="113"/>
        <v>Germany</v>
      </c>
      <c r="AO34" s="77">
        <f t="shared" si="114"/>
        <v>0</v>
      </c>
      <c r="AP34" s="78" t="str">
        <f t="shared" si="115"/>
        <v/>
      </c>
      <c r="AQ34" s="69"/>
      <c r="AR34" s="127"/>
      <c r="AS34" s="74" t="str">
        <f t="shared" si="116"/>
        <v>Switzerland</v>
      </c>
      <c r="AT34" s="75">
        <v>1</v>
      </c>
      <c r="AU34" s="75">
        <v>2</v>
      </c>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v>1</v>
      </c>
      <c r="BO34" s="75">
        <v>2</v>
      </c>
      <c r="BP34" s="76" t="str">
        <f t="shared" si="125"/>
        <v>Germany</v>
      </c>
      <c r="BS34" s="77">
        <f t="shared" si="126"/>
        <v>0</v>
      </c>
      <c r="BT34" s="78" t="str">
        <f t="shared" si="127"/>
        <v/>
      </c>
      <c r="BU34" s="69"/>
      <c r="BV34" s="127"/>
      <c r="BW34" s="74" t="str">
        <f t="shared" si="128"/>
        <v>Switzerland</v>
      </c>
      <c r="BX34" s="75">
        <v>0</v>
      </c>
      <c r="BY34" s="75">
        <v>1</v>
      </c>
      <c r="BZ34" s="76" t="str">
        <f t="shared" si="129"/>
        <v>Germany</v>
      </c>
      <c r="CC34" s="77">
        <f t="shared" si="130"/>
        <v>0</v>
      </c>
      <c r="CD34" s="78" t="str">
        <f t="shared" si="131"/>
        <v/>
      </c>
      <c r="CE34" s="69"/>
      <c r="CF34" s="127"/>
      <c r="CG34" s="74" t="str">
        <f t="shared" si="132"/>
        <v>Switzerland</v>
      </c>
      <c r="CH34" s="75">
        <v>1</v>
      </c>
      <c r="CI34" s="75">
        <v>1</v>
      </c>
      <c r="CJ34" s="76" t="str">
        <f t="shared" si="133"/>
        <v>Germany</v>
      </c>
      <c r="CM34" s="77">
        <f t="shared" si="134"/>
        <v>0</v>
      </c>
      <c r="CN34" s="78" t="str">
        <f t="shared" si="135"/>
        <v/>
      </c>
      <c r="CO34" s="69"/>
      <c r="CP34" s="127"/>
      <c r="CQ34" s="74" t="str">
        <f t="shared" si="136"/>
        <v>Switzerland</v>
      </c>
      <c r="CR34" s="75">
        <v>1</v>
      </c>
      <c r="CS34" s="75">
        <v>2</v>
      </c>
      <c r="CT34" s="76" t="str">
        <f t="shared" si="137"/>
        <v>Germany</v>
      </c>
      <c r="CW34" s="77">
        <f t="shared" si="138"/>
        <v>0</v>
      </c>
      <c r="CX34" s="78" t="str">
        <f t="shared" si="139"/>
        <v/>
      </c>
      <c r="CY34" s="69"/>
      <c r="CZ34" s="127"/>
      <c r="DA34" s="74" t="str">
        <f t="shared" si="140"/>
        <v>Switzerland</v>
      </c>
      <c r="DB34" s="75">
        <v>1</v>
      </c>
      <c r="DC34" s="75">
        <v>4</v>
      </c>
      <c r="DD34" s="76" t="str">
        <f t="shared" si="141"/>
        <v>Germany</v>
      </c>
      <c r="DG34" s="77">
        <f t="shared" si="142"/>
        <v>0</v>
      </c>
      <c r="DH34" s="78" t="str">
        <f t="shared" si="143"/>
        <v/>
      </c>
      <c r="DI34" s="69"/>
    </row>
    <row r="35" spans="1:113" s="43" customFormat="1" ht="15" customHeight="1" x14ac:dyDescent="0.25">
      <c r="A35" s="41">
        <v>40</v>
      </c>
      <c r="B35" s="65"/>
      <c r="C35" s="55">
        <v>26</v>
      </c>
      <c r="D35" s="20" t="s">
        <v>105</v>
      </c>
      <c r="E35" s="157">
        <f t="shared" si="144"/>
        <v>45466.875</v>
      </c>
      <c r="F35" s="158">
        <v>45466.875</v>
      </c>
      <c r="G35" s="72" t="str">
        <f>Matches!G33</f>
        <v>Scotland</v>
      </c>
      <c r="H35" s="75"/>
      <c r="I35" s="75"/>
      <c r="J35" s="73" t="str">
        <f>Matches!J33</f>
        <v>Hungary</v>
      </c>
      <c r="K35" s="55"/>
      <c r="L35" s="55"/>
      <c r="M35" s="67"/>
      <c r="N35" s="127"/>
      <c r="O35" s="74" t="str">
        <f t="shared" si="104"/>
        <v>Scotland</v>
      </c>
      <c r="P35" s="75">
        <v>2</v>
      </c>
      <c r="Q35" s="75">
        <v>1</v>
      </c>
      <c r="R35" s="76" t="str">
        <f t="shared" si="105"/>
        <v>Hungary</v>
      </c>
      <c r="U35" s="77">
        <f t="shared" si="106"/>
        <v>0</v>
      </c>
      <c r="V35" s="78" t="str">
        <f t="shared" si="107"/>
        <v/>
      </c>
      <c r="W35" s="69"/>
      <c r="X35" s="127"/>
      <c r="Y35" s="74" t="str">
        <f t="shared" si="108"/>
        <v>Scotland</v>
      </c>
      <c r="Z35" s="75">
        <v>2</v>
      </c>
      <c r="AA35" s="75">
        <v>1</v>
      </c>
      <c r="AB35" s="76" t="str">
        <f t="shared" si="109"/>
        <v>Hungary</v>
      </c>
      <c r="AE35" s="77">
        <f t="shared" si="110"/>
        <v>0</v>
      </c>
      <c r="AF35" s="78" t="str">
        <f t="shared" si="111"/>
        <v/>
      </c>
      <c r="AG35" s="69"/>
      <c r="AH35" s="127"/>
      <c r="AI35" s="74" t="str">
        <f t="shared" si="112"/>
        <v>Scotland</v>
      </c>
      <c r="AJ35" s="75">
        <v>1</v>
      </c>
      <c r="AK35" s="75">
        <v>0</v>
      </c>
      <c r="AL35" s="76" t="str">
        <f t="shared" si="113"/>
        <v>Hungary</v>
      </c>
      <c r="AO35" s="77">
        <f t="shared" si="114"/>
        <v>0</v>
      </c>
      <c r="AP35" s="78" t="str">
        <f t="shared" si="115"/>
        <v/>
      </c>
      <c r="AQ35" s="69"/>
      <c r="AR35" s="127"/>
      <c r="AS35" s="74" t="str">
        <f t="shared" si="116"/>
        <v>Scotland</v>
      </c>
      <c r="AT35" s="75">
        <v>2</v>
      </c>
      <c r="AU35" s="75">
        <v>2</v>
      </c>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v>1</v>
      </c>
      <c r="BO35" s="75">
        <v>1</v>
      </c>
      <c r="BP35" s="76" t="str">
        <f t="shared" si="125"/>
        <v>Hungary</v>
      </c>
      <c r="BS35" s="77">
        <f t="shared" si="126"/>
        <v>0</v>
      </c>
      <c r="BT35" s="78" t="str">
        <f t="shared" si="127"/>
        <v/>
      </c>
      <c r="BU35" s="69"/>
      <c r="BV35" s="127"/>
      <c r="BW35" s="74" t="str">
        <f t="shared" si="128"/>
        <v>Scotland</v>
      </c>
      <c r="BX35" s="75">
        <v>1</v>
      </c>
      <c r="BY35" s="75">
        <v>0</v>
      </c>
      <c r="BZ35" s="76" t="str">
        <f t="shared" si="129"/>
        <v>Hungary</v>
      </c>
      <c r="CC35" s="77">
        <f t="shared" si="130"/>
        <v>0</v>
      </c>
      <c r="CD35" s="78" t="str">
        <f t="shared" si="131"/>
        <v/>
      </c>
      <c r="CE35" s="69"/>
      <c r="CF35" s="127"/>
      <c r="CG35" s="74" t="str">
        <f t="shared" si="132"/>
        <v>Scotland</v>
      </c>
      <c r="CH35" s="75">
        <v>1</v>
      </c>
      <c r="CI35" s="75">
        <v>0</v>
      </c>
      <c r="CJ35" s="76" t="str">
        <f t="shared" si="133"/>
        <v>Hungary</v>
      </c>
      <c r="CM35" s="77">
        <f t="shared" si="134"/>
        <v>0</v>
      </c>
      <c r="CN35" s="78" t="str">
        <f t="shared" si="135"/>
        <v/>
      </c>
      <c r="CO35" s="69"/>
      <c r="CP35" s="127"/>
      <c r="CQ35" s="74" t="str">
        <f t="shared" si="136"/>
        <v>Scotland</v>
      </c>
      <c r="CR35" s="75">
        <v>2</v>
      </c>
      <c r="CS35" s="75">
        <v>1</v>
      </c>
      <c r="CT35" s="76" t="str">
        <f t="shared" si="137"/>
        <v>Hungary</v>
      </c>
      <c r="CW35" s="77">
        <f t="shared" si="138"/>
        <v>0</v>
      </c>
      <c r="CX35" s="78" t="str">
        <f t="shared" si="139"/>
        <v/>
      </c>
      <c r="CY35" s="69"/>
      <c r="CZ35" s="127"/>
      <c r="DA35" s="74" t="str">
        <f t="shared" si="140"/>
        <v>Scotland</v>
      </c>
      <c r="DB35" s="75">
        <v>3</v>
      </c>
      <c r="DC35" s="75">
        <v>2</v>
      </c>
      <c r="DD35" s="76" t="str">
        <f t="shared" si="141"/>
        <v>Hungary</v>
      </c>
      <c r="DG35" s="77">
        <f t="shared" si="142"/>
        <v>0</v>
      </c>
      <c r="DH35" s="78" t="str">
        <f t="shared" si="143"/>
        <v/>
      </c>
      <c r="DI35" s="69"/>
    </row>
    <row r="36" spans="1:113" s="43" customFormat="1" ht="15" customHeight="1" x14ac:dyDescent="0.25">
      <c r="A36" s="41">
        <v>41</v>
      </c>
      <c r="B36" s="65"/>
      <c r="C36" s="55">
        <v>27</v>
      </c>
      <c r="D36" s="20" t="s">
        <v>106</v>
      </c>
      <c r="E36" s="157">
        <f t="shared" si="144"/>
        <v>45467.875</v>
      </c>
      <c r="F36" s="158">
        <v>45467.875</v>
      </c>
      <c r="G36" s="72" t="str">
        <f>Matches!G34</f>
        <v>Albania</v>
      </c>
      <c r="H36" s="75"/>
      <c r="I36" s="75"/>
      <c r="J36" s="73" t="str">
        <f>Matches!J34</f>
        <v>Spain</v>
      </c>
      <c r="K36" s="55"/>
      <c r="L36" s="55"/>
      <c r="M36" s="67"/>
      <c r="N36" s="127"/>
      <c r="O36" s="74" t="str">
        <f t="shared" si="104"/>
        <v>Albania</v>
      </c>
      <c r="P36" s="75">
        <v>0</v>
      </c>
      <c r="Q36" s="75">
        <v>3</v>
      </c>
      <c r="R36" s="76" t="str">
        <f t="shared" si="105"/>
        <v>Spain</v>
      </c>
      <c r="U36" s="77">
        <f t="shared" si="106"/>
        <v>0</v>
      </c>
      <c r="V36" s="78" t="str">
        <f t="shared" si="107"/>
        <v/>
      </c>
      <c r="W36" s="69"/>
      <c r="X36" s="127"/>
      <c r="Y36" s="74" t="str">
        <f t="shared" si="108"/>
        <v>Albania</v>
      </c>
      <c r="Z36" s="75">
        <v>0</v>
      </c>
      <c r="AA36" s="75">
        <v>3</v>
      </c>
      <c r="AB36" s="76" t="str">
        <f t="shared" si="109"/>
        <v>Spain</v>
      </c>
      <c r="AE36" s="77">
        <f t="shared" si="110"/>
        <v>0</v>
      </c>
      <c r="AF36" s="78" t="str">
        <f t="shared" si="111"/>
        <v/>
      </c>
      <c r="AG36" s="69"/>
      <c r="AH36" s="127"/>
      <c r="AI36" s="74" t="str">
        <f t="shared" si="112"/>
        <v>Albania</v>
      </c>
      <c r="AJ36" s="75">
        <v>1</v>
      </c>
      <c r="AK36" s="75">
        <v>3</v>
      </c>
      <c r="AL36" s="76" t="str">
        <f t="shared" si="113"/>
        <v>Spain</v>
      </c>
      <c r="AO36" s="77">
        <f t="shared" si="114"/>
        <v>0</v>
      </c>
      <c r="AP36" s="78" t="str">
        <f t="shared" si="115"/>
        <v/>
      </c>
      <c r="AQ36" s="69"/>
      <c r="AR36" s="127"/>
      <c r="AS36" s="74" t="str">
        <f t="shared" si="116"/>
        <v>Albania</v>
      </c>
      <c r="AT36" s="75">
        <v>1</v>
      </c>
      <c r="AU36" s="75">
        <v>2</v>
      </c>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v>0</v>
      </c>
      <c r="BO36" s="75">
        <v>1</v>
      </c>
      <c r="BP36" s="76" t="str">
        <f t="shared" si="125"/>
        <v>Spain</v>
      </c>
      <c r="BS36" s="77">
        <f t="shared" si="126"/>
        <v>0</v>
      </c>
      <c r="BT36" s="78" t="str">
        <f t="shared" si="127"/>
        <v/>
      </c>
      <c r="BU36" s="69"/>
      <c r="BV36" s="127"/>
      <c r="BW36" s="74" t="str">
        <f t="shared" si="128"/>
        <v>Albania</v>
      </c>
      <c r="BX36" s="75">
        <v>0</v>
      </c>
      <c r="BY36" s="75">
        <v>2</v>
      </c>
      <c r="BZ36" s="76" t="str">
        <f t="shared" si="129"/>
        <v>Spain</v>
      </c>
      <c r="CC36" s="77">
        <f t="shared" si="130"/>
        <v>0</v>
      </c>
      <c r="CD36" s="78" t="str">
        <f t="shared" si="131"/>
        <v/>
      </c>
      <c r="CE36" s="69"/>
      <c r="CF36" s="127"/>
      <c r="CG36" s="74" t="str">
        <f t="shared" si="132"/>
        <v>Albania</v>
      </c>
      <c r="CH36" s="75">
        <v>0</v>
      </c>
      <c r="CI36" s="75">
        <v>5</v>
      </c>
      <c r="CJ36" s="76" t="str">
        <f t="shared" si="133"/>
        <v>Spain</v>
      </c>
      <c r="CM36" s="77">
        <f t="shared" si="134"/>
        <v>0</v>
      </c>
      <c r="CN36" s="78" t="str">
        <f t="shared" si="135"/>
        <v/>
      </c>
      <c r="CO36" s="69"/>
      <c r="CP36" s="127"/>
      <c r="CQ36" s="74" t="str">
        <f t="shared" si="136"/>
        <v>Albania</v>
      </c>
      <c r="CR36" s="75">
        <v>1</v>
      </c>
      <c r="CS36" s="75">
        <v>1</v>
      </c>
      <c r="CT36" s="76" t="str">
        <f t="shared" si="137"/>
        <v>Spain</v>
      </c>
      <c r="CW36" s="77">
        <f t="shared" si="138"/>
        <v>0</v>
      </c>
      <c r="CX36" s="78" t="str">
        <f t="shared" si="139"/>
        <v/>
      </c>
      <c r="CY36" s="69"/>
      <c r="CZ36" s="127"/>
      <c r="DA36" s="74" t="str">
        <f t="shared" si="140"/>
        <v>Albania</v>
      </c>
      <c r="DB36" s="75">
        <v>1</v>
      </c>
      <c r="DC36" s="75">
        <v>4</v>
      </c>
      <c r="DD36" s="76" t="str">
        <f t="shared" si="141"/>
        <v>Spain</v>
      </c>
      <c r="DG36" s="77">
        <f t="shared" si="142"/>
        <v>0</v>
      </c>
      <c r="DH36" s="78" t="str">
        <f t="shared" si="143"/>
        <v/>
      </c>
      <c r="DI36" s="69"/>
    </row>
    <row r="37" spans="1:113" s="43" customFormat="1" ht="15" customHeight="1" x14ac:dyDescent="0.25">
      <c r="A37" s="41">
        <v>42</v>
      </c>
      <c r="B37" s="65"/>
      <c r="C37" s="55">
        <v>28</v>
      </c>
      <c r="D37" s="20" t="s">
        <v>106</v>
      </c>
      <c r="E37" s="157">
        <f t="shared" si="144"/>
        <v>45467.875</v>
      </c>
      <c r="F37" s="158">
        <v>45467.875</v>
      </c>
      <c r="G37" s="72" t="str">
        <f>Matches!G35</f>
        <v>Croatia</v>
      </c>
      <c r="H37" s="75"/>
      <c r="I37" s="75"/>
      <c r="J37" s="73" t="str">
        <f>Matches!J35</f>
        <v>Italy</v>
      </c>
      <c r="K37" s="55"/>
      <c r="L37" s="55"/>
      <c r="M37" s="67"/>
      <c r="N37" s="127"/>
      <c r="O37" s="74" t="str">
        <f t="shared" si="104"/>
        <v>Croatia</v>
      </c>
      <c r="P37" s="75">
        <v>1</v>
      </c>
      <c r="Q37" s="75">
        <v>1</v>
      </c>
      <c r="R37" s="76" t="str">
        <f t="shared" si="105"/>
        <v>Italy</v>
      </c>
      <c r="U37" s="77">
        <f t="shared" si="106"/>
        <v>0</v>
      </c>
      <c r="V37" s="78" t="str">
        <f t="shared" si="107"/>
        <v/>
      </c>
      <c r="W37" s="69"/>
      <c r="X37" s="127"/>
      <c r="Y37" s="74" t="str">
        <f t="shared" si="108"/>
        <v>Croatia</v>
      </c>
      <c r="Z37" s="75">
        <v>2</v>
      </c>
      <c r="AA37" s="75">
        <v>2</v>
      </c>
      <c r="AB37" s="76" t="str">
        <f t="shared" si="109"/>
        <v>Italy</v>
      </c>
      <c r="AE37" s="77">
        <f t="shared" si="110"/>
        <v>0</v>
      </c>
      <c r="AF37" s="78" t="str">
        <f t="shared" si="111"/>
        <v/>
      </c>
      <c r="AG37" s="69"/>
      <c r="AH37" s="127"/>
      <c r="AI37" s="74" t="str">
        <f t="shared" si="112"/>
        <v>Croatia</v>
      </c>
      <c r="AJ37" s="75">
        <v>2</v>
      </c>
      <c r="AK37" s="75">
        <v>2</v>
      </c>
      <c r="AL37" s="76" t="str">
        <f t="shared" si="113"/>
        <v>Italy</v>
      </c>
      <c r="AO37" s="77">
        <f t="shared" si="114"/>
        <v>0</v>
      </c>
      <c r="AP37" s="78" t="str">
        <f t="shared" si="115"/>
        <v/>
      </c>
      <c r="AQ37" s="69"/>
      <c r="AR37" s="127"/>
      <c r="AS37" s="74" t="str">
        <f t="shared" si="116"/>
        <v>Croatia</v>
      </c>
      <c r="AT37" s="75">
        <v>1</v>
      </c>
      <c r="AU37" s="75">
        <v>1</v>
      </c>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v>0</v>
      </c>
      <c r="BO37" s="75">
        <v>0</v>
      </c>
      <c r="BP37" s="76" t="str">
        <f t="shared" si="125"/>
        <v>Italy</v>
      </c>
      <c r="BS37" s="77">
        <f t="shared" si="126"/>
        <v>0</v>
      </c>
      <c r="BT37" s="78" t="str">
        <f t="shared" si="127"/>
        <v/>
      </c>
      <c r="BU37" s="69"/>
      <c r="BV37" s="127"/>
      <c r="BW37" s="74" t="str">
        <f t="shared" si="128"/>
        <v>Croatia</v>
      </c>
      <c r="BX37" s="75">
        <v>1</v>
      </c>
      <c r="BY37" s="75">
        <v>2</v>
      </c>
      <c r="BZ37" s="76" t="str">
        <f t="shared" si="129"/>
        <v>Italy</v>
      </c>
      <c r="CC37" s="77">
        <f t="shared" si="130"/>
        <v>0</v>
      </c>
      <c r="CD37" s="78" t="str">
        <f t="shared" si="131"/>
        <v/>
      </c>
      <c r="CE37" s="69"/>
      <c r="CF37" s="127"/>
      <c r="CG37" s="74" t="str">
        <f t="shared" si="132"/>
        <v>Croatia</v>
      </c>
      <c r="CH37" s="75">
        <v>2</v>
      </c>
      <c r="CI37" s="75">
        <v>2</v>
      </c>
      <c r="CJ37" s="76" t="str">
        <f t="shared" si="133"/>
        <v>Italy</v>
      </c>
      <c r="CM37" s="77">
        <f t="shared" si="134"/>
        <v>0</v>
      </c>
      <c r="CN37" s="78" t="str">
        <f t="shared" si="135"/>
        <v/>
      </c>
      <c r="CO37" s="69"/>
      <c r="CP37" s="127"/>
      <c r="CQ37" s="74" t="str">
        <f t="shared" si="136"/>
        <v>Croatia</v>
      </c>
      <c r="CR37" s="75">
        <v>3</v>
      </c>
      <c r="CS37" s="75">
        <v>3</v>
      </c>
      <c r="CT37" s="76" t="str">
        <f t="shared" si="137"/>
        <v>Italy</v>
      </c>
      <c r="CW37" s="77">
        <f t="shared" si="138"/>
        <v>0</v>
      </c>
      <c r="CX37" s="78" t="str">
        <f t="shared" si="139"/>
        <v/>
      </c>
      <c r="CY37" s="69"/>
      <c r="CZ37" s="127"/>
      <c r="DA37" s="74" t="str">
        <f t="shared" si="140"/>
        <v>Croatia</v>
      </c>
      <c r="DB37" s="75">
        <v>2</v>
      </c>
      <c r="DC37" s="75">
        <v>4</v>
      </c>
      <c r="DD37" s="76" t="str">
        <f t="shared" si="141"/>
        <v>Italy</v>
      </c>
      <c r="DG37" s="77">
        <f t="shared" si="142"/>
        <v>0</v>
      </c>
      <c r="DH37" s="78" t="str">
        <f t="shared" si="143"/>
        <v/>
      </c>
      <c r="DI37" s="69"/>
    </row>
    <row r="38" spans="1:113" s="43" customFormat="1" ht="15" customHeight="1" x14ac:dyDescent="0.25">
      <c r="A38" s="41">
        <v>43</v>
      </c>
      <c r="B38" s="65"/>
      <c r="C38" s="55">
        <v>29</v>
      </c>
      <c r="D38" s="20" t="s">
        <v>107</v>
      </c>
      <c r="E38" s="157">
        <f t="shared" si="144"/>
        <v>45468.875</v>
      </c>
      <c r="F38" s="158">
        <v>45468.875</v>
      </c>
      <c r="G38" s="72" t="str">
        <f>Matches!G36</f>
        <v>England</v>
      </c>
      <c r="H38" s="75"/>
      <c r="I38" s="75"/>
      <c r="J38" s="73" t="str">
        <f>Matches!J36</f>
        <v>Slovenia</v>
      </c>
      <c r="K38" s="55"/>
      <c r="L38" s="55"/>
      <c r="M38" s="67"/>
      <c r="N38" s="127"/>
      <c r="O38" s="74" t="str">
        <f t="shared" si="104"/>
        <v>England</v>
      </c>
      <c r="P38" s="75">
        <v>3</v>
      </c>
      <c r="Q38" s="75">
        <v>0</v>
      </c>
      <c r="R38" s="76" t="str">
        <f t="shared" si="105"/>
        <v>Slovenia</v>
      </c>
      <c r="U38" s="77">
        <f t="shared" si="106"/>
        <v>0</v>
      </c>
      <c r="V38" s="78" t="str">
        <f t="shared" si="107"/>
        <v/>
      </c>
      <c r="W38" s="69"/>
      <c r="X38" s="127"/>
      <c r="Y38" s="74" t="str">
        <f t="shared" si="108"/>
        <v>England</v>
      </c>
      <c r="Z38" s="75">
        <v>2</v>
      </c>
      <c r="AA38" s="75">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1</v>
      </c>
      <c r="AU38" s="75">
        <v>0</v>
      </c>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v>0</v>
      </c>
      <c r="BO38" s="75">
        <v>0</v>
      </c>
      <c r="BP38" s="76" t="str">
        <f t="shared" si="125"/>
        <v>Slovenia</v>
      </c>
      <c r="BS38" s="77">
        <f t="shared" si="126"/>
        <v>0</v>
      </c>
      <c r="BT38" s="78" t="str">
        <f t="shared" si="127"/>
        <v/>
      </c>
      <c r="BU38" s="69"/>
      <c r="BV38" s="127"/>
      <c r="BW38" s="74" t="str">
        <f t="shared" si="128"/>
        <v>England</v>
      </c>
      <c r="BX38" s="75">
        <v>2</v>
      </c>
      <c r="BY38" s="75">
        <v>1</v>
      </c>
      <c r="BZ38" s="76" t="str">
        <f t="shared" si="129"/>
        <v>Slovenia</v>
      </c>
      <c r="CC38" s="77">
        <f t="shared" si="130"/>
        <v>0</v>
      </c>
      <c r="CD38" s="78" t="str">
        <f t="shared" si="131"/>
        <v/>
      </c>
      <c r="CE38" s="69"/>
      <c r="CF38" s="127"/>
      <c r="CG38" s="74" t="str">
        <f t="shared" si="132"/>
        <v>England</v>
      </c>
      <c r="CH38" s="75">
        <v>3</v>
      </c>
      <c r="CI38" s="75">
        <v>1</v>
      </c>
      <c r="CJ38" s="76" t="str">
        <f t="shared" si="133"/>
        <v>Slovenia</v>
      </c>
      <c r="CM38" s="77">
        <f t="shared" si="134"/>
        <v>0</v>
      </c>
      <c r="CN38" s="78" t="str">
        <f t="shared" si="135"/>
        <v/>
      </c>
      <c r="CO38" s="69"/>
      <c r="CP38" s="127"/>
      <c r="CQ38" s="74" t="str">
        <f t="shared" si="136"/>
        <v>England</v>
      </c>
      <c r="CR38" s="75">
        <v>0</v>
      </c>
      <c r="CS38" s="75">
        <v>2</v>
      </c>
      <c r="CT38" s="76" t="str">
        <f t="shared" si="137"/>
        <v>Slovenia</v>
      </c>
      <c r="CW38" s="77">
        <f t="shared" si="138"/>
        <v>0</v>
      </c>
      <c r="CX38" s="78" t="str">
        <f t="shared" si="139"/>
        <v/>
      </c>
      <c r="CY38" s="69"/>
      <c r="CZ38" s="127"/>
      <c r="DA38" s="74" t="str">
        <f t="shared" si="140"/>
        <v>England</v>
      </c>
      <c r="DB38" s="75">
        <v>4</v>
      </c>
      <c r="DC38" s="75">
        <v>0</v>
      </c>
      <c r="DD38" s="76" t="str">
        <f t="shared" si="141"/>
        <v>Slovenia</v>
      </c>
      <c r="DG38" s="77">
        <f t="shared" si="142"/>
        <v>0</v>
      </c>
      <c r="DH38" s="78" t="str">
        <f t="shared" si="143"/>
        <v/>
      </c>
      <c r="DI38" s="69"/>
    </row>
    <row r="39" spans="1:113" s="43" customFormat="1" ht="15" customHeight="1" x14ac:dyDescent="0.25">
      <c r="A39" s="41">
        <v>44</v>
      </c>
      <c r="B39" s="65"/>
      <c r="C39" s="55">
        <v>30</v>
      </c>
      <c r="D39" s="20" t="s">
        <v>107</v>
      </c>
      <c r="E39" s="157">
        <f t="shared" si="144"/>
        <v>45468.875</v>
      </c>
      <c r="F39" s="158">
        <v>45468.875</v>
      </c>
      <c r="G39" s="72" t="str">
        <f>Matches!G37</f>
        <v>Denmark</v>
      </c>
      <c r="H39" s="75"/>
      <c r="I39" s="75"/>
      <c r="J39" s="73" t="str">
        <f>Matches!J37</f>
        <v>Serbia</v>
      </c>
      <c r="K39" s="55"/>
      <c r="L39" s="55"/>
      <c r="M39" s="67"/>
      <c r="N39" s="127"/>
      <c r="O39" s="74" t="str">
        <f t="shared" si="104"/>
        <v>Denmark</v>
      </c>
      <c r="P39" s="75">
        <v>2</v>
      </c>
      <c r="Q39" s="75">
        <v>1</v>
      </c>
      <c r="R39" s="76" t="str">
        <f t="shared" si="105"/>
        <v>Serbia</v>
      </c>
      <c r="U39" s="77">
        <f t="shared" si="106"/>
        <v>0</v>
      </c>
      <c r="V39" s="78" t="str">
        <f t="shared" si="107"/>
        <v/>
      </c>
      <c r="W39" s="69"/>
      <c r="X39" s="127"/>
      <c r="Y39" s="74" t="str">
        <f t="shared" si="108"/>
        <v>Denmark</v>
      </c>
      <c r="Z39" s="75">
        <v>2</v>
      </c>
      <c r="AA39" s="75">
        <v>1</v>
      </c>
      <c r="AB39" s="76" t="str">
        <f t="shared" si="109"/>
        <v>Serbia</v>
      </c>
      <c r="AE39" s="77">
        <f t="shared" si="110"/>
        <v>0</v>
      </c>
      <c r="AF39" s="78" t="str">
        <f t="shared" si="111"/>
        <v/>
      </c>
      <c r="AG39" s="69"/>
      <c r="AH39" s="127"/>
      <c r="AI39" s="74" t="str">
        <f t="shared" si="112"/>
        <v>Denmark</v>
      </c>
      <c r="AJ39" s="75">
        <v>2</v>
      </c>
      <c r="AK39" s="75">
        <v>0</v>
      </c>
      <c r="AL39" s="76" t="str">
        <f t="shared" si="113"/>
        <v>Serbia</v>
      </c>
      <c r="AO39" s="77">
        <f t="shared" si="114"/>
        <v>0</v>
      </c>
      <c r="AP39" s="78" t="str">
        <f t="shared" si="115"/>
        <v/>
      </c>
      <c r="AQ39" s="69"/>
      <c r="AR39" s="127"/>
      <c r="AS39" s="74" t="str">
        <f t="shared" si="116"/>
        <v>Denmark</v>
      </c>
      <c r="AT39" s="75">
        <v>2</v>
      </c>
      <c r="AU39" s="75">
        <v>1</v>
      </c>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v>1</v>
      </c>
      <c r="BO39" s="75">
        <v>0</v>
      </c>
      <c r="BP39" s="76" t="str">
        <f t="shared" si="125"/>
        <v>Serbia</v>
      </c>
      <c r="BS39" s="77">
        <f t="shared" si="126"/>
        <v>0</v>
      </c>
      <c r="BT39" s="78" t="str">
        <f t="shared" si="127"/>
        <v/>
      </c>
      <c r="BU39" s="69"/>
      <c r="BV39" s="127"/>
      <c r="BW39" s="74" t="str">
        <f t="shared" si="128"/>
        <v>Denmark</v>
      </c>
      <c r="BX39" s="75">
        <v>1</v>
      </c>
      <c r="BY39" s="75">
        <v>0</v>
      </c>
      <c r="BZ39" s="76" t="str">
        <f t="shared" si="129"/>
        <v>Serbia</v>
      </c>
      <c r="CC39" s="77">
        <f t="shared" si="130"/>
        <v>0</v>
      </c>
      <c r="CD39" s="78" t="str">
        <f t="shared" si="131"/>
        <v/>
      </c>
      <c r="CE39" s="69"/>
      <c r="CF39" s="127"/>
      <c r="CG39" s="74" t="str">
        <f t="shared" si="132"/>
        <v>Denmark</v>
      </c>
      <c r="CH39" s="75">
        <v>2</v>
      </c>
      <c r="CI39" s="75">
        <v>1</v>
      </c>
      <c r="CJ39" s="76" t="str">
        <f t="shared" si="133"/>
        <v>Serbia</v>
      </c>
      <c r="CM39" s="77">
        <f t="shared" si="134"/>
        <v>0</v>
      </c>
      <c r="CN39" s="78" t="str">
        <f t="shared" si="135"/>
        <v/>
      </c>
      <c r="CO39" s="69"/>
      <c r="CP39" s="127"/>
      <c r="CQ39" s="74" t="str">
        <f t="shared" si="136"/>
        <v>Denmark</v>
      </c>
      <c r="CR39" s="75">
        <v>2</v>
      </c>
      <c r="CS39" s="75">
        <v>1</v>
      </c>
      <c r="CT39" s="76" t="str">
        <f t="shared" si="137"/>
        <v>Serbia</v>
      </c>
      <c r="CW39" s="77">
        <f t="shared" si="138"/>
        <v>0</v>
      </c>
      <c r="CX39" s="78" t="str">
        <f t="shared" si="139"/>
        <v/>
      </c>
      <c r="CY39" s="69"/>
      <c r="CZ39" s="127"/>
      <c r="DA39" s="74" t="str">
        <f t="shared" si="140"/>
        <v>Denmark</v>
      </c>
      <c r="DB39" s="75">
        <v>3</v>
      </c>
      <c r="DC39" s="75">
        <v>1</v>
      </c>
      <c r="DD39" s="76" t="str">
        <f t="shared" si="141"/>
        <v>Serbia</v>
      </c>
      <c r="DG39" s="77">
        <f t="shared" si="142"/>
        <v>0</v>
      </c>
      <c r="DH39" s="78" t="str">
        <f t="shared" si="143"/>
        <v/>
      </c>
      <c r="DI39" s="69"/>
    </row>
    <row r="40" spans="1:113" s="43" customFormat="1" ht="15" customHeight="1" x14ac:dyDescent="0.25">
      <c r="A40" s="41">
        <v>45</v>
      </c>
      <c r="B40" s="65"/>
      <c r="C40" s="55">
        <v>31</v>
      </c>
      <c r="D40" s="20" t="s">
        <v>108</v>
      </c>
      <c r="E40" s="157">
        <f t="shared" si="144"/>
        <v>45468.75</v>
      </c>
      <c r="F40" s="158">
        <v>45468.75</v>
      </c>
      <c r="G40" s="72" t="str">
        <f>Matches!G38</f>
        <v>Netherlands</v>
      </c>
      <c r="H40" s="75"/>
      <c r="I40" s="75"/>
      <c r="J40" s="73" t="str">
        <f>Matches!J38</f>
        <v>Austria</v>
      </c>
      <c r="K40" s="55"/>
      <c r="L40" s="55"/>
      <c r="M40" s="67"/>
      <c r="N40" s="127"/>
      <c r="O40" s="74" t="str">
        <f t="shared" si="104"/>
        <v>Netherlands</v>
      </c>
      <c r="P40" s="75">
        <v>2</v>
      </c>
      <c r="Q40" s="75">
        <v>0</v>
      </c>
      <c r="R40" s="76" t="str">
        <f t="shared" si="105"/>
        <v>Austria</v>
      </c>
      <c r="U40" s="77">
        <f t="shared" si="106"/>
        <v>0</v>
      </c>
      <c r="V40" s="78" t="str">
        <f t="shared" si="107"/>
        <v/>
      </c>
      <c r="W40" s="69"/>
      <c r="X40" s="127"/>
      <c r="Y40" s="74" t="str">
        <f t="shared" si="108"/>
        <v>Netherlands</v>
      </c>
      <c r="Z40" s="75">
        <v>3</v>
      </c>
      <c r="AA40" s="75">
        <v>0</v>
      </c>
      <c r="AB40" s="76" t="str">
        <f t="shared" si="109"/>
        <v>Austria</v>
      </c>
      <c r="AE40" s="77">
        <f t="shared" si="110"/>
        <v>0</v>
      </c>
      <c r="AF40" s="78" t="str">
        <f t="shared" si="111"/>
        <v/>
      </c>
      <c r="AG40" s="69"/>
      <c r="AH40" s="127"/>
      <c r="AI40" s="74" t="str">
        <f t="shared" si="112"/>
        <v>Netherlands</v>
      </c>
      <c r="AJ40" s="75">
        <v>2</v>
      </c>
      <c r="AK40" s="75">
        <v>1</v>
      </c>
      <c r="AL40" s="76" t="str">
        <f t="shared" si="113"/>
        <v>Austria</v>
      </c>
      <c r="AO40" s="77">
        <f t="shared" si="114"/>
        <v>0</v>
      </c>
      <c r="AP40" s="78" t="str">
        <f t="shared" si="115"/>
        <v/>
      </c>
      <c r="AQ40" s="69"/>
      <c r="AR40" s="127"/>
      <c r="AS40" s="74" t="str">
        <f t="shared" si="116"/>
        <v>Netherlands</v>
      </c>
      <c r="AT40" s="75">
        <v>2</v>
      </c>
      <c r="AU40" s="75">
        <v>2</v>
      </c>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v>2</v>
      </c>
      <c r="BO40" s="75">
        <v>0</v>
      </c>
      <c r="BP40" s="76" t="str">
        <f t="shared" si="125"/>
        <v>Austria</v>
      </c>
      <c r="BS40" s="77">
        <f t="shared" si="126"/>
        <v>0</v>
      </c>
      <c r="BT40" s="78" t="str">
        <f t="shared" si="127"/>
        <v/>
      </c>
      <c r="BU40" s="69"/>
      <c r="BV40" s="127"/>
      <c r="BW40" s="74" t="str">
        <f t="shared" si="128"/>
        <v>Netherlands</v>
      </c>
      <c r="BX40" s="75">
        <v>2</v>
      </c>
      <c r="BY40" s="75">
        <v>1</v>
      </c>
      <c r="BZ40" s="76" t="str">
        <f t="shared" si="129"/>
        <v>Austria</v>
      </c>
      <c r="CC40" s="77">
        <f t="shared" si="130"/>
        <v>0</v>
      </c>
      <c r="CD40" s="78" t="str">
        <f t="shared" si="131"/>
        <v/>
      </c>
      <c r="CE40" s="69"/>
      <c r="CF40" s="127"/>
      <c r="CG40" s="74" t="str">
        <f t="shared" si="132"/>
        <v>Netherlands</v>
      </c>
      <c r="CH40" s="75">
        <v>2</v>
      </c>
      <c r="CI40" s="75">
        <v>1</v>
      </c>
      <c r="CJ40" s="76" t="str">
        <f t="shared" si="133"/>
        <v>Austria</v>
      </c>
      <c r="CM40" s="77">
        <f t="shared" si="134"/>
        <v>0</v>
      </c>
      <c r="CN40" s="78" t="str">
        <f t="shared" si="135"/>
        <v/>
      </c>
      <c r="CO40" s="69"/>
      <c r="CP40" s="127"/>
      <c r="CQ40" s="74" t="str">
        <f t="shared" si="136"/>
        <v>Netherlands</v>
      </c>
      <c r="CR40" s="75">
        <v>2</v>
      </c>
      <c r="CS40" s="75">
        <v>1</v>
      </c>
      <c r="CT40" s="76" t="str">
        <f t="shared" si="137"/>
        <v>Austria</v>
      </c>
      <c r="CW40" s="77">
        <f t="shared" si="138"/>
        <v>0</v>
      </c>
      <c r="CX40" s="78" t="str">
        <f t="shared" si="139"/>
        <v/>
      </c>
      <c r="CY40" s="69"/>
      <c r="CZ40" s="127"/>
      <c r="DA40" s="74" t="str">
        <f t="shared" si="140"/>
        <v>Netherlands</v>
      </c>
      <c r="DB40" s="75">
        <v>3</v>
      </c>
      <c r="DC40" s="75">
        <v>1</v>
      </c>
      <c r="DD40" s="76" t="str">
        <f t="shared" si="141"/>
        <v>Austria</v>
      </c>
      <c r="DG40" s="77">
        <f t="shared" si="142"/>
        <v>0</v>
      </c>
      <c r="DH40" s="78" t="str">
        <f t="shared" si="143"/>
        <v/>
      </c>
      <c r="DI40" s="69"/>
    </row>
    <row r="41" spans="1:113" s="43" customFormat="1" ht="15" customHeight="1" x14ac:dyDescent="0.25">
      <c r="A41" s="41">
        <v>46</v>
      </c>
      <c r="B41" s="65"/>
      <c r="C41" s="55">
        <v>32</v>
      </c>
      <c r="D41" s="20" t="s">
        <v>108</v>
      </c>
      <c r="E41" s="157">
        <f t="shared" si="144"/>
        <v>45468.75</v>
      </c>
      <c r="F41" s="158">
        <v>45468.75</v>
      </c>
      <c r="G41" s="72" t="str">
        <f>Matches!G39</f>
        <v>France</v>
      </c>
      <c r="H41" s="75"/>
      <c r="I41" s="75"/>
      <c r="J41" s="73" t="str">
        <f>Matches!J39</f>
        <v>Poland</v>
      </c>
      <c r="K41" s="55"/>
      <c r="L41" s="55"/>
      <c r="M41" s="67"/>
      <c r="N41" s="127"/>
      <c r="O41" s="74" t="str">
        <f t="shared" si="104"/>
        <v>France</v>
      </c>
      <c r="P41" s="75">
        <v>2</v>
      </c>
      <c r="Q41" s="75">
        <v>0</v>
      </c>
      <c r="R41" s="76" t="str">
        <f t="shared" si="105"/>
        <v>Poland</v>
      </c>
      <c r="U41" s="77">
        <f t="shared" si="106"/>
        <v>0</v>
      </c>
      <c r="V41" s="78" t="str">
        <f t="shared" si="107"/>
        <v/>
      </c>
      <c r="W41" s="69"/>
      <c r="X41" s="127"/>
      <c r="Y41" s="74" t="str">
        <f t="shared" si="108"/>
        <v>France</v>
      </c>
      <c r="Z41" s="75">
        <v>2</v>
      </c>
      <c r="AA41" s="75">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3</v>
      </c>
      <c r="AU41" s="75">
        <v>0</v>
      </c>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v>2</v>
      </c>
      <c r="BO41" s="75">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v>3</v>
      </c>
      <c r="CI41" s="75">
        <v>0</v>
      </c>
      <c r="CJ41" s="76" t="str">
        <f t="shared" si="133"/>
        <v>Poland</v>
      </c>
      <c r="CM41" s="77">
        <f t="shared" si="134"/>
        <v>0</v>
      </c>
      <c r="CN41" s="78" t="str">
        <f t="shared" si="135"/>
        <v/>
      </c>
      <c r="CO41" s="69"/>
      <c r="CP41" s="127"/>
      <c r="CQ41" s="74" t="str">
        <f t="shared" si="136"/>
        <v>France</v>
      </c>
      <c r="CR41" s="75">
        <v>3</v>
      </c>
      <c r="CS41" s="75">
        <v>0</v>
      </c>
      <c r="CT41" s="76" t="str">
        <f t="shared" si="137"/>
        <v>Poland</v>
      </c>
      <c r="CW41" s="77">
        <f t="shared" si="138"/>
        <v>0</v>
      </c>
      <c r="CX41" s="78" t="str">
        <f t="shared" si="139"/>
        <v/>
      </c>
      <c r="CY41" s="69"/>
      <c r="CZ41" s="127"/>
      <c r="DA41" s="74" t="str">
        <f t="shared" si="140"/>
        <v>France</v>
      </c>
      <c r="DB41" s="75">
        <v>4</v>
      </c>
      <c r="DC41" s="75">
        <v>0</v>
      </c>
      <c r="DD41" s="76" t="str">
        <f t="shared" si="141"/>
        <v>Poland</v>
      </c>
      <c r="DG41" s="77">
        <f t="shared" si="142"/>
        <v>0</v>
      </c>
      <c r="DH41" s="78" t="str">
        <f t="shared" si="143"/>
        <v/>
      </c>
      <c r="DI41" s="69"/>
    </row>
    <row r="42" spans="1:113" s="43" customFormat="1" ht="15" customHeight="1" x14ac:dyDescent="0.25">
      <c r="A42" s="41">
        <v>47</v>
      </c>
      <c r="B42" s="65"/>
      <c r="C42" s="55">
        <v>33</v>
      </c>
      <c r="D42" s="20" t="s">
        <v>109</v>
      </c>
      <c r="E42" s="157">
        <f t="shared" si="144"/>
        <v>45469.75</v>
      </c>
      <c r="F42" s="158">
        <v>45469.75</v>
      </c>
      <c r="G42" s="72" t="str">
        <f>Matches!G40</f>
        <v>Slovakia</v>
      </c>
      <c r="H42" s="75"/>
      <c r="I42" s="75"/>
      <c r="J42" s="73" t="str">
        <f>Matches!J40</f>
        <v>Romania</v>
      </c>
      <c r="K42" s="55"/>
      <c r="L42" s="55"/>
      <c r="M42" s="67"/>
      <c r="N42" s="127"/>
      <c r="O42" s="74" t="str">
        <f t="shared" si="104"/>
        <v>Slovakia</v>
      </c>
      <c r="P42" s="75">
        <v>1</v>
      </c>
      <c r="Q42" s="75">
        <v>0</v>
      </c>
      <c r="R42" s="76" t="str">
        <f t="shared" si="105"/>
        <v>Romania</v>
      </c>
      <c r="U42" s="77">
        <f t="shared" si="106"/>
        <v>0</v>
      </c>
      <c r="V42" s="78" t="str">
        <f t="shared" si="107"/>
        <v/>
      </c>
      <c r="W42" s="69"/>
      <c r="X42" s="127"/>
      <c r="Y42" s="74" t="str">
        <f t="shared" si="108"/>
        <v>Slovakia</v>
      </c>
      <c r="Z42" s="75">
        <v>2</v>
      </c>
      <c r="AA42" s="75">
        <v>1</v>
      </c>
      <c r="AB42" s="76" t="str">
        <f t="shared" si="109"/>
        <v>Romania</v>
      </c>
      <c r="AE42" s="77">
        <f t="shared" si="110"/>
        <v>0</v>
      </c>
      <c r="AF42" s="78" t="str">
        <f t="shared" si="111"/>
        <v/>
      </c>
      <c r="AG42" s="69"/>
      <c r="AH42" s="127"/>
      <c r="AI42" s="74" t="str">
        <f t="shared" si="112"/>
        <v>Slovakia</v>
      </c>
      <c r="AJ42" s="75">
        <v>2</v>
      </c>
      <c r="AK42" s="75">
        <v>0</v>
      </c>
      <c r="AL42" s="76" t="str">
        <f t="shared" si="113"/>
        <v>Romania</v>
      </c>
      <c r="AO42" s="77">
        <f t="shared" si="114"/>
        <v>0</v>
      </c>
      <c r="AP42" s="78" t="str">
        <f t="shared" si="115"/>
        <v/>
      </c>
      <c r="AQ42" s="69"/>
      <c r="AR42" s="127"/>
      <c r="AS42" s="74" t="str">
        <f t="shared" si="116"/>
        <v>Slovakia</v>
      </c>
      <c r="AT42" s="75">
        <v>1</v>
      </c>
      <c r="AU42" s="75">
        <v>1</v>
      </c>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v>1</v>
      </c>
      <c r="BO42" s="75">
        <v>0</v>
      </c>
      <c r="BP42" s="76" t="str">
        <f t="shared" si="125"/>
        <v>Romania</v>
      </c>
      <c r="BS42" s="77">
        <f t="shared" si="126"/>
        <v>0</v>
      </c>
      <c r="BT42" s="78" t="str">
        <f t="shared" si="127"/>
        <v/>
      </c>
      <c r="BU42" s="69"/>
      <c r="BV42" s="127"/>
      <c r="BW42" s="74" t="str">
        <f t="shared" si="128"/>
        <v>Slovakia</v>
      </c>
      <c r="BX42" s="75">
        <v>0</v>
      </c>
      <c r="BY42" s="75">
        <v>0</v>
      </c>
      <c r="BZ42" s="76" t="str">
        <f t="shared" si="129"/>
        <v>Romania</v>
      </c>
      <c r="CC42" s="77">
        <f t="shared" si="130"/>
        <v>0</v>
      </c>
      <c r="CD42" s="78" t="str">
        <f t="shared" si="131"/>
        <v/>
      </c>
      <c r="CE42" s="69"/>
      <c r="CF42" s="127"/>
      <c r="CG42" s="74" t="str">
        <f t="shared" si="132"/>
        <v>Slovakia</v>
      </c>
      <c r="CH42" s="75">
        <v>0</v>
      </c>
      <c r="CI42" s="75">
        <v>0</v>
      </c>
      <c r="CJ42" s="76" t="str">
        <f t="shared" si="133"/>
        <v>Romania</v>
      </c>
      <c r="CM42" s="77">
        <f t="shared" si="134"/>
        <v>0</v>
      </c>
      <c r="CN42" s="78" t="str">
        <f t="shared" si="135"/>
        <v/>
      </c>
      <c r="CO42" s="69"/>
      <c r="CP42" s="127"/>
      <c r="CQ42" s="74" t="str">
        <f t="shared" si="136"/>
        <v>Slovakia</v>
      </c>
      <c r="CR42" s="75">
        <v>1</v>
      </c>
      <c r="CS42" s="75">
        <v>1</v>
      </c>
      <c r="CT42" s="76" t="str">
        <f t="shared" si="137"/>
        <v>Romania</v>
      </c>
      <c r="CW42" s="77">
        <f t="shared" si="138"/>
        <v>0</v>
      </c>
      <c r="CX42" s="78" t="str">
        <f t="shared" si="139"/>
        <v/>
      </c>
      <c r="CY42" s="69"/>
      <c r="CZ42" s="127"/>
      <c r="DA42" s="74" t="str">
        <f t="shared" si="140"/>
        <v>Slovakia</v>
      </c>
      <c r="DB42" s="75">
        <v>2</v>
      </c>
      <c r="DC42" s="75">
        <v>1</v>
      </c>
      <c r="DD42" s="76" t="str">
        <f t="shared" si="141"/>
        <v>Romania</v>
      </c>
      <c r="DG42" s="77">
        <f t="shared" si="142"/>
        <v>0</v>
      </c>
      <c r="DH42" s="78" t="str">
        <f t="shared" si="143"/>
        <v/>
      </c>
      <c r="DI42" s="69"/>
    </row>
    <row r="43" spans="1:113" s="43" customFormat="1" ht="15" customHeight="1" x14ac:dyDescent="0.25">
      <c r="A43" s="41">
        <v>48</v>
      </c>
      <c r="B43" s="65"/>
      <c r="C43" s="55">
        <v>34</v>
      </c>
      <c r="D43" s="20" t="s">
        <v>109</v>
      </c>
      <c r="E43" s="157">
        <f t="shared" si="144"/>
        <v>45469.75</v>
      </c>
      <c r="F43" s="158">
        <v>45469.75</v>
      </c>
      <c r="G43" s="72" t="str">
        <f>Matches!G41</f>
        <v>Ukraine</v>
      </c>
      <c r="H43" s="75"/>
      <c r="I43" s="75"/>
      <c r="J43" s="73" t="str">
        <f>Matches!J41</f>
        <v>Belgium</v>
      </c>
      <c r="K43" s="55"/>
      <c r="L43" s="55"/>
      <c r="M43" s="67"/>
      <c r="N43" s="127"/>
      <c r="O43" s="74" t="str">
        <f t="shared" si="104"/>
        <v>Ukraine</v>
      </c>
      <c r="P43" s="75">
        <v>1</v>
      </c>
      <c r="Q43" s="75">
        <v>2</v>
      </c>
      <c r="R43" s="76" t="str">
        <f t="shared" si="105"/>
        <v>Belgium</v>
      </c>
      <c r="U43" s="77">
        <f t="shared" si="106"/>
        <v>0</v>
      </c>
      <c r="V43" s="78" t="str">
        <f t="shared" si="107"/>
        <v/>
      </c>
      <c r="W43" s="69"/>
      <c r="X43" s="127"/>
      <c r="Y43" s="74" t="str">
        <f t="shared" si="108"/>
        <v>Ukraine</v>
      </c>
      <c r="Z43" s="75">
        <v>1</v>
      </c>
      <c r="AA43" s="75">
        <v>3</v>
      </c>
      <c r="AB43" s="76" t="str">
        <f t="shared" si="109"/>
        <v>Belgium</v>
      </c>
      <c r="AE43" s="77">
        <f t="shared" si="110"/>
        <v>0</v>
      </c>
      <c r="AF43" s="78" t="str">
        <f t="shared" si="111"/>
        <v/>
      </c>
      <c r="AG43" s="69"/>
      <c r="AH43" s="127"/>
      <c r="AI43" s="74" t="str">
        <f t="shared" si="112"/>
        <v>Ukraine</v>
      </c>
      <c r="AJ43" s="75">
        <v>2</v>
      </c>
      <c r="AK43" s="75">
        <v>3</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v>0</v>
      </c>
      <c r="BO43" s="75">
        <v>2</v>
      </c>
      <c r="BP43" s="76" t="str">
        <f t="shared" si="125"/>
        <v>Belgium</v>
      </c>
      <c r="BS43" s="77">
        <f t="shared" si="126"/>
        <v>0</v>
      </c>
      <c r="BT43" s="78" t="str">
        <f t="shared" si="127"/>
        <v/>
      </c>
      <c r="BU43" s="69"/>
      <c r="BV43" s="127"/>
      <c r="BW43" s="74" t="str">
        <f t="shared" si="128"/>
        <v>Ukraine</v>
      </c>
      <c r="BX43" s="75">
        <v>0</v>
      </c>
      <c r="BY43" s="75">
        <v>2</v>
      </c>
      <c r="BZ43" s="76" t="str">
        <f t="shared" si="129"/>
        <v>Belgium</v>
      </c>
      <c r="CC43" s="77">
        <f t="shared" si="130"/>
        <v>0</v>
      </c>
      <c r="CD43" s="78" t="str">
        <f t="shared" si="131"/>
        <v/>
      </c>
      <c r="CE43" s="69"/>
      <c r="CF43" s="127"/>
      <c r="CG43" s="74" t="str">
        <f t="shared" si="132"/>
        <v>Ukraine</v>
      </c>
      <c r="CH43" s="75">
        <v>0</v>
      </c>
      <c r="CI43" s="75">
        <v>3</v>
      </c>
      <c r="CJ43" s="76" t="str">
        <f t="shared" si="133"/>
        <v>Belgium</v>
      </c>
      <c r="CM43" s="77">
        <f t="shared" si="134"/>
        <v>0</v>
      </c>
      <c r="CN43" s="78" t="str">
        <f t="shared" si="135"/>
        <v/>
      </c>
      <c r="CO43" s="69"/>
      <c r="CP43" s="127"/>
      <c r="CQ43" s="74" t="str">
        <f t="shared" si="136"/>
        <v>Ukraine</v>
      </c>
      <c r="CR43" s="75">
        <v>1</v>
      </c>
      <c r="CS43" s="75">
        <v>3</v>
      </c>
      <c r="CT43" s="76" t="str">
        <f t="shared" si="137"/>
        <v>Belgium</v>
      </c>
      <c r="CW43" s="77">
        <f t="shared" si="138"/>
        <v>0</v>
      </c>
      <c r="CX43" s="78" t="str">
        <f t="shared" si="139"/>
        <v/>
      </c>
      <c r="CY43" s="69"/>
      <c r="CZ43" s="127"/>
      <c r="DA43" s="74" t="str">
        <f t="shared" si="140"/>
        <v>Ukraine</v>
      </c>
      <c r="DB43" s="75">
        <v>1</v>
      </c>
      <c r="DC43" s="75">
        <v>3</v>
      </c>
      <c r="DD43" s="76" t="str">
        <f t="shared" si="141"/>
        <v>Belgium</v>
      </c>
      <c r="DG43" s="77">
        <f t="shared" si="142"/>
        <v>0</v>
      </c>
      <c r="DH43" s="78" t="str">
        <f t="shared" si="143"/>
        <v/>
      </c>
      <c r="DI43" s="69"/>
    </row>
    <row r="44" spans="1:113" s="43" customFormat="1" ht="15" customHeight="1" x14ac:dyDescent="0.25">
      <c r="A44" s="41">
        <v>49</v>
      </c>
      <c r="B44" s="65"/>
      <c r="C44" s="55">
        <v>35</v>
      </c>
      <c r="D44" s="20" t="s">
        <v>110</v>
      </c>
      <c r="E44" s="157">
        <f t="shared" si="144"/>
        <v>45469.875</v>
      </c>
      <c r="F44" s="158">
        <v>45469.875</v>
      </c>
      <c r="G44" s="72" t="str">
        <f>Matches!G42</f>
        <v>Georgia</v>
      </c>
      <c r="H44" s="75"/>
      <c r="I44" s="75"/>
      <c r="J44" s="73" t="str">
        <f>Matches!J42</f>
        <v>Portugal</v>
      </c>
      <c r="K44" s="55"/>
      <c r="L44" s="55"/>
      <c r="M44" s="67"/>
      <c r="N44" s="127"/>
      <c r="O44" s="74" t="str">
        <f t="shared" si="104"/>
        <v>Georgia</v>
      </c>
      <c r="P44" s="75">
        <v>0</v>
      </c>
      <c r="Q44" s="75">
        <v>3</v>
      </c>
      <c r="R44" s="76" t="str">
        <f t="shared" si="105"/>
        <v>Portugal</v>
      </c>
      <c r="U44" s="77">
        <f t="shared" si="106"/>
        <v>0</v>
      </c>
      <c r="V44" s="78" t="str">
        <f t="shared" si="107"/>
        <v/>
      </c>
      <c r="W44" s="69"/>
      <c r="X44" s="127"/>
      <c r="Y44" s="74" t="str">
        <f t="shared" si="108"/>
        <v>Georgia</v>
      </c>
      <c r="Z44" s="75">
        <v>0</v>
      </c>
      <c r="AA44" s="75">
        <v>2</v>
      </c>
      <c r="AB44" s="76" t="str">
        <f t="shared" si="109"/>
        <v>Portugal</v>
      </c>
      <c r="AE44" s="77">
        <f t="shared" si="110"/>
        <v>0</v>
      </c>
      <c r="AF44" s="78" t="str">
        <f t="shared" si="111"/>
        <v/>
      </c>
      <c r="AG44" s="69"/>
      <c r="AH44" s="127"/>
      <c r="AI44" s="74" t="str">
        <f t="shared" si="112"/>
        <v>Georgia</v>
      </c>
      <c r="AJ44" s="75">
        <v>0</v>
      </c>
      <c r="AK44" s="75">
        <v>2</v>
      </c>
      <c r="AL44" s="76" t="str">
        <f t="shared" si="113"/>
        <v>Portugal</v>
      </c>
      <c r="AO44" s="77">
        <f t="shared" si="114"/>
        <v>0</v>
      </c>
      <c r="AP44" s="78" t="str">
        <f t="shared" si="115"/>
        <v/>
      </c>
      <c r="AQ44" s="69"/>
      <c r="AR44" s="127"/>
      <c r="AS44" s="74" t="str">
        <f t="shared" si="116"/>
        <v>Georgia</v>
      </c>
      <c r="AT44" s="75">
        <v>1</v>
      </c>
      <c r="AU44" s="75">
        <v>4</v>
      </c>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v>0</v>
      </c>
      <c r="BO44" s="75">
        <v>1</v>
      </c>
      <c r="BP44" s="76" t="str">
        <f t="shared" si="125"/>
        <v>Portugal</v>
      </c>
      <c r="BS44" s="77">
        <f t="shared" si="126"/>
        <v>0</v>
      </c>
      <c r="BT44" s="78" t="str">
        <f t="shared" si="127"/>
        <v/>
      </c>
      <c r="BU44" s="69"/>
      <c r="BV44" s="127"/>
      <c r="BW44" s="74" t="str">
        <f t="shared" si="128"/>
        <v>Georgia</v>
      </c>
      <c r="BX44" s="75">
        <v>0</v>
      </c>
      <c r="BY44" s="75">
        <v>2</v>
      </c>
      <c r="BZ44" s="76" t="str">
        <f t="shared" si="129"/>
        <v>Portugal</v>
      </c>
      <c r="CC44" s="77">
        <f t="shared" si="130"/>
        <v>0</v>
      </c>
      <c r="CD44" s="78" t="str">
        <f t="shared" si="131"/>
        <v/>
      </c>
      <c r="CE44" s="69"/>
      <c r="CF44" s="127"/>
      <c r="CG44" s="74" t="str">
        <f t="shared" si="132"/>
        <v>Georgia</v>
      </c>
      <c r="CH44" s="75">
        <v>0</v>
      </c>
      <c r="CI44" s="75">
        <v>2</v>
      </c>
      <c r="CJ44" s="76" t="str">
        <f t="shared" si="133"/>
        <v>Portugal</v>
      </c>
      <c r="CM44" s="77">
        <f t="shared" si="134"/>
        <v>0</v>
      </c>
      <c r="CN44" s="78" t="str">
        <f t="shared" si="135"/>
        <v/>
      </c>
      <c r="CO44" s="69"/>
      <c r="CP44" s="127"/>
      <c r="CQ44" s="74" t="str">
        <f t="shared" si="136"/>
        <v>Georgia</v>
      </c>
      <c r="CR44" s="75">
        <v>2</v>
      </c>
      <c r="CS44" s="75">
        <v>2</v>
      </c>
      <c r="CT44" s="76" t="str">
        <f t="shared" si="137"/>
        <v>Portugal</v>
      </c>
      <c r="CW44" s="77">
        <f t="shared" si="138"/>
        <v>0</v>
      </c>
      <c r="CX44" s="78" t="str">
        <f t="shared" si="139"/>
        <v/>
      </c>
      <c r="CY44" s="69"/>
      <c r="CZ44" s="127"/>
      <c r="DA44" s="74" t="str">
        <f t="shared" si="140"/>
        <v>Georgia</v>
      </c>
      <c r="DB44" s="75">
        <v>1</v>
      </c>
      <c r="DC44" s="75">
        <v>3</v>
      </c>
      <c r="DD44" s="76" t="str">
        <f t="shared" si="141"/>
        <v>Portugal</v>
      </c>
      <c r="DG44" s="77">
        <f t="shared" si="142"/>
        <v>0</v>
      </c>
      <c r="DH44" s="78" t="str">
        <f t="shared" si="143"/>
        <v/>
      </c>
      <c r="DI44" s="69"/>
    </row>
    <row r="45" spans="1:113" s="43" customFormat="1" ht="15" customHeight="1" x14ac:dyDescent="0.25">
      <c r="A45" s="41">
        <v>50</v>
      </c>
      <c r="B45" s="65"/>
      <c r="C45" s="55">
        <v>36</v>
      </c>
      <c r="D45" s="20" t="s">
        <v>110</v>
      </c>
      <c r="E45" s="157">
        <f t="shared" si="144"/>
        <v>45469.875</v>
      </c>
      <c r="F45" s="158">
        <v>45469.875</v>
      </c>
      <c r="G45" s="72" t="str">
        <f>Matches!G43</f>
        <v>Czechia</v>
      </c>
      <c r="H45" s="75"/>
      <c r="I45" s="75"/>
      <c r="J45" s="73" t="str">
        <f>Matches!J43</f>
        <v>Türkiye</v>
      </c>
      <c r="K45" s="55"/>
      <c r="L45" s="55"/>
      <c r="M45" s="67"/>
      <c r="N45" s="127"/>
      <c r="O45" s="74" t="str">
        <f t="shared" si="104"/>
        <v>Czechia</v>
      </c>
      <c r="P45" s="75">
        <v>1</v>
      </c>
      <c r="Q45" s="75">
        <v>1</v>
      </c>
      <c r="R45" s="76" t="str">
        <f t="shared" si="105"/>
        <v>Türkiye</v>
      </c>
      <c r="U45" s="77">
        <f t="shared" si="106"/>
        <v>0</v>
      </c>
      <c r="V45" s="78" t="str">
        <f t="shared" si="107"/>
        <v/>
      </c>
      <c r="W45" s="69"/>
      <c r="X45" s="127"/>
      <c r="Y45" s="74" t="str">
        <f t="shared" si="108"/>
        <v>Czechia</v>
      </c>
      <c r="Z45" s="75">
        <v>2</v>
      </c>
      <c r="AA45" s="75">
        <v>2</v>
      </c>
      <c r="AB45" s="76" t="str">
        <f t="shared" si="109"/>
        <v>Türkiye</v>
      </c>
      <c r="AE45" s="77">
        <f t="shared" si="110"/>
        <v>0</v>
      </c>
      <c r="AF45" s="78" t="str">
        <f t="shared" si="111"/>
        <v/>
      </c>
      <c r="AG45" s="69"/>
      <c r="AH45" s="127"/>
      <c r="AI45" s="74" t="str">
        <f t="shared" si="112"/>
        <v>Czechia</v>
      </c>
      <c r="AJ45" s="75">
        <v>0</v>
      </c>
      <c r="AK45" s="75">
        <v>2</v>
      </c>
      <c r="AL45" s="76" t="str">
        <f t="shared" si="113"/>
        <v>Türkiye</v>
      </c>
      <c r="AO45" s="77">
        <f t="shared" si="114"/>
        <v>0</v>
      </c>
      <c r="AP45" s="78" t="str">
        <f t="shared" si="115"/>
        <v/>
      </c>
      <c r="AQ45" s="69"/>
      <c r="AR45" s="127"/>
      <c r="AS45" s="74" t="str">
        <f t="shared" si="116"/>
        <v>Czechia</v>
      </c>
      <c r="AT45" s="75">
        <v>2</v>
      </c>
      <c r="AU45" s="75">
        <v>2</v>
      </c>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v>1</v>
      </c>
      <c r="BO45" s="75">
        <v>1</v>
      </c>
      <c r="BP45" s="76" t="str">
        <f t="shared" si="125"/>
        <v>Türkiye</v>
      </c>
      <c r="BS45" s="77">
        <f t="shared" si="126"/>
        <v>0</v>
      </c>
      <c r="BT45" s="78" t="str">
        <f t="shared" si="127"/>
        <v/>
      </c>
      <c r="BU45" s="69"/>
      <c r="BV45" s="127"/>
      <c r="BW45" s="74" t="str">
        <f t="shared" si="128"/>
        <v>Czechia</v>
      </c>
      <c r="BX45" s="75">
        <v>0</v>
      </c>
      <c r="BY45" s="75">
        <v>1</v>
      </c>
      <c r="BZ45" s="76" t="str">
        <f t="shared" si="129"/>
        <v>Türkiye</v>
      </c>
      <c r="CC45" s="77">
        <f t="shared" si="130"/>
        <v>0</v>
      </c>
      <c r="CD45" s="78" t="str">
        <f t="shared" si="131"/>
        <v/>
      </c>
      <c r="CE45" s="69"/>
      <c r="CF45" s="127"/>
      <c r="CG45" s="74" t="str">
        <f t="shared" si="132"/>
        <v>Czechia</v>
      </c>
      <c r="CH45" s="75">
        <v>2</v>
      </c>
      <c r="CI45" s="75">
        <v>2</v>
      </c>
      <c r="CJ45" s="76" t="str">
        <f t="shared" si="133"/>
        <v>Türkiye</v>
      </c>
      <c r="CM45" s="77">
        <f t="shared" si="134"/>
        <v>0</v>
      </c>
      <c r="CN45" s="78" t="str">
        <f t="shared" si="135"/>
        <v/>
      </c>
      <c r="CO45" s="69"/>
      <c r="CP45" s="127"/>
      <c r="CQ45" s="74" t="str">
        <f t="shared" si="136"/>
        <v>Czechia</v>
      </c>
      <c r="CR45" s="75">
        <v>0</v>
      </c>
      <c r="CS45" s="75">
        <v>2</v>
      </c>
      <c r="CT45" s="76" t="str">
        <f t="shared" si="137"/>
        <v>Türkiye</v>
      </c>
      <c r="CW45" s="77">
        <f t="shared" si="138"/>
        <v>0</v>
      </c>
      <c r="CX45" s="78" t="str">
        <f t="shared" si="139"/>
        <v/>
      </c>
      <c r="CY45" s="69"/>
      <c r="CZ45" s="127"/>
      <c r="DA45" s="74" t="str">
        <f t="shared" si="140"/>
        <v>Czechia</v>
      </c>
      <c r="DB45" s="75">
        <v>1</v>
      </c>
      <c r="DC45" s="75">
        <v>2</v>
      </c>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402" t="s">
        <v>111</v>
      </c>
      <c r="E50" s="392"/>
      <c r="F50" s="392"/>
      <c r="G50" s="402" t="s">
        <v>112</v>
      </c>
      <c r="H50" s="392"/>
      <c r="I50" s="392" t="s">
        <v>113</v>
      </c>
      <c r="J50" s="392"/>
      <c r="K50" s="66"/>
      <c r="L50" s="66"/>
      <c r="M50" s="67"/>
      <c r="N50" s="86">
        <f ca="1">SUM(W51:W58)</f>
        <v>0</v>
      </c>
      <c r="O50" s="391" t="str">
        <f>D50</f>
        <v>Winner</v>
      </c>
      <c r="P50" s="391"/>
      <c r="Q50" s="391" t="str">
        <f>G50</f>
        <v>Runner Up</v>
      </c>
      <c r="R50" s="391"/>
      <c r="S50" s="391" t="str">
        <f>I50</f>
        <v>Third Place</v>
      </c>
      <c r="T50" s="391"/>
      <c r="U50" s="391"/>
      <c r="V50" s="68"/>
      <c r="W50" s="69"/>
      <c r="X50" s="86">
        <f ca="1">SUM(AG51:AG58)</f>
        <v>0</v>
      </c>
      <c r="Y50" s="391" t="str">
        <f>O50</f>
        <v>Winner</v>
      </c>
      <c r="Z50" s="391"/>
      <c r="AA50" s="391" t="str">
        <f>Q50</f>
        <v>Runner Up</v>
      </c>
      <c r="AB50" s="391"/>
      <c r="AC50" s="391" t="str">
        <f>S50</f>
        <v>Third Place</v>
      </c>
      <c r="AD50" s="391"/>
      <c r="AE50" s="391"/>
      <c r="AF50" s="68"/>
      <c r="AG50" s="69"/>
      <c r="AH50" s="86">
        <f t="shared" ref="AH50" ca="1" si="153">SUM(AQ51:AQ58)</f>
        <v>0</v>
      </c>
      <c r="AI50" s="391" t="str">
        <f t="shared" si="145"/>
        <v>Winner</v>
      </c>
      <c r="AJ50" s="391"/>
      <c r="AK50" s="391" t="str">
        <f t="shared" ref="AK50" si="154">AA50</f>
        <v>Runner Up</v>
      </c>
      <c r="AL50" s="391"/>
      <c r="AM50" s="391" t="str">
        <f t="shared" ref="AM50" si="155">AC50</f>
        <v>Third Place</v>
      </c>
      <c r="AN50" s="391"/>
      <c r="AO50" s="391"/>
      <c r="AP50" s="68"/>
      <c r="AQ50" s="69"/>
      <c r="AR50" s="86">
        <f t="shared" ref="AR50" ca="1" si="156">SUM(BA51:BA58)</f>
        <v>0</v>
      </c>
      <c r="AS50" s="391" t="str">
        <f t="shared" si="146"/>
        <v>Winner</v>
      </c>
      <c r="AT50" s="391"/>
      <c r="AU50" s="391" t="str">
        <f t="shared" ref="AU50" si="157">AK50</f>
        <v>Runner Up</v>
      </c>
      <c r="AV50" s="391"/>
      <c r="AW50" s="391" t="str">
        <f t="shared" ref="AW50" si="158">AM50</f>
        <v>Third Place</v>
      </c>
      <c r="AX50" s="391"/>
      <c r="AY50" s="391"/>
      <c r="AZ50" s="68"/>
      <c r="BA50" s="69"/>
      <c r="BB50" s="86">
        <f t="shared" ref="BB50" ca="1" si="159">SUM(BK51:BK58)</f>
        <v>0</v>
      </c>
      <c r="BC50" s="391" t="str">
        <f t="shared" si="147"/>
        <v>Winner</v>
      </c>
      <c r="BD50" s="391"/>
      <c r="BE50" s="391" t="str">
        <f t="shared" ref="BE50" si="160">AU50</f>
        <v>Runner Up</v>
      </c>
      <c r="BF50" s="391"/>
      <c r="BG50" s="391" t="str">
        <f t="shared" ref="BG50" si="161">AW50</f>
        <v>Third Place</v>
      </c>
      <c r="BH50" s="391"/>
      <c r="BI50" s="391"/>
      <c r="BJ50" s="68"/>
      <c r="BK50" s="69"/>
      <c r="BL50" s="86">
        <f t="shared" ref="BL50" ca="1" si="162">SUM(BU51:BU58)</f>
        <v>0</v>
      </c>
      <c r="BM50" s="391" t="str">
        <f t="shared" si="148"/>
        <v>Winner</v>
      </c>
      <c r="BN50" s="391"/>
      <c r="BO50" s="391" t="str">
        <f t="shared" ref="BO50" si="163">BE50</f>
        <v>Runner Up</v>
      </c>
      <c r="BP50" s="391"/>
      <c r="BQ50" s="391" t="str">
        <f t="shared" ref="BQ50" si="164">BG50</f>
        <v>Third Place</v>
      </c>
      <c r="BR50" s="391"/>
      <c r="BS50" s="391"/>
      <c r="BT50" s="68"/>
      <c r="BU50" s="69"/>
      <c r="BV50" s="86">
        <f t="shared" ref="BV50" ca="1" si="165">SUM(CE51:CE58)</f>
        <v>0</v>
      </c>
      <c r="BW50" s="391" t="str">
        <f t="shared" si="149"/>
        <v>Winner</v>
      </c>
      <c r="BX50" s="391"/>
      <c r="BY50" s="391" t="str">
        <f t="shared" ref="BY50" si="166">BO50</f>
        <v>Runner Up</v>
      </c>
      <c r="BZ50" s="391"/>
      <c r="CA50" s="391" t="str">
        <f t="shared" ref="CA50" si="167">BQ50</f>
        <v>Third Place</v>
      </c>
      <c r="CB50" s="391"/>
      <c r="CC50" s="391"/>
      <c r="CD50" s="68"/>
      <c r="CE50" s="69"/>
      <c r="CF50" s="86">
        <f t="shared" ref="CF50" ca="1" si="168">SUM(CO51:CO58)</f>
        <v>0</v>
      </c>
      <c r="CG50" s="391" t="str">
        <f t="shared" si="150"/>
        <v>Winner</v>
      </c>
      <c r="CH50" s="391"/>
      <c r="CI50" s="391" t="str">
        <f t="shared" ref="CI50" si="169">BY50</f>
        <v>Runner Up</v>
      </c>
      <c r="CJ50" s="391"/>
      <c r="CK50" s="391" t="str">
        <f t="shared" ref="CK50" si="170">CA50</f>
        <v>Third Place</v>
      </c>
      <c r="CL50" s="391"/>
      <c r="CM50" s="391"/>
      <c r="CN50" s="68"/>
      <c r="CO50" s="69"/>
      <c r="CP50" s="86">
        <f t="shared" ref="CP50" ca="1" si="171">SUM(CY51:CY58)</f>
        <v>0</v>
      </c>
      <c r="CQ50" s="391" t="str">
        <f t="shared" si="151"/>
        <v>Winner</v>
      </c>
      <c r="CR50" s="391"/>
      <c r="CS50" s="391" t="str">
        <f t="shared" ref="CS50" si="172">CI50</f>
        <v>Runner Up</v>
      </c>
      <c r="CT50" s="391"/>
      <c r="CU50" s="391" t="str">
        <f t="shared" ref="CU50" si="173">CK50</f>
        <v>Third Place</v>
      </c>
      <c r="CV50" s="391"/>
      <c r="CW50" s="391"/>
      <c r="CX50" s="68"/>
      <c r="CY50" s="69"/>
      <c r="CZ50" s="86">
        <f t="shared" ref="CZ50" ca="1" si="174">SUM(DI51:DI58)</f>
        <v>0</v>
      </c>
      <c r="DA50" s="391" t="str">
        <f t="shared" si="152"/>
        <v>Winner</v>
      </c>
      <c r="DB50" s="391"/>
      <c r="DC50" s="391" t="str">
        <f t="shared" ref="DC50" si="175">CS50</f>
        <v>Runner Up</v>
      </c>
      <c r="DD50" s="391"/>
      <c r="DE50" s="391" t="str">
        <f t="shared" ref="DE50" si="176">CU50</f>
        <v>Third Place</v>
      </c>
      <c r="DF50" s="391"/>
      <c r="DG50" s="391"/>
      <c r="DH50" s="68"/>
      <c r="DI50" s="69"/>
    </row>
    <row r="51" spans="1:113" s="43" customFormat="1" ht="15" customHeight="1" x14ac:dyDescent="0.25">
      <c r="A51" s="41"/>
      <c r="B51" s="65"/>
      <c r="C51" s="87" t="s">
        <v>105</v>
      </c>
      <c r="D51" s="387" t="str">
        <f>Matches!P7</f>
        <v>Germany</v>
      </c>
      <c r="E51" s="387"/>
      <c r="F51" s="387"/>
      <c r="G51" s="387" t="str">
        <f>Matches!P8</f>
        <v>Switzerland</v>
      </c>
      <c r="H51" s="387"/>
      <c r="I51" s="400" t="str">
        <f>IF(ISNA(MATCH(Matches!P9,Qual3,0)),"",Matches!P9)</f>
        <v>Scotland</v>
      </c>
      <c r="J51" s="401"/>
      <c r="K51" s="66"/>
      <c r="L51" s="66"/>
      <c r="M51" s="67"/>
      <c r="N51" s="126">
        <v>0</v>
      </c>
      <c r="O51" s="377" t="str">
        <f ca="1">VLOOKUP(1,OFFSET('Dummy Table'!DY4:DZ7,0,N51),2,FALSE)</f>
        <v>Germany</v>
      </c>
      <c r="P51" s="377"/>
      <c r="Q51" s="377" t="str">
        <f ca="1">VLOOKUP(2,OFFSET('Dummy Table'!DY4:DZ7,0,N51),2,FALSE)</f>
        <v>Switzerland</v>
      </c>
      <c r="R51" s="377"/>
      <c r="S51" s="379" t="str">
        <f ca="1">IFERROR(IF(MATCH(VLOOKUP(3,OFFSET('Dummy Table'!DY4:DZ7,0,N51),2,FALSE),OFFSET('Dummy Table'!IU13:IU16,0,N51),0),VLOOKUP(3,OFFSET('Dummy Table'!DY4:DZ7,0,N51),2,FALSE),""),"")</f>
        <v>Scotland</v>
      </c>
      <c r="T51" s="379"/>
      <c r="U51" s="379"/>
      <c r="V51" s="68"/>
      <c r="W51" s="78">
        <f>IF(P45&lt;&gt;"",IF(SUM(Matches!T7:T10)=12,IF(O51=D51,Bonu1,0)+IF(Q51=G51,Bonu2,0)+IF(AND(S51&lt;&gt;"",I51&lt;&gt;"",S51=I51),Bonu3,0),0),"")</f>
        <v>0</v>
      </c>
      <c r="X51" s="126">
        <f>N51+128</f>
        <v>128</v>
      </c>
      <c r="Y51" s="377" t="str">
        <f ca="1">VLOOKUP(1,OFFSET('Dummy Table'!DY4:DZ7,0,X51),2,FALSE)</f>
        <v>Germany</v>
      </c>
      <c r="Z51" s="377"/>
      <c r="AA51" s="377" t="str">
        <f ca="1">VLOOKUP(2,OFFSET('Dummy Table'!DY4:DZ7,0,X51),2,FALSE)</f>
        <v>Scotland</v>
      </c>
      <c r="AB51" s="377"/>
      <c r="AC51" s="379" t="str">
        <f ca="1">IFERROR(IF(MATCH(VLOOKUP(3,OFFSET('Dummy Table'!DY4:DZ7,0,X51),2,FALSE),OFFSET('Dummy Table'!IU13:IU16,0,X51),0),VLOOKUP(3,OFFSET('Dummy Table'!DY4:DZ7,0,X51),2,FALSE),""),"")</f>
        <v>Hungary</v>
      </c>
      <c r="AD51" s="379"/>
      <c r="AE51" s="379"/>
      <c r="AF51" s="68"/>
      <c r="AG51" s="78">
        <f>IF(Z45&lt;&gt;"",IF(SUM(Matches!T7:T10)=12,IF(Y51=D51,Bonu1,0)+IF(AA51=G51,Bonu2,0)+IF(AND(AC51&lt;&gt;"",I51&lt;&gt;"",AC51=I51),Bonu3,0),0),"")</f>
        <v>0</v>
      </c>
      <c r="AH51" s="126">
        <f t="shared" ref="AH51" si="177">X51+128</f>
        <v>256</v>
      </c>
      <c r="AI51" s="377" t="str">
        <f ca="1">VLOOKUP(1,OFFSET('Dummy Table'!DY4:DZ7,0,AH51),2,FALSE)</f>
        <v>Germany</v>
      </c>
      <c r="AJ51" s="377"/>
      <c r="AK51" s="377" t="str">
        <f ca="1">VLOOKUP(2,OFFSET('Dummy Table'!DY4:DZ7,0,AH51),2,FALSE)</f>
        <v>Scotland</v>
      </c>
      <c r="AL51" s="377"/>
      <c r="AM51" s="379" t="str">
        <f ca="1">IFERROR(IF(MATCH(VLOOKUP(3,OFFSET('Dummy Table'!DY4:DZ7,0,AH51),2,FALSE),OFFSET('Dummy Table'!IU13:IU16,0,AH51),0),VLOOKUP(3,OFFSET('Dummy Table'!DY4:DZ7,0,AH51),2,FALSE),""),"")</f>
        <v/>
      </c>
      <c r="AN51" s="379"/>
      <c r="AO51" s="379"/>
      <c r="AP51" s="68"/>
      <c r="AQ51" s="78">
        <f>IF(AJ45&lt;&gt;"",IF(SUM(Matches!T7:T10)=12,IF(AI51=D51,Bonu1,0)+IF(AK51=G51,Bonu2,0)+IF(AND(AM51&lt;&gt;"",I51&lt;&gt;"",AM51=I51),Bonu3,0),0),"")</f>
        <v>0</v>
      </c>
      <c r="AR51" s="126">
        <f t="shared" ref="AR51" si="178">AH51+128</f>
        <v>384</v>
      </c>
      <c r="AS51" s="377" t="str">
        <f ca="1">VLOOKUP(1,OFFSET('Dummy Table'!DY4:DZ7,0,AR51),2,FALSE)</f>
        <v>Germany</v>
      </c>
      <c r="AT51" s="377"/>
      <c r="AU51" s="377" t="str">
        <f ca="1">VLOOKUP(2,OFFSET('Dummy Table'!DY4:DZ7,0,AR51),2,FALSE)</f>
        <v>Switzerland</v>
      </c>
      <c r="AV51" s="377"/>
      <c r="AW51" s="379" t="str">
        <f ca="1">IFERROR(IF(MATCH(VLOOKUP(3,OFFSET('Dummy Table'!DY4:DZ7,0,AR51),2,FALSE),OFFSET('Dummy Table'!IU13:IU16,0,AR51),0),VLOOKUP(3,OFFSET('Dummy Table'!DY4:DZ7,0,AR51),2,FALSE),""),"")</f>
        <v/>
      </c>
      <c r="AX51" s="379"/>
      <c r="AY51" s="379"/>
      <c r="AZ51" s="68"/>
      <c r="BA51" s="78">
        <f>IF(AT45&lt;&gt;"",IF(SUM(Matches!T7:T10)=12,IF(AS51=D51,Bonu1,0)+IF(AU51=G51,Bonu2,0)+IF(AND(AW51&lt;&gt;"",I51&lt;&gt;"",AW51=I51),Bonu3,0),0),"")</f>
        <v>0</v>
      </c>
      <c r="BB51" s="126">
        <f t="shared" ref="BB51" si="179">AR51+128</f>
        <v>512</v>
      </c>
      <c r="BC51" s="377" t="str">
        <f ca="1">VLOOKUP(1,OFFSET('Dummy Table'!DY4:DZ7,0,BB51),2,FALSE)</f>
        <v>Germany</v>
      </c>
      <c r="BD51" s="377"/>
      <c r="BE51" s="377" t="str">
        <f ca="1">VLOOKUP(2,OFFSET('Dummy Table'!DY4:DZ7,0,BB51),2,FALSE)</f>
        <v>Switzerland</v>
      </c>
      <c r="BF51" s="377"/>
      <c r="BG51" s="379" t="str">
        <f ca="1">IFERROR(IF(MATCH(VLOOKUP(3,OFFSET('Dummy Table'!DY4:DZ7,0,BB51),2,FALSE),OFFSET('Dummy Table'!IU13:IU16,0,BB51),0),VLOOKUP(3,OFFSET('Dummy Table'!DY4:DZ7,0,BB51),2,FALSE),""),"")</f>
        <v/>
      </c>
      <c r="BH51" s="379"/>
      <c r="BI51" s="379"/>
      <c r="BJ51" s="68"/>
      <c r="BK51" s="78">
        <f>IF(BD45&lt;&gt;"",IF(SUM(Matches!T7:T10)=12,IF(BC51=D51,Bonu1,0)+IF(BE51=G51,Bonu2,0)+IF(AND(BG51&lt;&gt;"",I51&lt;&gt;"",BG51=I51),Bonu3,0),0),"")</f>
        <v>0</v>
      </c>
      <c r="BL51" s="126">
        <f t="shared" ref="BL51" si="180">BB51+128</f>
        <v>640</v>
      </c>
      <c r="BM51" s="377" t="str">
        <f ca="1">VLOOKUP(1,OFFSET('Dummy Table'!DY4:DZ7,0,BL51),2,FALSE)</f>
        <v>Germany</v>
      </c>
      <c r="BN51" s="377"/>
      <c r="BO51" s="377" t="str">
        <f ca="1">VLOOKUP(2,OFFSET('Dummy Table'!DY4:DZ7,0,BL51),2,FALSE)</f>
        <v>Switzerland</v>
      </c>
      <c r="BP51" s="377"/>
      <c r="BQ51" s="379" t="str">
        <f ca="1">IFERROR(IF(MATCH(VLOOKUP(3,OFFSET('Dummy Table'!DY4:DZ7,0,BL51),2,FALSE),OFFSET('Dummy Table'!IU13:IU16,0,BL51),0),VLOOKUP(3,OFFSET('Dummy Table'!DY4:DZ7,0,BL51),2,FALSE),""),"")</f>
        <v/>
      </c>
      <c r="BR51" s="379"/>
      <c r="BS51" s="379"/>
      <c r="BT51" s="68"/>
      <c r="BU51" s="78">
        <f>IF(BN45&lt;&gt;"",IF(SUM(Matches!T7:T10)=12,IF(BM51=D51,Bonu1,0)+IF(BO51=G51,Bonu2,0)+IF(AND(BQ51&lt;&gt;"",I51&lt;&gt;"",BQ51=I51),Bonu3,0),0),"")</f>
        <v>0</v>
      </c>
      <c r="BV51" s="126">
        <f t="shared" ref="BV51" si="181">BL51+128</f>
        <v>768</v>
      </c>
      <c r="BW51" s="377" t="str">
        <f ca="1">VLOOKUP(1,OFFSET('Dummy Table'!DY4:DZ7,0,BV51),2,FALSE)</f>
        <v>Germany</v>
      </c>
      <c r="BX51" s="377"/>
      <c r="BY51" s="377" t="str">
        <f ca="1">VLOOKUP(2,OFFSET('Dummy Table'!DY4:DZ7,0,BV51),2,FALSE)</f>
        <v>Scotland</v>
      </c>
      <c r="BZ51" s="377"/>
      <c r="CA51" s="379" t="str">
        <f ca="1">IFERROR(IF(MATCH(VLOOKUP(3,OFFSET('Dummy Table'!DY4:DZ7,0,BV51),2,FALSE),OFFSET('Dummy Table'!IU13:IU16,0,BV51),0),VLOOKUP(3,OFFSET('Dummy Table'!DY4:DZ7,0,BV51),2,FALSE),""),"")</f>
        <v/>
      </c>
      <c r="CB51" s="379"/>
      <c r="CC51" s="379"/>
      <c r="CD51" s="68"/>
      <c r="CE51" s="78">
        <f>IF(BX45&lt;&gt;"",IF(SUM(Matches!T7:T10)=12,IF(BW51=D51,Bonu1,0)+IF(BY51=G51,Bonu2,0)+IF(AND(CA51&lt;&gt;"",I51&lt;&gt;"",CA51=I51),Bonu3,0),0),"")</f>
        <v>0</v>
      </c>
      <c r="CF51" s="126">
        <f t="shared" ref="CF51" si="182">BV51+128</f>
        <v>896</v>
      </c>
      <c r="CG51" s="377" t="str">
        <f ca="1">VLOOKUP(1,OFFSET('Dummy Table'!DY4:DZ7,0,CF51),2,FALSE)</f>
        <v>Germany</v>
      </c>
      <c r="CH51" s="377"/>
      <c r="CI51" s="377" t="str">
        <f ca="1">VLOOKUP(2,OFFSET('Dummy Table'!DY4:DZ7,0,CF51),2,FALSE)</f>
        <v>Scotland</v>
      </c>
      <c r="CJ51" s="377"/>
      <c r="CK51" s="379" t="str">
        <f ca="1">IFERROR(IF(MATCH(VLOOKUP(3,OFFSET('Dummy Table'!DY4:DZ7,0,CF51),2,FALSE),OFFSET('Dummy Table'!IU13:IU16,0,CF51),0),VLOOKUP(3,OFFSET('Dummy Table'!DY4:DZ7,0,CF51),2,FALSE),""),"")</f>
        <v>Switzerland</v>
      </c>
      <c r="CL51" s="379"/>
      <c r="CM51" s="379"/>
      <c r="CN51" s="68"/>
      <c r="CO51" s="78">
        <f>IF(CH45&lt;&gt;"",IF(SUM(Matches!T7:T10)=12,IF(CG51=D51,Bonu1,0)+IF(CI51=G51,Bonu2,0)+IF(AND(CK51&lt;&gt;"",I51&lt;&gt;"",CK51=I51),Bonu3,0),0),"")</f>
        <v>0</v>
      </c>
      <c r="CP51" s="126">
        <f t="shared" ref="CP51" si="183">CF51+128</f>
        <v>1024</v>
      </c>
      <c r="CQ51" s="377" t="str">
        <f ca="1">VLOOKUP(1,OFFSET('Dummy Table'!DY4:DZ7,0,CP51),2,FALSE)</f>
        <v>Germany</v>
      </c>
      <c r="CR51" s="377"/>
      <c r="CS51" s="377" t="str">
        <f ca="1">VLOOKUP(2,OFFSET('Dummy Table'!DY4:DZ7,0,CP51),2,FALSE)</f>
        <v>Switzerland</v>
      </c>
      <c r="CT51" s="377"/>
      <c r="CU51" s="379" t="str">
        <f ca="1">IFERROR(IF(MATCH(VLOOKUP(3,OFFSET('Dummy Table'!DY4:DZ7,0,CP51),2,FALSE),OFFSET('Dummy Table'!IU13:IU16,0,CP51),0),VLOOKUP(3,OFFSET('Dummy Table'!DY4:DZ7,0,CP51),2,FALSE),""),"")</f>
        <v>Scotland</v>
      </c>
      <c r="CV51" s="379"/>
      <c r="CW51" s="379"/>
      <c r="CX51" s="68"/>
      <c r="CY51" s="78">
        <f>IF(CR45&lt;&gt;"",IF(SUM(Matches!T7:T10)=12,IF(CQ51=D51,Bonu1,0)+IF(CS51=G51,Bonu2,0)+IF(AND(CU51&lt;&gt;"",I51&lt;&gt;"",CU51=I51),Bonu3,0),0),"")</f>
        <v>0</v>
      </c>
      <c r="CZ51" s="126">
        <f t="shared" ref="CZ51" si="184">CP51+128</f>
        <v>1152</v>
      </c>
      <c r="DA51" s="377" t="str">
        <f ca="1">VLOOKUP(1,OFFSET('Dummy Table'!DY4:DZ7,0,CZ51),2,FALSE)</f>
        <v>Germany</v>
      </c>
      <c r="DB51" s="377"/>
      <c r="DC51" s="377" t="str">
        <f ca="1">VLOOKUP(2,OFFSET('Dummy Table'!DY4:DZ7,0,CZ51),2,FALSE)</f>
        <v>Scotland</v>
      </c>
      <c r="DD51" s="377"/>
      <c r="DE51" s="379" t="str">
        <f ca="1">IFERROR(IF(MATCH(VLOOKUP(3,OFFSET('Dummy Table'!DY4:DZ7,0,CZ51),2,FALSE),OFFSET('Dummy Table'!IU13:IU16,0,CZ51),0),VLOOKUP(3,OFFSET('Dummy Table'!DY4:DZ7,0,CZ51),2,FALSE),""),"")</f>
        <v>Hungary</v>
      </c>
      <c r="DF51" s="379"/>
      <c r="DG51" s="379"/>
      <c r="DH51" s="68"/>
      <c r="DI51" s="78">
        <f>IF(DB45&lt;&gt;"",IF(SUM(Matches!T7:T10)=12,IF(DA51=D51,Bonu1,0)+IF(DC51=G51,Bonu2,0)+IF(AND(DE51&lt;&gt;"",I51&lt;&gt;"",DE51=I51),Bonu3,0),0),"")</f>
        <v>0</v>
      </c>
    </row>
    <row r="52" spans="1:113" s="43" customFormat="1" ht="15" customHeight="1" x14ac:dyDescent="0.25">
      <c r="A52" s="41"/>
      <c r="B52" s="65"/>
      <c r="C52" s="87" t="s">
        <v>106</v>
      </c>
      <c r="D52" s="387" t="str">
        <f>Matches!P12</f>
        <v>Spain</v>
      </c>
      <c r="E52" s="387"/>
      <c r="F52" s="387"/>
      <c r="G52" s="387" t="str">
        <f>Matches!P13</f>
        <v>Italy</v>
      </c>
      <c r="H52" s="387"/>
      <c r="I52" s="400" t="str">
        <f>IF(ISNA(MATCH(Matches!P14,Qual3,0)),"",Matches!P14)</f>
        <v>Albania</v>
      </c>
      <c r="J52" s="401"/>
      <c r="K52" s="66"/>
      <c r="L52" s="66"/>
      <c r="M52" s="67"/>
      <c r="N52" s="126">
        <f ca="1">SUM(U61:U75)</f>
        <v>0</v>
      </c>
      <c r="O52" s="377" t="str">
        <f ca="1">VLOOKUP(1,OFFSET('Dummy Table'!DY11:DZ14,0,N51),2,FALSE)</f>
        <v>Spain</v>
      </c>
      <c r="P52" s="377"/>
      <c r="Q52" s="377" t="str">
        <f ca="1">VLOOKUP(2,OFFSET('Dummy Table'!DY11:DZ14,0,N51),2,FALSE)</f>
        <v>Italy</v>
      </c>
      <c r="R52" s="377"/>
      <c r="S52" s="379" t="str">
        <f ca="1">IFERROR(IF(MATCH(VLOOKUP(3,OFFSET('Dummy Table'!DY11:DZ14,0,N51),2,FALSE),OFFSET('Dummy Table'!IU13:IU16,0,N51),0),VLOOKUP(3,OFFSET('Dummy Table'!DY11:DZ14,0,N51),2,FALSE),""),"")</f>
        <v>Croatia</v>
      </c>
      <c r="T52" s="379"/>
      <c r="U52" s="379"/>
      <c r="V52" s="68"/>
      <c r="W52" s="78">
        <f>IF(P45&lt;&gt;"",IF(SUM(Matches!T12:T15)=12,IF(O52=D52,Bonu1,0)+IF(Q52=G52,Bonu2,0)+IF(AND(S52&lt;&gt;"",I52&lt;&gt;"",S52=I52),Bonu3,0),0),"")</f>
        <v>0</v>
      </c>
      <c r="X52" s="126">
        <f ca="1">SUM(AE61:AE75)</f>
        <v>0</v>
      </c>
      <c r="Y52" s="377" t="str">
        <f ca="1">VLOOKUP(1,OFFSET('Dummy Table'!DY11:DZ14,0,X51),2,FALSE)</f>
        <v>Spain</v>
      </c>
      <c r="Z52" s="377"/>
      <c r="AA52" s="377" t="str">
        <f ca="1">VLOOKUP(2,OFFSET('Dummy Table'!DY11:DZ14,0,X51),2,FALSE)</f>
        <v>Croatia</v>
      </c>
      <c r="AB52" s="377"/>
      <c r="AC52" s="379" t="str">
        <f ca="1">IFERROR(IF(MATCH(VLOOKUP(3,OFFSET('Dummy Table'!DY11:DZ14,0,X51),2,FALSE),OFFSET('Dummy Table'!IU13:IU16,0,X51),0),VLOOKUP(3,OFFSET('Dummy Table'!DY11:DZ14,0,X51),2,FALSE),""),"")</f>
        <v>Italy</v>
      </c>
      <c r="AD52" s="379"/>
      <c r="AE52" s="379"/>
      <c r="AF52" s="68"/>
      <c r="AG52" s="78">
        <f>IF(Z45&lt;&gt;"",IF(SUM(Matches!T12:T15)=12,IF(Y52=D52,Bonu1,0)+IF(AA52=G52,Bonu2,0)+IF(AND(AC52&lt;&gt;"",I52&lt;&gt;"",AC52=I52),Bonu3,0),0),"")</f>
        <v>0</v>
      </c>
      <c r="AH52" s="126">
        <f t="shared" ref="AH52" ca="1" si="185">SUM(AO61:AO75)</f>
        <v>0</v>
      </c>
      <c r="AI52" s="377" t="str">
        <f ca="1">VLOOKUP(1,OFFSET('Dummy Table'!DY11:DZ14,0,AH51),2,FALSE)</f>
        <v>Spain</v>
      </c>
      <c r="AJ52" s="377"/>
      <c r="AK52" s="377" t="str">
        <f ca="1">VLOOKUP(2,OFFSET('Dummy Table'!DY11:DZ14,0,AH51),2,FALSE)</f>
        <v>Italy</v>
      </c>
      <c r="AL52" s="377"/>
      <c r="AM52" s="379" t="str">
        <f ca="1">IFERROR(IF(MATCH(VLOOKUP(3,OFFSET('Dummy Table'!DY11:DZ14,0,AH51),2,FALSE),OFFSET('Dummy Table'!IU13:IU16,0,AH51),0),VLOOKUP(3,OFFSET('Dummy Table'!DY11:DZ14,0,AH51),2,FALSE),""),"")</f>
        <v>Croatia</v>
      </c>
      <c r="AN52" s="379"/>
      <c r="AO52" s="379"/>
      <c r="AP52" s="68"/>
      <c r="AQ52" s="78">
        <f>IF(AJ45&lt;&gt;"",IF(SUM(Matches!T12:T15)=12,IF(AI52=D52,Bonu1,0)+IF(AK52=G52,Bonu2,0)+IF(AND(AM52&lt;&gt;"",I52&lt;&gt;"",AM52=I52),Bonu3,0),0),"")</f>
        <v>0</v>
      </c>
      <c r="AR52" s="126">
        <f t="shared" ref="AR52" ca="1" si="186">SUM(AY61:AY75)</f>
        <v>0</v>
      </c>
      <c r="AS52" s="377" t="str">
        <f ca="1">VLOOKUP(1,OFFSET('Dummy Table'!DY11:DZ14,0,AR51),2,FALSE)</f>
        <v>Spain</v>
      </c>
      <c r="AT52" s="377"/>
      <c r="AU52" s="377" t="str">
        <f ca="1">VLOOKUP(2,OFFSET('Dummy Table'!DY11:DZ14,0,AR51),2,FALSE)</f>
        <v>Croatia</v>
      </c>
      <c r="AV52" s="377"/>
      <c r="AW52" s="379" t="str">
        <f ca="1">IFERROR(IF(MATCH(VLOOKUP(3,OFFSET('Dummy Table'!DY11:DZ14,0,AR51),2,FALSE),OFFSET('Dummy Table'!IU13:IU16,0,AR51),0),VLOOKUP(3,OFFSET('Dummy Table'!DY11:DZ14,0,AR51),2,FALSE),""),"")</f>
        <v>Italy</v>
      </c>
      <c r="AX52" s="379"/>
      <c r="AY52" s="379"/>
      <c r="AZ52" s="68"/>
      <c r="BA52" s="78">
        <f>IF(AT45&lt;&gt;"",IF(SUM(Matches!T12:T15)=12,IF(AS52=D52,Bonu1,0)+IF(AU52=G52,Bonu2,0)+IF(AND(AW52&lt;&gt;"",I52&lt;&gt;"",AW52=I52),Bonu3,0),0),"")</f>
        <v>0</v>
      </c>
      <c r="BB52" s="126">
        <f t="shared" ref="BB52" ca="1" si="187">SUM(BI61:BI75)</f>
        <v>0</v>
      </c>
      <c r="BC52" s="377" t="str">
        <f ca="1">VLOOKUP(1,OFFSET('Dummy Table'!DY11:DZ14,0,BB51),2,FALSE)</f>
        <v>Croatia</v>
      </c>
      <c r="BD52" s="377"/>
      <c r="BE52" s="377" t="str">
        <f ca="1">VLOOKUP(2,OFFSET('Dummy Table'!DY11:DZ14,0,BB51),2,FALSE)</f>
        <v>Spain</v>
      </c>
      <c r="BF52" s="377"/>
      <c r="BG52" s="379" t="str">
        <f ca="1">IFERROR(IF(MATCH(VLOOKUP(3,OFFSET('Dummy Table'!DY11:DZ14,0,BB51),2,FALSE),OFFSET('Dummy Table'!IU13:IU16,0,BB51),0),VLOOKUP(3,OFFSET('Dummy Table'!DY11:DZ14,0,BB51),2,FALSE),""),"")</f>
        <v>Italy</v>
      </c>
      <c r="BH52" s="379"/>
      <c r="BI52" s="379"/>
      <c r="BJ52" s="68"/>
      <c r="BK52" s="78">
        <f>IF(BD45&lt;&gt;"",IF(SUM(Matches!T12:T15)=12,IF(BC52=D52,Bonu1,0)+IF(BE52=G52,Bonu2,0)+IF(AND(BG52&lt;&gt;"",I52&lt;&gt;"",BG52=I52),Bonu3,0),0),"")</f>
        <v>0</v>
      </c>
      <c r="BL52" s="126">
        <f t="shared" ref="BL52" ca="1" si="188">SUM(BS61:BS75)</f>
        <v>0</v>
      </c>
      <c r="BM52" s="377" t="str">
        <f ca="1">VLOOKUP(1,OFFSET('Dummy Table'!DY11:DZ14,0,BL51),2,FALSE)</f>
        <v>Croatia</v>
      </c>
      <c r="BN52" s="377"/>
      <c r="BO52" s="377" t="str">
        <f ca="1">VLOOKUP(2,OFFSET('Dummy Table'!DY11:DZ14,0,BL51),2,FALSE)</f>
        <v>Spain</v>
      </c>
      <c r="BP52" s="377"/>
      <c r="BQ52" s="379" t="str">
        <f ca="1">IFERROR(IF(MATCH(VLOOKUP(3,OFFSET('Dummy Table'!DY11:DZ14,0,BL51),2,FALSE),OFFSET('Dummy Table'!IU13:IU16,0,BL51),0),VLOOKUP(3,OFFSET('Dummy Table'!DY11:DZ14,0,BL51),2,FALSE),""),"")</f>
        <v>Italy</v>
      </c>
      <c r="BR52" s="379"/>
      <c r="BS52" s="379"/>
      <c r="BT52" s="68"/>
      <c r="BU52" s="78">
        <f>IF(BN45&lt;&gt;"",IF(SUM(Matches!T12:T15)=12,IF(BM52=D52,Bonu1,0)+IF(BO52=G52,Bonu2,0)+IF(AND(BQ52&lt;&gt;"",I52&lt;&gt;"",BQ52=I52),Bonu3,0),0),"")</f>
        <v>0</v>
      </c>
      <c r="BV52" s="126">
        <f t="shared" ref="BV52" ca="1" si="189">SUM(CC61:CC75)</f>
        <v>0</v>
      </c>
      <c r="BW52" s="377" t="str">
        <f ca="1">VLOOKUP(1,OFFSET('Dummy Table'!DY11:DZ14,0,BV51),2,FALSE)</f>
        <v>Italy</v>
      </c>
      <c r="BX52" s="377"/>
      <c r="BY52" s="377" t="str">
        <f ca="1">VLOOKUP(2,OFFSET('Dummy Table'!DY11:DZ14,0,BV51),2,FALSE)</f>
        <v>Spain</v>
      </c>
      <c r="BZ52" s="377"/>
      <c r="CA52" s="379" t="str">
        <f ca="1">IFERROR(IF(MATCH(VLOOKUP(3,OFFSET('Dummy Table'!DY11:DZ14,0,BV51),2,FALSE),OFFSET('Dummy Table'!IU13:IU16,0,BV51),0),VLOOKUP(3,OFFSET('Dummy Table'!DY11:DZ14,0,BV51),2,FALSE),""),"")</f>
        <v>Croatia</v>
      </c>
      <c r="CB52" s="379"/>
      <c r="CC52" s="379"/>
      <c r="CD52" s="68"/>
      <c r="CE52" s="78">
        <f>IF(BX45&lt;&gt;"",IF(SUM(Matches!T12:T15)=12,IF(BW52=D52,Bonu1,0)+IF(BY52=G52,Bonu2,0)+IF(AND(CA52&lt;&gt;"",I52&lt;&gt;"",CA52=I52),Bonu3,0),0),"")</f>
        <v>0</v>
      </c>
      <c r="CF52" s="126">
        <f t="shared" ref="CF52" ca="1" si="190">SUM(CM61:CM75)</f>
        <v>0</v>
      </c>
      <c r="CG52" s="377" t="str">
        <f ca="1">VLOOKUP(1,OFFSET('Dummy Table'!DY11:DZ14,0,CF51),2,FALSE)</f>
        <v>Spain</v>
      </c>
      <c r="CH52" s="377"/>
      <c r="CI52" s="377" t="str">
        <f ca="1">VLOOKUP(2,OFFSET('Dummy Table'!DY11:DZ14,0,CF51),2,FALSE)</f>
        <v>Italy</v>
      </c>
      <c r="CJ52" s="377"/>
      <c r="CK52" s="379" t="str">
        <f ca="1">IFERROR(IF(MATCH(VLOOKUP(3,OFFSET('Dummy Table'!DY11:DZ14,0,CF51),2,FALSE),OFFSET('Dummy Table'!IU13:IU16,0,CF51),0),VLOOKUP(3,OFFSET('Dummy Table'!DY11:DZ14,0,CF51),2,FALSE),""),"")</f>
        <v>Croatia</v>
      </c>
      <c r="CL52" s="379"/>
      <c r="CM52" s="379"/>
      <c r="CN52" s="68"/>
      <c r="CO52" s="78">
        <f>IF(CH45&lt;&gt;"",IF(SUM(Matches!T12:T15)=12,IF(CG52=D52,Bonu1,0)+IF(CI52=G52,Bonu2,0)+IF(AND(CK52&lt;&gt;"",I52&lt;&gt;"",CK52=I52),Bonu3,0),0),"")</f>
        <v>0</v>
      </c>
      <c r="CP52" s="126">
        <f t="shared" ref="CP52" ca="1" si="191">SUM(CW61:CW75)</f>
        <v>0</v>
      </c>
      <c r="CQ52" s="377" t="str">
        <f ca="1">VLOOKUP(1,OFFSET('Dummy Table'!DY11:DZ14,0,CP51),2,FALSE)</f>
        <v>Italy</v>
      </c>
      <c r="CR52" s="377"/>
      <c r="CS52" s="377" t="str">
        <f ca="1">VLOOKUP(2,OFFSET('Dummy Table'!DY11:DZ14,0,CP51),2,FALSE)</f>
        <v>Spain</v>
      </c>
      <c r="CT52" s="377"/>
      <c r="CU52" s="379" t="str">
        <f ca="1">IFERROR(IF(MATCH(VLOOKUP(3,OFFSET('Dummy Table'!DY11:DZ14,0,CP51),2,FALSE),OFFSET('Dummy Table'!IU13:IU16,0,CP51),0),VLOOKUP(3,OFFSET('Dummy Table'!DY11:DZ14,0,CP51),2,FALSE),""),"")</f>
        <v>Croatia</v>
      </c>
      <c r="CV52" s="379"/>
      <c r="CW52" s="379"/>
      <c r="CX52" s="68"/>
      <c r="CY52" s="78">
        <f>IF(CR45&lt;&gt;"",IF(SUM(Matches!T12:T15)=12,IF(CQ52=D52,Bonu1,0)+IF(CS52=G52,Bonu2,0)+IF(AND(CU52&lt;&gt;"",I52&lt;&gt;"",CU52=I52),Bonu3,0),0),"")</f>
        <v>0</v>
      </c>
      <c r="CZ52" s="126">
        <f t="shared" ref="CZ52" ca="1" si="192">SUM(DG61:DG75)</f>
        <v>0</v>
      </c>
      <c r="DA52" s="377" t="str">
        <f ca="1">VLOOKUP(1,OFFSET('Dummy Table'!DY11:DZ14,0,CZ51),2,FALSE)</f>
        <v>Italy</v>
      </c>
      <c r="DB52" s="377"/>
      <c r="DC52" s="377" t="str">
        <f ca="1">VLOOKUP(2,OFFSET('Dummy Table'!DY11:DZ14,0,CZ51),2,FALSE)</f>
        <v>Spain</v>
      </c>
      <c r="DD52" s="377"/>
      <c r="DE52" s="379" t="str">
        <f ca="1">IFERROR(IF(MATCH(VLOOKUP(3,OFFSET('Dummy Table'!DY11:DZ14,0,CZ51),2,FALSE),OFFSET('Dummy Table'!IU13:IU16,0,CZ51),0),VLOOKUP(3,OFFSET('Dummy Table'!DY11:DZ14,0,CZ51),2,FALSE),""),"")</f>
        <v>Croatia</v>
      </c>
      <c r="DF52" s="379"/>
      <c r="DG52" s="379"/>
      <c r="DH52" s="68"/>
      <c r="DI52" s="78">
        <f>IF(DB45&lt;&gt;"",IF(SUM(Matches!T12:T15)=12,IF(DA52=D52,Bonu1,0)+IF(DC52=G52,Bonu2,0)+IF(AND(DE52&lt;&gt;"",I52&lt;&gt;"",DE52=I52),Bonu3,0),0),"")</f>
        <v>0</v>
      </c>
    </row>
    <row r="53" spans="1:113" s="43" customFormat="1" ht="15" customHeight="1" x14ac:dyDescent="0.25">
      <c r="A53" s="41"/>
      <c r="B53" s="65"/>
      <c r="C53" s="87" t="s">
        <v>107</v>
      </c>
      <c r="D53" s="387" t="str">
        <f>Matches!P17</f>
        <v>England</v>
      </c>
      <c r="E53" s="387"/>
      <c r="F53" s="387"/>
      <c r="G53" s="387" t="str">
        <f>Matches!P18</f>
        <v>Denmark</v>
      </c>
      <c r="H53" s="387"/>
      <c r="I53" s="400" t="str">
        <f>IF(ISNA(MATCH(Matches!P19,Qual3,0)),"",Matches!P19)</f>
        <v>Slovenia</v>
      </c>
      <c r="J53" s="401"/>
      <c r="K53" s="66"/>
      <c r="L53" s="66"/>
      <c r="M53" s="67"/>
      <c r="N53" s="86">
        <f ca="1">SUM(W61:W88)</f>
        <v>0</v>
      </c>
      <c r="O53" s="377" t="str">
        <f ca="1">VLOOKUP(1,OFFSET('Dummy Table'!DY18:DZ21,0,N51),2,FALSE)</f>
        <v>England</v>
      </c>
      <c r="P53" s="377"/>
      <c r="Q53" s="377" t="str">
        <f ca="1">VLOOKUP(2,OFFSET('Dummy Table'!DY18:DZ21,0,N51),2,FALSE)</f>
        <v>Denmark</v>
      </c>
      <c r="R53" s="377"/>
      <c r="S53" s="379" t="str">
        <f ca="1">IFERROR(IF(MATCH(VLOOKUP(3,OFFSET('Dummy Table'!DY18:DZ21,0,N51),2,FALSE),OFFSET('Dummy Table'!IU13:IU16,0,N51),0),VLOOKUP(3,OFFSET('Dummy Table'!DY18:DZ21,0,N51),2,FALSE),""),"")</f>
        <v>Serbia</v>
      </c>
      <c r="T53" s="379"/>
      <c r="U53" s="379"/>
      <c r="V53" s="68"/>
      <c r="W53" s="78">
        <f>IF(P45&lt;&gt;"",IF(SUM(Matches!T17:T20)=12,IF(O53=D53,Bonu1,0)+IF(Q53=G53,Bonu2,0)+IF(AND(S53&lt;&gt;"",I53&lt;&gt;"",S53=I53),Bonu3,0),0),"")</f>
        <v>0</v>
      </c>
      <c r="X53" s="86">
        <f ca="1">SUM(AG61:AG88)</f>
        <v>0</v>
      </c>
      <c r="Y53" s="377" t="str">
        <f ca="1">VLOOKUP(1,OFFSET('Dummy Table'!DY18:DZ21,0,X51),2,FALSE)</f>
        <v>England</v>
      </c>
      <c r="Z53" s="377"/>
      <c r="AA53" s="377" t="str">
        <f ca="1">VLOOKUP(2,OFFSET('Dummy Table'!DY18:DZ21,0,X51),2,FALSE)</f>
        <v>Denmark</v>
      </c>
      <c r="AB53" s="377"/>
      <c r="AC53" s="379" t="str">
        <f ca="1">IFERROR(IF(MATCH(VLOOKUP(3,OFFSET('Dummy Table'!DY18:DZ21,0,X51),2,FALSE),OFFSET('Dummy Table'!IU13:IU16,0,X51),0),VLOOKUP(3,OFFSET('Dummy Table'!DY18:DZ21,0,X51),2,FALSE),""),"")</f>
        <v/>
      </c>
      <c r="AD53" s="379"/>
      <c r="AE53" s="379"/>
      <c r="AF53" s="68"/>
      <c r="AG53" s="78">
        <f>IF(Z45&lt;&gt;"",IF(SUM(Matches!T17:T20)=12,IF(Y53=D53,Bonu1,0)+IF(AA53=G53,Bonu2,0)+IF(AND(AC53&lt;&gt;"",I53&lt;&gt;"",AC53=I53),Bonu3,0),0),"")</f>
        <v>0</v>
      </c>
      <c r="AH53" s="86">
        <f t="shared" ref="AH53" ca="1" si="193">SUM(AQ61:AQ88)</f>
        <v>0</v>
      </c>
      <c r="AI53" s="377" t="str">
        <f ca="1">VLOOKUP(1,OFFSET('Dummy Table'!DY18:DZ21,0,AH51),2,FALSE)</f>
        <v>Denmark</v>
      </c>
      <c r="AJ53" s="377"/>
      <c r="AK53" s="377" t="str">
        <f ca="1">VLOOKUP(2,OFFSET('Dummy Table'!DY18:DZ21,0,AH51),2,FALSE)</f>
        <v>England</v>
      </c>
      <c r="AL53" s="377"/>
      <c r="AM53" s="379" t="str">
        <f ca="1">IFERROR(IF(MATCH(VLOOKUP(3,OFFSET('Dummy Table'!DY18:DZ21,0,AH51),2,FALSE),OFFSET('Dummy Table'!IU13:IU16,0,AH51),0),VLOOKUP(3,OFFSET('Dummy Table'!DY18:DZ21,0,AH51),2,FALSE),""),"")</f>
        <v>Slovenia</v>
      </c>
      <c r="AN53" s="379"/>
      <c r="AO53" s="379"/>
      <c r="AP53" s="68"/>
      <c r="AQ53" s="78">
        <f>IF(AJ45&lt;&gt;"",IF(SUM(Matches!T17:T20)=12,IF(AI53=D53,Bonu1,0)+IF(AK53=G53,Bonu2,0)+IF(AND(AM53&lt;&gt;"",I53&lt;&gt;"",AM53=I53),Bonu3,0),0),"")</f>
        <v>0</v>
      </c>
      <c r="AR53" s="86">
        <f t="shared" ref="AR53" ca="1" si="194">SUM(BA61:BA88)</f>
        <v>0</v>
      </c>
      <c r="AS53" s="377" t="str">
        <f ca="1">VLOOKUP(1,OFFSET('Dummy Table'!DY18:DZ21,0,AR51),2,FALSE)</f>
        <v>England</v>
      </c>
      <c r="AT53" s="377"/>
      <c r="AU53" s="377" t="str">
        <f ca="1">VLOOKUP(2,OFFSET('Dummy Table'!DY18:DZ21,0,AR51),2,FALSE)</f>
        <v>Denmark</v>
      </c>
      <c r="AV53" s="377"/>
      <c r="AW53" s="379" t="str">
        <f ca="1">IFERROR(IF(MATCH(VLOOKUP(3,OFFSET('Dummy Table'!DY18:DZ21,0,AR51),2,FALSE),OFFSET('Dummy Table'!IU13:IU16,0,AR51),0),VLOOKUP(3,OFFSET('Dummy Table'!DY18:DZ21,0,AR51),2,FALSE),""),"")</f>
        <v>Serbia</v>
      </c>
      <c r="AX53" s="379"/>
      <c r="AY53" s="379"/>
      <c r="AZ53" s="68"/>
      <c r="BA53" s="78">
        <f>IF(AT45&lt;&gt;"",IF(SUM(Matches!T17:T20)=12,IF(AS53=D53,Bonu1,0)+IF(AU53=G53,Bonu2,0)+IF(AND(AW53&lt;&gt;"",I53&lt;&gt;"",AW53=I53),Bonu3,0),0),"")</f>
        <v>0</v>
      </c>
      <c r="BB53" s="86">
        <f t="shared" ref="BB53" ca="1" si="195">SUM(BK61:BK88)</f>
        <v>0</v>
      </c>
      <c r="BC53" s="377" t="str">
        <f ca="1">VLOOKUP(1,OFFSET('Dummy Table'!DY18:DZ21,0,BB51),2,FALSE)</f>
        <v>England</v>
      </c>
      <c r="BD53" s="377"/>
      <c r="BE53" s="377" t="str">
        <f ca="1">VLOOKUP(2,OFFSET('Dummy Table'!DY18:DZ21,0,BB51),2,FALSE)</f>
        <v>Denmark</v>
      </c>
      <c r="BF53" s="377"/>
      <c r="BG53" s="379" t="str">
        <f ca="1">IFERROR(IF(MATCH(VLOOKUP(3,OFFSET('Dummy Table'!DY18:DZ21,0,BB51),2,FALSE),OFFSET('Dummy Table'!IU13:IU16,0,BB51),0),VLOOKUP(3,OFFSET('Dummy Table'!DY18:DZ21,0,BB51),2,FALSE),""),"")</f>
        <v/>
      </c>
      <c r="BH53" s="379"/>
      <c r="BI53" s="379"/>
      <c r="BJ53" s="68"/>
      <c r="BK53" s="78">
        <f>IF(BD45&lt;&gt;"",IF(SUM(Matches!T17:T20)=12,IF(BC53=D53,Bonu1,0)+IF(BE53=G53,Bonu2,0)+IF(AND(BG53&lt;&gt;"",I53&lt;&gt;"",BG53=I53),Bonu3,0),0),"")</f>
        <v>0</v>
      </c>
      <c r="BL53" s="86">
        <f t="shared" ref="BL53" ca="1" si="196">SUM(BU61:BU88)</f>
        <v>0</v>
      </c>
      <c r="BM53" s="377" t="str">
        <f ca="1">VLOOKUP(1,OFFSET('Dummy Table'!DY18:DZ21,0,BL51),2,FALSE)</f>
        <v>England</v>
      </c>
      <c r="BN53" s="377"/>
      <c r="BO53" s="377" t="str">
        <f ca="1">VLOOKUP(2,OFFSET('Dummy Table'!DY18:DZ21,0,BL51),2,FALSE)</f>
        <v>Denmark</v>
      </c>
      <c r="BP53" s="377"/>
      <c r="BQ53" s="379" t="str">
        <f ca="1">IFERROR(IF(MATCH(VLOOKUP(3,OFFSET('Dummy Table'!DY18:DZ21,0,BL51),2,FALSE),OFFSET('Dummy Table'!IU13:IU16,0,BL51),0),VLOOKUP(3,OFFSET('Dummy Table'!DY18:DZ21,0,BL51),2,FALSE),""),"")</f>
        <v>Slovenia</v>
      </c>
      <c r="BR53" s="379"/>
      <c r="BS53" s="379"/>
      <c r="BT53" s="68"/>
      <c r="BU53" s="78">
        <f>IF(BN45&lt;&gt;"",IF(SUM(Matches!T17:T20)=12,IF(BM53=D53,Bonu1,0)+IF(BO53=G53,Bonu2,0)+IF(AND(BQ53&lt;&gt;"",I53&lt;&gt;"",BQ53=I53),Bonu3,0),0),"")</f>
        <v>0</v>
      </c>
      <c r="BV53" s="86">
        <f t="shared" ref="BV53" ca="1" si="197">SUM(CE61:CE88)</f>
        <v>0</v>
      </c>
      <c r="BW53" s="377" t="str">
        <f ca="1">VLOOKUP(1,OFFSET('Dummy Table'!DY18:DZ21,0,BV51),2,FALSE)</f>
        <v>England</v>
      </c>
      <c r="BX53" s="377"/>
      <c r="BY53" s="377" t="str">
        <f ca="1">VLOOKUP(2,OFFSET('Dummy Table'!DY18:DZ21,0,BV51),2,FALSE)</f>
        <v>Denmark</v>
      </c>
      <c r="BZ53" s="377"/>
      <c r="CA53" s="379" t="str">
        <f ca="1">IFERROR(IF(MATCH(VLOOKUP(3,OFFSET('Dummy Table'!DY18:DZ21,0,BV51),2,FALSE),OFFSET('Dummy Table'!IU13:IU16,0,BV51),0),VLOOKUP(3,OFFSET('Dummy Table'!DY18:DZ21,0,BV51),2,FALSE),""),"")</f>
        <v>Slovenia</v>
      </c>
      <c r="CB53" s="379"/>
      <c r="CC53" s="379"/>
      <c r="CD53" s="68"/>
      <c r="CE53" s="78">
        <f>IF(BX45&lt;&gt;"",IF(SUM(Matches!T17:T20)=12,IF(BW53=D53,Bonu1,0)+IF(BY53=G53,Bonu2,0)+IF(AND(CA53&lt;&gt;"",I53&lt;&gt;"",CA53=I53),Bonu3,0),0),"")</f>
        <v>0</v>
      </c>
      <c r="CF53" s="86">
        <f t="shared" ref="CF53" ca="1" si="198">SUM(CO61:CO88)</f>
        <v>0</v>
      </c>
      <c r="CG53" s="377" t="str">
        <f ca="1">VLOOKUP(1,OFFSET('Dummy Table'!DY18:DZ21,0,CF51),2,FALSE)</f>
        <v>England</v>
      </c>
      <c r="CH53" s="377"/>
      <c r="CI53" s="377" t="str">
        <f ca="1">VLOOKUP(2,OFFSET('Dummy Table'!DY18:DZ21,0,CF51),2,FALSE)</f>
        <v>Denmark</v>
      </c>
      <c r="CJ53" s="377"/>
      <c r="CK53" s="379" t="str">
        <f ca="1">IFERROR(IF(MATCH(VLOOKUP(3,OFFSET('Dummy Table'!DY18:DZ21,0,CF51),2,FALSE),OFFSET('Dummy Table'!IU13:IU16,0,CF51),0),VLOOKUP(3,OFFSET('Dummy Table'!DY18:DZ21,0,CF51),2,FALSE),""),"")</f>
        <v/>
      </c>
      <c r="CL53" s="379"/>
      <c r="CM53" s="379"/>
      <c r="CN53" s="68"/>
      <c r="CO53" s="78">
        <f>IF(CH45&lt;&gt;"",IF(SUM(Matches!T17:T20)=12,IF(CG53=D53,Bonu1,0)+IF(CI53=G53,Bonu2,0)+IF(AND(CK53&lt;&gt;"",I53&lt;&gt;"",CK53=I53),Bonu3,0),0),"")</f>
        <v>0</v>
      </c>
      <c r="CP53" s="86">
        <f t="shared" ref="CP53" ca="1" si="199">SUM(CY61:CY88)</f>
        <v>0</v>
      </c>
      <c r="CQ53" s="377" t="str">
        <f ca="1">VLOOKUP(1,OFFSET('Dummy Table'!DY18:DZ21,0,CP51),2,FALSE)</f>
        <v>Slovenia</v>
      </c>
      <c r="CR53" s="377"/>
      <c r="CS53" s="377" t="str">
        <f ca="1">VLOOKUP(2,OFFSET('Dummy Table'!DY18:DZ21,0,CP51),2,FALSE)</f>
        <v>Serbia</v>
      </c>
      <c r="CT53" s="377"/>
      <c r="CU53" s="379" t="str">
        <f ca="1">IFERROR(IF(MATCH(VLOOKUP(3,OFFSET('Dummy Table'!DY18:DZ21,0,CP51),2,FALSE),OFFSET('Dummy Table'!IU13:IU16,0,CP51),0),VLOOKUP(3,OFFSET('Dummy Table'!DY18:DZ21,0,CP51),2,FALSE),""),"")</f>
        <v>England</v>
      </c>
      <c r="CV53" s="379"/>
      <c r="CW53" s="379"/>
      <c r="CX53" s="68"/>
      <c r="CY53" s="78">
        <f>IF(CR45&lt;&gt;"",IF(SUM(Matches!T17:T20)=12,IF(CQ53=D53,Bonu1,0)+IF(CS53=G53,Bonu2,0)+IF(AND(CU53&lt;&gt;"",I53&lt;&gt;"",CU53=I53),Bonu3,0),0),"")</f>
        <v>0</v>
      </c>
      <c r="CZ53" s="86">
        <f t="shared" ref="CZ53" ca="1" si="200">SUM(DI61:DI88)</f>
        <v>0</v>
      </c>
      <c r="DA53" s="377" t="str">
        <f ca="1">VLOOKUP(1,OFFSET('Dummy Table'!DY18:DZ21,0,CZ51),2,FALSE)</f>
        <v>England</v>
      </c>
      <c r="DB53" s="377"/>
      <c r="DC53" s="377" t="str">
        <f ca="1">VLOOKUP(2,OFFSET('Dummy Table'!DY18:DZ21,0,CZ51),2,FALSE)</f>
        <v>Denmark</v>
      </c>
      <c r="DD53" s="377"/>
      <c r="DE53" s="379" t="str">
        <f ca="1">IFERROR(IF(MATCH(VLOOKUP(3,OFFSET('Dummy Table'!DY18:DZ21,0,CZ51),2,FALSE),OFFSET('Dummy Table'!IU13:IU16,0,CZ51),0),VLOOKUP(3,OFFSET('Dummy Table'!DY18:DZ21,0,CZ51),2,FALSE),""),"")</f>
        <v/>
      </c>
      <c r="DF53" s="379"/>
      <c r="DG53" s="379"/>
      <c r="DH53" s="68"/>
      <c r="DI53" s="78">
        <f>IF(DB45&lt;&gt;"",IF(SUM(Matches!T17:T20)=12,IF(DA53=D53,Bonu1,0)+IF(DC53=G53,Bonu2,0)+IF(AND(DE53&lt;&gt;"",I53&lt;&gt;"",DE53=I53),Bonu3,0),0),"")</f>
        <v>0</v>
      </c>
    </row>
    <row r="54" spans="1:113" s="43" customFormat="1" ht="15" customHeight="1" x14ac:dyDescent="0.25">
      <c r="A54" s="41"/>
      <c r="B54" s="65"/>
      <c r="C54" s="87" t="s">
        <v>108</v>
      </c>
      <c r="D54" s="387" t="str">
        <f>Matches!P22</f>
        <v>Netherlands</v>
      </c>
      <c r="E54" s="387"/>
      <c r="F54" s="387"/>
      <c r="G54" s="387" t="str">
        <f>Matches!P23</f>
        <v>France</v>
      </c>
      <c r="H54" s="387"/>
      <c r="I54" s="400" t="str">
        <f>IF(ISNA(MATCH(Matches!P24,Qual3,0)),"",Matches!P24)</f>
        <v/>
      </c>
      <c r="J54" s="401"/>
      <c r="K54" s="66"/>
      <c r="L54" s="66"/>
      <c r="M54" s="67"/>
      <c r="N54" s="126"/>
      <c r="O54" s="377" t="str">
        <f ca="1">VLOOKUP(1,OFFSET('Dummy Table'!DY25:DZ28,0,N51),2,FALSE)</f>
        <v>France</v>
      </c>
      <c r="P54" s="377"/>
      <c r="Q54" s="377" t="str">
        <f ca="1">VLOOKUP(2,OFFSET('Dummy Table'!DY25:DZ28,0,N51),2,FALSE)</f>
        <v>Netherlands</v>
      </c>
      <c r="R54" s="377"/>
      <c r="S54" s="379" t="str">
        <f ca="1">IFERROR(IF(MATCH(VLOOKUP(3,OFFSET('Dummy Table'!DY25:DZ28,0,N51),2,FALSE),OFFSET('Dummy Table'!IU13:IU16,0,N51),0),VLOOKUP(3,OFFSET('Dummy Table'!DY25:DZ28,0,N51),2,FALSE),""),"")</f>
        <v/>
      </c>
      <c r="T54" s="379"/>
      <c r="U54" s="379"/>
      <c r="V54" s="68"/>
      <c r="W54" s="78">
        <f>IF(P45&lt;&gt;"",IF(SUM(Matches!T22:T25)=12,IF(O54=D54,Bonu1,0)+IF(Q54=G54,Bonu2,0)+IF(AND(S54&lt;&gt;"",I54&lt;&gt;"",S54=I54),Bonu3,0),0),"")</f>
        <v>0</v>
      </c>
      <c r="X54" s="126"/>
      <c r="Y54" s="377" t="str">
        <f ca="1">VLOOKUP(1,OFFSET('Dummy Table'!DY25:DZ28,0,X51),2,FALSE)</f>
        <v>Netherlands</v>
      </c>
      <c r="Z54" s="377"/>
      <c r="AA54" s="377" t="str">
        <f ca="1">VLOOKUP(2,OFFSET('Dummy Table'!DY25:DZ28,0,X51),2,FALSE)</f>
        <v>France</v>
      </c>
      <c r="AB54" s="377"/>
      <c r="AC54" s="379" t="str">
        <f ca="1">IFERROR(IF(MATCH(VLOOKUP(3,OFFSET('Dummy Table'!DY25:DZ28,0,X51),2,FALSE),OFFSET('Dummy Table'!IU13:IU16,0,X51),0),VLOOKUP(3,OFFSET('Dummy Table'!DY25:DZ28,0,X51),2,FALSE),""),"")</f>
        <v>Poland</v>
      </c>
      <c r="AD54" s="379"/>
      <c r="AE54" s="379"/>
      <c r="AF54" s="68"/>
      <c r="AG54" s="78">
        <f>IF(Z45&lt;&gt;"",IF(SUM(Matches!T22:T25)=12,IF(Y54=D54,Bonu1,0)+IF(AA54=G54,Bonu2,0)+IF(AND(AC54&lt;&gt;"",I54&lt;&gt;"",AC54=I54),Bonu3,0),0),"")</f>
        <v>0</v>
      </c>
      <c r="AH54" s="126"/>
      <c r="AI54" s="377" t="str">
        <f ca="1">VLOOKUP(1,OFFSET('Dummy Table'!DY25:DZ28,0,AH51),2,FALSE)</f>
        <v>France</v>
      </c>
      <c r="AJ54" s="377"/>
      <c r="AK54" s="377" t="str">
        <f ca="1">VLOOKUP(2,OFFSET('Dummy Table'!DY25:DZ28,0,AH51),2,FALSE)</f>
        <v>Netherlands</v>
      </c>
      <c r="AL54" s="377"/>
      <c r="AM54" s="379" t="str">
        <f ca="1">IFERROR(IF(MATCH(VLOOKUP(3,OFFSET('Dummy Table'!DY25:DZ28,0,AH51),2,FALSE),OFFSET('Dummy Table'!IU13:IU16,0,AH51),0),VLOOKUP(3,OFFSET('Dummy Table'!DY25:DZ28,0,AH51),2,FALSE),""),"")</f>
        <v>Austria</v>
      </c>
      <c r="AN54" s="379"/>
      <c r="AO54" s="379"/>
      <c r="AP54" s="68"/>
      <c r="AQ54" s="78">
        <f>IF(AJ45&lt;&gt;"",IF(SUM(Matches!T22:T25)=12,IF(AI54=D54,Bonu1,0)+IF(AK54=G54,Bonu2,0)+IF(AND(AM54&lt;&gt;"",I54&lt;&gt;"",AM54=I54),Bonu3,0),0),"")</f>
        <v>0</v>
      </c>
      <c r="AR54" s="126"/>
      <c r="AS54" s="377" t="str">
        <f ca="1">VLOOKUP(1,OFFSET('Dummy Table'!DY25:DZ28,0,AR51),2,FALSE)</f>
        <v>France</v>
      </c>
      <c r="AT54" s="377"/>
      <c r="AU54" s="377" t="str">
        <f ca="1">VLOOKUP(2,OFFSET('Dummy Table'!DY25:DZ28,0,AR51),2,FALSE)</f>
        <v>Netherlands</v>
      </c>
      <c r="AV54" s="377"/>
      <c r="AW54" s="379" t="str">
        <f ca="1">IFERROR(IF(MATCH(VLOOKUP(3,OFFSET('Dummy Table'!DY25:DZ28,0,AR51),2,FALSE),OFFSET('Dummy Table'!IU13:IU16,0,AR51),0),VLOOKUP(3,OFFSET('Dummy Table'!DY25:DZ28,0,AR51),2,FALSE),""),"")</f>
        <v>Poland</v>
      </c>
      <c r="AX54" s="379"/>
      <c r="AY54" s="379"/>
      <c r="AZ54" s="68"/>
      <c r="BA54" s="78">
        <f>IF(AT45&lt;&gt;"",IF(SUM(Matches!T22:T25)=12,IF(AS54=D54,Bonu1,0)+IF(AU54=G54,Bonu2,0)+IF(AND(AW54&lt;&gt;"",I54&lt;&gt;"",AW54=I54),Bonu3,0),0),"")</f>
        <v>0</v>
      </c>
      <c r="BB54" s="126"/>
      <c r="BC54" s="377" t="str">
        <f ca="1">VLOOKUP(1,OFFSET('Dummy Table'!DY25:DZ28,0,BB51),2,FALSE)</f>
        <v>France</v>
      </c>
      <c r="BD54" s="377"/>
      <c r="BE54" s="377" t="str">
        <f ca="1">VLOOKUP(2,OFFSET('Dummy Table'!DY25:DZ28,0,BB51),2,FALSE)</f>
        <v>Netherlands</v>
      </c>
      <c r="BF54" s="377"/>
      <c r="BG54" s="379" t="str">
        <f ca="1">IFERROR(IF(MATCH(VLOOKUP(3,OFFSET('Dummy Table'!DY25:DZ28,0,BB51),2,FALSE),OFFSET('Dummy Table'!IU13:IU16,0,BB51),0),VLOOKUP(3,OFFSET('Dummy Table'!DY25:DZ28,0,BB51),2,FALSE),""),"")</f>
        <v>Poland</v>
      </c>
      <c r="BH54" s="379"/>
      <c r="BI54" s="379"/>
      <c r="BJ54" s="68"/>
      <c r="BK54" s="78">
        <f>IF(BD45&lt;&gt;"",IF(SUM(Matches!T22:T25)=12,IF(BC54=D54,Bonu1,0)+IF(BE54=G54,Bonu2,0)+IF(AND(BG54&lt;&gt;"",I54&lt;&gt;"",BG54=I54),Bonu3,0),0),"")</f>
        <v>0</v>
      </c>
      <c r="BL54" s="126"/>
      <c r="BM54" s="377" t="str">
        <f ca="1">VLOOKUP(1,OFFSET('Dummy Table'!DY25:DZ28,0,BL51),2,FALSE)</f>
        <v>Netherlands</v>
      </c>
      <c r="BN54" s="377"/>
      <c r="BO54" s="377" t="str">
        <f ca="1">VLOOKUP(2,OFFSET('Dummy Table'!DY25:DZ28,0,BL51),2,FALSE)</f>
        <v>France</v>
      </c>
      <c r="BP54" s="377"/>
      <c r="BQ54" s="379" t="str">
        <f ca="1">IFERROR(IF(MATCH(VLOOKUP(3,OFFSET('Dummy Table'!DY25:DZ28,0,BL51),2,FALSE),OFFSET('Dummy Table'!IU13:IU16,0,BL51),0),VLOOKUP(3,OFFSET('Dummy Table'!DY25:DZ28,0,BL51),2,FALSE),""),"")</f>
        <v>Poland</v>
      </c>
      <c r="BR54" s="379"/>
      <c r="BS54" s="379"/>
      <c r="BT54" s="68"/>
      <c r="BU54" s="78">
        <f>IF(BN45&lt;&gt;"",IF(SUM(Matches!T22:T25)=12,IF(BM54=D54,Bonu1,0)+IF(BO54=G54,Bonu2,0)+IF(AND(BQ54&lt;&gt;"",I54&lt;&gt;"",BQ54=I54),Bonu3,0),0),"")</f>
        <v>0</v>
      </c>
      <c r="BV54" s="126"/>
      <c r="BW54" s="377" t="str">
        <f ca="1">VLOOKUP(1,OFFSET('Dummy Table'!DY25:DZ28,0,BV51),2,FALSE)</f>
        <v>France</v>
      </c>
      <c r="BX54" s="377"/>
      <c r="BY54" s="377" t="str">
        <f ca="1">VLOOKUP(2,OFFSET('Dummy Table'!DY25:DZ28,0,BV51),2,FALSE)</f>
        <v>Netherlands</v>
      </c>
      <c r="BZ54" s="377"/>
      <c r="CA54" s="379" t="str">
        <f ca="1">IFERROR(IF(MATCH(VLOOKUP(3,OFFSET('Dummy Table'!DY25:DZ28,0,BV51),2,FALSE),OFFSET('Dummy Table'!IU13:IU16,0,BV51),0),VLOOKUP(3,OFFSET('Dummy Table'!DY25:DZ28,0,BV51),2,FALSE),""),"")</f>
        <v>Austria</v>
      </c>
      <c r="CB54" s="379"/>
      <c r="CC54" s="379"/>
      <c r="CD54" s="68"/>
      <c r="CE54" s="78">
        <f>IF(BX45&lt;&gt;"",IF(SUM(Matches!T22:T25)=12,IF(BW54=D54,Bonu1,0)+IF(BY54=G54,Bonu2,0)+IF(AND(CA54&lt;&gt;"",I54&lt;&gt;"",CA54=I54),Bonu3,0),0),"")</f>
        <v>0</v>
      </c>
      <c r="CF54" s="126"/>
      <c r="CG54" s="377" t="str">
        <f ca="1">VLOOKUP(1,OFFSET('Dummy Table'!DY25:DZ28,0,CF51),2,FALSE)</f>
        <v>France</v>
      </c>
      <c r="CH54" s="377"/>
      <c r="CI54" s="377" t="str">
        <f ca="1">VLOOKUP(2,OFFSET('Dummy Table'!DY25:DZ28,0,CF51),2,FALSE)</f>
        <v>Netherlands</v>
      </c>
      <c r="CJ54" s="377"/>
      <c r="CK54" s="379" t="str">
        <f ca="1">IFERROR(IF(MATCH(VLOOKUP(3,OFFSET('Dummy Table'!DY25:DZ28,0,CF51),2,FALSE),OFFSET('Dummy Table'!IU13:IU16,0,CF51),0),VLOOKUP(3,OFFSET('Dummy Table'!DY25:DZ28,0,CF51),2,FALSE),""),"")</f>
        <v/>
      </c>
      <c r="CL54" s="379"/>
      <c r="CM54" s="379"/>
      <c r="CN54" s="68"/>
      <c r="CO54" s="78">
        <f>IF(CH45&lt;&gt;"",IF(SUM(Matches!T22:T25)=12,IF(CG54=D54,Bonu1,0)+IF(CI54=G54,Bonu2,0)+IF(AND(CK54&lt;&gt;"",I54&lt;&gt;"",CK54=I54),Bonu3,0),0),"")</f>
        <v>0</v>
      </c>
      <c r="CP54" s="126"/>
      <c r="CQ54" s="377" t="str">
        <f ca="1">VLOOKUP(1,OFFSET('Dummy Table'!DY25:DZ28,0,CP51),2,FALSE)</f>
        <v>France</v>
      </c>
      <c r="CR54" s="377"/>
      <c r="CS54" s="377" t="str">
        <f ca="1">VLOOKUP(2,OFFSET('Dummy Table'!DY25:DZ28,0,CP51),2,FALSE)</f>
        <v>Netherlands</v>
      </c>
      <c r="CT54" s="377"/>
      <c r="CU54" s="379" t="str">
        <f ca="1">IFERROR(IF(MATCH(VLOOKUP(3,OFFSET('Dummy Table'!DY25:DZ28,0,CP51),2,FALSE),OFFSET('Dummy Table'!IU13:IU16,0,CP51),0),VLOOKUP(3,OFFSET('Dummy Table'!DY25:DZ28,0,CP51),2,FALSE),""),"")</f>
        <v/>
      </c>
      <c r="CV54" s="379"/>
      <c r="CW54" s="379"/>
      <c r="CX54" s="68"/>
      <c r="CY54" s="78">
        <f>IF(CR45&lt;&gt;"",IF(SUM(Matches!T22:T25)=12,IF(CQ54=D54,Bonu1,0)+IF(CS54=G54,Bonu2,0)+IF(AND(CU54&lt;&gt;"",I54&lt;&gt;"",CU54=I54),Bonu3,0),0),"")</f>
        <v>0</v>
      </c>
      <c r="CZ54" s="126"/>
      <c r="DA54" s="377" t="str">
        <f ca="1">VLOOKUP(1,OFFSET('Dummy Table'!DY25:DZ28,0,CZ51),2,FALSE)</f>
        <v>France</v>
      </c>
      <c r="DB54" s="377"/>
      <c r="DC54" s="377" t="str">
        <f ca="1">VLOOKUP(2,OFFSET('Dummy Table'!DY25:DZ28,0,CZ51),2,FALSE)</f>
        <v>Netherlands</v>
      </c>
      <c r="DD54" s="377"/>
      <c r="DE54" s="379" t="str">
        <f ca="1">IFERROR(IF(MATCH(VLOOKUP(3,OFFSET('Dummy Table'!DY25:DZ28,0,CZ51),2,FALSE),OFFSET('Dummy Table'!IU13:IU16,0,CZ51),0),VLOOKUP(3,OFFSET('Dummy Table'!DY25:DZ28,0,CZ51),2,FALSE),""),"")</f>
        <v/>
      </c>
      <c r="DF54" s="379"/>
      <c r="DG54" s="379"/>
      <c r="DH54" s="68"/>
      <c r="DI54" s="78">
        <f>IF(DB45&lt;&gt;"",IF(SUM(Matches!T22:T25)=12,IF(DA54=D54,Bonu1,0)+IF(DC54=G54,Bonu2,0)+IF(AND(DE54&lt;&gt;"",I54&lt;&gt;"",DE54=I54),Bonu3,0),0),"")</f>
        <v>0</v>
      </c>
    </row>
    <row r="55" spans="1:113" s="43" customFormat="1" ht="15" customHeight="1" x14ac:dyDescent="0.25">
      <c r="A55" s="41"/>
      <c r="B55" s="65"/>
      <c r="C55" s="87" t="s">
        <v>109</v>
      </c>
      <c r="D55" s="387" t="str">
        <f>Matches!P27</f>
        <v>Romania</v>
      </c>
      <c r="E55" s="387"/>
      <c r="F55" s="387"/>
      <c r="G55" s="387" t="str">
        <f>Matches!P28</f>
        <v>Slovakia</v>
      </c>
      <c r="H55" s="387"/>
      <c r="I55" s="400" t="str">
        <f>IF(ISNA(MATCH(Matches!P29,Qual3,0)),"",Matches!P29)</f>
        <v/>
      </c>
      <c r="J55" s="401"/>
      <c r="K55" s="66"/>
      <c r="L55" s="66"/>
      <c r="M55" s="67"/>
      <c r="N55" s="126"/>
      <c r="O55" s="377" t="str">
        <f ca="1">VLOOKUP(1,OFFSET('Dummy Table'!DY31:DZ34,0,N51),2,FALSE)</f>
        <v>Belgium</v>
      </c>
      <c r="P55" s="377"/>
      <c r="Q55" s="377" t="str">
        <f ca="1">VLOOKUP(2,OFFSET('Dummy Table'!DY31:DZ34,0,N51),2,FALSE)</f>
        <v>Slovakia</v>
      </c>
      <c r="R55" s="377"/>
      <c r="S55" s="379" t="str">
        <f ca="1">IFERROR(IF(MATCH(VLOOKUP(3,OFFSET('Dummy Table'!DY31:DZ34,0,N51),2,FALSE),OFFSET('Dummy Table'!IU13:IU16,0,N51),0),VLOOKUP(3,OFFSET('Dummy Table'!DY31:DZ34,0,N51),2,FALSE),""),"")</f>
        <v/>
      </c>
      <c r="T55" s="379"/>
      <c r="U55" s="379"/>
      <c r="V55" s="68"/>
      <c r="W55" s="78">
        <f>IF(P45&lt;&gt;"",IF(SUM(Matches!T27:T30)=12,IF(O55=D55,Bonu1,0)+IF(Q55=G55,Bonu2,0)+IF(AND(S55&lt;&gt;"",I55&lt;&gt;"",S55=I55),Bonu3,0),0),"")</f>
        <v>0</v>
      </c>
      <c r="X55" s="126"/>
      <c r="Y55" s="377" t="str">
        <f ca="1">VLOOKUP(1,OFFSET('Dummy Table'!DY31:DZ34,0,X51),2,FALSE)</f>
        <v>Belgium</v>
      </c>
      <c r="Z55" s="377"/>
      <c r="AA55" s="377" t="str">
        <f ca="1">VLOOKUP(2,OFFSET('Dummy Table'!DY31:DZ34,0,X51),2,FALSE)</f>
        <v>Ukraine</v>
      </c>
      <c r="AB55" s="377"/>
      <c r="AC55" s="379" t="str">
        <f ca="1">IFERROR(IF(MATCH(VLOOKUP(3,OFFSET('Dummy Table'!DY31:DZ34,0,X51),2,FALSE),OFFSET('Dummy Table'!IU13:IU16,0,X51),0),VLOOKUP(3,OFFSET('Dummy Table'!DY31:DZ34,0,X51),2,FALSE),""),"")</f>
        <v>Slovakia</v>
      </c>
      <c r="AD55" s="379"/>
      <c r="AE55" s="379"/>
      <c r="AF55" s="68"/>
      <c r="AG55" s="78">
        <f>IF(Z45&lt;&gt;"",IF(SUM(Matches!T27:T30)=12,IF(Y55=D55,Bonu1,0)+IF(AA55=G55,Bonu2,0)+IF(AND(AC55&lt;&gt;"",I55&lt;&gt;"",AC55=I55),Bonu3,0),0),"")</f>
        <v>0</v>
      </c>
      <c r="AH55" s="126"/>
      <c r="AI55" s="377" t="str">
        <f ca="1">VLOOKUP(1,OFFSET('Dummy Table'!DY31:DZ34,0,AH51),2,FALSE)</f>
        <v>Belgium</v>
      </c>
      <c r="AJ55" s="377"/>
      <c r="AK55" s="377" t="str">
        <f ca="1">VLOOKUP(2,OFFSET('Dummy Table'!DY31:DZ34,0,AH51),2,FALSE)</f>
        <v>Ukraine</v>
      </c>
      <c r="AL55" s="377"/>
      <c r="AM55" s="379" t="str">
        <f ca="1">IFERROR(IF(MATCH(VLOOKUP(3,OFFSET('Dummy Table'!DY31:DZ34,0,AH51),2,FALSE),OFFSET('Dummy Table'!IU13:IU16,0,AH51),0),VLOOKUP(3,OFFSET('Dummy Table'!DY31:DZ34,0,AH51),2,FALSE),""),"")</f>
        <v>Slovakia</v>
      </c>
      <c r="AN55" s="379"/>
      <c r="AO55" s="379"/>
      <c r="AP55" s="68"/>
      <c r="AQ55" s="78">
        <f>IF(AJ45&lt;&gt;"",IF(SUM(Matches!T27:T30)=12,IF(AI55=D55,Bonu1,0)+IF(AK55=G55,Bonu2,0)+IF(AND(AM55&lt;&gt;"",I55&lt;&gt;"",AM55=I55),Bonu3,0),0),"")</f>
        <v>0</v>
      </c>
      <c r="AR55" s="126"/>
      <c r="AS55" s="377" t="str">
        <f ca="1">VLOOKUP(1,OFFSET('Dummy Table'!DY31:DZ34,0,AR51),2,FALSE)</f>
        <v>Belgium</v>
      </c>
      <c r="AT55" s="377"/>
      <c r="AU55" s="377" t="str">
        <f ca="1">VLOOKUP(2,OFFSET('Dummy Table'!DY31:DZ34,0,AR51),2,FALSE)</f>
        <v>Ukraine</v>
      </c>
      <c r="AV55" s="377"/>
      <c r="AW55" s="379" t="str">
        <f ca="1">IFERROR(IF(MATCH(VLOOKUP(3,OFFSET('Dummy Table'!DY31:DZ34,0,AR51),2,FALSE),OFFSET('Dummy Table'!IU13:IU16,0,AR51),0),VLOOKUP(3,OFFSET('Dummy Table'!DY31:DZ34,0,AR51),2,FALSE),""),"")</f>
        <v/>
      </c>
      <c r="AX55" s="379"/>
      <c r="AY55" s="379"/>
      <c r="AZ55" s="68"/>
      <c r="BA55" s="78">
        <f>IF(AT45&lt;&gt;"",IF(SUM(Matches!T27:T30)=12,IF(AS55=D55,Bonu1,0)+IF(AU55=G55,Bonu2,0)+IF(AND(AW55&lt;&gt;"",I55&lt;&gt;"",AW55=I55),Bonu3,0),0),"")</f>
        <v>0</v>
      </c>
      <c r="BB55" s="126"/>
      <c r="BC55" s="377" t="str">
        <f ca="1">VLOOKUP(1,OFFSET('Dummy Table'!DY31:DZ34,0,BB51),2,FALSE)</f>
        <v>Belgium</v>
      </c>
      <c r="BD55" s="377"/>
      <c r="BE55" s="377" t="str">
        <f ca="1">VLOOKUP(2,OFFSET('Dummy Table'!DY31:DZ34,0,BB51),2,FALSE)</f>
        <v>Ukraine</v>
      </c>
      <c r="BF55" s="377"/>
      <c r="BG55" s="379" t="str">
        <f ca="1">IFERROR(IF(MATCH(VLOOKUP(3,OFFSET('Dummy Table'!DY31:DZ34,0,BB51),2,FALSE),OFFSET('Dummy Table'!IU13:IU16,0,BB51),0),VLOOKUP(3,OFFSET('Dummy Table'!DY31:DZ34,0,BB51),2,FALSE),""),"")</f>
        <v>Slovakia</v>
      </c>
      <c r="BH55" s="379"/>
      <c r="BI55" s="379"/>
      <c r="BJ55" s="68"/>
      <c r="BK55" s="78">
        <f>IF(BD45&lt;&gt;"",IF(SUM(Matches!T27:T30)=12,IF(BC55=D55,Bonu1,0)+IF(BE55=G55,Bonu2,0)+IF(AND(BG55&lt;&gt;"",I55&lt;&gt;"",BG55=I55),Bonu3,0),0),"")</f>
        <v>0</v>
      </c>
      <c r="BL55" s="126"/>
      <c r="BM55" s="377" t="str">
        <f ca="1">VLOOKUP(1,OFFSET('Dummy Table'!DY31:DZ34,0,BL51),2,FALSE)</f>
        <v>Belgium</v>
      </c>
      <c r="BN55" s="377"/>
      <c r="BO55" s="377" t="str">
        <f ca="1">VLOOKUP(2,OFFSET('Dummy Table'!DY31:DZ34,0,BL51),2,FALSE)</f>
        <v>Slovakia</v>
      </c>
      <c r="BP55" s="377"/>
      <c r="BQ55" s="379" t="str">
        <f ca="1">IFERROR(IF(MATCH(VLOOKUP(3,OFFSET('Dummy Table'!DY31:DZ34,0,BL51),2,FALSE),OFFSET('Dummy Table'!IU13:IU16,0,BL51),0),VLOOKUP(3,OFFSET('Dummy Table'!DY31:DZ34,0,BL51),2,FALSE),""),"")</f>
        <v/>
      </c>
      <c r="BR55" s="379"/>
      <c r="BS55" s="379"/>
      <c r="BT55" s="68"/>
      <c r="BU55" s="78">
        <f>IF(BN45&lt;&gt;"",IF(SUM(Matches!T27:T30)=12,IF(BM55=D55,Bonu1,0)+IF(BO55=G55,Bonu2,0)+IF(AND(BQ55&lt;&gt;"",I55&lt;&gt;"",BQ55=I55),Bonu3,0),0),"")</f>
        <v>0</v>
      </c>
      <c r="BV55" s="126"/>
      <c r="BW55" s="377" t="str">
        <f ca="1">VLOOKUP(1,OFFSET('Dummy Table'!DY31:DZ34,0,BV51),2,FALSE)</f>
        <v>Belgium</v>
      </c>
      <c r="BX55" s="377"/>
      <c r="BY55" s="377" t="str">
        <f ca="1">VLOOKUP(2,OFFSET('Dummy Table'!DY31:DZ34,0,BV51),2,FALSE)</f>
        <v>Romania</v>
      </c>
      <c r="BZ55" s="377"/>
      <c r="CA55" s="379" t="str">
        <f ca="1">IFERROR(IF(MATCH(VLOOKUP(3,OFFSET('Dummy Table'!DY31:DZ34,0,BV51),2,FALSE),OFFSET('Dummy Table'!IU13:IU16,0,BV51),0),VLOOKUP(3,OFFSET('Dummy Table'!DY31:DZ34,0,BV51),2,FALSE),""),"")</f>
        <v>Slovakia</v>
      </c>
      <c r="CB55" s="379"/>
      <c r="CC55" s="379"/>
      <c r="CD55" s="68"/>
      <c r="CE55" s="78">
        <f>IF(BX45&lt;&gt;"",IF(SUM(Matches!T27:T30)=12,IF(BW55=D55,Bonu1,0)+IF(BY55=G55,Bonu2,0)+IF(AND(CA55&lt;&gt;"",I55&lt;&gt;"",CA55=I55),Bonu3,0),0),"")</f>
        <v>0</v>
      </c>
      <c r="CF55" s="126"/>
      <c r="CG55" s="377" t="str">
        <f ca="1">VLOOKUP(1,OFFSET('Dummy Table'!DY31:DZ34,0,CF51),2,FALSE)</f>
        <v>Belgium</v>
      </c>
      <c r="CH55" s="377"/>
      <c r="CI55" s="377" t="str">
        <f ca="1">VLOOKUP(2,OFFSET('Dummy Table'!DY31:DZ34,0,CF51),2,FALSE)</f>
        <v>Slovakia</v>
      </c>
      <c r="CJ55" s="377"/>
      <c r="CK55" s="379" t="str">
        <f ca="1">IFERROR(IF(MATCH(VLOOKUP(3,OFFSET('Dummy Table'!DY31:DZ34,0,CF51),2,FALSE),OFFSET('Dummy Table'!IU13:IU16,0,CF51),0),VLOOKUP(3,OFFSET('Dummy Table'!DY31:DZ34,0,CF51),2,FALSE),""),"")</f>
        <v>Ukraine</v>
      </c>
      <c r="CL55" s="379"/>
      <c r="CM55" s="379"/>
      <c r="CN55" s="68"/>
      <c r="CO55" s="78">
        <f>IF(CH45&lt;&gt;"",IF(SUM(Matches!T27:T30)=12,IF(CG55=D55,Bonu1,0)+IF(CI55=G55,Bonu2,0)+IF(AND(CK55&lt;&gt;"",I55&lt;&gt;"",CK55=I55),Bonu3,0),0),"")</f>
        <v>0</v>
      </c>
      <c r="CP55" s="126"/>
      <c r="CQ55" s="377" t="str">
        <f ca="1">VLOOKUP(1,OFFSET('Dummy Table'!DY31:DZ34,0,CP51),2,FALSE)</f>
        <v>Slovakia</v>
      </c>
      <c r="CR55" s="377"/>
      <c r="CS55" s="377" t="str">
        <f ca="1">VLOOKUP(2,OFFSET('Dummy Table'!DY31:DZ34,0,CP51),2,FALSE)</f>
        <v>Belgium</v>
      </c>
      <c r="CT55" s="377"/>
      <c r="CU55" s="379" t="str">
        <f ca="1">IFERROR(IF(MATCH(VLOOKUP(3,OFFSET('Dummy Table'!DY31:DZ34,0,CP51),2,FALSE),OFFSET('Dummy Table'!IU13:IU16,0,CP51),0),VLOOKUP(3,OFFSET('Dummy Table'!DY31:DZ34,0,CP51),2,FALSE),""),"")</f>
        <v>Romania</v>
      </c>
      <c r="CV55" s="379"/>
      <c r="CW55" s="379"/>
      <c r="CX55" s="68"/>
      <c r="CY55" s="78">
        <f>IF(CR45&lt;&gt;"",IF(SUM(Matches!T27:T30)=12,IF(CQ55=D55,Bonu1,0)+IF(CS55=G55,Bonu2,0)+IF(AND(CU55&lt;&gt;"",I55&lt;&gt;"",CU55=I55),Bonu3,0),0),"")</f>
        <v>0</v>
      </c>
      <c r="CZ55" s="126"/>
      <c r="DA55" s="377" t="str">
        <f ca="1">VLOOKUP(1,OFFSET('Dummy Table'!DY31:DZ34,0,CZ51),2,FALSE)</f>
        <v>Belgium</v>
      </c>
      <c r="DB55" s="377"/>
      <c r="DC55" s="377" t="str">
        <f ca="1">VLOOKUP(2,OFFSET('Dummy Table'!DY31:DZ34,0,CZ51),2,FALSE)</f>
        <v>Slovakia</v>
      </c>
      <c r="DD55" s="377"/>
      <c r="DE55" s="379" t="str">
        <f ca="1">IFERROR(IF(MATCH(VLOOKUP(3,OFFSET('Dummy Table'!DY31:DZ34,0,CZ51),2,FALSE),OFFSET('Dummy Table'!IU13:IU16,0,CZ51),0),VLOOKUP(3,OFFSET('Dummy Table'!DY31:DZ34,0,CZ51),2,FALSE),""),"")</f>
        <v>Romania</v>
      </c>
      <c r="DF55" s="379"/>
      <c r="DG55" s="379"/>
      <c r="DH55" s="68"/>
      <c r="DI55" s="78">
        <f>IF(DB45&lt;&gt;"",IF(SUM(Matches!T27:T30)=12,IF(DA55=D55,Bonu1,0)+IF(DC55=G55,Bonu2,0)+IF(AND(DE55&lt;&gt;"",I55&lt;&gt;"",DE55=I55),Bonu3,0),0),"")</f>
        <v>0</v>
      </c>
    </row>
    <row r="56" spans="1:113" s="43" customFormat="1" ht="15" customHeight="1" x14ac:dyDescent="0.25">
      <c r="A56" s="41"/>
      <c r="B56" s="65"/>
      <c r="C56" s="87" t="s">
        <v>110</v>
      </c>
      <c r="D56" s="387" t="str">
        <f>Matches!P32</f>
        <v>Türkiye</v>
      </c>
      <c r="E56" s="387"/>
      <c r="F56" s="387"/>
      <c r="G56" s="387" t="str">
        <f>Matches!P33</f>
        <v>Portugal</v>
      </c>
      <c r="H56" s="387"/>
      <c r="I56" s="400" t="str">
        <f>IF(ISNA(MATCH(Matches!P34,Qual3,0)),"",Matches!P34)</f>
        <v>Czechia</v>
      </c>
      <c r="J56" s="401"/>
      <c r="K56" s="66"/>
      <c r="L56" s="66"/>
      <c r="M56" s="67"/>
      <c r="N56" s="126"/>
      <c r="O56" s="377" t="str">
        <f ca="1">VLOOKUP(1,OFFSET('Dummy Table'!DY37:DZ40,0,N51),2,FALSE)</f>
        <v>Portugal</v>
      </c>
      <c r="P56" s="377"/>
      <c r="Q56" s="377" t="str">
        <f ca="1">VLOOKUP(2,OFFSET('Dummy Table'!DY37:DZ40,0,N51),2,FALSE)</f>
        <v>Türkiye</v>
      </c>
      <c r="R56" s="377"/>
      <c r="S56" s="379" t="str">
        <f ca="1">IFERROR(IF(MATCH(VLOOKUP(3,OFFSET('Dummy Table'!DY37:DZ40,0,N51),2,FALSE),OFFSET('Dummy Table'!IU13:IU16,0,N51),0),VLOOKUP(3,OFFSET('Dummy Table'!DY37:DZ40,0,N51),2,FALSE),""),"")</f>
        <v>Czechia</v>
      </c>
      <c r="T56" s="379"/>
      <c r="U56" s="379"/>
      <c r="V56" s="68"/>
      <c r="W56" s="78">
        <f>IF(P45&lt;&gt;"",IF(SUM(Matches!T32:T35)=12,IF(O56=D56,Bonu1,0)+IF(Q56=G56,Bonu2,0)+IF(AND(S56&lt;&gt;"",I56&lt;&gt;"",S56=I56),Bonu3,0),0),"")</f>
        <v>0</v>
      </c>
      <c r="X56" s="126"/>
      <c r="Y56" s="377" t="str">
        <f ca="1">VLOOKUP(1,OFFSET('Dummy Table'!DY37:DZ40,0,X51),2,FALSE)</f>
        <v>Portugal</v>
      </c>
      <c r="Z56" s="377"/>
      <c r="AA56" s="377" t="str">
        <f ca="1">VLOOKUP(2,OFFSET('Dummy Table'!DY37:DZ40,0,X51),2,FALSE)</f>
        <v>Türkiye</v>
      </c>
      <c r="AB56" s="377"/>
      <c r="AC56" s="379" t="str">
        <f ca="1">IFERROR(IF(MATCH(VLOOKUP(3,OFFSET('Dummy Table'!DY37:DZ40,0,X51),2,FALSE),OFFSET('Dummy Table'!IU13:IU16,0,X51),0),VLOOKUP(3,OFFSET('Dummy Table'!DY37:DZ40,0,X51),2,FALSE),""),"")</f>
        <v/>
      </c>
      <c r="AD56" s="379"/>
      <c r="AE56" s="379"/>
      <c r="AF56" s="68"/>
      <c r="AG56" s="78">
        <f>IF(Z45&lt;&gt;"",IF(SUM(Matches!T32:T35)=12,IF(Y56=D56,Bonu1,0)+IF(AA56=G56,Bonu2,0)+IF(AND(AC56&lt;&gt;"",I56&lt;&gt;"",AC56=I56),Bonu3,0),0),"")</f>
        <v>0</v>
      </c>
      <c r="AH56" s="126"/>
      <c r="AI56" s="377" t="str">
        <f ca="1">VLOOKUP(1,OFFSET('Dummy Table'!DY37:DZ40,0,AH51),2,FALSE)</f>
        <v>Portugal</v>
      </c>
      <c r="AJ56" s="377"/>
      <c r="AK56" s="377" t="str">
        <f ca="1">VLOOKUP(2,OFFSET('Dummy Table'!DY37:DZ40,0,AH51),2,FALSE)</f>
        <v>Georgia</v>
      </c>
      <c r="AL56" s="377"/>
      <c r="AM56" s="379" t="str">
        <f ca="1">IFERROR(IF(MATCH(VLOOKUP(3,OFFSET('Dummy Table'!DY37:DZ40,0,AH51),2,FALSE),OFFSET('Dummy Table'!IU13:IU16,0,AH51),0),VLOOKUP(3,OFFSET('Dummy Table'!DY37:DZ40,0,AH51),2,FALSE),""),"")</f>
        <v/>
      </c>
      <c r="AN56" s="379"/>
      <c r="AO56" s="379"/>
      <c r="AP56" s="68"/>
      <c r="AQ56" s="78">
        <f>IF(AJ45&lt;&gt;"",IF(SUM(Matches!T32:T35)=12,IF(AI56=D56,Bonu1,0)+IF(AK56=G56,Bonu2,0)+IF(AND(AM56&lt;&gt;"",I56&lt;&gt;"",AM56=I56),Bonu3,0),0),"")</f>
        <v>0</v>
      </c>
      <c r="AR56" s="126"/>
      <c r="AS56" s="377" t="str">
        <f ca="1">VLOOKUP(1,OFFSET('Dummy Table'!DY37:DZ40,0,AR51),2,FALSE)</f>
        <v>Portugal</v>
      </c>
      <c r="AT56" s="377"/>
      <c r="AU56" s="377" t="str">
        <f ca="1">VLOOKUP(2,OFFSET('Dummy Table'!DY37:DZ40,0,AR51),2,FALSE)</f>
        <v>Czechia</v>
      </c>
      <c r="AV56" s="377"/>
      <c r="AW56" s="379" t="str">
        <f ca="1">IFERROR(IF(MATCH(VLOOKUP(3,OFFSET('Dummy Table'!DY37:DZ40,0,AR51),2,FALSE),OFFSET('Dummy Table'!IU13:IU16,0,AR51),0),VLOOKUP(3,OFFSET('Dummy Table'!DY37:DZ40,0,AR51),2,FALSE),""),"")</f>
        <v>Türkiye</v>
      </c>
      <c r="AX56" s="379"/>
      <c r="AY56" s="379"/>
      <c r="AZ56" s="68"/>
      <c r="BA56" s="78">
        <f>IF(AT45&lt;&gt;"",IF(SUM(Matches!T32:T35)=12,IF(AS56=D56,Bonu1,0)+IF(AU56=G56,Bonu2,0)+IF(AND(AW56&lt;&gt;"",I56&lt;&gt;"",AW56=I56),Bonu3,0),0),"")</f>
        <v>0</v>
      </c>
      <c r="BB56" s="126"/>
      <c r="BC56" s="377" t="str">
        <f ca="1">VLOOKUP(1,OFFSET('Dummy Table'!DY37:DZ40,0,BB51),2,FALSE)</f>
        <v>Türkiye</v>
      </c>
      <c r="BD56" s="377"/>
      <c r="BE56" s="377" t="str">
        <f ca="1">VLOOKUP(2,OFFSET('Dummy Table'!DY37:DZ40,0,BB51),2,FALSE)</f>
        <v>Portugal</v>
      </c>
      <c r="BF56" s="377"/>
      <c r="BG56" s="379" t="str">
        <f ca="1">IFERROR(IF(MATCH(VLOOKUP(3,OFFSET('Dummy Table'!DY37:DZ40,0,BB51),2,FALSE),OFFSET('Dummy Table'!IU13:IU16,0,BB51),0),VLOOKUP(3,OFFSET('Dummy Table'!DY37:DZ40,0,BB51),2,FALSE),""),"")</f>
        <v>Czechia</v>
      </c>
      <c r="BH56" s="379"/>
      <c r="BI56" s="379"/>
      <c r="BJ56" s="68"/>
      <c r="BK56" s="78">
        <f>IF(BD45&lt;&gt;"",IF(SUM(Matches!T32:T35)=12,IF(BC56=D56,Bonu1,0)+IF(BE56=G56,Bonu2,0)+IF(AND(BG56&lt;&gt;"",I56&lt;&gt;"",BG56=I56),Bonu3,0),0),"")</f>
        <v>0</v>
      </c>
      <c r="BL56" s="126"/>
      <c r="BM56" s="377" t="str">
        <f ca="1">VLOOKUP(1,OFFSET('Dummy Table'!DY37:DZ40,0,BL51),2,FALSE)</f>
        <v>Türkiye</v>
      </c>
      <c r="BN56" s="377"/>
      <c r="BO56" s="377" t="str">
        <f ca="1">VLOOKUP(2,OFFSET('Dummy Table'!DY37:DZ40,0,BL51),2,FALSE)</f>
        <v>Czechia</v>
      </c>
      <c r="BP56" s="377"/>
      <c r="BQ56" s="379" t="str">
        <f ca="1">IFERROR(IF(MATCH(VLOOKUP(3,OFFSET('Dummy Table'!DY37:DZ40,0,BL51),2,FALSE),OFFSET('Dummy Table'!IU13:IU16,0,BL51),0),VLOOKUP(3,OFFSET('Dummy Table'!DY37:DZ40,0,BL51),2,FALSE),""),"")</f>
        <v>Portugal</v>
      </c>
      <c r="BR56" s="379"/>
      <c r="BS56" s="379"/>
      <c r="BT56" s="68"/>
      <c r="BU56" s="78">
        <f>IF(BN45&lt;&gt;"",IF(SUM(Matches!T32:T35)=12,IF(BM56=D56,Bonu1,0)+IF(BO56=G56,Bonu2,0)+IF(AND(BQ56&lt;&gt;"",I56&lt;&gt;"",BQ56=I56),Bonu3,0),0),"")</f>
        <v>0</v>
      </c>
      <c r="BV56" s="126"/>
      <c r="BW56" s="377" t="str">
        <f ca="1">VLOOKUP(1,OFFSET('Dummy Table'!DY37:DZ40,0,BV51),2,FALSE)</f>
        <v>Portugal</v>
      </c>
      <c r="BX56" s="377"/>
      <c r="BY56" s="377" t="str">
        <f ca="1">VLOOKUP(2,OFFSET('Dummy Table'!DY37:DZ40,0,BV51),2,FALSE)</f>
        <v>Türkiye</v>
      </c>
      <c r="BZ56" s="377"/>
      <c r="CA56" s="379" t="str">
        <f ca="1">IFERROR(IF(MATCH(VLOOKUP(3,OFFSET('Dummy Table'!DY37:DZ40,0,BV51),2,FALSE),OFFSET('Dummy Table'!IU13:IU16,0,BV51),0),VLOOKUP(3,OFFSET('Dummy Table'!DY37:DZ40,0,BV51),2,FALSE),""),"")</f>
        <v/>
      </c>
      <c r="CB56" s="379"/>
      <c r="CC56" s="379"/>
      <c r="CD56" s="68"/>
      <c r="CE56" s="78">
        <f>IF(BX45&lt;&gt;"",IF(SUM(Matches!T32:T35)=12,IF(BW56=D56,Bonu1,0)+IF(BY56=G56,Bonu2,0)+IF(AND(CA56&lt;&gt;"",I56&lt;&gt;"",CA56=I56),Bonu3,0),0),"")</f>
        <v>0</v>
      </c>
      <c r="CF56" s="126"/>
      <c r="CG56" s="377" t="str">
        <f ca="1">VLOOKUP(1,OFFSET('Dummy Table'!DY37:DZ40,0,CF51),2,FALSE)</f>
        <v>Portugal</v>
      </c>
      <c r="CH56" s="377"/>
      <c r="CI56" s="377" t="str">
        <f ca="1">VLOOKUP(2,OFFSET('Dummy Table'!DY37:DZ40,0,CF51),2,FALSE)</f>
        <v>Czechia</v>
      </c>
      <c r="CJ56" s="377"/>
      <c r="CK56" s="379" t="str">
        <f ca="1">IFERROR(IF(MATCH(VLOOKUP(3,OFFSET('Dummy Table'!DY37:DZ40,0,CF51),2,FALSE),OFFSET('Dummy Table'!IU13:IU16,0,CF51),0),VLOOKUP(3,OFFSET('Dummy Table'!DY37:DZ40,0,CF51),2,FALSE),""),"")</f>
        <v>Türkiye</v>
      </c>
      <c r="CL56" s="379"/>
      <c r="CM56" s="379"/>
      <c r="CN56" s="68"/>
      <c r="CO56" s="78">
        <f>IF(CH45&lt;&gt;"",IF(SUM(Matches!T32:T35)=12,IF(CG56=D56,Bonu1,0)+IF(CI56=G56,Bonu2,0)+IF(AND(CK56&lt;&gt;"",I56&lt;&gt;"",CK56=I56),Bonu3,0),0),"")</f>
        <v>0</v>
      </c>
      <c r="CP56" s="126"/>
      <c r="CQ56" s="377" t="str">
        <f ca="1">VLOOKUP(1,OFFSET('Dummy Table'!DY37:DZ40,0,CP51),2,FALSE)</f>
        <v>Türkiye</v>
      </c>
      <c r="CR56" s="377"/>
      <c r="CS56" s="377" t="str">
        <f ca="1">VLOOKUP(2,OFFSET('Dummy Table'!DY37:DZ40,0,CP51),2,FALSE)</f>
        <v>Czechia</v>
      </c>
      <c r="CT56" s="377"/>
      <c r="CU56" s="379" t="str">
        <f ca="1">IFERROR(IF(MATCH(VLOOKUP(3,OFFSET('Dummy Table'!DY37:DZ40,0,CP51),2,FALSE),OFFSET('Dummy Table'!IU13:IU16,0,CP51),0),VLOOKUP(3,OFFSET('Dummy Table'!DY37:DZ40,0,CP51),2,FALSE),""),"")</f>
        <v/>
      </c>
      <c r="CV56" s="379"/>
      <c r="CW56" s="379"/>
      <c r="CX56" s="68"/>
      <c r="CY56" s="78">
        <f>IF(CR45&lt;&gt;"",IF(SUM(Matches!T32:T35)=12,IF(CQ56=D56,Bonu1,0)+IF(CS56=G56,Bonu2,0)+IF(AND(CU56&lt;&gt;"",I56&lt;&gt;"",CU56=I56),Bonu3,0),0),"")</f>
        <v>0</v>
      </c>
      <c r="CZ56" s="126"/>
      <c r="DA56" s="377" t="str">
        <f ca="1">VLOOKUP(1,OFFSET('Dummy Table'!DY37:DZ40,0,CZ51),2,FALSE)</f>
        <v>Portugal</v>
      </c>
      <c r="DB56" s="377"/>
      <c r="DC56" s="377" t="str">
        <f ca="1">VLOOKUP(2,OFFSET('Dummy Table'!DY37:DZ40,0,CZ51),2,FALSE)</f>
        <v>Türkiye</v>
      </c>
      <c r="DD56" s="377"/>
      <c r="DE56" s="379" t="str">
        <f ca="1">IFERROR(IF(MATCH(VLOOKUP(3,OFFSET('Dummy Table'!DY37:DZ40,0,CZ51),2,FALSE),OFFSET('Dummy Table'!IU13:IU16,0,CZ51),0),VLOOKUP(3,OFFSET('Dummy Table'!DY37:DZ40,0,CZ51),2,FALSE),""),"")</f>
        <v>Georgia</v>
      </c>
      <c r="DF56" s="379"/>
      <c r="DG56" s="379"/>
      <c r="DH56" s="68"/>
      <c r="DI56" s="78">
        <f>IF(DB45&lt;&gt;"",IF(SUM(Matches!T32:T35)=12,IF(DA56=D56,Bonu1,0)+IF(DC56=G56,Bonu2,0)+IF(AND(DE56&lt;&gt;"",I56&lt;&gt;"",DE56=I56),Bonu3,0),0),"")</f>
        <v>0</v>
      </c>
    </row>
    <row r="57" spans="1:113" s="43" customFormat="1" ht="15" customHeight="1" x14ac:dyDescent="0.25">
      <c r="A57" s="41"/>
      <c r="B57" s="65"/>
      <c r="C57" s="88">
        <f>SUM(Matches!T7:T35)</f>
        <v>36</v>
      </c>
      <c r="D57" s="66"/>
      <c r="E57" s="66"/>
      <c r="F57" s="66"/>
      <c r="G57" s="66"/>
      <c r="H57" s="66"/>
      <c r="I57" s="66"/>
      <c r="J57" s="66"/>
      <c r="K57" s="66"/>
      <c r="L57" s="66"/>
      <c r="M57" s="67"/>
      <c r="N57" s="126"/>
      <c r="O57" s="388" t="s">
        <v>114</v>
      </c>
      <c r="P57" s="389"/>
      <c r="Q57" s="389"/>
      <c r="R57" s="390"/>
      <c r="S57" s="378">
        <f ca="1">IF(C57=72,OFFSET('Dummy Table'!IV34,0,N51),0)</f>
        <v>0</v>
      </c>
      <c r="T57" s="378"/>
      <c r="U57" s="378"/>
      <c r="V57" s="68"/>
      <c r="W57" s="78">
        <f ca="1">IF(P45&lt;&gt;"",IF(S57=16,Bonu4,IF(S57&gt;11,Bonu5,IF(S57&gt;7,Bonu7,0))),"")</f>
        <v>0</v>
      </c>
      <c r="X57" s="126"/>
      <c r="Y57" s="388" t="s">
        <v>114</v>
      </c>
      <c r="Z57" s="389"/>
      <c r="AA57" s="389"/>
      <c r="AB57" s="390"/>
      <c r="AC57" s="378">
        <f ca="1">IF(C57=72,OFFSET('Dummy Table'!IV34,0,X51),0)</f>
        <v>0</v>
      </c>
      <c r="AD57" s="378"/>
      <c r="AE57" s="378"/>
      <c r="AF57" s="68"/>
      <c r="AG57" s="78">
        <f ca="1">IF(Z45&lt;&gt;"",IF(AC57=16,Bonu4,IF(AC57&gt;11,Bonu5,IF(AC57&gt;7,Bonu7,0))),"")</f>
        <v>0</v>
      </c>
      <c r="AH57" s="126"/>
      <c r="AI57" s="388" t="s">
        <v>114</v>
      </c>
      <c r="AJ57" s="389"/>
      <c r="AK57" s="389"/>
      <c r="AL57" s="390"/>
      <c r="AM57" s="378">
        <f ca="1">IF(C57=72,OFFSET('Dummy Table'!IV34,0,AH51),0)</f>
        <v>0</v>
      </c>
      <c r="AN57" s="378"/>
      <c r="AO57" s="378"/>
      <c r="AP57" s="68"/>
      <c r="AQ57" s="78">
        <f ca="1">IF(AJ45&lt;&gt;"",IF(AM57=16,Bonu4,IF(AM57&gt;11,Bonu5,IF(AM57&gt;7,Bonu7,0))),"")</f>
        <v>0</v>
      </c>
      <c r="AR57" s="126"/>
      <c r="AS57" s="388" t="s">
        <v>114</v>
      </c>
      <c r="AT57" s="389"/>
      <c r="AU57" s="389"/>
      <c r="AV57" s="390"/>
      <c r="AW57" s="378">
        <f ca="1">IF(C57=72,OFFSET('Dummy Table'!IV34,0,AR51),0)</f>
        <v>0</v>
      </c>
      <c r="AX57" s="378"/>
      <c r="AY57" s="378"/>
      <c r="AZ57" s="68"/>
      <c r="BA57" s="78">
        <f ca="1">IF(AT45&lt;&gt;"",IF(AW57=16,Bonu4,IF(AW57&gt;11,Bonu5,IF(AW57&gt;7,Bonu7,0))),"")</f>
        <v>0</v>
      </c>
      <c r="BB57" s="126"/>
      <c r="BC57" s="388" t="s">
        <v>114</v>
      </c>
      <c r="BD57" s="389"/>
      <c r="BE57" s="389"/>
      <c r="BF57" s="390"/>
      <c r="BG57" s="378">
        <f ca="1">IF(C57=72,OFFSET('Dummy Table'!IV34,0,BB51),0)</f>
        <v>0</v>
      </c>
      <c r="BH57" s="378"/>
      <c r="BI57" s="378"/>
      <c r="BJ57" s="68"/>
      <c r="BK57" s="78">
        <f ca="1">IF(BD45&lt;&gt;"",IF(BG57=16,Bonu4,IF(BG57&gt;11,Bonu5,IF(BG57&gt;7,Bonu7,0))),"")</f>
        <v>0</v>
      </c>
      <c r="BL57" s="126"/>
      <c r="BM57" s="388" t="s">
        <v>114</v>
      </c>
      <c r="BN57" s="389"/>
      <c r="BO57" s="389"/>
      <c r="BP57" s="390"/>
      <c r="BQ57" s="378">
        <f ca="1">IF(C57=72,OFFSET('Dummy Table'!IV34,0,BL51),0)</f>
        <v>0</v>
      </c>
      <c r="BR57" s="378"/>
      <c r="BS57" s="378"/>
      <c r="BT57" s="68"/>
      <c r="BU57" s="78">
        <f ca="1">IF(BN45&lt;&gt;"",IF(BQ57=16,Bonu4,IF(BQ57&gt;11,Bonu5,IF(BQ57&gt;7,Bonu7,0))),"")</f>
        <v>0</v>
      </c>
      <c r="BV57" s="126"/>
      <c r="BW57" s="388" t="s">
        <v>114</v>
      </c>
      <c r="BX57" s="389"/>
      <c r="BY57" s="389"/>
      <c r="BZ57" s="390"/>
      <c r="CA57" s="378">
        <f ca="1">IF(C57=72,OFFSET('Dummy Table'!IV34,0,BV51),0)</f>
        <v>0</v>
      </c>
      <c r="CB57" s="378"/>
      <c r="CC57" s="378"/>
      <c r="CD57" s="68"/>
      <c r="CE57" s="78">
        <f ca="1">IF(BX45&lt;&gt;"",IF(CA57=16,Bonu4,IF(CA57&gt;11,Bonu5,IF(CA57&gt;7,Bonu7,0))),"")</f>
        <v>0</v>
      </c>
      <c r="CF57" s="126"/>
      <c r="CG57" s="388" t="s">
        <v>114</v>
      </c>
      <c r="CH57" s="389"/>
      <c r="CI57" s="389"/>
      <c r="CJ57" s="390"/>
      <c r="CK57" s="378">
        <f ca="1">IF(C57=72,OFFSET('Dummy Table'!IV34,0,CF51),0)</f>
        <v>0</v>
      </c>
      <c r="CL57" s="378"/>
      <c r="CM57" s="378"/>
      <c r="CN57" s="68"/>
      <c r="CO57" s="78">
        <f ca="1">IF(CH45&lt;&gt;"",IF(CK57=16,Bonu4,IF(CK57&gt;11,Bonu5,IF(CK57&gt;7,Bonu7,0))),"")</f>
        <v>0</v>
      </c>
      <c r="CP57" s="126"/>
      <c r="CQ57" s="388" t="s">
        <v>114</v>
      </c>
      <c r="CR57" s="389"/>
      <c r="CS57" s="389"/>
      <c r="CT57" s="390"/>
      <c r="CU57" s="378">
        <f ca="1">IF(C57=72,OFFSET('Dummy Table'!IV34,0,CP51),0)</f>
        <v>0</v>
      </c>
      <c r="CV57" s="378"/>
      <c r="CW57" s="378"/>
      <c r="CX57" s="68"/>
      <c r="CY57" s="78">
        <f ca="1">IF(CR45&lt;&gt;"",IF(CU57=16,Bonu4,IF(CU57&gt;11,Bonu5,IF(CU57&gt;7,Bonu7,0))),"")</f>
        <v>0</v>
      </c>
      <c r="CZ57" s="126"/>
      <c r="DA57" s="388" t="s">
        <v>114</v>
      </c>
      <c r="DB57" s="389"/>
      <c r="DC57" s="389"/>
      <c r="DD57" s="390"/>
      <c r="DE57" s="378">
        <f ca="1">IF(C57=72,OFFSET('Dummy Table'!IV34,0,CZ51),0)</f>
        <v>0</v>
      </c>
      <c r="DF57" s="378"/>
      <c r="DG57" s="378"/>
      <c r="DH57" s="68"/>
      <c r="DI57" s="78">
        <f ca="1">IF(DB45&lt;&gt;"",IF(DE57=16,Bonu4,IF(DE57&gt;11,Bonu5,IF(DE57&gt;7,Bonu7,0))),"")</f>
        <v>0</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5">
      <c r="A60" s="41"/>
      <c r="B60" s="65"/>
      <c r="C60" s="55"/>
      <c r="D60" s="55"/>
      <c r="E60" s="66"/>
      <c r="F60" s="66"/>
      <c r="G60" s="66"/>
      <c r="H60" s="392" t="str">
        <f>H7</f>
        <v>Score</v>
      </c>
      <c r="I60" s="392"/>
      <c r="J60" s="66"/>
      <c r="K60" s="392" t="s">
        <v>115</v>
      </c>
      <c r="L60" s="392"/>
      <c r="M60" s="89"/>
      <c r="N60" s="126" t="str">
        <f t="shared" ca="1" si="209"/>
        <v>England</v>
      </c>
      <c r="O60" s="129"/>
      <c r="P60" s="374" t="str">
        <f>H60</f>
        <v>Score</v>
      </c>
      <c r="Q60" s="374"/>
      <c r="R60" s="130" t="str">
        <f ca="1">IF(KOGameRule=0,Q56,J67)</f>
        <v>Türkiye</v>
      </c>
      <c r="S60" s="374" t="str">
        <f>K60</f>
        <v>PK</v>
      </c>
      <c r="T60" s="374"/>
      <c r="V60" s="90"/>
      <c r="W60" s="91"/>
      <c r="X60" s="126" t="str">
        <f t="shared" ca="1" si="210"/>
        <v>England</v>
      </c>
      <c r="Y60" s="129"/>
      <c r="Z60" s="374" t="str">
        <f>P60</f>
        <v>Score</v>
      </c>
      <c r="AA60" s="374"/>
      <c r="AB60" s="130"/>
      <c r="AC60" s="374" t="str">
        <f>S60</f>
        <v>PK</v>
      </c>
      <c r="AD60" s="374"/>
      <c r="AF60" s="90"/>
      <c r="AG60" s="91"/>
      <c r="AH60" s="126" t="str">
        <f t="shared" ca="1" si="201"/>
        <v>Denmark</v>
      </c>
      <c r="AI60" s="129"/>
      <c r="AJ60" s="374" t="str">
        <f t="shared" ref="AJ60" si="211">Z60</f>
        <v>Score</v>
      </c>
      <c r="AK60" s="374"/>
      <c r="AL60" s="130"/>
      <c r="AM60" s="374" t="str">
        <f t="shared" ref="AM60" si="212">AC60</f>
        <v>PK</v>
      </c>
      <c r="AN60" s="374"/>
      <c r="AP60" s="90"/>
      <c r="AQ60" s="91"/>
      <c r="AR60" s="126" t="str">
        <f t="shared" ca="1" si="202"/>
        <v>England</v>
      </c>
      <c r="AS60" s="129"/>
      <c r="AT60" s="374" t="str">
        <f t="shared" ref="AT60" si="213">AJ60</f>
        <v>Score</v>
      </c>
      <c r="AU60" s="374"/>
      <c r="AV60" s="130"/>
      <c r="AW60" s="374" t="str">
        <f t="shared" ref="AW60" si="214">AM60</f>
        <v>PK</v>
      </c>
      <c r="AX60" s="374"/>
      <c r="AZ60" s="90"/>
      <c r="BA60" s="91"/>
      <c r="BB60" s="126" t="str">
        <f t="shared" ca="1" si="203"/>
        <v>England</v>
      </c>
      <c r="BC60" s="129"/>
      <c r="BD60" s="374" t="str">
        <f t="shared" ref="BD60" si="215">AT60</f>
        <v>Score</v>
      </c>
      <c r="BE60" s="374"/>
      <c r="BF60" s="130"/>
      <c r="BG60" s="374" t="str">
        <f t="shared" ref="BG60" si="216">AW60</f>
        <v>PK</v>
      </c>
      <c r="BH60" s="374"/>
      <c r="BJ60" s="90"/>
      <c r="BK60" s="91"/>
      <c r="BL60" s="126" t="str">
        <f t="shared" ca="1" si="204"/>
        <v>England</v>
      </c>
      <c r="BM60" s="129"/>
      <c r="BN60" s="374" t="str">
        <f t="shared" ref="BN60" si="217">BD60</f>
        <v>Score</v>
      </c>
      <c r="BO60" s="374"/>
      <c r="BP60" s="130"/>
      <c r="BQ60" s="374" t="str">
        <f t="shared" ref="BQ60" si="218">BG60</f>
        <v>PK</v>
      </c>
      <c r="BR60" s="374"/>
      <c r="BT60" s="90"/>
      <c r="BU60" s="91"/>
      <c r="BV60" s="126" t="str">
        <f t="shared" ca="1" si="205"/>
        <v>England</v>
      </c>
      <c r="BW60" s="129"/>
      <c r="BX60" s="374" t="str">
        <f t="shared" ref="BX60" si="219">BN60</f>
        <v>Score</v>
      </c>
      <c r="BY60" s="374"/>
      <c r="BZ60" s="130"/>
      <c r="CA60" s="374" t="str">
        <f t="shared" ref="CA60" si="220">BQ60</f>
        <v>PK</v>
      </c>
      <c r="CB60" s="374"/>
      <c r="CD60" s="90"/>
      <c r="CE60" s="91"/>
      <c r="CF60" s="126" t="str">
        <f t="shared" ca="1" si="206"/>
        <v>England</v>
      </c>
      <c r="CG60" s="129"/>
      <c r="CH60" s="374" t="str">
        <f t="shared" ref="CH60" si="221">BX60</f>
        <v>Score</v>
      </c>
      <c r="CI60" s="374"/>
      <c r="CJ60" s="130"/>
      <c r="CK60" s="374" t="str">
        <f t="shared" ref="CK60" si="222">CA60</f>
        <v>PK</v>
      </c>
      <c r="CL60" s="374"/>
      <c r="CN60" s="90"/>
      <c r="CO60" s="91"/>
      <c r="CP60" s="126" t="str">
        <f t="shared" ca="1" si="207"/>
        <v>Slovenia</v>
      </c>
      <c r="CQ60" s="129"/>
      <c r="CR60" s="374" t="str">
        <f t="shared" ref="CR60" si="223">CH60</f>
        <v>Score</v>
      </c>
      <c r="CS60" s="374"/>
      <c r="CT60" s="130"/>
      <c r="CU60" s="374" t="str">
        <f t="shared" ref="CU60" si="224">CK60</f>
        <v>PK</v>
      </c>
      <c r="CV60" s="374"/>
      <c r="CX60" s="90"/>
      <c r="CY60" s="91"/>
      <c r="CZ60" s="126" t="str">
        <f t="shared" ca="1" si="208"/>
        <v>England</v>
      </c>
      <c r="DA60" s="129"/>
      <c r="DB60" s="374" t="str">
        <f t="shared" ref="DB60" si="225">CR60</f>
        <v>Score</v>
      </c>
      <c r="DC60" s="374"/>
      <c r="DD60" s="130"/>
      <c r="DE60" s="374" t="str">
        <f t="shared" ref="DE60" si="226">CU60</f>
        <v>PK</v>
      </c>
      <c r="DF60" s="374"/>
      <c r="DH60" s="90"/>
      <c r="DI60" s="91"/>
    </row>
    <row r="61" spans="1:113" s="43" customFormat="1" ht="15" customHeight="1" x14ac:dyDescent="0.25">
      <c r="A61" s="41"/>
      <c r="B61" s="65"/>
      <c r="C61" s="92">
        <v>37</v>
      </c>
      <c r="D61" s="95" t="s">
        <v>116</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Netherlands</v>
      </c>
      <c r="Y61" s="74" t="str">
        <f ca="1">IF(KOGameRule=0,Y51,G61)</f>
        <v>Germany</v>
      </c>
      <c r="Z61" s="355">
        <v>3</v>
      </c>
      <c r="AA61" s="35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342">
        <v>1</v>
      </c>
      <c r="AK61" s="342">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329">
        <v>3</v>
      </c>
      <c r="BO61" s="330">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331">
        <v>2</v>
      </c>
      <c r="BY61" s="331">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355">
        <v>3</v>
      </c>
      <c r="CI61" s="35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116</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c r="Q62" s="75"/>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53">
        <v>1</v>
      </c>
      <c r="AA62" s="353">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340">
        <v>1</v>
      </c>
      <c r="AK62" s="340">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331">
        <v>0</v>
      </c>
      <c r="BO62" s="332">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329">
        <v>1</v>
      </c>
      <c r="BY62" s="329">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353">
        <v>0</v>
      </c>
      <c r="CI62" s="353">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75"/>
      <c r="CS62" s="75"/>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75"/>
      <c r="DC62" s="75"/>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116</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c r="Q63" s="75"/>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353">
        <v>3</v>
      </c>
      <c r="AA63" s="353">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340">
        <v>1</v>
      </c>
      <c r="AK63" s="340">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331">
        <v>0</v>
      </c>
      <c r="BO63" s="332">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329">
        <v>2</v>
      </c>
      <c r="BY63" s="329">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353">
        <v>3</v>
      </c>
      <c r="CI63" s="353">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75"/>
      <c r="DC63" s="75"/>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116</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England</v>
      </c>
      <c r="P64" s="75"/>
      <c r="Q64" s="75"/>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53">
        <v>2</v>
      </c>
      <c r="AA64" s="353">
        <v>0</v>
      </c>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Scotland</v>
      </c>
      <c r="AI64" s="74" t="str">
        <f ca="1">IF(KOGameRule=0,AI53,G64)</f>
        <v>Denmark</v>
      </c>
      <c r="AJ64" s="340">
        <v>1</v>
      </c>
      <c r="AK64" s="340">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331">
        <v>2</v>
      </c>
      <c r="BO64" s="332">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329">
        <v>2</v>
      </c>
      <c r="BY64" s="329">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353">
        <v>1</v>
      </c>
      <c r="CI64" s="353">
        <v>1</v>
      </c>
      <c r="CJ64" s="76" t="str">
        <f ca="1">IF(KOGameRule=0,OFFSET('Dummy Table'!IU19,0,CF51),J64)</f>
        <v>Türkiye</v>
      </c>
      <c r="CK64" s="79">
        <v>4</v>
      </c>
      <c r="CL64" s="79">
        <v>3</v>
      </c>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75"/>
      <c r="CS64" s="75"/>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75"/>
      <c r="DC64" s="75"/>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116</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353">
        <v>2</v>
      </c>
      <c r="AA65" s="353">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340">
        <v>1</v>
      </c>
      <c r="AK65" s="340">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331">
        <v>2</v>
      </c>
      <c r="BO65" s="332">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329">
        <v>1</v>
      </c>
      <c r="BY65" s="329">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Italy</v>
      </c>
      <c r="CG65" s="74" t="str">
        <f ca="1">IF(KOGameRule=0,CG56,G65)</f>
        <v>Portugal</v>
      </c>
      <c r="CH65" s="353">
        <v>2</v>
      </c>
      <c r="CI65" s="353">
        <v>2</v>
      </c>
      <c r="CJ65" s="76" t="str">
        <f ca="1">IF(KOGameRule=0,OFFSET('Dummy Table'!IU21,0,CF51),J65)</f>
        <v>Switzerland</v>
      </c>
      <c r="CK65" s="79">
        <v>5</v>
      </c>
      <c r="CL65" s="79">
        <v>3</v>
      </c>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75"/>
      <c r="CS65" s="75"/>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75"/>
      <c r="DC65" s="75"/>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116</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353">
        <v>2</v>
      </c>
      <c r="AA66" s="353">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340">
        <v>1</v>
      </c>
      <c r="AK66" s="340">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331">
        <v>3</v>
      </c>
      <c r="BO66" s="332">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29">
        <v>3</v>
      </c>
      <c r="BY66" s="329">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353">
        <v>2</v>
      </c>
      <c r="CI66" s="353">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75"/>
      <c r="CS66" s="75"/>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116</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Croatia</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353">
        <v>3</v>
      </c>
      <c r="AA67" s="353">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340">
        <v>1</v>
      </c>
      <c r="AK67" s="340">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331">
        <v>2</v>
      </c>
      <c r="BO67" s="332">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29">
        <v>0</v>
      </c>
      <c r="BY67" s="329">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353">
        <v>0</v>
      </c>
      <c r="CI67" s="353">
        <v>0</v>
      </c>
      <c r="CJ67" s="76" t="str">
        <f ca="1">IF(KOGameRule=0,OFFSET('Dummy Table'!IU20,0,CF51),J67)</f>
        <v>Croatia</v>
      </c>
      <c r="CK67" s="79">
        <v>4</v>
      </c>
      <c r="CL67" s="79">
        <v>5</v>
      </c>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116</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354">
        <v>2</v>
      </c>
      <c r="AA68" s="354">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341">
        <v>1</v>
      </c>
      <c r="AK68" s="341">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333">
        <v>1</v>
      </c>
      <c r="BO68" s="334">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339">
        <v>2</v>
      </c>
      <c r="BY68" s="339">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354">
        <v>3</v>
      </c>
      <c r="CI68" s="354">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75"/>
      <c r="CS68" s="75"/>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117</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357">
        <v>2</v>
      </c>
      <c r="AA69" s="357">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344">
        <v>2</v>
      </c>
      <c r="AK69" s="344">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335">
        <v>1</v>
      </c>
      <c r="BO69" s="336">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348">
        <v>3</v>
      </c>
      <c r="BY69" s="348">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357">
        <v>0</v>
      </c>
      <c r="CI69" s="357">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117</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356">
        <v>1</v>
      </c>
      <c r="AA70" s="356">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343">
        <v>1</v>
      </c>
      <c r="AK70" s="343">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335">
        <v>2</v>
      </c>
      <c r="BO70" s="336">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349">
        <v>2</v>
      </c>
      <c r="BY70" s="349">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 ca="1">IF(KOGameRule=1,G70,IF(AND(CH65&lt;&gt;"",CI65&lt;&gt;""),IF((CH65+CK65)&gt;(CI65+CL65),CG65,IF((CH65+CK65)&lt;(CI65+CL65),CJ65,Matches!G53)),Matches!G53))</f>
        <v>Portugal</v>
      </c>
      <c r="CH70" s="356">
        <v>1</v>
      </c>
      <c r="CI70" s="356">
        <v>1</v>
      </c>
      <c r="CJ70" s="76" t="str">
        <f ca="1">IF(KOGameRule=1,J70,IF(AND(CH66&lt;&gt;"",CI66&lt;&gt;""),IF((CH66+CK66)&gt;(CI66+CL66),CG66,IF((CH66+CK66)&lt;(CI66+CL66),CJ66,Matches!J53)),Matches!J53))</f>
        <v>Netherlands</v>
      </c>
      <c r="CK70" s="79">
        <v>4</v>
      </c>
      <c r="CL70" s="79">
        <v>5</v>
      </c>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117</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356">
        <v>3</v>
      </c>
      <c r="AA71" s="356">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343">
        <v>2</v>
      </c>
      <c r="AK71" s="343">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335">
        <v>1</v>
      </c>
      <c r="BO71" s="336">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349">
        <v>1</v>
      </c>
      <c r="BY71" s="349">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 ca="1">IF(KOGameRule=1,G71,IF(AND(CH67&lt;&gt;"",CI67&lt;&gt;""),IF((CH67+CK67)&gt;(CI67+CL67),CG67,IF((CH67+CK67)&lt;(CI67+CL67),CJ67,Matches!G54)),Matches!G54))</f>
        <v>Croatia</v>
      </c>
      <c r="CH71" s="356">
        <v>0</v>
      </c>
      <c r="CI71" s="356">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58">
        <v>2</v>
      </c>
      <c r="AA72" s="358">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345">
        <v>1</v>
      </c>
      <c r="AK72" s="34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337">
        <v>1</v>
      </c>
      <c r="BO72" s="338">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350">
        <v>0</v>
      </c>
      <c r="BY72" s="350">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 ca="1">IF(KOGameRule=1,G72,IF(AND(CH64&lt;&gt;"",CI64&lt;&gt;""),IF((CH64+CK64)&gt;(CI64+CL64),CG64,IF((CH64+CK64)&lt;(CI64+CL64),CJ64,Matches!G55)),Matches!G55))</f>
        <v>England</v>
      </c>
      <c r="CH72" s="358">
        <v>1</v>
      </c>
      <c r="CI72" s="358">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118</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347">
        <v>1</v>
      </c>
      <c r="AA73" s="347">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347">
        <v>1</v>
      </c>
      <c r="AK73" s="347">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331">
        <v>3</v>
      </c>
      <c r="BO73" s="332">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331">
        <v>3</v>
      </c>
      <c r="BY73" s="331">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347">
        <v>2</v>
      </c>
      <c r="CI73" s="347">
        <v>0</v>
      </c>
      <c r="CJ73" s="76" t="str">
        <f ca="1">IF(KOGameRule=1,J73,IF(AND(CH70&lt;&gt;"",CI70&lt;&gt;""),IF((CH70+CK70)&gt;(CI70+CL70),CG70,IF((CH70+CK70)&lt;(CI70+CL70),CJ70,Matches!J56)),Matches!J56))</f>
        <v>Netherlands</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118</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346">
        <v>2</v>
      </c>
      <c r="AA74" s="346">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346">
        <v>2</v>
      </c>
      <c r="AK74" s="346">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333">
        <v>0</v>
      </c>
      <c r="BO74" s="334">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9">
        <v>2</v>
      </c>
      <c r="BY74" s="339">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346">
        <v>1</v>
      </c>
      <c r="CI74" s="346">
        <v>1</v>
      </c>
      <c r="CJ74" s="114" t="str">
        <f ca="1">IF(KOGameRule=1,J74,IF(AND(CH72&lt;&gt;"",CI72&lt;&gt;""),IF((CH72+CK72)&gt;(CI72+CL72),CG72,IF((CH72+CK72)&lt;(CI72+CL72),CJ72,Matches!J57)),Matches!J57))</f>
        <v>Italy</v>
      </c>
      <c r="CK74" s="100">
        <v>4</v>
      </c>
      <c r="CL74" s="100">
        <v>5</v>
      </c>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110</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331">
        <v>3</v>
      </c>
      <c r="BO75" s="332">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 ca="1">IF(KOGameRule=1,J75,IF(AND(CH74&lt;&gt;"",CI74&lt;&gt;""),IF((CH74+CK74)&gt;(CI74+CL74),CG74,IF((CH74+CK74)&lt;(CI74+CL74),CJ74,Matches!J58)),Matches!J58))</f>
        <v>Italy</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413" t="s">
        <v>119</v>
      </c>
      <c r="D78" s="414"/>
      <c r="E78" s="414"/>
      <c r="F78" s="414"/>
      <c r="G78" s="395" t="str">
        <f>UPPER(IF(AND(H75&lt;&gt;"",I75&lt;&gt;""),IF((H75+K75)&gt;(I75+L75),G75,IF((H75+K75)&lt;(I75+L75),J75,'Language Table'!C77)),'Language Table'!C77))</f>
        <v>MATCH 51 WINNER</v>
      </c>
      <c r="H78" s="395"/>
      <c r="I78" s="395"/>
      <c r="J78" s="395"/>
      <c r="K78" s="395"/>
      <c r="L78" s="396"/>
      <c r="M78" s="89"/>
      <c r="N78" s="193"/>
      <c r="O78" s="122" t="str">
        <f>C78</f>
        <v>CHAMPION</v>
      </c>
      <c r="P78" s="375" t="str">
        <f>UPPER(IF(KOGameRule=1,G78,IF(AND(P75&lt;&gt;"",Q75&lt;&gt;""),IF(P75&gt;Q75,O75,IF(P75&lt;Q75,R75,IF(S75&gt;T75,O75,IF(S75&lt;T75,R75,"Match 51 Winner")))),"Match 51 Winner")))</f>
        <v>MATCH 51 WINNER</v>
      </c>
      <c r="Q78" s="375"/>
      <c r="R78" s="375"/>
      <c r="S78" s="375"/>
      <c r="T78" s="375"/>
      <c r="U78" s="376"/>
      <c r="V78" s="380" t="s">
        <v>120</v>
      </c>
      <c r="W78" s="381"/>
      <c r="X78" s="273"/>
      <c r="Y78" s="122" t="str">
        <f>O78</f>
        <v>CHAMPION</v>
      </c>
      <c r="Z78" s="375" t="str">
        <f ca="1">UPPER(IF(KOGameRule=1,G78,IF(AND(Z75&lt;&gt;"",AA75&lt;&gt;""),IF(Z75&gt;AA75,Y75,IF(Z75&lt;AA75,AB75,IF(AC75&gt;AD75,Y75,IF(AC75&lt;AD75,AB75,"Match 51 Winner")))),"Match 51 Winner")))</f>
        <v>FRANCE</v>
      </c>
      <c r="AA78" s="375"/>
      <c r="AB78" s="375"/>
      <c r="AC78" s="375"/>
      <c r="AD78" s="375"/>
      <c r="AE78" s="375"/>
      <c r="AF78" s="380" t="s">
        <v>120</v>
      </c>
      <c r="AG78" s="381"/>
      <c r="AH78" s="193"/>
      <c r="AI78" s="122" t="str">
        <f t="shared" ref="AI78:AI81" si="269">Y78</f>
        <v>CHAMPION</v>
      </c>
      <c r="AJ78" s="375" t="str">
        <f ca="1">UPPER(IF(KOGameRule=1,G78,IF(AND(AJ75&lt;&gt;"",AK75&lt;&gt;""),IF(AJ75&gt;AK75,AI75,IF(AJ75&lt;AK75,AL75,IF(AM75&gt;AN75,AI75,IF(AM75&lt;AN75,AL75,"Match 51 Winner")))),"Match 51 Winner")))</f>
        <v>SPAIN</v>
      </c>
      <c r="AK78" s="375"/>
      <c r="AL78" s="375"/>
      <c r="AM78" s="375"/>
      <c r="AN78" s="375"/>
      <c r="AO78" s="375"/>
      <c r="AP78" s="380" t="s">
        <v>120</v>
      </c>
      <c r="AQ78" s="381"/>
      <c r="AR78" s="193"/>
      <c r="AS78" s="122" t="str">
        <f t="shared" ref="AS78:AS81" si="270">AI78</f>
        <v>CHAMPION</v>
      </c>
      <c r="AT78" s="375" t="str">
        <f ca="1">UPPER(IF(KOGameRule=1,G78,IF(AND(AT75&lt;&gt;"",AU75&lt;&gt;""),IF(AT75&gt;AU75,AS75,IF(AT75&lt;AU75,AV75,IF(AW75&gt;AX75,AS75,IF(AW75&lt;AX75,AV75,"Match 51 Winner")))),"Match 51 Winner")))</f>
        <v>ENGLAND</v>
      </c>
      <c r="AU78" s="375"/>
      <c r="AV78" s="375"/>
      <c r="AW78" s="375"/>
      <c r="AX78" s="375"/>
      <c r="AY78" s="375"/>
      <c r="AZ78" s="380" t="s">
        <v>120</v>
      </c>
      <c r="BA78" s="381"/>
      <c r="BB78" s="193"/>
      <c r="BC78" s="122" t="str">
        <f t="shared" ref="BC78:BC81" si="271">AS78</f>
        <v>CHAMPION</v>
      </c>
      <c r="BD78" s="375" t="str">
        <f ca="1">UPPER(IF(KOGameRule=1,G78,IF(AND(BD75&lt;&gt;"",BE75&lt;&gt;""),IF(BD75&gt;BE75,BC75,IF(BD75&lt;BE75,BF75,IF(BG75&gt;BH75,BC75,IF(BG75&lt;BH75,BF75,"Match 51 Winner")))),"Match 51 Winner")))</f>
        <v>GERMANY</v>
      </c>
      <c r="BE78" s="375"/>
      <c r="BF78" s="375"/>
      <c r="BG78" s="375"/>
      <c r="BH78" s="375"/>
      <c r="BI78" s="375"/>
      <c r="BJ78" s="380" t="s">
        <v>120</v>
      </c>
      <c r="BK78" s="381"/>
      <c r="BL78" s="193"/>
      <c r="BM78" s="122" t="str">
        <f t="shared" ref="BM78:BM81" si="272">BC78</f>
        <v>CHAMPION</v>
      </c>
      <c r="BN78" s="375" t="str">
        <f ca="1">UPPER(IF(KOGameRule=1,G78,IF(AND(BN75&lt;&gt;"",BO75&lt;&gt;""),IF(BN75&gt;BO75,BM75,IF(BN75&lt;BO75,BP75,IF(BQ75&gt;BR75,BM75,IF(BQ75&lt;BR75,BP75,"Match 51 Winner")))),"Match 51 Winner")))</f>
        <v>GERMANY</v>
      </c>
      <c r="BO78" s="375"/>
      <c r="BP78" s="375"/>
      <c r="BQ78" s="375"/>
      <c r="BR78" s="375"/>
      <c r="BS78" s="375"/>
      <c r="BT78" s="380" t="s">
        <v>120</v>
      </c>
      <c r="BU78" s="381"/>
      <c r="BV78" s="193"/>
      <c r="BW78" s="122" t="str">
        <f t="shared" ref="BW78:BW81" si="273">BM78</f>
        <v>CHAMPION</v>
      </c>
      <c r="BX78" s="375" t="str">
        <f ca="1">UPPER(IF(KOGameRule=1,G78,IF(AND(BX75&lt;&gt;"",BY75&lt;&gt;""),IF(BX75&gt;BY75,BW75,IF(BX75&lt;BY75,BZ75,IF(CA75&gt;CB75,BW75,IF(CA75&lt;CB75,BZ75,"Match 51 Winner")))),"Match 51 Winner")))</f>
        <v>SPAIN</v>
      </c>
      <c r="BY78" s="375"/>
      <c r="BZ78" s="375"/>
      <c r="CA78" s="375"/>
      <c r="CB78" s="375"/>
      <c r="CC78" s="375"/>
      <c r="CD78" s="380" t="s">
        <v>120</v>
      </c>
      <c r="CE78" s="381"/>
      <c r="CF78" s="193"/>
      <c r="CG78" s="122" t="str">
        <f t="shared" ref="CG78:CG81" si="274">BW78</f>
        <v>CHAMPION</v>
      </c>
      <c r="CH78" s="375" t="str">
        <f ca="1">UPPER(IF(KOGameRule=1,G78,IF(AND(CH75&lt;&gt;"",CI75&lt;&gt;""),IF(CH75&gt;CI75,CG75,IF(CH75&lt;CI75,CJ75,IF(CK75&gt;CL75,CG75,IF(CK75&lt;CL75,CJ75,"Match 51 Winner")))),"Match 51 Winner")))</f>
        <v>GERMANY</v>
      </c>
      <c r="CI78" s="375"/>
      <c r="CJ78" s="375"/>
      <c r="CK78" s="375"/>
      <c r="CL78" s="375"/>
      <c r="CM78" s="375"/>
      <c r="CN78" s="380" t="s">
        <v>120</v>
      </c>
      <c r="CO78" s="381"/>
      <c r="CP78" s="193"/>
      <c r="CQ78" s="122" t="str">
        <f t="shared" ref="CQ78:CQ81" si="275">CG78</f>
        <v>CHAMPION</v>
      </c>
      <c r="CR78" s="375" t="str">
        <f>UPPER(IF(KOGameRule=1,G78,IF(AND(CR75&lt;&gt;"",CS75&lt;&gt;""),IF(CR75&gt;CS75,CQ75,IF(CR75&lt;CS75,CT75,IF(CU75&gt;CV75,CQ75,IF(CU75&lt;CV75,CT75,"Match 51 Winner")))),"Match 51 Winner")))</f>
        <v>MATCH 51 WINNER</v>
      </c>
      <c r="CS78" s="375"/>
      <c r="CT78" s="375"/>
      <c r="CU78" s="375"/>
      <c r="CV78" s="375"/>
      <c r="CW78" s="375"/>
      <c r="CX78" s="380" t="s">
        <v>120</v>
      </c>
      <c r="CY78" s="381"/>
      <c r="CZ78" s="193"/>
      <c r="DA78" s="122" t="str">
        <f t="shared" ref="DA78:DA81" si="276">CQ78</f>
        <v>CHAMPION</v>
      </c>
      <c r="DB78" s="375" t="str">
        <f>UPPER(IF(KOGameRule=1,G78,IF(AND(DB75&lt;&gt;"",DC75&lt;&gt;""),IF(DB75&gt;DC75,DA75,IF(DB75&lt;DC75,DD75,IF(DE75&gt;DF75,DA75,IF(DE75&lt;DF75,DD75,"Match 51 Winner")))),"Match 51 Winner")))</f>
        <v>MATCH 51 WINNER</v>
      </c>
      <c r="DC78" s="375"/>
      <c r="DD78" s="375"/>
      <c r="DE78" s="375"/>
      <c r="DF78" s="375"/>
      <c r="DG78" s="375"/>
      <c r="DH78" s="380" t="s">
        <v>120</v>
      </c>
      <c r="DI78" s="381"/>
    </row>
    <row r="79" spans="1:113" s="43" customFormat="1" ht="15" customHeight="1" x14ac:dyDescent="0.25">
      <c r="A79" s="41"/>
      <c r="B79" s="65"/>
      <c r="C79" s="404" t="s">
        <v>121</v>
      </c>
      <c r="D79" s="405"/>
      <c r="E79" s="405"/>
      <c r="F79" s="405"/>
      <c r="G79" s="395" t="str">
        <f>UPPER(IF(AND(H75&lt;&gt;"",I75&lt;&gt;""),IF((H75+K75)&gt;(I75+L75),J75,IF((H75+K75)&lt;(I75+L75),G75,"Match 51 Loser")),"Match 51 Loser"))</f>
        <v>MATCH 51 LOSER</v>
      </c>
      <c r="H79" s="395"/>
      <c r="I79" s="395"/>
      <c r="J79" s="395"/>
      <c r="K79" s="395"/>
      <c r="L79" s="396"/>
      <c r="M79" s="89"/>
      <c r="O79" s="122" t="str">
        <f t="shared" ref="O79:O81" si="277">C79</f>
        <v>RUNNER UP</v>
      </c>
      <c r="P79" s="386" t="str">
        <f>UPPER(IF(KOGameRule=1,G79,IF(AND(P75&lt;&gt;"",Q75&lt;&gt;""),IF(P75&gt;Q75,R75,IF(P75&lt;Q75,O75,IF(S75&gt;T75,R75,IF(S75&lt;T75,O75,"Match 51 Loser")))),"Match 51 Loser")))</f>
        <v>MATCH 51 LOSER</v>
      </c>
      <c r="Q79" s="386"/>
      <c r="R79" s="386"/>
      <c r="S79" s="386"/>
      <c r="T79" s="386"/>
      <c r="U79" s="412"/>
      <c r="V79" s="382"/>
      <c r="W79" s="383"/>
      <c r="Y79" s="122" t="str">
        <f t="shared" ref="Y79:Y81" si="278">O79</f>
        <v>RUNNER UP</v>
      </c>
      <c r="Z79" s="386" t="str">
        <f ca="1">UPPER(IF(KOGameRule=1,G79,IF(AND(Z75&lt;&gt;"",AA75&lt;&gt;""),IF(Z75&gt;AA75,AB75,IF(Z75&lt;AA75,Y75,IF(AC75&gt;AD75,AB75,IF(AC75&lt;AD75,Y75,"Match 51 Loser")))),"Match 51 Loser")))</f>
        <v>BELGIUM</v>
      </c>
      <c r="AA79" s="386"/>
      <c r="AB79" s="386"/>
      <c r="AC79" s="386"/>
      <c r="AD79" s="386"/>
      <c r="AE79" s="386"/>
      <c r="AF79" s="382"/>
      <c r="AG79" s="383"/>
      <c r="AI79" s="122" t="str">
        <f t="shared" si="269"/>
        <v>RUNNER UP</v>
      </c>
      <c r="AJ79" s="386" t="str">
        <f ca="1">UPPER(IF(KOGameRule=1,G79,IF(AND(AJ75&lt;&gt;"",AK75&lt;&gt;""),IF(AJ75&gt;AK75,AL75,IF(AJ75&lt;AK75,AI75,IF(AM75&gt;AN75,AL75,IF(AM75&lt;AN75,AI75,"Match 51 Loser")))),"Match 51 Loser")))</f>
        <v>CROATIA</v>
      </c>
      <c r="AK79" s="386"/>
      <c r="AL79" s="386"/>
      <c r="AM79" s="386"/>
      <c r="AN79" s="386"/>
      <c r="AO79" s="386"/>
      <c r="AP79" s="382"/>
      <c r="AQ79" s="383"/>
      <c r="AS79" s="122" t="str">
        <f t="shared" si="270"/>
        <v>RUNNER UP</v>
      </c>
      <c r="AT79" s="386" t="str">
        <f ca="1">UPPER(IF(KOGameRule=1,G79,IF(AND(AT75&lt;&gt;"",AU75&lt;&gt;""),IF(AT75&gt;AU75,AV75,IF(AT75&lt;AU75,AS75,IF(AW75&gt;AX75,AV75,IF(AW75&lt;AX75,AS75,"Match 51 Loser")))),"Match 51 Loser")))</f>
        <v>GERMANY</v>
      </c>
      <c r="AU79" s="386"/>
      <c r="AV79" s="386"/>
      <c r="AW79" s="386"/>
      <c r="AX79" s="386"/>
      <c r="AY79" s="386"/>
      <c r="AZ79" s="382"/>
      <c r="BA79" s="383"/>
      <c r="BC79" s="122" t="str">
        <f t="shared" si="271"/>
        <v>RUNNER UP</v>
      </c>
      <c r="BD79" s="386" t="str">
        <f ca="1">UPPER(IF(KOGameRule=1,G79,IF(AND(BD75&lt;&gt;"",BE75&lt;&gt;""),IF(BD75&gt;BE75,BF75,IF(BD75&lt;BE75,BC75,IF(BG75&gt;BH75,BF75,IF(BG75&lt;BH75,BC75,"Match 51 Loser")))),"Match 51 Loser")))</f>
        <v>FRANCE</v>
      </c>
      <c r="BE79" s="386"/>
      <c r="BF79" s="386"/>
      <c r="BG79" s="386"/>
      <c r="BH79" s="386"/>
      <c r="BI79" s="386"/>
      <c r="BJ79" s="382"/>
      <c r="BK79" s="383"/>
      <c r="BM79" s="122" t="str">
        <f t="shared" si="272"/>
        <v>RUNNER UP</v>
      </c>
      <c r="BN79" s="386" t="str">
        <f ca="1">UPPER(IF(KOGameRule=1,G79,IF(AND(BN75&lt;&gt;"",BO75&lt;&gt;""),IF(BN75&gt;BO75,BP75,IF(BN75&lt;BO75,BM75,IF(BQ75&gt;BR75,BP75,IF(BQ75&lt;BR75,BM75,"Match 51 Loser")))),"Match 51 Loser")))</f>
        <v>SPAIN</v>
      </c>
      <c r="BO79" s="386"/>
      <c r="BP79" s="386"/>
      <c r="BQ79" s="386"/>
      <c r="BR79" s="386"/>
      <c r="BS79" s="386"/>
      <c r="BT79" s="382"/>
      <c r="BU79" s="383"/>
      <c r="BW79" s="122" t="str">
        <f t="shared" si="273"/>
        <v>RUNNER UP</v>
      </c>
      <c r="BX79" s="386" t="str">
        <f ca="1">UPPER(IF(KOGameRule=1,G79,IF(AND(BX75&lt;&gt;"",BY75&lt;&gt;""),IF(BX75&gt;BY75,BZ75,IF(BX75&lt;BY75,BW75,IF(CA75&gt;CB75,BZ75,IF(CA75&lt;CB75,BW75,"Match 51 Loser")))),"Match 51 Loser")))</f>
        <v>ITALY</v>
      </c>
      <c r="BY79" s="386"/>
      <c r="BZ79" s="386"/>
      <c r="CA79" s="386"/>
      <c r="CB79" s="386"/>
      <c r="CC79" s="386"/>
      <c r="CD79" s="382"/>
      <c r="CE79" s="383"/>
      <c r="CG79" s="122" t="str">
        <f t="shared" si="274"/>
        <v>RUNNER UP</v>
      </c>
      <c r="CH79" s="386" t="str">
        <f ca="1">UPPER(IF(KOGameRule=1,G79,IF(AND(CH75&lt;&gt;"",CI75&lt;&gt;""),IF(CH75&gt;CI75,CJ75,IF(CH75&lt;CI75,CG75,IF(CK75&gt;CL75,CJ75,IF(CK75&lt;CL75,CG75,"Match 51 Loser")))),"Match 51 Loser")))</f>
        <v>ITALY</v>
      </c>
      <c r="CI79" s="386"/>
      <c r="CJ79" s="386"/>
      <c r="CK79" s="386"/>
      <c r="CL79" s="386"/>
      <c r="CM79" s="386"/>
      <c r="CN79" s="382"/>
      <c r="CO79" s="383"/>
      <c r="CQ79" s="122" t="str">
        <f t="shared" si="275"/>
        <v>RUNNER UP</v>
      </c>
      <c r="CR79" s="386" t="str">
        <f>UPPER(IF(KOGameRule=1,G79,IF(AND(CR75&lt;&gt;"",CS75&lt;&gt;""),IF(CR75&gt;CS75,CT75,IF(CR75&lt;CS75,CQ75,IF(CU75&gt;CV75,CT75,IF(CU75&lt;CV75,CQ75,"Match 51 Loser")))),"Match 51 Loser")))</f>
        <v>MATCH 51 LOSER</v>
      </c>
      <c r="CS79" s="386"/>
      <c r="CT79" s="386"/>
      <c r="CU79" s="386"/>
      <c r="CV79" s="386"/>
      <c r="CW79" s="386"/>
      <c r="CX79" s="382"/>
      <c r="CY79" s="383"/>
      <c r="DA79" s="122" t="str">
        <f t="shared" si="276"/>
        <v>RUNNER UP</v>
      </c>
      <c r="DB79" s="386" t="str">
        <f>UPPER(IF(KOGameRule=1,G79,IF(AND(DB75&lt;&gt;"",DC75&lt;&gt;""),IF(DB75&gt;DC75,DD75,IF(DB75&lt;DC75,DA75,IF(DE75&gt;DF75,DD75,IF(DE75&lt;DF75,DA75,"Match 51 Loser")))),"Match 51 Loser")))</f>
        <v>MATCH 51 LOSER</v>
      </c>
      <c r="DC79" s="386"/>
      <c r="DD79" s="386"/>
      <c r="DE79" s="386"/>
      <c r="DF79" s="386"/>
      <c r="DG79" s="386"/>
      <c r="DH79" s="382"/>
      <c r="DI79" s="383"/>
    </row>
    <row r="80" spans="1:113" s="43" customFormat="1" ht="15" customHeight="1" x14ac:dyDescent="0.25">
      <c r="A80" s="41"/>
      <c r="B80" s="65"/>
      <c r="C80" s="404" t="s">
        <v>122</v>
      </c>
      <c r="D80" s="405"/>
      <c r="E80" s="405"/>
      <c r="F80" s="405"/>
      <c r="G80" s="395" t="str">
        <f>IF(AND(H73&lt;&gt;"",I73&lt;&gt;""),IF((H73+K73)&gt;(I73+L73),J73,IF((H73+K73)&lt;(I73+L73),G73,"Match 49 Loser")),"Match 49 Loser")</f>
        <v>Match 49 Loser</v>
      </c>
      <c r="H80" s="395"/>
      <c r="I80" s="395"/>
      <c r="J80" s="395"/>
      <c r="K80" s="395"/>
      <c r="L80" s="396"/>
      <c r="M80" s="89"/>
      <c r="O80" s="122" t="str">
        <f t="shared" si="277"/>
        <v>SEMIFINALIST 1</v>
      </c>
      <c r="P80" s="386" t="str">
        <f>IF(KOGameRule=1,G80,IF(AND(P73&lt;&gt;"",Q73&lt;&gt;""),IF((P73+S73)&gt;(Q73+T73),R73,IF((P73+S73)&lt;(Q73+T73),O73,"Match 49 Loser")),"Match 49 Loser"))</f>
        <v>Match 49 Loser</v>
      </c>
      <c r="Q80" s="386"/>
      <c r="R80" s="386"/>
      <c r="S80" s="386"/>
      <c r="T80" s="386"/>
      <c r="U80" s="412"/>
      <c r="V80" s="382"/>
      <c r="W80" s="383"/>
      <c r="Y80" s="122" t="str">
        <f t="shared" si="278"/>
        <v>SEMIFINALIST 1</v>
      </c>
      <c r="Z80" s="386" t="str">
        <f ca="1">IF(KOGameRule=1,G80,IF(AND(Z73&lt;&gt;"",AA73&lt;&gt;""),IF((Z73+AC73)&gt;(AA73+AD73),AB73,IF((Z73+AC73)&lt;(AA73+AD73),Y73,"Match 49 Loser")),"Match 49 Loser"))</f>
        <v>Germany</v>
      </c>
      <c r="AA80" s="386"/>
      <c r="AB80" s="386"/>
      <c r="AC80" s="386"/>
      <c r="AD80" s="386"/>
      <c r="AE80" s="386"/>
      <c r="AF80" s="382"/>
      <c r="AG80" s="383"/>
      <c r="AI80" s="122" t="str">
        <f t="shared" si="269"/>
        <v>SEMIFINALIST 1</v>
      </c>
      <c r="AJ80" s="386" t="str">
        <f ca="1">IF(KOGameRule=1,G80,IF(AND(AJ73&lt;&gt;"",AK73&lt;&gt;""),IF((AJ73+AM73)&gt;(AK73+AN73),AL73,IF((AJ73+AM73)&lt;(AK73+AN73),AI73,"Match 49 Loser")),"Match 49 Loser"))</f>
        <v>Portugal</v>
      </c>
      <c r="AK80" s="386"/>
      <c r="AL80" s="386"/>
      <c r="AM80" s="386"/>
      <c r="AN80" s="386"/>
      <c r="AO80" s="386"/>
      <c r="AP80" s="382"/>
      <c r="AQ80" s="383"/>
      <c r="AS80" s="122" t="str">
        <f t="shared" si="270"/>
        <v>SEMIFINALIST 1</v>
      </c>
      <c r="AT80" s="386" t="str">
        <f ca="1">IF(KOGameRule=1,G80,IF(AND(AT73&lt;&gt;"",AU73&lt;&gt;""),IF((AT73+AW73)&gt;(AU73+AX73),AV73,IF((AT73+AW73)&lt;(AU73+AX73),AS73,"Match 49 Loser")),"Match 49 Loser"))</f>
        <v>Italy</v>
      </c>
      <c r="AU80" s="386"/>
      <c r="AV80" s="386"/>
      <c r="AW80" s="386"/>
      <c r="AX80" s="386"/>
      <c r="AY80" s="386"/>
      <c r="AZ80" s="382"/>
      <c r="BA80" s="383"/>
      <c r="BC80" s="122" t="str">
        <f t="shared" si="271"/>
        <v>SEMIFINALIST 1</v>
      </c>
      <c r="BD80" s="386" t="str">
        <f ca="1">IF(KOGameRule=1,G80,IF(AND(BD73&lt;&gt;"",BE73&lt;&gt;""),IF((BD73+BG73)&gt;(BE73+BH73),BF73,IF((BD73+BG73)&lt;(BE73+BH73),BC73,"Match 49 Loser")),"Match 49 Loser"))</f>
        <v>Italy</v>
      </c>
      <c r="BE80" s="386"/>
      <c r="BF80" s="386"/>
      <c r="BG80" s="386"/>
      <c r="BH80" s="386"/>
      <c r="BI80" s="386"/>
      <c r="BJ80" s="382"/>
      <c r="BK80" s="383"/>
      <c r="BM80" s="122" t="str">
        <f t="shared" si="272"/>
        <v>SEMIFINALIST 1</v>
      </c>
      <c r="BN80" s="386" t="str">
        <f ca="1">IF(KOGameRule=1,G80,IF(AND(BN73&lt;&gt;"",BO73&lt;&gt;""),IF((BN73+BQ73)&gt;(BO73+BR73),BP73,IF((BN73+BQ73)&lt;(BO73+BR73),BM73,"Match 49 Loser")),"Match 49 Loser"))</f>
        <v>Italy</v>
      </c>
      <c r="BO80" s="386"/>
      <c r="BP80" s="386"/>
      <c r="BQ80" s="386"/>
      <c r="BR80" s="386"/>
      <c r="BS80" s="386"/>
      <c r="BT80" s="382"/>
      <c r="BU80" s="383"/>
      <c r="BW80" s="122" t="str">
        <f t="shared" si="273"/>
        <v>SEMIFINALIST 1</v>
      </c>
      <c r="BX80" s="386" t="str">
        <f ca="1">IF(KOGameRule=1,G80,IF(AND(BX73&lt;&gt;"",BY73&lt;&gt;""),IF((BX73+CA73)&gt;(BY73+CB73),BZ73,IF((BX73+CA73)&lt;(BY73+CB73),BW73,"Match 49 Loser")),"Match 49 Loser"))</f>
        <v>Portugal</v>
      </c>
      <c r="BY80" s="386"/>
      <c r="BZ80" s="386"/>
      <c r="CA80" s="386"/>
      <c r="CB80" s="386"/>
      <c r="CC80" s="386"/>
      <c r="CD80" s="382"/>
      <c r="CE80" s="383"/>
      <c r="CG80" s="122" t="str">
        <f t="shared" si="274"/>
        <v>SEMIFINALIST 1</v>
      </c>
      <c r="CH80" s="386" t="str">
        <f ca="1">IF(KOGameRule=1,G80,IF(AND(CH73&lt;&gt;"",CI73&lt;&gt;""),IF((CH73+CK73)&gt;(CI73+CL73),CJ73,IF((CH73+CK73)&lt;(CI73+CL73),CG73,"Match 49 Loser")),"Match 49 Loser"))</f>
        <v>Netherlands</v>
      </c>
      <c r="CI80" s="386"/>
      <c r="CJ80" s="386"/>
      <c r="CK80" s="386"/>
      <c r="CL80" s="386"/>
      <c r="CM80" s="386"/>
      <c r="CN80" s="382"/>
      <c r="CO80" s="383"/>
      <c r="CQ80" s="122" t="str">
        <f t="shared" si="275"/>
        <v>SEMIFINALIST 1</v>
      </c>
      <c r="CR80" s="386" t="str">
        <f>IF(KOGameRule=1,G80,IF(AND(CR73&lt;&gt;"",CS73&lt;&gt;""),IF((CR73+CU73)&gt;(CS73+CV73),CT73,IF((CR73+CU73)&lt;(CS73+CV73),CQ73,"Match 49 Loser")),"Match 49 Loser"))</f>
        <v>Match 49 Loser</v>
      </c>
      <c r="CS80" s="386"/>
      <c r="CT80" s="386"/>
      <c r="CU80" s="386"/>
      <c r="CV80" s="386"/>
      <c r="CW80" s="386"/>
      <c r="CX80" s="382"/>
      <c r="CY80" s="383"/>
      <c r="DA80" s="122" t="str">
        <f t="shared" si="276"/>
        <v>SEMIFINALIST 1</v>
      </c>
      <c r="DB80" s="386" t="str">
        <f>IF(KOGameRule=1,G80,IF(AND(DB73&lt;&gt;"",DC73&lt;&gt;""),IF((DB73+DE73)&gt;(DC73+DF73),DD73,IF((DB73+DE73)&lt;(DC73+DF73),DA73,"Match 49 Loser")),"Match 49 Loser"))</f>
        <v>Match 49 Loser</v>
      </c>
      <c r="DC80" s="386"/>
      <c r="DD80" s="386"/>
      <c r="DE80" s="386"/>
      <c r="DF80" s="386"/>
      <c r="DG80" s="386"/>
      <c r="DH80" s="382"/>
      <c r="DI80" s="383"/>
    </row>
    <row r="81" spans="1:113" s="43" customFormat="1" ht="15" customHeight="1" x14ac:dyDescent="0.25">
      <c r="A81" s="41"/>
      <c r="B81" s="65"/>
      <c r="C81" s="404" t="s">
        <v>123</v>
      </c>
      <c r="D81" s="405"/>
      <c r="E81" s="405"/>
      <c r="F81" s="405"/>
      <c r="G81" s="395" t="str">
        <f>IF(AND(H74&lt;&gt;"",I74&lt;&gt;""),IF((H74+K74)&gt;(I74+L74),J74,IF((H74+K74)&lt;(I74+L74),G74,"Match 50 Loser")),"Match 50 Loser")</f>
        <v>Match 50 Loser</v>
      </c>
      <c r="H81" s="395"/>
      <c r="I81" s="395"/>
      <c r="J81" s="395"/>
      <c r="K81" s="395"/>
      <c r="L81" s="396"/>
      <c r="M81" s="89"/>
      <c r="O81" s="122" t="str">
        <f t="shared" si="277"/>
        <v>SEMIFINALIST 2</v>
      </c>
      <c r="P81" s="386" t="str">
        <f>IF(KOGameRule=1,G81,IF(AND(P74&lt;&gt;"",Q74&lt;&gt;""),IF((P74+S74)&gt;(Q74+T74),R74,IF((P74+S74)&lt;(Q74+T74),O74,"Match 50 Loser")),"Match 50 Loser"))</f>
        <v>Match 50 Loser</v>
      </c>
      <c r="Q81" s="386"/>
      <c r="R81" s="386"/>
      <c r="S81" s="386"/>
      <c r="T81" s="386"/>
      <c r="U81" s="412"/>
      <c r="V81" s="382"/>
      <c r="W81" s="383"/>
      <c r="Y81" s="122" t="str">
        <f t="shared" si="278"/>
        <v>SEMIFINALIST 2</v>
      </c>
      <c r="Z81" s="386" t="str">
        <f ca="1">IF(KOGameRule=1,G81,IF(AND(Z74&lt;&gt;"",AA74&lt;&gt;""),IF((Z74+AC74)&gt;(AA74+AD74),AB74,IF((Z74+AC74)&lt;(AA74+AD74),Y74,"Match 50 Loser")),"Match 50 Loser"))</f>
        <v>England</v>
      </c>
      <c r="AA81" s="386"/>
      <c r="AB81" s="386"/>
      <c r="AC81" s="386"/>
      <c r="AD81" s="386"/>
      <c r="AE81" s="386"/>
      <c r="AF81" s="382"/>
      <c r="AG81" s="383"/>
      <c r="AI81" s="122" t="str">
        <f t="shared" si="269"/>
        <v>SEMIFINALIST 2</v>
      </c>
      <c r="AJ81" s="386" t="str">
        <f ca="1">IF(KOGameRule=1,G81,IF(AND(AJ74&lt;&gt;"",AK74&lt;&gt;""),IF((AJ74+AM74)&gt;(AK74+AN74),AL74,IF((AJ74+AM74)&lt;(AK74+AN74),AI74,"Match 50 Loser")),"Match 50 Loser"))</f>
        <v>Scotland</v>
      </c>
      <c r="AK81" s="386"/>
      <c r="AL81" s="386"/>
      <c r="AM81" s="386"/>
      <c r="AN81" s="386"/>
      <c r="AO81" s="386"/>
      <c r="AP81" s="382"/>
      <c r="AQ81" s="383"/>
      <c r="AS81" s="122" t="str">
        <f t="shared" si="270"/>
        <v>SEMIFINALIST 2</v>
      </c>
      <c r="AT81" s="386" t="str">
        <f ca="1">IF(KOGameRule=1,G81,IF(AND(AT74&lt;&gt;"",AU74&lt;&gt;""),IF((AT74+AW74)&gt;(AU74+AX74),AV74,IF((AT74+AW74)&lt;(AU74+AX74),AS74,"Match 50 Loser")),"Match 50 Loser"))</f>
        <v>France</v>
      </c>
      <c r="AU81" s="386"/>
      <c r="AV81" s="386"/>
      <c r="AW81" s="386"/>
      <c r="AX81" s="386"/>
      <c r="AY81" s="386"/>
      <c r="AZ81" s="382"/>
      <c r="BA81" s="383"/>
      <c r="BC81" s="122" t="str">
        <f t="shared" si="271"/>
        <v>SEMIFINALIST 2</v>
      </c>
      <c r="BD81" s="386" t="str">
        <f ca="1">IF(KOGameRule=1,G81,IF(AND(BD74&lt;&gt;"",BE74&lt;&gt;""),IF((BD74+BG74)&gt;(BE74+BH74),BF74,IF((BD74+BG74)&lt;(BE74+BH74),BC74,"Match 50 Loser")),"Match 50 Loser"))</f>
        <v>England</v>
      </c>
      <c r="BE81" s="386"/>
      <c r="BF81" s="386"/>
      <c r="BG81" s="386"/>
      <c r="BH81" s="386"/>
      <c r="BI81" s="386"/>
      <c r="BJ81" s="382"/>
      <c r="BK81" s="383"/>
      <c r="BM81" s="122" t="str">
        <f t="shared" si="272"/>
        <v>SEMIFINALIST 2</v>
      </c>
      <c r="BN81" s="386" t="str">
        <f ca="1">IF(KOGameRule=1,G81,IF(AND(BN74&lt;&gt;"",BO74&lt;&gt;""),IF((BN74+BQ74)&gt;(BO74+BR74),BP74,IF((BN74+BQ74)&lt;(BO74+BR74),BM74,"Match 50 Loser")),"Match 50 Loser"))</f>
        <v>Belgium</v>
      </c>
      <c r="BO81" s="386"/>
      <c r="BP81" s="386"/>
      <c r="BQ81" s="386"/>
      <c r="BR81" s="386"/>
      <c r="BS81" s="386"/>
      <c r="BT81" s="382"/>
      <c r="BU81" s="383"/>
      <c r="BW81" s="122" t="str">
        <f t="shared" si="273"/>
        <v>SEMIFINALIST 2</v>
      </c>
      <c r="BX81" s="386" t="str">
        <f ca="1">IF(KOGameRule=1,G81,IF(AND(BX74&lt;&gt;"",BY74&lt;&gt;""),IF((BX74+CA74)&gt;(BY74+CB74),BZ74,IF((BX74+CA74)&lt;(BY74+CB74),BW74,"Match 50 Loser")),"Match 50 Loser"))</f>
        <v>France</v>
      </c>
      <c r="BY81" s="386"/>
      <c r="BZ81" s="386"/>
      <c r="CA81" s="386"/>
      <c r="CB81" s="386"/>
      <c r="CC81" s="386"/>
      <c r="CD81" s="382"/>
      <c r="CE81" s="383"/>
      <c r="CG81" s="122" t="str">
        <f t="shared" si="274"/>
        <v>SEMIFINALIST 2</v>
      </c>
      <c r="CH81" s="386" t="str">
        <f ca="1">IF(KOGameRule=1,G81,IF(AND(CH74&lt;&gt;"",CI74&lt;&gt;""),IF((CH74+CK74)&gt;(CI74+CL74),CJ74,IF((CH74+CK74)&lt;(CI74+CL74),CG74,"Match 50 Loser")),"Match 50 Loser"))</f>
        <v>France</v>
      </c>
      <c r="CI81" s="386"/>
      <c r="CJ81" s="386"/>
      <c r="CK81" s="386"/>
      <c r="CL81" s="386"/>
      <c r="CM81" s="386"/>
      <c r="CN81" s="382"/>
      <c r="CO81" s="383"/>
      <c r="CQ81" s="122" t="str">
        <f t="shared" si="275"/>
        <v>SEMIFINALIST 2</v>
      </c>
      <c r="CR81" s="386" t="str">
        <f>IF(KOGameRule=1,G81,IF(AND(CR74&lt;&gt;"",CS74&lt;&gt;""),IF((CR74+CU74)&gt;(CS74+CV74),CT74,IF((CR74+CU74)&lt;(CS74+CV74),CQ74,"Match 50 Loser")),"Match 50 Loser"))</f>
        <v>Match 50 Loser</v>
      </c>
      <c r="CS81" s="386"/>
      <c r="CT81" s="386"/>
      <c r="CU81" s="386"/>
      <c r="CV81" s="386"/>
      <c r="CW81" s="386"/>
      <c r="CX81" s="382"/>
      <c r="CY81" s="383"/>
      <c r="DA81" s="122" t="str">
        <f t="shared" si="276"/>
        <v>SEMIFINALIST 2</v>
      </c>
      <c r="DB81" s="386" t="str">
        <f>IF(KOGameRule=1,G81,IF(AND(DB74&lt;&gt;"",DC74&lt;&gt;""),IF((DB74+DE74)&gt;(DC74+DF74),DD74,IF((DB74+DE74)&lt;(DC74+DF74),DA74,"Match 50 Loser")),"Match 50 Loser"))</f>
        <v>Match 50 Loser</v>
      </c>
      <c r="DC81" s="386"/>
      <c r="DD81" s="386"/>
      <c r="DE81" s="386"/>
      <c r="DF81" s="386"/>
      <c r="DG81" s="386"/>
      <c r="DH81" s="382"/>
      <c r="DI81" s="383"/>
    </row>
    <row r="82" spans="1:113" s="43" customFormat="1" ht="15" customHeight="1" x14ac:dyDescent="0.25">
      <c r="A82" s="41"/>
      <c r="B82" s="65"/>
      <c r="C82" s="66"/>
      <c r="D82" s="66"/>
      <c r="E82" s="66"/>
      <c r="F82" s="66"/>
      <c r="G82" s="66"/>
      <c r="H82" s="66"/>
      <c r="I82" s="66"/>
      <c r="J82" s="66"/>
      <c r="K82" s="66"/>
      <c r="L82" s="66"/>
      <c r="M82" s="89"/>
      <c r="V82" s="382"/>
      <c r="W82" s="383"/>
      <c r="AF82" s="382"/>
      <c r="AG82" s="383"/>
      <c r="AP82" s="382"/>
      <c r="AQ82" s="383"/>
      <c r="AZ82" s="382"/>
      <c r="BA82" s="383"/>
      <c r="BJ82" s="382"/>
      <c r="BK82" s="383"/>
      <c r="BT82" s="382"/>
      <c r="BU82" s="383"/>
      <c r="CD82" s="382"/>
      <c r="CE82" s="383"/>
      <c r="CN82" s="382"/>
      <c r="CO82" s="383"/>
      <c r="CX82" s="382"/>
      <c r="CY82" s="383"/>
      <c r="DH82" s="382"/>
      <c r="DI82" s="383"/>
    </row>
    <row r="83" spans="1:113" s="43" customFormat="1" ht="15" customHeight="1" x14ac:dyDescent="0.25">
      <c r="A83" s="41"/>
      <c r="B83" s="65"/>
      <c r="C83" s="66"/>
      <c r="D83" s="66"/>
      <c r="E83" s="66"/>
      <c r="F83" s="66"/>
      <c r="G83" s="66"/>
      <c r="H83" s="66"/>
      <c r="I83" s="66"/>
      <c r="J83" s="66"/>
      <c r="K83" s="66"/>
      <c r="L83" s="66"/>
      <c r="M83" s="89"/>
      <c r="O83" s="204" t="s">
        <v>124</v>
      </c>
      <c r="P83" s="44"/>
      <c r="Q83" s="44"/>
      <c r="R83" s="44"/>
      <c r="S83" s="408">
        <v>0</v>
      </c>
      <c r="T83" s="408"/>
      <c r="U83" s="409"/>
      <c r="V83" s="382"/>
      <c r="W83" s="383"/>
      <c r="Y83" s="204" t="s">
        <v>124</v>
      </c>
      <c r="Z83" s="44"/>
      <c r="AA83" s="44"/>
      <c r="AB83" s="44"/>
      <c r="AC83" s="408">
        <v>0</v>
      </c>
      <c r="AD83" s="408"/>
      <c r="AE83" s="409"/>
      <c r="AF83" s="382"/>
      <c r="AG83" s="383"/>
      <c r="AI83" s="204" t="s">
        <v>124</v>
      </c>
      <c r="AJ83" s="44"/>
      <c r="AK83" s="44"/>
      <c r="AL83" s="44"/>
      <c r="AM83" s="408">
        <v>0</v>
      </c>
      <c r="AN83" s="408"/>
      <c r="AO83" s="409"/>
      <c r="AP83" s="382"/>
      <c r="AQ83" s="383"/>
      <c r="AS83" s="204" t="s">
        <v>124</v>
      </c>
      <c r="AT83" s="44"/>
      <c r="AU83" s="44"/>
      <c r="AV83" s="44"/>
      <c r="AW83" s="408">
        <v>0</v>
      </c>
      <c r="AX83" s="408"/>
      <c r="AY83" s="409"/>
      <c r="AZ83" s="382"/>
      <c r="BA83" s="383"/>
      <c r="BC83" s="204" t="s">
        <v>124</v>
      </c>
      <c r="BD83" s="44"/>
      <c r="BE83" s="44"/>
      <c r="BF83" s="44"/>
      <c r="BG83" s="408">
        <v>0</v>
      </c>
      <c r="BH83" s="408"/>
      <c r="BI83" s="409"/>
      <c r="BJ83" s="382"/>
      <c r="BK83" s="383"/>
      <c r="BM83" s="204" t="s">
        <v>124</v>
      </c>
      <c r="BN83" s="44"/>
      <c r="BO83" s="44"/>
      <c r="BP83" s="44"/>
      <c r="BQ83" s="408">
        <v>0</v>
      </c>
      <c r="BR83" s="408"/>
      <c r="BS83" s="409"/>
      <c r="BT83" s="382"/>
      <c r="BU83" s="383"/>
      <c r="BW83" s="204" t="s">
        <v>124</v>
      </c>
      <c r="BX83" s="44"/>
      <c r="BY83" s="44"/>
      <c r="BZ83" s="44"/>
      <c r="CA83" s="408">
        <v>0</v>
      </c>
      <c r="CB83" s="408"/>
      <c r="CC83" s="409"/>
      <c r="CD83" s="382"/>
      <c r="CE83" s="383"/>
      <c r="CG83" s="204" t="s">
        <v>124</v>
      </c>
      <c r="CH83" s="44"/>
      <c r="CI83" s="44"/>
      <c r="CJ83" s="44"/>
      <c r="CK83" s="408">
        <v>0</v>
      </c>
      <c r="CL83" s="408"/>
      <c r="CM83" s="409"/>
      <c r="CN83" s="382"/>
      <c r="CO83" s="383"/>
      <c r="CQ83" s="204" t="s">
        <v>124</v>
      </c>
      <c r="CR83" s="44"/>
      <c r="CS83" s="44"/>
      <c r="CT83" s="44"/>
      <c r="CU83" s="408">
        <v>0</v>
      </c>
      <c r="CV83" s="408"/>
      <c r="CW83" s="409"/>
      <c r="CX83" s="382"/>
      <c r="CY83" s="383"/>
      <c r="DA83" s="204" t="s">
        <v>124</v>
      </c>
      <c r="DB83" s="44"/>
      <c r="DC83" s="44"/>
      <c r="DD83" s="44"/>
      <c r="DE83" s="408">
        <v>0</v>
      </c>
      <c r="DF83" s="408"/>
      <c r="DG83" s="409"/>
      <c r="DH83" s="382"/>
      <c r="DI83" s="383"/>
    </row>
    <row r="84" spans="1:113" s="43" customFormat="1" ht="15" customHeight="1" x14ac:dyDescent="0.25">
      <c r="A84" s="41"/>
      <c r="B84" s="65"/>
      <c r="C84" s="66"/>
      <c r="D84" s="66"/>
      <c r="E84" s="66"/>
      <c r="F84" s="66"/>
      <c r="G84" s="66"/>
      <c r="H84" s="66"/>
      <c r="I84" s="66"/>
      <c r="J84" s="66"/>
      <c r="K84" s="66"/>
      <c r="L84" s="66"/>
      <c r="M84" s="89"/>
      <c r="O84" s="204" t="s">
        <v>125</v>
      </c>
      <c r="P84" s="44"/>
      <c r="Q84" s="44"/>
      <c r="R84" s="44"/>
      <c r="S84" s="408">
        <v>0</v>
      </c>
      <c r="T84" s="408"/>
      <c r="U84" s="409"/>
      <c r="V84" s="382"/>
      <c r="W84" s="383"/>
      <c r="Y84" s="204" t="s">
        <v>125</v>
      </c>
      <c r="Z84" s="44"/>
      <c r="AA84" s="44"/>
      <c r="AB84" s="44"/>
      <c r="AC84" s="408">
        <v>0</v>
      </c>
      <c r="AD84" s="408"/>
      <c r="AE84" s="409"/>
      <c r="AF84" s="382"/>
      <c r="AG84" s="383"/>
      <c r="AI84" s="204" t="s">
        <v>125</v>
      </c>
      <c r="AJ84" s="44"/>
      <c r="AK84" s="44"/>
      <c r="AL84" s="44"/>
      <c r="AM84" s="408">
        <v>0</v>
      </c>
      <c r="AN84" s="408"/>
      <c r="AO84" s="409"/>
      <c r="AP84" s="382"/>
      <c r="AQ84" s="383"/>
      <c r="AS84" s="204" t="s">
        <v>125</v>
      </c>
      <c r="AT84" s="44"/>
      <c r="AU84" s="44"/>
      <c r="AV84" s="44"/>
      <c r="AW84" s="408">
        <v>0</v>
      </c>
      <c r="AX84" s="408"/>
      <c r="AY84" s="409"/>
      <c r="AZ84" s="382"/>
      <c r="BA84" s="383"/>
      <c r="BC84" s="204" t="s">
        <v>125</v>
      </c>
      <c r="BD84" s="44"/>
      <c r="BE84" s="44"/>
      <c r="BF84" s="44"/>
      <c r="BG84" s="408">
        <v>0</v>
      </c>
      <c r="BH84" s="408"/>
      <c r="BI84" s="409"/>
      <c r="BJ84" s="382"/>
      <c r="BK84" s="383"/>
      <c r="BM84" s="204" t="s">
        <v>125</v>
      </c>
      <c r="BN84" s="44"/>
      <c r="BO84" s="44"/>
      <c r="BP84" s="44"/>
      <c r="BQ84" s="408">
        <v>0</v>
      </c>
      <c r="BR84" s="408"/>
      <c r="BS84" s="409"/>
      <c r="BT84" s="382"/>
      <c r="BU84" s="383"/>
      <c r="BW84" s="204" t="s">
        <v>125</v>
      </c>
      <c r="BX84" s="44"/>
      <c r="BY84" s="44"/>
      <c r="BZ84" s="44"/>
      <c r="CA84" s="408">
        <v>0</v>
      </c>
      <c r="CB84" s="408"/>
      <c r="CC84" s="409"/>
      <c r="CD84" s="382"/>
      <c r="CE84" s="383"/>
      <c r="CG84" s="204" t="s">
        <v>125</v>
      </c>
      <c r="CH84" s="44"/>
      <c r="CI84" s="44"/>
      <c r="CJ84" s="44"/>
      <c r="CK84" s="408">
        <v>0</v>
      </c>
      <c r="CL84" s="408"/>
      <c r="CM84" s="409"/>
      <c r="CN84" s="382"/>
      <c r="CO84" s="383"/>
      <c r="CQ84" s="204" t="s">
        <v>125</v>
      </c>
      <c r="CR84" s="44"/>
      <c r="CS84" s="44"/>
      <c r="CT84" s="44"/>
      <c r="CU84" s="408">
        <v>0</v>
      </c>
      <c r="CV84" s="408"/>
      <c r="CW84" s="409"/>
      <c r="CX84" s="382"/>
      <c r="CY84" s="383"/>
      <c r="DA84" s="204" t="s">
        <v>125</v>
      </c>
      <c r="DB84" s="44"/>
      <c r="DC84" s="44"/>
      <c r="DD84" s="44"/>
      <c r="DE84" s="408">
        <v>0</v>
      </c>
      <c r="DF84" s="408"/>
      <c r="DG84" s="409"/>
      <c r="DH84" s="382"/>
      <c r="DI84" s="383"/>
    </row>
    <row r="85" spans="1:113" s="43" customFormat="1" ht="15" customHeight="1" x14ac:dyDescent="0.25">
      <c r="A85" s="41"/>
      <c r="B85" s="65"/>
      <c r="C85" s="66"/>
      <c r="D85" s="66"/>
      <c r="E85" s="66"/>
      <c r="F85" s="66"/>
      <c r="G85" s="66"/>
      <c r="H85" s="66"/>
      <c r="I85" s="66"/>
      <c r="J85" s="66"/>
      <c r="K85" s="66"/>
      <c r="L85" s="66"/>
      <c r="M85" s="89"/>
      <c r="O85" s="204" t="s">
        <v>126</v>
      </c>
      <c r="P85" s="44"/>
      <c r="Q85" s="44"/>
      <c r="R85" s="44"/>
      <c r="S85" s="408">
        <v>0</v>
      </c>
      <c r="T85" s="408"/>
      <c r="U85" s="409"/>
      <c r="V85" s="382"/>
      <c r="W85" s="383"/>
      <c r="Y85" s="204" t="s">
        <v>126</v>
      </c>
      <c r="Z85" s="44"/>
      <c r="AA85" s="44"/>
      <c r="AB85" s="44"/>
      <c r="AC85" s="408">
        <v>0</v>
      </c>
      <c r="AD85" s="408"/>
      <c r="AE85" s="409"/>
      <c r="AF85" s="382"/>
      <c r="AG85" s="383"/>
      <c r="AI85" s="204" t="s">
        <v>126</v>
      </c>
      <c r="AJ85" s="44"/>
      <c r="AK85" s="44"/>
      <c r="AL85" s="44"/>
      <c r="AM85" s="408">
        <v>0</v>
      </c>
      <c r="AN85" s="408"/>
      <c r="AO85" s="409"/>
      <c r="AP85" s="382"/>
      <c r="AQ85" s="383"/>
      <c r="AS85" s="204" t="s">
        <v>126</v>
      </c>
      <c r="AT85" s="44"/>
      <c r="AU85" s="44"/>
      <c r="AV85" s="44"/>
      <c r="AW85" s="408">
        <v>0</v>
      </c>
      <c r="AX85" s="408"/>
      <c r="AY85" s="409"/>
      <c r="AZ85" s="382"/>
      <c r="BA85" s="383"/>
      <c r="BC85" s="204" t="s">
        <v>126</v>
      </c>
      <c r="BD85" s="44"/>
      <c r="BE85" s="44"/>
      <c r="BF85" s="44"/>
      <c r="BG85" s="408">
        <v>0</v>
      </c>
      <c r="BH85" s="408"/>
      <c r="BI85" s="409"/>
      <c r="BJ85" s="382"/>
      <c r="BK85" s="383"/>
      <c r="BM85" s="204" t="s">
        <v>126</v>
      </c>
      <c r="BN85" s="44"/>
      <c r="BO85" s="44"/>
      <c r="BP85" s="44"/>
      <c r="BQ85" s="408">
        <v>0</v>
      </c>
      <c r="BR85" s="408"/>
      <c r="BS85" s="409"/>
      <c r="BT85" s="382"/>
      <c r="BU85" s="383"/>
      <c r="BW85" s="204" t="s">
        <v>126</v>
      </c>
      <c r="BX85" s="44"/>
      <c r="BY85" s="44"/>
      <c r="BZ85" s="44"/>
      <c r="CA85" s="408">
        <v>0</v>
      </c>
      <c r="CB85" s="408"/>
      <c r="CC85" s="409"/>
      <c r="CD85" s="382"/>
      <c r="CE85" s="383"/>
      <c r="CG85" s="204" t="s">
        <v>126</v>
      </c>
      <c r="CH85" s="44"/>
      <c r="CI85" s="44"/>
      <c r="CJ85" s="44"/>
      <c r="CK85" s="408">
        <v>0</v>
      </c>
      <c r="CL85" s="408"/>
      <c r="CM85" s="409"/>
      <c r="CN85" s="382"/>
      <c r="CO85" s="383"/>
      <c r="CQ85" s="204" t="s">
        <v>126</v>
      </c>
      <c r="CR85" s="44"/>
      <c r="CS85" s="44"/>
      <c r="CT85" s="44"/>
      <c r="CU85" s="408">
        <v>0</v>
      </c>
      <c r="CV85" s="408"/>
      <c r="CW85" s="409"/>
      <c r="CX85" s="382"/>
      <c r="CY85" s="383"/>
      <c r="DA85" s="204" t="s">
        <v>126</v>
      </c>
      <c r="DB85" s="44"/>
      <c r="DC85" s="44"/>
      <c r="DD85" s="44"/>
      <c r="DE85" s="408">
        <v>0</v>
      </c>
      <c r="DF85" s="408"/>
      <c r="DG85" s="409"/>
      <c r="DH85" s="382"/>
      <c r="DI85" s="383"/>
    </row>
    <row r="86" spans="1:113" s="43" customFormat="1" ht="15" customHeight="1" x14ac:dyDescent="0.25">
      <c r="A86" s="41"/>
      <c r="B86" s="65"/>
      <c r="C86" s="66"/>
      <c r="D86" s="66"/>
      <c r="E86" s="66"/>
      <c r="F86" s="66"/>
      <c r="G86" s="66"/>
      <c r="H86" s="66"/>
      <c r="I86" s="66"/>
      <c r="J86" s="66"/>
      <c r="K86" s="66"/>
      <c r="L86" s="66"/>
      <c r="M86" s="89"/>
      <c r="V86" s="382"/>
      <c r="W86" s="383"/>
      <c r="AF86" s="382"/>
      <c r="AG86" s="383"/>
      <c r="AP86" s="382"/>
      <c r="AQ86" s="383"/>
      <c r="AZ86" s="382"/>
      <c r="BA86" s="383"/>
      <c r="BJ86" s="382"/>
      <c r="BK86" s="383"/>
      <c r="BT86" s="382"/>
      <c r="BU86" s="383"/>
      <c r="CD86" s="382"/>
      <c r="CE86" s="383"/>
      <c r="CN86" s="382"/>
      <c r="CO86" s="383"/>
      <c r="CX86" s="382"/>
      <c r="CY86" s="383"/>
      <c r="DH86" s="382"/>
      <c r="DI86" s="383"/>
    </row>
    <row r="87" spans="1:113" s="43" customFormat="1" ht="15" customHeight="1" x14ac:dyDescent="0.25">
      <c r="A87" s="41"/>
      <c r="B87" s="65"/>
      <c r="C87" s="413" t="s">
        <v>127</v>
      </c>
      <c r="D87" s="414"/>
      <c r="E87" s="414"/>
      <c r="F87" s="414"/>
      <c r="G87" s="415"/>
      <c r="H87" s="415"/>
      <c r="I87" s="415"/>
      <c r="J87" s="415"/>
      <c r="K87" s="415"/>
      <c r="L87" s="416"/>
      <c r="M87" s="89"/>
      <c r="N87" s="41"/>
      <c r="O87" s="122" t="str">
        <f t="shared" ref="O87:O88" si="279">C87</f>
        <v>BEST PLAYER</v>
      </c>
      <c r="P87" s="372"/>
      <c r="Q87" s="372"/>
      <c r="R87" s="372"/>
      <c r="S87" s="372"/>
      <c r="T87" s="372"/>
      <c r="U87" s="373"/>
      <c r="V87" s="382"/>
      <c r="W87" s="383"/>
      <c r="X87" s="41"/>
      <c r="Y87" s="122" t="str">
        <f>O87</f>
        <v>BEST PLAYER</v>
      </c>
      <c r="Z87" s="372"/>
      <c r="AA87" s="372"/>
      <c r="AB87" s="372"/>
      <c r="AC87" s="372"/>
      <c r="AD87" s="372"/>
      <c r="AE87" s="373"/>
      <c r="AF87" s="382"/>
      <c r="AG87" s="383"/>
      <c r="AH87" s="41"/>
      <c r="AI87" s="122" t="str">
        <f t="shared" ref="AI87:AI88" si="280">Y87</f>
        <v>BEST PLAYER</v>
      </c>
      <c r="AJ87" s="372"/>
      <c r="AK87" s="372"/>
      <c r="AL87" s="372"/>
      <c r="AM87" s="372"/>
      <c r="AN87" s="372"/>
      <c r="AO87" s="373"/>
      <c r="AP87" s="382"/>
      <c r="AQ87" s="383"/>
      <c r="AR87" s="41"/>
      <c r="AS87" s="122" t="str">
        <f t="shared" ref="AS87:AS88" si="281">AI87</f>
        <v>BEST PLAYER</v>
      </c>
      <c r="AT87" s="372"/>
      <c r="AU87" s="372"/>
      <c r="AV87" s="372"/>
      <c r="AW87" s="372"/>
      <c r="AX87" s="372"/>
      <c r="AY87" s="373"/>
      <c r="AZ87" s="382"/>
      <c r="BA87" s="383"/>
      <c r="BB87" s="41"/>
      <c r="BC87" s="122" t="str">
        <f t="shared" ref="BC87:BC88" si="282">AS87</f>
        <v>BEST PLAYER</v>
      </c>
      <c r="BD87" s="372"/>
      <c r="BE87" s="372"/>
      <c r="BF87" s="372"/>
      <c r="BG87" s="372"/>
      <c r="BH87" s="372"/>
      <c r="BI87" s="373"/>
      <c r="BJ87" s="382"/>
      <c r="BK87" s="383"/>
      <c r="BL87" s="41"/>
      <c r="BM87" s="122" t="str">
        <f t="shared" ref="BM87:BM88" si="283">BC87</f>
        <v>BEST PLAYER</v>
      </c>
      <c r="BN87" s="372"/>
      <c r="BO87" s="372"/>
      <c r="BP87" s="372"/>
      <c r="BQ87" s="372"/>
      <c r="BR87" s="372"/>
      <c r="BS87" s="373"/>
      <c r="BT87" s="382"/>
      <c r="BU87" s="383"/>
      <c r="BV87" s="41"/>
      <c r="BW87" s="122" t="str">
        <f t="shared" ref="BW87:BW88" si="284">BM87</f>
        <v>BEST PLAYER</v>
      </c>
      <c r="BX87" s="372"/>
      <c r="BY87" s="372"/>
      <c r="BZ87" s="372"/>
      <c r="CA87" s="372"/>
      <c r="CB87" s="372"/>
      <c r="CC87" s="373"/>
      <c r="CD87" s="382"/>
      <c r="CE87" s="383"/>
      <c r="CF87" s="41"/>
      <c r="CG87" s="122" t="str">
        <f t="shared" ref="CG87:CG88" si="285">BW87</f>
        <v>BEST PLAYER</v>
      </c>
      <c r="CH87" s="372"/>
      <c r="CI87" s="372"/>
      <c r="CJ87" s="372"/>
      <c r="CK87" s="372"/>
      <c r="CL87" s="372"/>
      <c r="CM87" s="373"/>
      <c r="CN87" s="382"/>
      <c r="CO87" s="383"/>
      <c r="CP87" s="41"/>
      <c r="CQ87" s="122" t="str">
        <f t="shared" ref="CQ87:CQ88" si="286">CG87</f>
        <v>BEST PLAYER</v>
      </c>
      <c r="CR87" s="372"/>
      <c r="CS87" s="372"/>
      <c r="CT87" s="372"/>
      <c r="CU87" s="372"/>
      <c r="CV87" s="372"/>
      <c r="CW87" s="373"/>
      <c r="CX87" s="382"/>
      <c r="CY87" s="383"/>
      <c r="CZ87" s="41"/>
      <c r="DA87" s="122" t="str">
        <f t="shared" ref="DA87:DA88" si="287">CQ87</f>
        <v>BEST PLAYER</v>
      </c>
      <c r="DB87" s="372"/>
      <c r="DC87" s="372"/>
      <c r="DD87" s="372"/>
      <c r="DE87" s="372"/>
      <c r="DF87" s="372"/>
      <c r="DG87" s="373"/>
      <c r="DH87" s="382"/>
      <c r="DI87" s="383"/>
    </row>
    <row r="88" spans="1:113" s="43" customFormat="1" ht="15" customHeight="1" x14ac:dyDescent="0.25">
      <c r="A88" s="41"/>
      <c r="B88" s="65"/>
      <c r="C88" s="398" t="s">
        <v>128</v>
      </c>
      <c r="D88" s="399"/>
      <c r="E88" s="399"/>
      <c r="F88" s="399"/>
      <c r="G88" s="393"/>
      <c r="H88" s="393"/>
      <c r="I88" s="393"/>
      <c r="J88" s="393"/>
      <c r="K88" s="393"/>
      <c r="L88" s="394"/>
      <c r="M88" s="89"/>
      <c r="N88" s="41"/>
      <c r="O88" s="122" t="str">
        <f t="shared" si="279"/>
        <v>TOP SCORER</v>
      </c>
      <c r="P88" s="372"/>
      <c r="Q88" s="372"/>
      <c r="R88" s="372"/>
      <c r="S88" s="372"/>
      <c r="T88" s="372"/>
      <c r="U88" s="373"/>
      <c r="V88" s="384"/>
      <c r="W88" s="385"/>
      <c r="X88" s="41"/>
      <c r="Y88" s="122" t="str">
        <f>O88</f>
        <v>TOP SCORER</v>
      </c>
      <c r="Z88" s="372"/>
      <c r="AA88" s="372"/>
      <c r="AB88" s="372"/>
      <c r="AC88" s="372"/>
      <c r="AD88" s="372"/>
      <c r="AE88" s="373"/>
      <c r="AF88" s="384"/>
      <c r="AG88" s="385"/>
      <c r="AH88" s="41"/>
      <c r="AI88" s="122" t="str">
        <f t="shared" si="280"/>
        <v>TOP SCORER</v>
      </c>
      <c r="AJ88" s="372"/>
      <c r="AK88" s="372"/>
      <c r="AL88" s="372"/>
      <c r="AM88" s="372"/>
      <c r="AN88" s="372"/>
      <c r="AO88" s="373"/>
      <c r="AP88" s="384"/>
      <c r="AQ88" s="385"/>
      <c r="AR88" s="41"/>
      <c r="AS88" s="122" t="str">
        <f t="shared" si="281"/>
        <v>TOP SCORER</v>
      </c>
      <c r="AT88" s="372"/>
      <c r="AU88" s="372"/>
      <c r="AV88" s="372"/>
      <c r="AW88" s="372"/>
      <c r="AX88" s="372"/>
      <c r="AY88" s="373"/>
      <c r="AZ88" s="384"/>
      <c r="BA88" s="385"/>
      <c r="BB88" s="41"/>
      <c r="BC88" s="122" t="str">
        <f t="shared" si="282"/>
        <v>TOP SCORER</v>
      </c>
      <c r="BD88" s="372"/>
      <c r="BE88" s="372"/>
      <c r="BF88" s="372"/>
      <c r="BG88" s="372"/>
      <c r="BH88" s="372"/>
      <c r="BI88" s="373"/>
      <c r="BJ88" s="384"/>
      <c r="BK88" s="385"/>
      <c r="BL88" s="41"/>
      <c r="BM88" s="122" t="str">
        <f t="shared" si="283"/>
        <v>TOP SCORER</v>
      </c>
      <c r="BN88" s="372"/>
      <c r="BO88" s="372"/>
      <c r="BP88" s="372"/>
      <c r="BQ88" s="372"/>
      <c r="BR88" s="372"/>
      <c r="BS88" s="373"/>
      <c r="BT88" s="384"/>
      <c r="BU88" s="385"/>
      <c r="BV88" s="41"/>
      <c r="BW88" s="122" t="str">
        <f t="shared" si="284"/>
        <v>TOP SCORER</v>
      </c>
      <c r="BX88" s="372"/>
      <c r="BY88" s="372"/>
      <c r="BZ88" s="372"/>
      <c r="CA88" s="372"/>
      <c r="CB88" s="372"/>
      <c r="CC88" s="373"/>
      <c r="CD88" s="384"/>
      <c r="CE88" s="385"/>
      <c r="CF88" s="41"/>
      <c r="CG88" s="122" t="str">
        <f t="shared" si="285"/>
        <v>TOP SCORER</v>
      </c>
      <c r="CH88" s="372"/>
      <c r="CI88" s="372"/>
      <c r="CJ88" s="372"/>
      <c r="CK88" s="372"/>
      <c r="CL88" s="372"/>
      <c r="CM88" s="373"/>
      <c r="CN88" s="384"/>
      <c r="CO88" s="385"/>
      <c r="CP88" s="41"/>
      <c r="CQ88" s="122" t="str">
        <f t="shared" si="286"/>
        <v>TOP SCORER</v>
      </c>
      <c r="CR88" s="372"/>
      <c r="CS88" s="372"/>
      <c r="CT88" s="372"/>
      <c r="CU88" s="372"/>
      <c r="CV88" s="372"/>
      <c r="CW88" s="373"/>
      <c r="CX88" s="384"/>
      <c r="CY88" s="385"/>
      <c r="CZ88" s="41"/>
      <c r="DA88" s="122" t="str">
        <f t="shared" si="287"/>
        <v>TOP SCORER</v>
      </c>
      <c r="DB88" s="372"/>
      <c r="DC88" s="372"/>
      <c r="DD88" s="372"/>
      <c r="DE88" s="372"/>
      <c r="DF88" s="372"/>
      <c r="DG88" s="373"/>
      <c r="DH88" s="384"/>
      <c r="DI88" s="385"/>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129</v>
      </c>
      <c r="N91" s="84" t="s">
        <v>130</v>
      </c>
      <c r="W91" s="41"/>
      <c r="AG91" s="41"/>
      <c r="AQ91" s="41"/>
      <c r="BA91" s="41"/>
      <c r="BK91" s="41"/>
      <c r="BU91" s="41"/>
      <c r="CE91" s="41"/>
      <c r="CO91" s="41"/>
      <c r="CY91" s="41"/>
      <c r="DI91" s="41"/>
    </row>
    <row r="92" spans="1:113" s="43" customFormat="1" ht="15" customHeight="1" x14ac:dyDescent="0.25">
      <c r="A92" s="41"/>
      <c r="B92" s="199" t="s">
        <v>131</v>
      </c>
      <c r="C92" s="43" t="s">
        <v>132</v>
      </c>
      <c r="N92" s="60" t="s">
        <v>133</v>
      </c>
      <c r="O92" s="125"/>
      <c r="P92" s="125"/>
      <c r="Q92" s="125"/>
      <c r="R92" s="125"/>
      <c r="W92" s="41"/>
      <c r="AG92" s="41"/>
      <c r="AQ92" s="41"/>
      <c r="BA92" s="41"/>
      <c r="BK92" s="41"/>
      <c r="BU92" s="41"/>
      <c r="CE92" s="41"/>
      <c r="CO92" s="41"/>
      <c r="CY92" s="41"/>
      <c r="DI92" s="41"/>
    </row>
    <row r="93" spans="1:113" s="43" customFormat="1" ht="15" customHeight="1" x14ac:dyDescent="0.25">
      <c r="A93" s="41"/>
      <c r="B93" s="199" t="s">
        <v>131</v>
      </c>
      <c r="C93" s="43" t="s">
        <v>134</v>
      </c>
      <c r="N93" s="199" t="s">
        <v>131</v>
      </c>
      <c r="O93" s="43" t="s">
        <v>135</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131</v>
      </c>
      <c r="C94" s="43" t="s">
        <v>136</v>
      </c>
      <c r="N94" s="199" t="s">
        <v>131</v>
      </c>
      <c r="O94" s="411" t="s">
        <v>137</v>
      </c>
      <c r="P94" s="411"/>
      <c r="Q94" s="411"/>
      <c r="R94" s="411"/>
      <c r="S94" s="411"/>
      <c r="T94" s="411"/>
      <c r="U94" s="411"/>
      <c r="V94" s="411"/>
      <c r="W94" s="411"/>
      <c r="AG94" s="41"/>
      <c r="AQ94" s="41"/>
      <c r="BA94" s="41"/>
      <c r="BK94" s="41"/>
      <c r="BU94" s="41"/>
      <c r="CE94" s="41"/>
      <c r="CO94" s="41"/>
      <c r="CY94" s="41"/>
      <c r="DI94" s="41"/>
    </row>
    <row r="95" spans="1:113" s="43" customFormat="1" ht="15" customHeight="1" x14ac:dyDescent="0.25">
      <c r="A95" s="41"/>
      <c r="C95" s="198"/>
      <c r="O95" s="411"/>
      <c r="P95" s="411"/>
      <c r="Q95" s="411"/>
      <c r="R95" s="411"/>
      <c r="S95" s="411"/>
      <c r="T95" s="411"/>
      <c r="U95" s="411"/>
      <c r="V95" s="411"/>
      <c r="W95" s="411"/>
      <c r="AG95" s="41"/>
      <c r="AQ95" s="41"/>
      <c r="BA95" s="41"/>
      <c r="BK95" s="41"/>
      <c r="BU95" s="41"/>
      <c r="CE95" s="41"/>
      <c r="CO95" s="41"/>
      <c r="CY95" s="41"/>
      <c r="DI95" s="41"/>
    </row>
    <row r="96" spans="1:113" s="43" customFormat="1" ht="15" customHeight="1" x14ac:dyDescent="0.25">
      <c r="A96" s="41"/>
      <c r="N96" s="199" t="s">
        <v>131</v>
      </c>
      <c r="O96" s="43" t="s">
        <v>138</v>
      </c>
      <c r="W96" s="41"/>
      <c r="AG96" s="41"/>
      <c r="AQ96" s="41"/>
      <c r="BA96" s="41"/>
      <c r="BK96" s="41"/>
      <c r="BU96" s="41"/>
      <c r="CE96" s="41"/>
      <c r="CO96" s="41"/>
      <c r="CY96" s="41"/>
      <c r="DI96" s="41"/>
    </row>
    <row r="97" spans="1:113" s="43" customFormat="1" ht="15" customHeight="1" x14ac:dyDescent="0.25">
      <c r="A97" s="41"/>
      <c r="B97" s="199" t="s">
        <v>131</v>
      </c>
      <c r="C97" s="410" t="s">
        <v>139</v>
      </c>
      <c r="D97" s="410"/>
      <c r="E97" s="410"/>
      <c r="F97" s="410"/>
      <c r="G97" s="410"/>
      <c r="H97" s="410"/>
      <c r="I97" s="410"/>
      <c r="J97" s="410"/>
      <c r="K97" s="410"/>
      <c r="L97" s="410"/>
      <c r="N97" s="199" t="s">
        <v>131</v>
      </c>
      <c r="O97" s="43" t="s">
        <v>140</v>
      </c>
      <c r="W97" s="41"/>
      <c r="AG97" s="41"/>
      <c r="AQ97" s="41"/>
      <c r="BA97" s="41"/>
      <c r="BK97" s="41"/>
      <c r="BU97" s="41"/>
      <c r="CE97" s="41"/>
      <c r="CO97" s="41"/>
      <c r="CY97" s="41"/>
      <c r="DI97" s="41"/>
    </row>
    <row r="98" spans="1:113" s="43" customFormat="1" ht="15" customHeight="1" x14ac:dyDescent="0.25">
      <c r="A98" s="41"/>
      <c r="C98" s="410"/>
      <c r="D98" s="410"/>
      <c r="E98" s="410"/>
      <c r="F98" s="410"/>
      <c r="G98" s="410"/>
      <c r="H98" s="410"/>
      <c r="I98" s="410"/>
      <c r="J98" s="410"/>
      <c r="K98" s="410"/>
      <c r="L98" s="410"/>
      <c r="N98" s="204" t="s">
        <v>141</v>
      </c>
      <c r="O98" s="44"/>
      <c r="P98" s="44"/>
      <c r="Q98" s="44"/>
      <c r="R98" s="44"/>
      <c r="W98" s="41"/>
      <c r="AG98" s="41"/>
      <c r="AQ98" s="41"/>
      <c r="BA98" s="41"/>
      <c r="BK98" s="41"/>
      <c r="BU98" s="41"/>
      <c r="CE98" s="41"/>
      <c r="CO98" s="41"/>
      <c r="CY98" s="41"/>
      <c r="DI98" s="41"/>
    </row>
    <row r="99" spans="1:113" s="43" customFormat="1" ht="15" customHeight="1" x14ac:dyDescent="0.25">
      <c r="A99" s="41"/>
      <c r="N99" s="199" t="s">
        <v>131</v>
      </c>
      <c r="O99" s="43" t="s">
        <v>142</v>
      </c>
      <c r="W99" s="41"/>
      <c r="AG99" s="41"/>
      <c r="AQ99" s="41"/>
      <c r="BA99" s="41"/>
      <c r="BK99" s="41"/>
      <c r="BU99" s="41"/>
      <c r="CE99" s="41"/>
      <c r="CO99" s="41"/>
      <c r="CY99" s="41"/>
      <c r="DI99" s="41"/>
    </row>
    <row r="100" spans="1:113" s="43" customFormat="1" ht="15" customHeight="1" x14ac:dyDescent="0.25">
      <c r="A100" s="41"/>
      <c r="N100" s="199" t="s">
        <v>131</v>
      </c>
      <c r="O100" s="411" t="s">
        <v>143</v>
      </c>
      <c r="P100" s="411"/>
      <c r="Q100" s="411"/>
      <c r="R100" s="411"/>
      <c r="S100" s="411"/>
      <c r="T100" s="411"/>
      <c r="U100" s="411"/>
      <c r="V100" s="411"/>
      <c r="W100" s="411"/>
      <c r="AG100" s="41"/>
      <c r="AQ100" s="41"/>
      <c r="BA100" s="41"/>
      <c r="BK100" s="41"/>
      <c r="BU100" s="41"/>
      <c r="CE100" s="41"/>
      <c r="CO100" s="41"/>
      <c r="CY100" s="41"/>
      <c r="DI100" s="41"/>
    </row>
    <row r="101" spans="1:113" s="43" customFormat="1" ht="15" customHeight="1" x14ac:dyDescent="0.25">
      <c r="A101" s="41"/>
      <c r="O101" s="411"/>
      <c r="P101" s="411"/>
      <c r="Q101" s="411"/>
      <c r="R101" s="411"/>
      <c r="S101" s="411"/>
      <c r="T101" s="411"/>
      <c r="U101" s="411"/>
      <c r="V101" s="411"/>
      <c r="W101" s="411"/>
      <c r="AG101" s="41"/>
      <c r="AQ101" s="41"/>
      <c r="BA101" s="41"/>
      <c r="BK101" s="41"/>
      <c r="BU101" s="41"/>
      <c r="CE101" s="41"/>
      <c r="CO101" s="41"/>
      <c r="CY101" s="41"/>
      <c r="DI101" s="41"/>
    </row>
    <row r="102" spans="1:113" s="43" customFormat="1" ht="15" customHeight="1" x14ac:dyDescent="0.25">
      <c r="A102" s="41"/>
      <c r="N102" s="199" t="s">
        <v>131</v>
      </c>
      <c r="O102" s="43" t="s">
        <v>144</v>
      </c>
      <c r="W102" s="41"/>
      <c r="AG102" s="41"/>
      <c r="AQ102" s="41"/>
      <c r="BA102" s="41"/>
      <c r="BK102" s="41"/>
      <c r="BU102" s="41"/>
      <c r="CE102" s="41"/>
      <c r="CO102" s="41"/>
      <c r="CY102" s="41"/>
      <c r="DI102" s="41"/>
    </row>
    <row r="103" spans="1:113" s="43" customFormat="1" ht="15" customHeight="1" x14ac:dyDescent="0.25">
      <c r="A103" s="41"/>
      <c r="N103" s="199" t="s">
        <v>131</v>
      </c>
      <c r="O103" s="43" t="s">
        <v>145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146</v>
      </c>
      <c r="N105" s="201" t="s">
        <v>146</v>
      </c>
      <c r="W105" s="41"/>
      <c r="AG105" s="41"/>
      <c r="AQ105" s="41"/>
      <c r="BA105" s="41"/>
      <c r="BK105" s="41"/>
      <c r="BU105" s="41"/>
      <c r="CE105" s="41"/>
      <c r="CO105" s="41"/>
      <c r="CY105" s="41"/>
      <c r="DI105" s="41"/>
    </row>
    <row r="106" spans="1:113" s="43" customFormat="1" ht="15" customHeight="1" x14ac:dyDescent="0.25">
      <c r="A106" s="41"/>
      <c r="B106" s="200" t="s">
        <v>147</v>
      </c>
      <c r="C106" s="43" t="s">
        <v>148</v>
      </c>
      <c r="N106" s="202" t="s">
        <v>147</v>
      </c>
      <c r="O106" s="43" t="s">
        <v>148</v>
      </c>
      <c r="W106" s="41"/>
      <c r="AG106" s="41"/>
      <c r="AQ106" s="41"/>
      <c r="BA106" s="41"/>
      <c r="BK106" s="41"/>
      <c r="BU106" s="41"/>
      <c r="CE106" s="41"/>
      <c r="CO106" s="41"/>
      <c r="CY106" s="41"/>
      <c r="DI106" s="41"/>
    </row>
    <row r="107" spans="1:113" s="43" customFormat="1" ht="15" customHeight="1" x14ac:dyDescent="0.25">
      <c r="A107" s="41"/>
      <c r="N107" s="170" t="s">
        <v>149</v>
      </c>
      <c r="O107" s="43" t="s">
        <v>150</v>
      </c>
      <c r="W107" s="41"/>
      <c r="AG107" s="41"/>
      <c r="AQ107" s="41"/>
      <c r="BA107" s="41"/>
      <c r="BK107" s="41"/>
      <c r="BU107" s="41"/>
      <c r="CE107" s="41"/>
      <c r="CO107" s="41"/>
      <c r="CY107" s="41"/>
      <c r="DI107" s="41"/>
    </row>
    <row r="108" spans="1:113" s="43" customFormat="1" ht="15" customHeight="1" x14ac:dyDescent="0.25">
      <c r="A108" s="41"/>
      <c r="N108" s="203" t="s">
        <v>149</v>
      </c>
      <c r="O108" s="43" t="s">
        <v>151</v>
      </c>
      <c r="W108" s="41"/>
      <c r="AG108" s="41"/>
      <c r="AQ108" s="41"/>
      <c r="BA108" s="41"/>
      <c r="BK108" s="41"/>
      <c r="BU108" s="41"/>
      <c r="CE108" s="41"/>
      <c r="CO108" s="41"/>
      <c r="CY108" s="41"/>
      <c r="DI108" s="41"/>
    </row>
    <row r="109" spans="1:113" s="43" customFormat="1" ht="15" customHeight="1" x14ac:dyDescent="0.25">
      <c r="A109" s="41"/>
      <c r="N109" s="170" t="s">
        <v>152</v>
      </c>
      <c r="O109" s="43" t="s">
        <v>153</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154</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155</v>
      </c>
      <c r="U6" s="307" t="s">
        <v>156</v>
      </c>
      <c r="V6" s="307" t="s">
        <v>108</v>
      </c>
      <c r="W6" s="307" t="s">
        <v>157</v>
      </c>
      <c r="X6" s="307" t="s">
        <v>110</v>
      </c>
      <c r="Y6" s="307"/>
      <c r="Z6" s="307" t="s">
        <v>105</v>
      </c>
      <c r="AA6" s="313" t="s">
        <v>158</v>
      </c>
      <c r="AB6" s="307" t="s">
        <v>159</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160</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105</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160</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105</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160</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106</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160</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106</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155</v>
      </c>
      <c r="U11" s="307" t="s">
        <v>156</v>
      </c>
      <c r="V11" s="307" t="s">
        <v>108</v>
      </c>
      <c r="W11" s="307" t="s">
        <v>157</v>
      </c>
      <c r="X11" s="307" t="s">
        <v>110</v>
      </c>
      <c r="Y11" s="307"/>
      <c r="Z11" s="307" t="s">
        <v>105</v>
      </c>
      <c r="AA11" s="307" t="s">
        <v>158</v>
      </c>
      <c r="AB11" s="307" t="s">
        <v>159</v>
      </c>
      <c r="AE11" s="302"/>
      <c r="AH11" s="314" t="str">
        <f>Matches!J11</f>
        <v>Albania</v>
      </c>
      <c r="CY11" s="302"/>
    </row>
    <row r="12" spans="1:103" s="300" customFormat="1" ht="14.4" customHeight="1" x14ac:dyDescent="0.3">
      <c r="B12" s="300">
        <v>5</v>
      </c>
      <c r="C12" s="307">
        <v>5</v>
      </c>
      <c r="D12" s="307" t="s">
        <v>108</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160</v>
      </c>
      <c r="Z12" s="307">
        <f>VLOOKUP(P12,'Dummy Table'!B4:G40,6,FALSE)</f>
        <v>0</v>
      </c>
      <c r="AA12" s="307">
        <f>X12-Z12</f>
        <v>4</v>
      </c>
      <c r="AB12" s="307">
        <f>U12*3+V12*1</f>
        <v>6</v>
      </c>
      <c r="AE12" s="302"/>
      <c r="AH12" s="314" t="str">
        <f>Matches!G10</f>
        <v>Spain</v>
      </c>
      <c r="CY12" s="302"/>
    </row>
    <row r="13" spans="1:103" s="300" customFormat="1" ht="14.4" customHeight="1" x14ac:dyDescent="0.3">
      <c r="B13" s="300">
        <v>6</v>
      </c>
      <c r="C13" s="307">
        <v>6</v>
      </c>
      <c r="D13" s="307" t="s">
        <v>107</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160</v>
      </c>
      <c r="Z13" s="307">
        <f>VLOOKUP(P13,'Dummy Table'!B4:G40,6,FALSE)</f>
        <v>2</v>
      </c>
      <c r="AA13" s="307">
        <f t="shared" ref="AA13:AA15" si="4">X13-Z13</f>
        <v>0</v>
      </c>
      <c r="AB13" s="307">
        <f>U13*3+V13*1</f>
        <v>3</v>
      </c>
      <c r="AE13" s="302"/>
      <c r="AH13" s="314" t="str">
        <f>Matches!J10</f>
        <v>Croatia</v>
      </c>
      <c r="CY13" s="302"/>
    </row>
    <row r="14" spans="1:103" s="300" customFormat="1" ht="14.4" customHeight="1" x14ac:dyDescent="0.3">
      <c r="B14" s="300">
        <v>7</v>
      </c>
      <c r="C14" s="307">
        <v>7</v>
      </c>
      <c r="D14" s="307" t="s">
        <v>107</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160</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108</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160</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109</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155</v>
      </c>
      <c r="U16" s="307" t="s">
        <v>156</v>
      </c>
      <c r="V16" s="307" t="s">
        <v>108</v>
      </c>
      <c r="W16" s="307" t="s">
        <v>157</v>
      </c>
      <c r="X16" s="307" t="s">
        <v>110</v>
      </c>
      <c r="Y16" s="307"/>
      <c r="Z16" s="307" t="s">
        <v>105</v>
      </c>
      <c r="AA16" s="307" t="s">
        <v>158</v>
      </c>
      <c r="AB16" s="307" t="s">
        <v>159</v>
      </c>
      <c r="AE16" s="302"/>
      <c r="AH16" s="314" t="str">
        <f>Matches!G13</f>
        <v>Slovenia</v>
      </c>
      <c r="CY16" s="302"/>
    </row>
    <row r="17" spans="2:103" s="300" customFormat="1" ht="14.4" customHeight="1" x14ac:dyDescent="0.3">
      <c r="B17" s="300">
        <v>10</v>
      </c>
      <c r="C17" s="307">
        <v>10</v>
      </c>
      <c r="D17" s="307" t="s">
        <v>109</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160</v>
      </c>
      <c r="Z17" s="307">
        <f>VLOOKUP(P17,'Dummy Table'!B4:G40,6,FALSE)</f>
        <v>1</v>
      </c>
      <c r="AA17" s="307">
        <f>X17-Z17</f>
        <v>1</v>
      </c>
      <c r="AB17" s="307">
        <f>U17*3+V17*1</f>
        <v>4</v>
      </c>
      <c r="AE17" s="302"/>
      <c r="AH17" s="314" t="str">
        <f>Matches!J13</f>
        <v>Denmark</v>
      </c>
      <c r="CY17" s="302"/>
    </row>
    <row r="18" spans="2:103" s="300" customFormat="1" ht="14.4" customHeight="1" x14ac:dyDescent="0.3">
      <c r="B18" s="300">
        <v>11</v>
      </c>
      <c r="C18" s="307">
        <v>11</v>
      </c>
      <c r="D18" s="307" t="s">
        <v>110</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160</v>
      </c>
      <c r="Z18" s="307">
        <f>VLOOKUP(P18,'Dummy Table'!B4:G40,6,FALSE)</f>
        <v>2</v>
      </c>
      <c r="AA18" s="307">
        <f t="shared" ref="AA18:AA20" si="6">X18-Z18</f>
        <v>0</v>
      </c>
      <c r="AB18" s="307">
        <f>U18*3+V18*1</f>
        <v>2</v>
      </c>
      <c r="AE18" s="302"/>
      <c r="AH18" s="314" t="str">
        <f>Matches!G15</f>
        <v>Austria</v>
      </c>
      <c r="CY18" s="302"/>
    </row>
    <row r="19" spans="2:103" s="300" customFormat="1" ht="14.4" customHeight="1" x14ac:dyDescent="0.3">
      <c r="B19" s="300">
        <v>12</v>
      </c>
      <c r="C19" s="307">
        <v>12</v>
      </c>
      <c r="D19" s="307" t="s">
        <v>110</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160</v>
      </c>
      <c r="Z19" s="307">
        <f>VLOOKUP(P19,'Dummy Table'!B4:G40,6,FALSE)</f>
        <v>2</v>
      </c>
      <c r="AA19" s="307">
        <f t="shared" si="6"/>
        <v>0</v>
      </c>
      <c r="AB19" s="307">
        <f>U19*3+V19*1</f>
        <v>2</v>
      </c>
      <c r="AE19" s="302"/>
      <c r="AH19" s="314" t="str">
        <f>Matches!J15</f>
        <v>France</v>
      </c>
      <c r="CY19" s="302"/>
    </row>
    <row r="20" spans="2:103" s="300" customFormat="1" ht="14.4" customHeight="1" x14ac:dyDescent="0.3">
      <c r="B20" s="300">
        <v>13</v>
      </c>
      <c r="C20" s="307">
        <v>13</v>
      </c>
      <c r="D20" s="307" t="s">
        <v>106</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160</v>
      </c>
      <c r="Z20" s="307">
        <f>VLOOKUP(P20,'Dummy Table'!B4:G40,6,FALSE)</f>
        <v>2</v>
      </c>
      <c r="AA20" s="307">
        <f t="shared" si="6"/>
        <v>-1</v>
      </c>
      <c r="AB20" s="307">
        <f>U20*3+V20*1</f>
        <v>1</v>
      </c>
      <c r="AE20" s="302"/>
      <c r="AH20" s="314" t="str">
        <f>Matches!G12</f>
        <v>Serbia</v>
      </c>
      <c r="CY20" s="302"/>
    </row>
    <row r="21" spans="2:103" s="300" customFormat="1" ht="14.4" customHeight="1" x14ac:dyDescent="0.3">
      <c r="B21" s="300">
        <v>14</v>
      </c>
      <c r="C21" s="307">
        <v>14</v>
      </c>
      <c r="D21" s="307" t="s">
        <v>105</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155</v>
      </c>
      <c r="U21" s="307" t="s">
        <v>156</v>
      </c>
      <c r="V21" s="307" t="s">
        <v>108</v>
      </c>
      <c r="W21" s="307" t="s">
        <v>157</v>
      </c>
      <c r="X21" s="307" t="s">
        <v>110</v>
      </c>
      <c r="Y21" s="307"/>
      <c r="Z21" s="307" t="s">
        <v>105</v>
      </c>
      <c r="AA21" s="307" t="s">
        <v>158</v>
      </c>
      <c r="AB21" s="307" t="s">
        <v>159</v>
      </c>
      <c r="AE21" s="302"/>
      <c r="AH21" s="314" t="str">
        <f>Matches!J12</f>
        <v>England</v>
      </c>
      <c r="CY21" s="302"/>
    </row>
    <row r="22" spans="2:103" s="300" customFormat="1" ht="14.4" customHeight="1" x14ac:dyDescent="0.3">
      <c r="B22" s="300">
        <v>15</v>
      </c>
      <c r="C22" s="307">
        <v>15</v>
      </c>
      <c r="D22" s="307" t="s">
        <v>105</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160</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107</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1</v>
      </c>
      <c r="U23" s="307">
        <f>VLOOKUP(P23,'Dummy Table'!B4:C40,2,FALSE)</f>
        <v>1</v>
      </c>
      <c r="V23" s="307">
        <f>VLOOKUP(P23,'Dummy Table'!B4:D40,3,FALSE)</f>
        <v>0</v>
      </c>
      <c r="W23" s="307">
        <f>VLOOKUP(P23,'Dummy Table'!B4:E40,4,FALSE)</f>
        <v>0</v>
      </c>
      <c r="X23" s="307">
        <f>VLOOKUP(P23,'Dummy Table'!B4:F40,5,FALSE)</f>
        <v>1</v>
      </c>
      <c r="Y23" s="307" t="s">
        <v>160</v>
      </c>
      <c r="Z23" s="307">
        <f>VLOOKUP(P23,'Dummy Table'!B4:G40,6,FALSE)</f>
        <v>0</v>
      </c>
      <c r="AA23" s="307">
        <f t="shared" ref="AA23:AA25" si="8">X23-Z23</f>
        <v>1</v>
      </c>
      <c r="AB23" s="307">
        <f>U23*3+V23*1</f>
        <v>3</v>
      </c>
      <c r="AE23" s="302"/>
      <c r="AH23" s="314" t="str">
        <f>Matches!J17</f>
        <v>Ukraine</v>
      </c>
      <c r="CY23" s="302"/>
    </row>
    <row r="24" spans="2:103" s="300" customFormat="1" ht="14.4" customHeight="1" x14ac:dyDescent="0.3">
      <c r="B24" s="300">
        <v>17</v>
      </c>
      <c r="C24" s="307">
        <v>17</v>
      </c>
      <c r="D24" s="307" t="s">
        <v>106</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Poland</v>
      </c>
      <c r="T24" s="307">
        <f t="shared" si="7"/>
        <v>1</v>
      </c>
      <c r="U24" s="307">
        <f>VLOOKUP(P24,'Dummy Table'!B4:C40,2,FALSE)</f>
        <v>0</v>
      </c>
      <c r="V24" s="307">
        <f>VLOOKUP(P24,'Dummy Table'!B4:D40,3,FALSE)</f>
        <v>0</v>
      </c>
      <c r="W24" s="307">
        <f>VLOOKUP(P24,'Dummy Table'!B4:E40,4,FALSE)</f>
        <v>1</v>
      </c>
      <c r="X24" s="307">
        <f>VLOOKUP(P24,'Dummy Table'!B4:F40,5,FALSE)</f>
        <v>1</v>
      </c>
      <c r="Y24" s="307" t="s">
        <v>160</v>
      </c>
      <c r="Z24" s="307">
        <f>VLOOKUP(P24,'Dummy Table'!B4:G40,6,FALSE)</f>
        <v>2</v>
      </c>
      <c r="AA24" s="307">
        <f t="shared" si="8"/>
        <v>-1</v>
      </c>
      <c r="AB24" s="307">
        <f>U24*3+V24*1</f>
        <v>0</v>
      </c>
      <c r="AE24" s="302"/>
      <c r="AH24" s="314" t="str">
        <f>Matches!G16</f>
        <v>Belgium</v>
      </c>
      <c r="CY24" s="302"/>
    </row>
    <row r="25" spans="2:103" s="300" customFormat="1" ht="14.4" customHeight="1" x14ac:dyDescent="0.3">
      <c r="B25" s="300">
        <v>18</v>
      </c>
      <c r="C25" s="307">
        <v>18</v>
      </c>
      <c r="D25" s="307" t="s">
        <v>107</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Austria</v>
      </c>
      <c r="T25" s="307">
        <f t="shared" si="7"/>
        <v>1</v>
      </c>
      <c r="U25" s="307">
        <f>VLOOKUP(P25,'Dummy Table'!B4:C40,2,FALSE)</f>
        <v>0</v>
      </c>
      <c r="V25" s="307">
        <f>VLOOKUP(P25,'Dummy Table'!B4:D40,3,FALSE)</f>
        <v>0</v>
      </c>
      <c r="W25" s="307">
        <f>VLOOKUP(P25,'Dummy Table'!B4:E40,4,FALSE)</f>
        <v>1</v>
      </c>
      <c r="X25" s="307">
        <f>VLOOKUP(P25,'Dummy Table'!B4:F40,5,FALSE)</f>
        <v>0</v>
      </c>
      <c r="Y25" s="307" t="s">
        <v>160</v>
      </c>
      <c r="Z25" s="307">
        <f>VLOOKUP(P25,'Dummy Table'!B4:G40,6,FALSE)</f>
        <v>1</v>
      </c>
      <c r="AA25" s="307">
        <f t="shared" si="8"/>
        <v>-1</v>
      </c>
      <c r="AB25" s="307">
        <f>U25*3+V25*1</f>
        <v>0</v>
      </c>
      <c r="AE25" s="302"/>
      <c r="AH25" s="314" t="str">
        <f>Matches!J16</f>
        <v>Slovakia</v>
      </c>
      <c r="CY25" s="302"/>
    </row>
    <row r="26" spans="2:103" s="300" customFormat="1" ht="14.4" customHeight="1" x14ac:dyDescent="0.3">
      <c r="B26" s="300">
        <v>19</v>
      </c>
      <c r="C26" s="307">
        <v>19</v>
      </c>
      <c r="D26" s="307" t="s">
        <v>109</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155</v>
      </c>
      <c r="U26" s="307" t="s">
        <v>156</v>
      </c>
      <c r="V26" s="307" t="s">
        <v>108</v>
      </c>
      <c r="W26" s="307" t="s">
        <v>157</v>
      </c>
      <c r="X26" s="307" t="s">
        <v>110</v>
      </c>
      <c r="Y26" s="307"/>
      <c r="Z26" s="307" t="s">
        <v>105</v>
      </c>
      <c r="AA26" s="307" t="s">
        <v>158</v>
      </c>
      <c r="AB26" s="307" t="s">
        <v>159</v>
      </c>
      <c r="AE26" s="302"/>
      <c r="AH26" s="314" t="str">
        <f>Matches!G19</f>
        <v>Portugal</v>
      </c>
      <c r="CY26" s="302"/>
    </row>
    <row r="27" spans="2:103" s="300" customFormat="1" ht="14.4" customHeight="1" x14ac:dyDescent="0.3">
      <c r="B27" s="300">
        <v>20</v>
      </c>
      <c r="C27" s="307">
        <v>20</v>
      </c>
      <c r="D27" s="307" t="s">
        <v>108</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160</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108</v>
      </c>
      <c r="E28" s="317">
        <f t="shared" si="2"/>
        <v>44365.875</v>
      </c>
      <c r="F28" s="316">
        <v>44365.875</v>
      </c>
      <c r="G28" s="311" t="str">
        <f>J16</f>
        <v>Slovakia</v>
      </c>
      <c r="H28" s="307" t="str">
        <f>IF('Player Game Board'!H30&lt;&gt;"",'Player Game Board'!H30,"")</f>
        <v/>
      </c>
      <c r="I28" s="307" t="str">
        <f>IF('Player Game Board'!I30&lt;&gt;"",'Player Game Board'!I30,"")</f>
        <v/>
      </c>
      <c r="J28" s="300" t="str">
        <f>J17</f>
        <v>Ukraine</v>
      </c>
      <c r="P28" s="300" t="str">
        <f>VLOOKUP(2,'Dummy Table'!A31:B35,2,FALSE)</f>
        <v>Slovakia</v>
      </c>
      <c r="T28" s="307">
        <f t="shared" ref="T28:T30" si="9">SUM(U28:W28)</f>
        <v>1</v>
      </c>
      <c r="U28" s="307">
        <f>VLOOKUP(P28,'Dummy Table'!B4:C40,2,FALSE)</f>
        <v>1</v>
      </c>
      <c r="V28" s="307">
        <f>VLOOKUP(P28,'Dummy Table'!B4:D40,3,FALSE)</f>
        <v>0</v>
      </c>
      <c r="W28" s="307">
        <f>VLOOKUP(P28,'Dummy Table'!B4:E40,4,FALSE)</f>
        <v>0</v>
      </c>
      <c r="X28" s="307">
        <f>VLOOKUP(P28,'Dummy Table'!B4:F40,5,FALSE)</f>
        <v>1</v>
      </c>
      <c r="Y28" s="307" t="s">
        <v>160</v>
      </c>
      <c r="Z28" s="307">
        <f>VLOOKUP(P28,'Dummy Table'!B4:G40,6,FALSE)</f>
        <v>0</v>
      </c>
      <c r="AA28" s="307">
        <f t="shared" ref="AA28:AA30" si="10">X28-Z28</f>
        <v>1</v>
      </c>
      <c r="AB28" s="307">
        <f>U28*3+V28*1</f>
        <v>3</v>
      </c>
      <c r="AE28" s="302"/>
      <c r="AH28" s="314" t="str">
        <f>Matches!G18</f>
        <v>Türkiye</v>
      </c>
      <c r="CY28" s="302"/>
    </row>
    <row r="29" spans="2:103" s="300" customFormat="1" ht="14.4" customHeight="1" x14ac:dyDescent="0.3">
      <c r="B29" s="300">
        <v>22</v>
      </c>
      <c r="C29" s="307">
        <v>22</v>
      </c>
      <c r="D29" s="307" t="s">
        <v>110</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Belgium</v>
      </c>
      <c r="T29" s="307">
        <f t="shared" si="9"/>
        <v>1</v>
      </c>
      <c r="U29" s="307">
        <f>VLOOKUP(P29,'Dummy Table'!B4:C40,2,FALSE)</f>
        <v>0</v>
      </c>
      <c r="V29" s="307">
        <f>VLOOKUP(P29,'Dummy Table'!B4:D40,3,FALSE)</f>
        <v>0</v>
      </c>
      <c r="W29" s="307">
        <f>VLOOKUP(P29,'Dummy Table'!B4:E40,4,FALSE)</f>
        <v>1</v>
      </c>
      <c r="X29" s="307">
        <f>VLOOKUP(P29,'Dummy Table'!B4:F40,5,FALSE)</f>
        <v>0</v>
      </c>
      <c r="Y29" s="307" t="s">
        <v>160</v>
      </c>
      <c r="Z29" s="307">
        <f>VLOOKUP(P29,'Dummy Table'!B4:G40,6,FALSE)</f>
        <v>1</v>
      </c>
      <c r="AA29" s="307">
        <f t="shared" si="10"/>
        <v>-1</v>
      </c>
      <c r="AB29" s="307">
        <f>U29*3+V29*1</f>
        <v>0</v>
      </c>
      <c r="AE29" s="302"/>
      <c r="AH29" s="314" t="str">
        <f>Matches!J18</f>
        <v>Georgia</v>
      </c>
      <c r="CY29" s="302"/>
    </row>
    <row r="30" spans="2:103" s="300" customFormat="1" ht="14.4" customHeight="1" x14ac:dyDescent="0.3">
      <c r="B30" s="300">
        <v>23</v>
      </c>
      <c r="C30" s="307">
        <v>23</v>
      </c>
      <c r="D30" s="307" t="s">
        <v>110</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Ukraine</v>
      </c>
      <c r="T30" s="307">
        <f t="shared" si="9"/>
        <v>1</v>
      </c>
      <c r="U30" s="307">
        <f>VLOOKUP(P30,'Dummy Table'!B4:C40,2,FALSE)</f>
        <v>0</v>
      </c>
      <c r="V30" s="307">
        <f>VLOOKUP(P30,'Dummy Table'!B4:D40,3,FALSE)</f>
        <v>0</v>
      </c>
      <c r="W30" s="307">
        <f>VLOOKUP(P30,'Dummy Table'!B4:E40,4,FALSE)</f>
        <v>1</v>
      </c>
      <c r="X30" s="307">
        <f>VLOOKUP(P30,'Dummy Table'!B4:F40,5,FALSE)</f>
        <v>0</v>
      </c>
      <c r="Y30" s="307" t="s">
        <v>160</v>
      </c>
      <c r="Z30" s="307">
        <f>VLOOKUP(P30,'Dummy Table'!B4:G40,6,FALSE)</f>
        <v>3</v>
      </c>
      <c r="AA30" s="307">
        <f t="shared" si="10"/>
        <v>-3</v>
      </c>
      <c r="AB30" s="307">
        <f>U30*3+V30*1</f>
        <v>0</v>
      </c>
      <c r="AE30" s="302"/>
      <c r="CY30" s="302"/>
    </row>
    <row r="31" spans="2:103" s="300" customFormat="1" ht="14.4" customHeight="1" x14ac:dyDescent="0.3">
      <c r="B31" s="300">
        <v>24</v>
      </c>
      <c r="C31" s="307">
        <v>24</v>
      </c>
      <c r="D31" s="307" t="s">
        <v>109</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155</v>
      </c>
      <c r="U31" s="307" t="s">
        <v>156</v>
      </c>
      <c r="V31" s="307" t="s">
        <v>108</v>
      </c>
      <c r="W31" s="307" t="s">
        <v>157</v>
      </c>
      <c r="X31" s="307" t="s">
        <v>110</v>
      </c>
      <c r="Y31" s="307"/>
      <c r="Z31" s="307" t="s">
        <v>105</v>
      </c>
      <c r="AA31" s="307" t="s">
        <v>158</v>
      </c>
      <c r="AB31" s="307" t="s">
        <v>159</v>
      </c>
      <c r="AE31" s="302"/>
      <c r="CY31" s="302"/>
    </row>
    <row r="32" spans="2:103" s="300" customFormat="1" ht="14.4" customHeight="1" x14ac:dyDescent="0.3">
      <c r="B32" s="300">
        <v>25</v>
      </c>
      <c r="C32" s="307">
        <v>25</v>
      </c>
      <c r="D32" s="307" t="s">
        <v>105</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160</v>
      </c>
      <c r="Z32" s="307">
        <f>VLOOKUP(P32,'Dummy Table'!B4:G40,6,FALSE)</f>
        <v>1</v>
      </c>
      <c r="AA32" s="307">
        <f>X32-Z32</f>
        <v>2</v>
      </c>
      <c r="AB32" s="307">
        <f>U32*3+V32*1</f>
        <v>3</v>
      </c>
      <c r="AE32" s="302"/>
      <c r="CY32" s="302"/>
    </row>
    <row r="33" spans="2:103" s="300" customFormat="1" ht="14.4" customHeight="1" x14ac:dyDescent="0.3">
      <c r="B33" s="300">
        <v>26</v>
      </c>
      <c r="C33" s="307">
        <v>26</v>
      </c>
      <c r="D33" s="307" t="s">
        <v>105</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160</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107</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160</v>
      </c>
      <c r="Z34" s="307">
        <f>VLOOKUP(P34,'Dummy Table'!B4:G40,6,FALSE)</f>
        <v>2</v>
      </c>
      <c r="AA34" s="307">
        <f t="shared" si="12"/>
        <v>-1</v>
      </c>
      <c r="AB34" s="307">
        <f>U34*3+V34*1</f>
        <v>0</v>
      </c>
      <c r="AE34" s="302"/>
      <c r="CY34" s="302"/>
    </row>
    <row r="35" spans="2:103" s="300" customFormat="1" ht="14.4" customHeight="1" x14ac:dyDescent="0.3">
      <c r="B35" s="300">
        <v>28</v>
      </c>
      <c r="C35" s="307">
        <v>28</v>
      </c>
      <c r="D35" s="307" t="s">
        <v>107</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160</v>
      </c>
      <c r="Z35" s="307">
        <f>VLOOKUP(P35,'Dummy Table'!B4:G40,6,FALSE)</f>
        <v>3</v>
      </c>
      <c r="AA35" s="307">
        <f t="shared" si="12"/>
        <v>-2</v>
      </c>
      <c r="AB35" s="307">
        <f>U35*3+V35*1</f>
        <v>0</v>
      </c>
      <c r="AE35" s="302"/>
      <c r="CY35" s="302"/>
    </row>
    <row r="36" spans="2:103" s="300" customFormat="1" ht="14.4" customHeight="1" x14ac:dyDescent="0.3">
      <c r="B36" s="300">
        <v>29</v>
      </c>
      <c r="C36" s="307">
        <v>29</v>
      </c>
      <c r="D36" s="307" t="s">
        <v>106</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106</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108</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155</v>
      </c>
      <c r="U38" s="307" t="s">
        <v>156</v>
      </c>
      <c r="V38" s="307" t="s">
        <v>108</v>
      </c>
      <c r="W38" s="307" t="s">
        <v>157</v>
      </c>
      <c r="X38" s="307" t="s">
        <v>110</v>
      </c>
      <c r="Y38" s="307"/>
      <c r="Z38" s="307" t="s">
        <v>105</v>
      </c>
      <c r="AA38" s="307" t="s">
        <v>158</v>
      </c>
      <c r="AB38" s="307" t="s">
        <v>159</v>
      </c>
      <c r="AC38" s="307" t="s">
        <v>161</v>
      </c>
      <c r="AE38" s="302"/>
      <c r="CY38" s="302"/>
    </row>
    <row r="39" spans="2:103" s="300" customFormat="1" ht="14.4" customHeight="1" x14ac:dyDescent="0.3">
      <c r="B39" s="300">
        <v>32</v>
      </c>
      <c r="C39" s="307">
        <v>32</v>
      </c>
      <c r="D39" s="307" t="s">
        <v>108</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Slovenia</v>
      </c>
      <c r="Q39" s="312"/>
      <c r="R39" s="312"/>
      <c r="S39" s="312"/>
      <c r="T39" s="307">
        <f>VLOOKUP(P39,P7:AB35,5,FALSE)</f>
        <v>2</v>
      </c>
      <c r="U39" s="307">
        <f>VLOOKUP(P39,P7:AB35,6,FALSE)</f>
        <v>0</v>
      </c>
      <c r="V39" s="307">
        <f>VLOOKUP(P39,P7:AB35,7,FALSE)</f>
        <v>2</v>
      </c>
      <c r="W39" s="307">
        <f>VLOOKUP(P39,P7:AB35,8,FALSE)</f>
        <v>0</v>
      </c>
      <c r="X39" s="307">
        <f>VLOOKUP(P39,P7:AB35,9,FALSE)</f>
        <v>2</v>
      </c>
      <c r="Y39" s="307" t="s">
        <v>160</v>
      </c>
      <c r="Z39" s="307">
        <f>VLOOKUP(P39,P7:AB35,11,FALSE)</f>
        <v>2</v>
      </c>
      <c r="AA39" s="307">
        <f>VLOOKUP(P39,P7:AB35,12,FALSE)</f>
        <v>0</v>
      </c>
      <c r="AB39" s="307">
        <f>VLOOKUP(P39,P7:AB35,13,FALSE)</f>
        <v>2</v>
      </c>
      <c r="AC39" s="307" t="str">
        <f>INDEX('Dummy Table'!DV3:DV8,MATCH(Matches!O39,'Dummy Table'!DU3:DU8,0),0)</f>
        <v>C</v>
      </c>
      <c r="AE39" s="302"/>
      <c r="CY39" s="302"/>
    </row>
    <row r="40" spans="2:103" s="300" customFormat="1" ht="14.4" customHeight="1" x14ac:dyDescent="0.3">
      <c r="B40" s="300">
        <v>33</v>
      </c>
      <c r="C40" s="307">
        <v>33</v>
      </c>
      <c r="D40" s="307" t="s">
        <v>109</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Albania</v>
      </c>
      <c r="Q40" s="312"/>
      <c r="R40" s="312"/>
      <c r="S40" s="312"/>
      <c r="T40" s="307">
        <f>VLOOKUP(P40,P7:AB35,5,FALSE)</f>
        <v>2</v>
      </c>
      <c r="U40" s="307">
        <f>VLOOKUP(P40,P7:AB35,6,FALSE)</f>
        <v>0</v>
      </c>
      <c r="V40" s="307">
        <f>VLOOKUP(P40,P7:AB35,7,FALSE)</f>
        <v>1</v>
      </c>
      <c r="W40" s="307">
        <f>VLOOKUP(P40,P7:AB35,8,FALSE)</f>
        <v>1</v>
      </c>
      <c r="X40" s="307">
        <f>VLOOKUP(P40,P7:AB35,9,FALSE)</f>
        <v>3</v>
      </c>
      <c r="Y40" s="307" t="s">
        <v>160</v>
      </c>
      <c r="Z40" s="307">
        <f>VLOOKUP(P40,P7:AB35,11,FALSE)</f>
        <v>4</v>
      </c>
      <c r="AA40" s="307">
        <f>VLOOKUP(P40,P7:AB35,12,FALSE)</f>
        <v>-1</v>
      </c>
      <c r="AB40" s="307">
        <f>VLOOKUP(P40,P7:AB35,13,FALSE)</f>
        <v>1</v>
      </c>
      <c r="AC40" s="307" t="str">
        <f>INDEX('Dummy Table'!DV3:DV8,MATCH(Matches!O40,'Dummy Table'!DU3:DU8,0),0)</f>
        <v>B</v>
      </c>
      <c r="AE40" s="302"/>
      <c r="CY40" s="302"/>
    </row>
    <row r="41" spans="2:103" s="300" customFormat="1" ht="14.4" customHeight="1" x14ac:dyDescent="0.3">
      <c r="B41" s="300">
        <v>34</v>
      </c>
      <c r="C41" s="307">
        <v>34</v>
      </c>
      <c r="D41" s="307" t="s">
        <v>109</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Scotland</v>
      </c>
      <c r="Q41" s="312"/>
      <c r="R41" s="312"/>
      <c r="S41" s="312"/>
      <c r="T41" s="307">
        <f>VLOOKUP(P41,P7:AB35,5,FALSE)</f>
        <v>2</v>
      </c>
      <c r="U41" s="307">
        <f>VLOOKUP(P41,P7:AB35,6,FALSE)</f>
        <v>0</v>
      </c>
      <c r="V41" s="307">
        <f>VLOOKUP(P41,P7:AB35,7,FALSE)</f>
        <v>1</v>
      </c>
      <c r="W41" s="307">
        <f>VLOOKUP(P41,P7:AB35,8,FALSE)</f>
        <v>1</v>
      </c>
      <c r="X41" s="307">
        <f>VLOOKUP(P41,P7:AB35,9,FALSE)</f>
        <v>2</v>
      </c>
      <c r="Y41" s="307" t="s">
        <v>160</v>
      </c>
      <c r="Z41" s="307">
        <f>VLOOKUP(P41,P7:AB35,11,FALSE)</f>
        <v>6</v>
      </c>
      <c r="AA41" s="307">
        <f>VLOOKUP(P41,P7:AB35,12,FALSE)</f>
        <v>-4</v>
      </c>
      <c r="AB41" s="307">
        <f>VLOOKUP(P41,P7:AB35,13,FALSE)</f>
        <v>1</v>
      </c>
      <c r="AC41" s="307" t="str">
        <f>INDEX('Dummy Table'!DV3:DV8,MATCH(Matches!O41,'Dummy Table'!DU3:DU8,0),0)</f>
        <v>A</v>
      </c>
      <c r="AE41" s="302"/>
      <c r="CY41" s="302"/>
    </row>
    <row r="42" spans="2:103" s="300" customFormat="1" ht="14.4" customHeight="1" x14ac:dyDescent="0.3">
      <c r="B42" s="300">
        <v>35</v>
      </c>
      <c r="C42" s="307">
        <v>35</v>
      </c>
      <c r="D42" s="307" t="s">
        <v>110</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Czechia</v>
      </c>
      <c r="Q42" s="312"/>
      <c r="R42" s="312"/>
      <c r="S42" s="312"/>
      <c r="T42" s="307">
        <f>VLOOKUP(P42,P7:AB35,5,FALSE)</f>
        <v>1</v>
      </c>
      <c r="U42" s="307">
        <f>VLOOKUP(P42,P7:AB35,6,FALSE)</f>
        <v>0</v>
      </c>
      <c r="V42" s="307">
        <f>VLOOKUP(P42,P7:AB35,7,FALSE)</f>
        <v>0</v>
      </c>
      <c r="W42" s="307">
        <f>VLOOKUP(P42,P7:AB35,8,FALSE)</f>
        <v>1</v>
      </c>
      <c r="X42" s="307">
        <f>VLOOKUP(P42,P7:AB35,9,FALSE)</f>
        <v>1</v>
      </c>
      <c r="Y42" s="307" t="s">
        <v>160</v>
      </c>
      <c r="Z42" s="307">
        <f>VLOOKUP(P42,P7:AB35,11,FALSE)</f>
        <v>2</v>
      </c>
      <c r="AA42" s="307">
        <f>VLOOKUP(P42,P7:AB35,12,FALSE)</f>
        <v>-1</v>
      </c>
      <c r="AB42" s="307">
        <f>VLOOKUP(P42,P7:AB35,13,FALSE)</f>
        <v>0</v>
      </c>
      <c r="AC42" s="307" t="str">
        <f>INDEX('Dummy Table'!DV3:DV8,MATCH(Matches!O42,'Dummy Table'!DU3:DU8,0),0)</f>
        <v>F</v>
      </c>
      <c r="AE42" s="302"/>
      <c r="CY42" s="302"/>
    </row>
    <row r="43" spans="2:103" s="300" customFormat="1" ht="14.4" customHeight="1" x14ac:dyDescent="0.3">
      <c r="B43" s="300">
        <v>36</v>
      </c>
      <c r="C43" s="307">
        <v>36</v>
      </c>
      <c r="D43" s="307" t="s">
        <v>110</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Poland</v>
      </c>
      <c r="Q43" s="312"/>
      <c r="R43" s="312"/>
      <c r="S43" s="312"/>
      <c r="T43" s="307">
        <f>VLOOKUP(P43,P7:AB35,5,FALSE)</f>
        <v>1</v>
      </c>
      <c r="U43" s="307">
        <f>VLOOKUP(P43,P7:AB35,6,FALSE)</f>
        <v>0</v>
      </c>
      <c r="V43" s="307">
        <f>VLOOKUP(P43,P7:AB35,7,FALSE)</f>
        <v>0</v>
      </c>
      <c r="W43" s="307">
        <f>VLOOKUP(P43,P7:AB35,8,FALSE)</f>
        <v>1</v>
      </c>
      <c r="X43" s="307">
        <f>VLOOKUP(P43,P7:AB35,9,FALSE)</f>
        <v>1</v>
      </c>
      <c r="Y43" s="307" t="s">
        <v>160</v>
      </c>
      <c r="Z43" s="307">
        <f>VLOOKUP(P43,P7:AB35,11,FALSE)</f>
        <v>2</v>
      </c>
      <c r="AA43" s="307">
        <f>VLOOKUP(P43,P7:AB35,12,FALSE)</f>
        <v>-1</v>
      </c>
      <c r="AB43" s="307">
        <f>VLOOKUP(P43,P7:AB35,13,FALSE)</f>
        <v>0</v>
      </c>
      <c r="AC43" s="307" t="str">
        <f>INDEX('Dummy Table'!DV3:DV8,MATCH(Matches!O43,'Dummy Table'!DU3:DU8,0),0)</f>
        <v>D</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Belgium</v>
      </c>
      <c r="T44" s="307">
        <f>VLOOKUP(P44,P7:AB35,5,FALSE)</f>
        <v>1</v>
      </c>
      <c r="U44" s="307">
        <f>VLOOKUP(P44,P7:AB35,6,FALSE)</f>
        <v>0</v>
      </c>
      <c r="V44" s="307">
        <f>VLOOKUP(P44,P7:AB35,7,FALSE)</f>
        <v>0</v>
      </c>
      <c r="W44" s="307">
        <f>VLOOKUP(P44,P7:AB35,8,FALSE)</f>
        <v>1</v>
      </c>
      <c r="X44" s="307">
        <f>VLOOKUP(P44,P7:AB35,9,FALSE)</f>
        <v>0</v>
      </c>
      <c r="Y44" s="307" t="s">
        <v>160</v>
      </c>
      <c r="Z44" s="307">
        <f>VLOOKUP(P44,P7:AB35,11,FALSE)</f>
        <v>1</v>
      </c>
      <c r="AA44" s="307">
        <f>VLOOKUP(P44,P7:AB35,12,FALSE)</f>
        <v>-1</v>
      </c>
      <c r="AB44" s="307">
        <f>VLOOKUP(P44,P7:AB35,13,FALSE)</f>
        <v>0</v>
      </c>
      <c r="AC44" s="307" t="str">
        <f>INDEX('Dummy Table'!DV3:DV8,MATCH(Matches!O44,'Dummy Table'!DU3:DU8,0),0)</f>
        <v>E</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162</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23" t="s">
        <v>163</v>
      </c>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23"/>
      <c r="AR5" s="423"/>
      <c r="AS5" s="423"/>
      <c r="AT5" s="423"/>
      <c r="AU5" s="423"/>
      <c r="AV5" s="423"/>
      <c r="AW5" s="423"/>
      <c r="AX5" s="423"/>
      <c r="AY5" s="419" t="s">
        <v>164</v>
      </c>
      <c r="AZ5" s="419"/>
      <c r="BA5" s="419"/>
      <c r="BB5" s="419"/>
      <c r="BC5" s="419"/>
      <c r="BD5" s="419"/>
      <c r="BE5" s="419"/>
      <c r="BF5" s="419"/>
      <c r="BG5" s="419" t="s">
        <v>165</v>
      </c>
      <c r="BH5" s="419"/>
      <c r="BI5" s="419"/>
      <c r="BJ5" s="419"/>
      <c r="BK5" s="419" t="s">
        <v>166</v>
      </c>
      <c r="BL5" s="419"/>
      <c r="BM5" s="120" t="s">
        <v>24</v>
      </c>
    </row>
    <row r="6" spans="1:65" ht="15" customHeight="1" x14ac:dyDescent="0.3">
      <c r="B6" s="418" t="s">
        <v>67</v>
      </c>
      <c r="C6" s="421" t="s">
        <v>68</v>
      </c>
      <c r="D6" s="417" t="s">
        <v>167</v>
      </c>
      <c r="E6" s="417" t="s">
        <v>168</v>
      </c>
      <c r="F6" s="417" t="s">
        <v>169</v>
      </c>
      <c r="G6" s="417" t="s">
        <v>69</v>
      </c>
      <c r="H6" s="417" t="s">
        <v>170</v>
      </c>
      <c r="I6" s="418" t="s">
        <v>171</v>
      </c>
      <c r="J6" s="418"/>
      <c r="K6" s="417" t="s">
        <v>172</v>
      </c>
      <c r="L6" s="418" t="s">
        <v>173</v>
      </c>
      <c r="M6" s="418"/>
      <c r="N6" s="418"/>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18"/>
      <c r="C7" s="421"/>
      <c r="D7" s="417"/>
      <c r="E7" s="417"/>
      <c r="F7" s="417"/>
      <c r="G7" s="417"/>
      <c r="H7" s="417"/>
      <c r="I7" s="417" t="s">
        <v>168</v>
      </c>
      <c r="J7" s="420" t="s">
        <v>170</v>
      </c>
      <c r="K7" s="417"/>
      <c r="L7" s="417" t="s">
        <v>168</v>
      </c>
      <c r="M7" s="417" t="s">
        <v>174</v>
      </c>
      <c r="N7" s="417" t="s">
        <v>170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18"/>
      <c r="C8" s="421"/>
      <c r="D8" s="417"/>
      <c r="E8" s="417"/>
      <c r="F8" s="417"/>
      <c r="G8" s="417"/>
      <c r="H8" s="417"/>
      <c r="I8" s="417"/>
      <c r="J8" s="420"/>
      <c r="K8" s="417"/>
      <c r="L8" s="417"/>
      <c r="M8" s="417"/>
      <c r="N8" s="417"/>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18"/>
      <c r="C9" s="422"/>
      <c r="D9" s="417"/>
      <c r="E9" s="417"/>
      <c r="F9" s="417"/>
      <c r="G9" s="417"/>
      <c r="H9" s="417"/>
      <c r="I9" s="417"/>
      <c r="J9" s="420"/>
      <c r="K9" s="417"/>
      <c r="L9" s="417"/>
      <c r="M9" s="417"/>
      <c r="N9" s="417"/>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Håvard (ChatGPT)</v>
      </c>
      <c r="D10" s="30">
        <f ca="1">IFERROR(E10+F10+G10,"")</f>
        <v>40</v>
      </c>
      <c r="E10" s="23">
        <f t="shared" ref="E10" ca="1" si="3">IFERROR(I10+L10,"")</f>
        <v>40</v>
      </c>
      <c r="F10" s="23">
        <f ca="1">IFERROR(K10+M10,"")</f>
        <v>0</v>
      </c>
      <c r="G10" s="23">
        <f>IF(C10&lt;&gt;"",IF('Player Setup'!D6&lt;&gt;"",'Player Setup'!D6,0),"")</f>
        <v>0</v>
      </c>
      <c r="H10" s="23">
        <f t="shared" ref="H10" ca="1" si="4">IFERROR(J10+N10,"")</f>
        <v>3</v>
      </c>
      <c r="I10" s="24">
        <f ca="1">SUM(O10:AX10)</f>
        <v>40</v>
      </c>
      <c r="J10" s="22">
        <f ca="1">IF(C10&lt;&gt;"",OFFSET('Player Game Board'!N9,O6-1,A10),0)</f>
        <v>3</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t="str">
        <f ca="1">IF(C10&lt;&gt;"",OFFSET('Player Game Board'!V10,AG6-1,A10),"")</f>
        <v/>
      </c>
      <c r="AH10" s="24" t="str">
        <f ca="1">IF(C10&lt;&gt;"",OFFSET('Player Game Board'!V10,AH6-1,A10),"")</f>
        <v/>
      </c>
      <c r="AI10" s="24" t="str">
        <f ca="1">IF(C10&lt;&gt;"",OFFSET('Player Game Board'!V10,AI6-1,A10),"")</f>
        <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Levi (happy go lucky)</v>
      </c>
      <c r="D11" s="30">
        <f t="shared" ref="D11:D19" ca="1" si="5">IFERROR(E11+F11+G11,"")</f>
        <v>42</v>
      </c>
      <c r="E11" s="23">
        <f t="shared" ref="E11:E19" ca="1" si="6">IFERROR(I11+L11,"")</f>
        <v>42</v>
      </c>
      <c r="F11" s="23">
        <f t="shared" ref="F11:F19" ca="1" si="7">IFERROR(K11+M11,"")</f>
        <v>0</v>
      </c>
      <c r="G11" s="23">
        <f>IF(C11&lt;&gt;"",IF('Player Setup'!D7&lt;&gt;"",'Player Setup'!D7,0),"")</f>
        <v>0</v>
      </c>
      <c r="H11" s="22">
        <f t="shared" ref="H11:H19" ca="1" si="8">IFERROR(J11+N11,"")</f>
        <v>3</v>
      </c>
      <c r="I11" s="23">
        <f t="shared" ref="I11:I19" ca="1" si="9">SUM(O11:AX11)</f>
        <v>42</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t="str">
        <f ca="1">IF(C11&lt;&gt;"",OFFSET('Player Game Board'!V10,AG6-1,A11),"")</f>
        <v/>
      </c>
      <c r="AH11" s="22" t="str">
        <f ca="1">IF(C11&lt;&gt;"",OFFSET('Player Game Board'!V10,AH6-1,A11),"")</f>
        <v/>
      </c>
      <c r="AI11" s="22" t="str">
        <f ca="1">IF(C11&lt;&gt;"",OFFSET('Player Game Board'!V10,AI6-1,A11),"")</f>
        <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Iben</v>
      </c>
      <c r="D12" s="30">
        <f t="shared" ca="1" si="5"/>
        <v>24</v>
      </c>
      <c r="E12" s="23">
        <f t="shared" ca="1" si="6"/>
        <v>24</v>
      </c>
      <c r="F12" s="23">
        <f t="shared" ca="1" si="7"/>
        <v>0</v>
      </c>
      <c r="G12" s="23">
        <f>IF(C12&lt;&gt;"",IF('Player Setup'!D8&lt;&gt;"",'Player Setup'!D8,0),"")</f>
        <v>0</v>
      </c>
      <c r="H12" s="22">
        <f t="shared" ca="1" si="8"/>
        <v>1</v>
      </c>
      <c r="I12" s="23">
        <f t="shared" ca="1" si="9"/>
        <v>24</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Joakim</v>
      </c>
      <c r="D13" s="30">
        <f t="shared" ca="1" si="5"/>
        <v>40</v>
      </c>
      <c r="E13" s="23">
        <f t="shared" ca="1" si="6"/>
        <v>40</v>
      </c>
      <c r="F13" s="23">
        <f t="shared" ca="1" si="7"/>
        <v>0</v>
      </c>
      <c r="G13" s="23">
        <f>IF(C13&lt;&gt;"",IF('Player Setup'!D9&lt;&gt;"",'Player Setup'!D9,0),"")</f>
        <v>0</v>
      </c>
      <c r="H13" s="22">
        <f t="shared" ca="1" si="8"/>
        <v>3</v>
      </c>
      <c r="I13" s="23">
        <f t="shared" ca="1" si="9"/>
        <v>40</v>
      </c>
      <c r="J13" s="22">
        <f ca="1">IF(C13&lt;&gt;"",OFFSET('Player Game Board'!N9,O6-1,A13),0)</f>
        <v>3</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Kristoffer (Fasiten)</v>
      </c>
      <c r="D14" s="30">
        <f t="shared" ca="1" si="5"/>
        <v>30</v>
      </c>
      <c r="E14" s="23">
        <f t="shared" ca="1" si="6"/>
        <v>30</v>
      </c>
      <c r="F14" s="23">
        <f t="shared" ca="1" si="7"/>
        <v>0</v>
      </c>
      <c r="G14" s="23">
        <f>IF(C14&lt;&gt;"",IF('Player Setup'!D10&lt;&gt;"",'Player Setup'!D10,0),"")</f>
        <v>0</v>
      </c>
      <c r="H14" s="22">
        <f t="shared" ca="1" si="8"/>
        <v>3</v>
      </c>
      <c r="I14" s="23">
        <f t="shared" ca="1" si="9"/>
        <v>30</v>
      </c>
      <c r="J14" s="22">
        <f ca="1">IF(C14&lt;&gt;"",OFFSET('Player Game Board'!N9,O6-1,A14),0)</f>
        <v>3</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George</v>
      </c>
      <c r="D15" s="30">
        <f t="shared" ca="1" si="5"/>
        <v>36</v>
      </c>
      <c r="E15" s="23">
        <f t="shared" ca="1" si="6"/>
        <v>36</v>
      </c>
      <c r="F15" s="23">
        <f t="shared" ca="1" si="7"/>
        <v>0</v>
      </c>
      <c r="G15" s="23">
        <f>IF(C15&lt;&gt;"",IF('Player Setup'!D11&lt;&gt;"",'Player Setup'!D11,0),"")</f>
        <v>0</v>
      </c>
      <c r="H15" s="22">
        <f t="shared" ca="1" si="8"/>
        <v>3</v>
      </c>
      <c r="I15" s="23">
        <f t="shared" ca="1" si="9"/>
        <v>36</v>
      </c>
      <c r="J15" s="22">
        <f ca="1">IF(C15&lt;&gt;"",OFFSET('Player Game Board'!N9,O6-1,A15),0)</f>
        <v>3</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Sverre</v>
      </c>
      <c r="D16" s="30">
        <f t="shared" ca="1" si="5"/>
        <v>38</v>
      </c>
      <c r="E16" s="23">
        <f t="shared" ca="1" si="6"/>
        <v>38</v>
      </c>
      <c r="F16" s="23">
        <f t="shared" ca="1" si="7"/>
        <v>0</v>
      </c>
      <c r="G16" s="23">
        <f>IF(C16&lt;&gt;"",IF('Player Setup'!D12&lt;&gt;"",'Player Setup'!D12,0),"")</f>
        <v>0</v>
      </c>
      <c r="H16" s="22">
        <f t="shared" ca="1" si="8"/>
        <v>1</v>
      </c>
      <c r="I16" s="23">
        <f t="shared" ca="1" si="9"/>
        <v>38</v>
      </c>
      <c r="J16" s="22">
        <f ca="1">IF(C16&lt;&gt;"",OFFSET('Player Game Board'!N9,O6-1,A16),0)</f>
        <v>1</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Therese</v>
      </c>
      <c r="D17" s="30">
        <f t="shared" ca="1" si="5"/>
        <v>42</v>
      </c>
      <c r="E17" s="23">
        <f t="shared" ca="1" si="6"/>
        <v>42</v>
      </c>
      <c r="F17" s="23">
        <f t="shared" ca="1" si="7"/>
        <v>0</v>
      </c>
      <c r="G17" s="23">
        <f>IF(C17&lt;&gt;"",IF('Player Setup'!D13&lt;&gt;"",'Player Setup'!D13,0),"")</f>
        <v>0</v>
      </c>
      <c r="H17" s="22">
        <f t="shared" ca="1" si="8"/>
        <v>3</v>
      </c>
      <c r="I17" s="23">
        <f t="shared" ca="1" si="9"/>
        <v>42</v>
      </c>
      <c r="J17" s="22">
        <f ca="1">IF(C17&lt;&gt;"",OFFSET('Player Game Board'!N9,O6-1,A17),0)</f>
        <v>3</v>
      </c>
      <c r="K17" s="23">
        <f ca="1">IF(C17&lt;&gt;"",OFFSET('Player Game Board'!N50,O6-1,A17),0)</f>
        <v>0</v>
      </c>
      <c r="L17" s="22">
        <f t="shared" ca="1" si="10"/>
        <v>0</v>
      </c>
      <c r="M17" s="23">
        <f ca="1">IF(C17&lt;&gt;"",OFFSET('Player Game Board'!N53,O6-1,A17),0)</f>
        <v>0</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Wanja</v>
      </c>
      <c r="D18" s="30">
        <f t="shared" ca="1" si="5"/>
        <v>26</v>
      </c>
      <c r="E18" s="23">
        <f t="shared" ca="1" si="6"/>
        <v>26</v>
      </c>
      <c r="F18" s="23">
        <f t="shared" ca="1" si="7"/>
        <v>0</v>
      </c>
      <c r="G18" s="23">
        <f>IF(C18&lt;&gt;"",IF('Player Setup'!D14&lt;&gt;"",'Player Setup'!D14,0),"")</f>
        <v>0</v>
      </c>
      <c r="H18" s="22">
        <f t="shared" ca="1" si="8"/>
        <v>1</v>
      </c>
      <c r="I18" s="23">
        <f t="shared" ca="1" si="9"/>
        <v>26</v>
      </c>
      <c r="J18" s="22">
        <f ca="1">IF(C18&lt;&gt;"",OFFSET('Player Game Board'!N9,O6-1,A18),0)</f>
        <v>1</v>
      </c>
      <c r="K18" s="23">
        <f ca="1">IF(C18&lt;&gt;"",OFFSET('Player Game Board'!N50,O6-1,A18),0)</f>
        <v>0</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Baptiste</v>
      </c>
      <c r="D19" s="30">
        <f t="shared" ca="1" si="5"/>
        <v>28</v>
      </c>
      <c r="E19" s="23">
        <f t="shared" ca="1" si="6"/>
        <v>28</v>
      </c>
      <c r="F19" s="23">
        <f t="shared" ca="1" si="7"/>
        <v>0</v>
      </c>
      <c r="G19" s="23">
        <f>IF(C19&lt;&gt;"",IF('Player Setup'!D15&lt;&gt;"",'Player Setup'!D15,0),"")</f>
        <v>0</v>
      </c>
      <c r="H19" s="22">
        <f t="shared" ca="1" si="8"/>
        <v>2</v>
      </c>
      <c r="I19" s="23">
        <f t="shared" ca="1" si="9"/>
        <v>28</v>
      </c>
      <c r="J19" s="22">
        <f ca="1">IF(C19&lt;&gt;"",OFFSET('Player Game Board'!N9,O6-1,A19),0)</f>
        <v>2</v>
      </c>
      <c r="K19" s="23">
        <f ca="1">IF(C19&lt;&gt;"",OFFSET('Player Game Board'!N50,O6-1,A19),0)</f>
        <v>0</v>
      </c>
      <c r="L19" s="22">
        <f t="shared" ca="1" si="10"/>
        <v>0</v>
      </c>
      <c r="M19" s="23">
        <f ca="1">IF(C19&lt;&gt;"",OFFSET('Player Game Board'!N53,O6-1,A19),0)</f>
        <v>0</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175</v>
      </c>
      <c r="C3" s="33"/>
      <c r="D3" s="33"/>
      <c r="E3" s="33"/>
      <c r="F3" s="33"/>
      <c r="G3" s="33"/>
      <c r="H3" s="33"/>
      <c r="I3" s="33"/>
      <c r="J3" s="33"/>
      <c r="K3" s="33"/>
      <c r="L3" s="33"/>
      <c r="M3" s="33"/>
    </row>
    <row r="4" spans="2:13" ht="5.0999999999999996" customHeight="1" x14ac:dyDescent="0.2">
      <c r="I4" s="34"/>
    </row>
    <row r="5" spans="2:13" ht="15" customHeight="1" x14ac:dyDescent="0.2">
      <c r="B5" s="418" t="s">
        <v>67</v>
      </c>
      <c r="C5" s="418" t="s">
        <v>68</v>
      </c>
      <c r="D5" s="417" t="s">
        <v>167</v>
      </c>
      <c r="E5" s="417" t="s">
        <v>168</v>
      </c>
      <c r="F5" s="417" t="s">
        <v>169</v>
      </c>
      <c r="G5" s="417" t="s">
        <v>170</v>
      </c>
      <c r="H5" s="418" t="s">
        <v>171</v>
      </c>
      <c r="I5" s="418"/>
      <c r="J5" s="417" t="s">
        <v>176</v>
      </c>
      <c r="K5" s="418" t="s">
        <v>173</v>
      </c>
      <c r="L5" s="418"/>
      <c r="M5" s="418"/>
    </row>
    <row r="6" spans="2:13" ht="15" customHeight="1" x14ac:dyDescent="0.2">
      <c r="B6" s="418"/>
      <c r="C6" s="418"/>
      <c r="D6" s="417"/>
      <c r="E6" s="417"/>
      <c r="F6" s="417"/>
      <c r="G6" s="417"/>
      <c r="H6" s="417" t="s">
        <v>168</v>
      </c>
      <c r="I6" s="420" t="s">
        <v>170</v>
      </c>
      <c r="J6" s="417"/>
      <c r="K6" s="417" t="s">
        <v>168</v>
      </c>
      <c r="L6" s="417" t="s">
        <v>177</v>
      </c>
      <c r="M6" s="417" t="s">
        <v>170</v>
      </c>
    </row>
    <row r="7" spans="2:13" ht="15" customHeight="1" x14ac:dyDescent="0.2">
      <c r="B7" s="418"/>
      <c r="C7" s="418"/>
      <c r="D7" s="417"/>
      <c r="E7" s="417"/>
      <c r="F7" s="417"/>
      <c r="G7" s="417"/>
      <c r="H7" s="417"/>
      <c r="I7" s="420"/>
      <c r="J7" s="417"/>
      <c r="K7" s="417"/>
      <c r="L7" s="417"/>
      <c r="M7" s="417"/>
    </row>
    <row r="8" spans="2:13" ht="15" customHeight="1" x14ac:dyDescent="0.2">
      <c r="B8" s="418"/>
      <c r="C8" s="418"/>
      <c r="D8" s="417"/>
      <c r="E8" s="417"/>
      <c r="F8" s="417"/>
      <c r="G8" s="417"/>
      <c r="H8" s="417"/>
      <c r="I8" s="420"/>
      <c r="J8" s="417"/>
      <c r="K8" s="417"/>
      <c r="L8" s="417"/>
      <c r="M8" s="417"/>
    </row>
    <row r="9" spans="2:13" ht="15" customHeight="1" x14ac:dyDescent="0.2">
      <c r="B9" s="22">
        <v>1</v>
      </c>
      <c r="C9" s="35" t="str">
        <f ca="1">IFERROR(INDEX('Dummy Rank'!F7:F16,MATCH('Player Leaderboard'!B9,'Dummy Rank'!E7:E16,0),0),"")</f>
        <v>Levi (happy go lucky)</v>
      </c>
      <c r="D9" s="23">
        <f ca="1">IFERROR(VLOOKUP(C9,'Player Scoreboard'!C10:N19,2,FALSE),"")</f>
        <v>42</v>
      </c>
      <c r="E9" s="23">
        <f ca="1">IFERROR(VLOOKUP(C9,'Player Scoreboard'!C10:N19,3,FALSE),"")</f>
        <v>42</v>
      </c>
      <c r="F9" s="23">
        <f ca="1">IFERROR(VLOOKUP(C9,'Player Scoreboard'!C10:N19,4,FALSE),"")</f>
        <v>0</v>
      </c>
      <c r="G9" s="23">
        <f ca="1">IFERROR(VLOOKUP(C9,'Player Scoreboard'!C$10:N$19,6,FALSE),"")</f>
        <v>3</v>
      </c>
      <c r="H9" s="23">
        <f ca="1">IFERROR(VLOOKUP(C9,'Player Scoreboard'!C$10:N$19,7,FALSE),"")</f>
        <v>42</v>
      </c>
      <c r="I9" s="23">
        <f ca="1">IFERROR(VLOOKUP(C9,'Player Scoreboard'!C$10:N$19,8,FALSE),"")</f>
        <v>3</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Therese</v>
      </c>
      <c r="D10" s="23">
        <f ca="1">IFERROR(VLOOKUP(C10,'Player Scoreboard'!C10:N19,2,FALSE),"")</f>
        <v>42</v>
      </c>
      <c r="E10" s="23">
        <f ca="1">IFERROR(VLOOKUP(C10,'Player Scoreboard'!C10:N19,3,FALSE),"")</f>
        <v>42</v>
      </c>
      <c r="F10" s="23">
        <f ca="1">IFERROR(VLOOKUP(C10,'Player Scoreboard'!C10:N19,4,FALSE),"")</f>
        <v>0</v>
      </c>
      <c r="G10" s="22">
        <f ca="1">IFERROR(VLOOKUP(C10,'Player Scoreboard'!C$10:N$19,6,FALSE),"")</f>
        <v>3</v>
      </c>
      <c r="H10" s="23">
        <f ca="1">IFERROR(VLOOKUP(C10,'Player Scoreboard'!C$10:N$19,7,FALSE),"")</f>
        <v>42</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Håvard (ChatGPT)</v>
      </c>
      <c r="D11" s="23">
        <f ca="1">IFERROR(VLOOKUP(C11,'Player Scoreboard'!C10:N19,2,FALSE),"")</f>
        <v>40</v>
      </c>
      <c r="E11" s="23">
        <f ca="1">IFERROR(VLOOKUP(C11,'Player Scoreboard'!C10:N19,3,FALSE),"")</f>
        <v>40</v>
      </c>
      <c r="F11" s="23">
        <f ca="1">IFERROR(VLOOKUP(C11,'Player Scoreboard'!C10:N19,4,FALSE),"")</f>
        <v>0</v>
      </c>
      <c r="G11" s="23">
        <f ca="1">IFERROR(VLOOKUP(C11,'Player Scoreboard'!C$10:N$19,6,FALSE),"")</f>
        <v>3</v>
      </c>
      <c r="H11" s="23">
        <f ca="1">IFERROR(VLOOKUP(C11,'Player Scoreboard'!C$10:N$19,7,FALSE),"")</f>
        <v>40</v>
      </c>
      <c r="I11" s="23">
        <f ca="1">IFERROR(VLOOKUP(C11,'Player Scoreboard'!C$10:N$19,8,FALSE),"")</f>
        <v>3</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Joakim</v>
      </c>
      <c r="D12" s="23">
        <f ca="1">IFERROR(VLOOKUP(C12,'Player Scoreboard'!C10:N19,2,FALSE),"")</f>
        <v>40</v>
      </c>
      <c r="E12" s="23">
        <f ca="1">IFERROR(VLOOKUP(C12,'Player Scoreboard'!C10:N19,3,FALSE),"")</f>
        <v>40</v>
      </c>
      <c r="F12" s="23">
        <f ca="1">IFERROR(VLOOKUP(C12,'Player Scoreboard'!C10:N19,4,FALSE),"")</f>
        <v>0</v>
      </c>
      <c r="G12" s="22">
        <f ca="1">IFERROR(VLOOKUP(C12,'Player Scoreboard'!C$10:N$19,6,FALSE),"")</f>
        <v>3</v>
      </c>
      <c r="H12" s="23">
        <f ca="1">IFERROR(VLOOKUP(C12,'Player Scoreboard'!C$10:N$19,7,FALSE),"")</f>
        <v>40</v>
      </c>
      <c r="I12" s="23">
        <f ca="1">IFERROR(VLOOKUP(C12,'Player Scoreboard'!C$10:N$19,8,FALSE),"")</f>
        <v>3</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Sverre</v>
      </c>
      <c r="D13" s="23">
        <f ca="1">IFERROR(VLOOKUP(C13,'Player Scoreboard'!C10:N19,2,FALSE),"")</f>
        <v>38</v>
      </c>
      <c r="E13" s="23">
        <f ca="1">IFERROR(VLOOKUP(C13,'Player Scoreboard'!C10:N19,3,FALSE),"")</f>
        <v>38</v>
      </c>
      <c r="F13" s="23">
        <f ca="1">IFERROR(VLOOKUP(C13,'Player Scoreboard'!C10:N19,4,FALSE),"")</f>
        <v>0</v>
      </c>
      <c r="G13" s="23">
        <f ca="1">IFERROR(VLOOKUP(C13,'Player Scoreboard'!C$10:N$19,6,FALSE),"")</f>
        <v>1</v>
      </c>
      <c r="H13" s="23">
        <f ca="1">IFERROR(VLOOKUP(C13,'Player Scoreboard'!C$10:N$19,7,FALSE),"")</f>
        <v>38</v>
      </c>
      <c r="I13" s="23">
        <f ca="1">IFERROR(VLOOKUP(C13,'Player Scoreboard'!C$10:N$19,8,FALSE),"")</f>
        <v>1</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George</v>
      </c>
      <c r="D14" s="23">
        <f ca="1">IFERROR(VLOOKUP(C14,'Player Scoreboard'!C10:N19,2,FALSE),"")</f>
        <v>36</v>
      </c>
      <c r="E14" s="23">
        <f ca="1">IFERROR(VLOOKUP(C14,'Player Scoreboard'!C10:N19,3,FALSE),"")</f>
        <v>36</v>
      </c>
      <c r="F14" s="23">
        <f ca="1">IFERROR(VLOOKUP(C14,'Player Scoreboard'!C10:N19,4,FALSE),"")</f>
        <v>0</v>
      </c>
      <c r="G14" s="22">
        <f ca="1">IFERROR(VLOOKUP(C14,'Player Scoreboard'!C$10:N$19,6,FALSE),"")</f>
        <v>3</v>
      </c>
      <c r="H14" s="23">
        <f ca="1">IFERROR(VLOOKUP(C14,'Player Scoreboard'!C$10:N$19,7,FALSE),"")</f>
        <v>36</v>
      </c>
      <c r="I14" s="23">
        <f ca="1">IFERROR(VLOOKUP(C14,'Player Scoreboard'!C$10:N$19,8,FALSE),"")</f>
        <v>3</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30</v>
      </c>
      <c r="E15" s="23">
        <f ca="1">IFERROR(VLOOKUP(C15,'Player Scoreboard'!C10:N19,3,FALSE),"")</f>
        <v>30</v>
      </c>
      <c r="F15" s="23">
        <f ca="1">IFERROR(VLOOKUP(C15,'Player Scoreboard'!C10:N19,4,FALSE),"")</f>
        <v>0</v>
      </c>
      <c r="G15" s="23">
        <f ca="1">IFERROR(VLOOKUP(C15,'Player Scoreboard'!C$10:N$19,6,FALSE),"")</f>
        <v>3</v>
      </c>
      <c r="H15" s="23">
        <f ca="1">IFERROR(VLOOKUP(C15,'Player Scoreboard'!C$10:N$19,7,FALSE),"")</f>
        <v>30</v>
      </c>
      <c r="I15" s="23">
        <f ca="1">IFERROR(VLOOKUP(C15,'Player Scoreboard'!C$10:N$19,8,FALSE),"")</f>
        <v>3</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Baptiste</v>
      </c>
      <c r="D16" s="23">
        <f ca="1">IFERROR(VLOOKUP(C16,'Player Scoreboard'!C10:N19,2,FALSE),"")</f>
        <v>28</v>
      </c>
      <c r="E16" s="23">
        <f ca="1">IFERROR(VLOOKUP(C16,'Player Scoreboard'!C10:N19,3,FALSE),"")</f>
        <v>28</v>
      </c>
      <c r="F16" s="23">
        <f ca="1">IFERROR(VLOOKUP(C16,'Player Scoreboard'!C10:N19,4,FALSE),"")</f>
        <v>0</v>
      </c>
      <c r="G16" s="22">
        <f ca="1">IFERROR(VLOOKUP(C16,'Player Scoreboard'!C$10:N$19,6,FALSE),"")</f>
        <v>2</v>
      </c>
      <c r="H16" s="23">
        <f ca="1">IFERROR(VLOOKUP(C16,'Player Scoreboard'!C$10:N$19,7,FALSE),"")</f>
        <v>28</v>
      </c>
      <c r="I16" s="23">
        <f ca="1">IFERROR(VLOOKUP(C16,'Player Scoreboard'!C$10:N$19,8,FALSE),"")</f>
        <v>2</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Wanja</v>
      </c>
      <c r="D17" s="23">
        <f ca="1">IFERROR(VLOOKUP(C17,'Player Scoreboard'!C10:N19,2,FALSE),"")</f>
        <v>26</v>
      </c>
      <c r="E17" s="23">
        <f ca="1">IFERROR(VLOOKUP(C17,'Player Scoreboard'!C10:N19,3,FALSE),"")</f>
        <v>26</v>
      </c>
      <c r="F17" s="23">
        <f ca="1">IFERROR(VLOOKUP(C17,'Player Scoreboard'!C10:N19,4,FALSE),"")</f>
        <v>0</v>
      </c>
      <c r="G17" s="23">
        <f ca="1">IFERROR(VLOOKUP(C17,'Player Scoreboard'!C$10:N$19,6,FALSE),"")</f>
        <v>1</v>
      </c>
      <c r="H17" s="23">
        <f ca="1">IFERROR(VLOOKUP(C17,'Player Scoreboard'!C$10:N$19,7,FALSE),"")</f>
        <v>26</v>
      </c>
      <c r="I17" s="23">
        <f ca="1">IFERROR(VLOOKUP(C17,'Player Scoreboard'!C$10:N$19,8,FALSE),"")</f>
        <v>1</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Iben</v>
      </c>
      <c r="D18" s="23">
        <f ca="1">IFERROR(VLOOKUP(C18,'Player Scoreboard'!C10:N19,2,FALSE),"")</f>
        <v>24</v>
      </c>
      <c r="E18" s="23">
        <f ca="1">IFERROR(VLOOKUP(C18,'Player Scoreboard'!C10:N19,3,FALSE),"")</f>
        <v>24</v>
      </c>
      <c r="F18" s="23">
        <f ca="1">IFERROR(VLOOKUP(C18,'Player Scoreboard'!C10:N19,4,FALSE),"")</f>
        <v>0</v>
      </c>
      <c r="G18" s="22">
        <f ca="1">IFERROR(VLOOKUP(C18,'Player Scoreboard'!C$10:N$19,6,FALSE),"")</f>
        <v>1</v>
      </c>
      <c r="H18" s="23">
        <f ca="1">IFERROR(VLOOKUP(C18,'Player Scoreboard'!C$10:N$19,7,FALSE),"")</f>
        <v>24</v>
      </c>
      <c r="I18" s="23">
        <f ca="1">IFERROR(VLOOKUP(C18,'Player Scoreboard'!C$10:N$19,8,FALSE),"")</f>
        <v>1</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178</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23" t="s">
        <v>163</v>
      </c>
      <c r="H5" s="423"/>
      <c r="I5" s="423"/>
      <c r="J5" s="423"/>
      <c r="K5" s="423"/>
      <c r="L5" s="423"/>
      <c r="M5" s="423"/>
      <c r="N5" s="423"/>
      <c r="O5" s="423"/>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19" t="s">
        <v>164</v>
      </c>
      <c r="AR5" s="419"/>
      <c r="AS5" s="419"/>
      <c r="AT5" s="419"/>
      <c r="AU5" s="419"/>
      <c r="AV5" s="419"/>
      <c r="AW5" s="419"/>
      <c r="AX5" s="419"/>
      <c r="AY5" s="419" t="s">
        <v>165</v>
      </c>
      <c r="AZ5" s="419"/>
      <c r="BA5" s="419"/>
      <c r="BB5" s="419"/>
      <c r="BC5" s="419" t="s">
        <v>166</v>
      </c>
      <c r="BD5" s="419"/>
      <c r="BE5" s="120" t="s">
        <v>24</v>
      </c>
    </row>
    <row r="6" spans="1:57" s="7" customFormat="1" ht="15" customHeight="1" x14ac:dyDescent="0.3">
      <c r="A6" s="133"/>
      <c r="B6" s="418" t="s">
        <v>67</v>
      </c>
      <c r="C6" s="421" t="s">
        <v>68</v>
      </c>
      <c r="D6" s="418" t="s">
        <v>179</v>
      </c>
      <c r="E6" s="418"/>
      <c r="F6" s="418"/>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18"/>
      <c r="C7" s="421"/>
      <c r="D7" s="417" t="s">
        <v>180</v>
      </c>
      <c r="E7" s="417" t="s">
        <v>181</v>
      </c>
      <c r="F7" s="417" t="s">
        <v>182</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18"/>
      <c r="C8" s="421"/>
      <c r="D8" s="417"/>
      <c r="E8" s="417"/>
      <c r="F8" s="417"/>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18"/>
      <c r="C9" s="422"/>
      <c r="D9" s="417"/>
      <c r="E9" s="417"/>
      <c r="F9" s="417"/>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Håvard (ChatGPT)</v>
      </c>
      <c r="D10" s="24">
        <f ca="1">SUM(E10:F10)</f>
        <v>3</v>
      </c>
      <c r="E10" s="22">
        <f ca="1">IF(C10&lt;&gt;"",OFFSET('Player Game Board'!N9,G6-1,A10),0)</f>
        <v>3</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Levi (happy go lucky)</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4.4" x14ac:dyDescent="0.3">
      <c r="A12" s="133">
        <f t="shared" ref="A12:A19" si="4">A11+10</f>
        <v>20</v>
      </c>
      <c r="B12" s="29">
        <v>3</v>
      </c>
      <c r="C12" s="272" t="str">
        <f>IF('Player Setup'!C8&lt;&gt;"",'Player Setup'!C8,"")</f>
        <v>Iben</v>
      </c>
      <c r="D12" s="22">
        <f t="shared" ca="1" si="3"/>
        <v>1</v>
      </c>
      <c r="E12" s="23">
        <f ca="1">IF(C12&lt;&gt;"",OFFSET('Player Game Board'!N9,G6-1,A12),0)</f>
        <v>1</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4.4" x14ac:dyDescent="0.3">
      <c r="A13" s="133">
        <f t="shared" si="4"/>
        <v>30</v>
      </c>
      <c r="B13" s="29">
        <v>4</v>
      </c>
      <c r="C13" s="272" t="str">
        <f>IF('Player Setup'!C9&lt;&gt;"",'Player Setup'!C9,"")</f>
        <v>Joakim</v>
      </c>
      <c r="D13" s="22">
        <f t="shared" ca="1" si="3"/>
        <v>3</v>
      </c>
      <c r="E13" s="23">
        <f ca="1">IF(C13&lt;&gt;"",OFFSET('Player Game Board'!N9,G6-1,A13),0)</f>
        <v>3</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4.4" x14ac:dyDescent="0.3">
      <c r="A14" s="133">
        <f t="shared" si="4"/>
        <v>40</v>
      </c>
      <c r="B14" s="29">
        <v>5</v>
      </c>
      <c r="C14" s="272" t="str">
        <f>IF('Player Setup'!C10&lt;&gt;"",'Player Setup'!C10,"")</f>
        <v>Kristoffer (Fasiten)</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4.4" x14ac:dyDescent="0.3">
      <c r="A15" s="133">
        <f t="shared" si="4"/>
        <v>50</v>
      </c>
      <c r="B15" s="29">
        <v>6</v>
      </c>
      <c r="C15" s="272" t="str">
        <f>IF('Player Setup'!C11&lt;&gt;"",'Player Setup'!C11,"")</f>
        <v>George</v>
      </c>
      <c r="D15" s="22">
        <f t="shared" ca="1" si="3"/>
        <v>3</v>
      </c>
      <c r="E15" s="23">
        <f ca="1">IF(C15&lt;&gt;"",OFFSET('Player Game Board'!N9,G6-1,A15),0)</f>
        <v>3</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4.4" x14ac:dyDescent="0.3">
      <c r="A16" s="133">
        <f t="shared" si="4"/>
        <v>60</v>
      </c>
      <c r="B16" s="29">
        <v>7</v>
      </c>
      <c r="C16" s="272"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4.4" x14ac:dyDescent="0.3">
      <c r="A17" s="133">
        <f t="shared" si="4"/>
        <v>70</v>
      </c>
      <c r="B17" s="29">
        <v>8</v>
      </c>
      <c r="C17" s="272" t="str">
        <f>IF('Player Setup'!C13&lt;&gt;"",'Player Setup'!C13,"")</f>
        <v>Therese</v>
      </c>
      <c r="D17" s="22">
        <f t="shared" ca="1" si="3"/>
        <v>3</v>
      </c>
      <c r="E17" s="23">
        <f ca="1">IF(C17&lt;&gt;"",OFFSET('Player Game Board'!N9,G6-1,A17),0)</f>
        <v>3</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4.4" x14ac:dyDescent="0.3">
      <c r="A18" s="133">
        <f t="shared" si="4"/>
        <v>80</v>
      </c>
      <c r="B18" s="29">
        <v>9</v>
      </c>
      <c r="C18" s="272" t="str">
        <f>IF('Player Setup'!C14&lt;&gt;"",'Player Setup'!C14,"")</f>
        <v>Wanja</v>
      </c>
      <c r="D18" s="22">
        <f t="shared" ca="1" si="3"/>
        <v>1</v>
      </c>
      <c r="E18" s="23">
        <f ca="1">IF(C18&lt;&gt;"",OFFSET('Player Game Board'!N9,G6-1,A18),0)</f>
        <v>1</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Baptiste</v>
      </c>
      <c r="D19" s="22">
        <f t="shared" ca="1" si="3"/>
        <v>2</v>
      </c>
      <c r="E19" s="23">
        <f ca="1">IF(C19&lt;&gt;"",OFFSET('Player Game Board'!N9,G6-1,A19),0)</f>
        <v>2</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183</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184</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185</v>
      </c>
      <c r="C5" s="138"/>
    </row>
    <row r="6" spans="2:8" ht="15" customHeight="1" x14ac:dyDescent="0.25">
      <c r="B6" s="137">
        <v>1</v>
      </c>
      <c r="C6" s="39" t="s">
        <v>186</v>
      </c>
      <c r="D6" s="188" t="s">
        <v>14</v>
      </c>
      <c r="E6" s="424" t="s">
        <v>187</v>
      </c>
    </row>
    <row r="7" spans="2:8" ht="15" customHeight="1" x14ac:dyDescent="0.25">
      <c r="B7" s="137">
        <v>2</v>
      </c>
      <c r="C7" s="39" t="s">
        <v>188</v>
      </c>
      <c r="E7" s="424"/>
    </row>
    <row r="8" spans="2:8" ht="15" customHeight="1" x14ac:dyDescent="0.25">
      <c r="B8" s="137">
        <v>3</v>
      </c>
      <c r="C8" s="39" t="s">
        <v>189</v>
      </c>
      <c r="E8" s="424"/>
    </row>
    <row r="9" spans="2:8" ht="15" customHeight="1" x14ac:dyDescent="0.25">
      <c r="B9" s="137">
        <v>4</v>
      </c>
      <c r="C9" s="39" t="s">
        <v>190</v>
      </c>
      <c r="E9" s="424"/>
    </row>
    <row r="10" spans="2:8" ht="15" customHeight="1" x14ac:dyDescent="0.25">
      <c r="B10" s="137">
        <v>5</v>
      </c>
      <c r="C10" s="39" t="s">
        <v>191</v>
      </c>
      <c r="E10" s="424"/>
    </row>
    <row r="11" spans="2:8" ht="15" customHeight="1" x14ac:dyDescent="0.25">
      <c r="B11" s="137">
        <v>6</v>
      </c>
      <c r="C11" s="39" t="s">
        <v>192</v>
      </c>
      <c r="E11" s="424"/>
    </row>
    <row r="12" spans="2:8" ht="15" customHeight="1" x14ac:dyDescent="0.25">
      <c r="B12" s="137">
        <v>7</v>
      </c>
      <c r="C12" s="39" t="s">
        <v>193</v>
      </c>
      <c r="E12" s="424"/>
    </row>
    <row r="13" spans="2:8" ht="15" customHeight="1" x14ac:dyDescent="0.25">
      <c r="B13" s="137">
        <v>8</v>
      </c>
      <c r="C13" s="39" t="s">
        <v>194</v>
      </c>
      <c r="E13" s="424"/>
    </row>
    <row r="14" spans="2:8" ht="15" customHeight="1" x14ac:dyDescent="0.25">
      <c r="B14" s="137">
        <v>9</v>
      </c>
      <c r="C14" s="39" t="s">
        <v>195</v>
      </c>
      <c r="E14" s="424"/>
    </row>
    <row r="15" spans="2:8" ht="15" customHeight="1" x14ac:dyDescent="0.25">
      <c r="B15" s="137">
        <v>10</v>
      </c>
      <c r="C15" s="39" t="s">
        <v>196</v>
      </c>
    </row>
    <row r="16" spans="2:8" ht="15" customHeight="1" x14ac:dyDescent="0.25">
      <c r="B16" s="137">
        <v>11</v>
      </c>
      <c r="C16" s="39" t="s">
        <v>197</v>
      </c>
    </row>
    <row r="17" spans="2:3" ht="15" customHeight="1" x14ac:dyDescent="0.25">
      <c r="B17" s="137">
        <v>12</v>
      </c>
      <c r="C17" s="39" t="s">
        <v>198</v>
      </c>
    </row>
    <row r="18" spans="2:3" ht="15" customHeight="1" x14ac:dyDescent="0.25">
      <c r="B18" s="137">
        <v>13</v>
      </c>
      <c r="C18" s="39" t="s">
        <v>199</v>
      </c>
    </row>
    <row r="19" spans="2:3" ht="15" customHeight="1" x14ac:dyDescent="0.25">
      <c r="B19" s="137">
        <v>14</v>
      </c>
      <c r="C19" s="39" t="s">
        <v>200</v>
      </c>
    </row>
    <row r="20" spans="2:3" ht="15" customHeight="1" x14ac:dyDescent="0.25">
      <c r="B20" s="137">
        <v>15</v>
      </c>
      <c r="C20" s="39" t="s">
        <v>201</v>
      </c>
    </row>
    <row r="21" spans="2:3" ht="15" customHeight="1" x14ac:dyDescent="0.25">
      <c r="B21" s="137">
        <v>16</v>
      </c>
      <c r="C21" s="39" t="s">
        <v>202</v>
      </c>
    </row>
    <row r="22" spans="2:3" ht="15" customHeight="1" x14ac:dyDescent="0.25">
      <c r="B22" s="137">
        <v>17</v>
      </c>
      <c r="C22" s="39" t="s">
        <v>203</v>
      </c>
    </row>
    <row r="23" spans="2:3" ht="15" customHeight="1" x14ac:dyDescent="0.25">
      <c r="B23" s="137">
        <v>18</v>
      </c>
      <c r="C23" s="39" t="s">
        <v>204</v>
      </c>
    </row>
    <row r="24" spans="2:3" ht="15" customHeight="1" x14ac:dyDescent="0.25">
      <c r="B24" s="137">
        <v>19</v>
      </c>
      <c r="C24" s="39" t="s">
        <v>205</v>
      </c>
    </row>
    <row r="25" spans="2:3" ht="15" customHeight="1" x14ac:dyDescent="0.25">
      <c r="B25" s="137">
        <v>20</v>
      </c>
      <c r="C25" s="39" t="s">
        <v>206</v>
      </c>
    </row>
    <row r="26" spans="2:3" ht="15" customHeight="1" x14ac:dyDescent="0.25">
      <c r="B26" s="137">
        <v>21</v>
      </c>
      <c r="C26" s="39" t="s">
        <v>207</v>
      </c>
    </row>
    <row r="27" spans="2:3" ht="15" customHeight="1" x14ac:dyDescent="0.25">
      <c r="B27" s="137">
        <v>22</v>
      </c>
      <c r="C27" s="39" t="s">
        <v>208</v>
      </c>
    </row>
    <row r="28" spans="2:3" ht="15" customHeight="1" x14ac:dyDescent="0.25">
      <c r="B28" s="137">
        <v>23</v>
      </c>
      <c r="C28" s="39" t="s">
        <v>209</v>
      </c>
    </row>
    <row r="29" spans="2:3" ht="15" customHeight="1" x14ac:dyDescent="0.25">
      <c r="B29" s="137">
        <v>24</v>
      </c>
      <c r="C29" s="39" t="s">
        <v>210</v>
      </c>
    </row>
    <row r="30" spans="2:3" ht="15" customHeight="1" x14ac:dyDescent="0.25">
      <c r="B30" s="137">
        <v>25</v>
      </c>
      <c r="C30" s="39" t="s">
        <v>185</v>
      </c>
    </row>
    <row r="31" spans="2:3" ht="15" customHeight="1" x14ac:dyDescent="0.25">
      <c r="B31" s="137">
        <v>26</v>
      </c>
      <c r="C31" s="39" t="s">
        <v>211</v>
      </c>
    </row>
    <row r="32" spans="2:3" ht="15" customHeight="1" x14ac:dyDescent="0.25">
      <c r="B32" s="137">
        <v>27</v>
      </c>
      <c r="C32" s="39" t="s">
        <v>171</v>
      </c>
    </row>
    <row r="33" spans="2:3" ht="15" customHeight="1" x14ac:dyDescent="0.25">
      <c r="B33" s="137">
        <v>28</v>
      </c>
      <c r="C33" s="39" t="s">
        <v>212</v>
      </c>
    </row>
    <row r="34" spans="2:3" ht="15" customHeight="1" x14ac:dyDescent="0.25">
      <c r="B34" s="137">
        <v>29</v>
      </c>
      <c r="C34" s="39" t="s">
        <v>213</v>
      </c>
    </row>
    <row r="35" spans="2:3" ht="15" customHeight="1" x14ac:dyDescent="0.25">
      <c r="B35" s="137">
        <v>30</v>
      </c>
      <c r="C35" s="39" t="s">
        <v>181</v>
      </c>
    </row>
    <row r="36" spans="2:3" ht="15" customHeight="1" x14ac:dyDescent="0.25">
      <c r="B36" s="137">
        <v>31</v>
      </c>
      <c r="C36" s="39" t="s">
        <v>214</v>
      </c>
    </row>
    <row r="37" spans="2:3" ht="15" customHeight="1" x14ac:dyDescent="0.25">
      <c r="B37" s="137">
        <v>32</v>
      </c>
      <c r="C37" s="39" t="s">
        <v>215</v>
      </c>
    </row>
    <row r="38" spans="2:3" ht="15" customHeight="1" x14ac:dyDescent="0.25">
      <c r="B38" s="137">
        <v>33</v>
      </c>
      <c r="C38" s="39" t="s">
        <v>104</v>
      </c>
    </row>
    <row r="39" spans="2:3" ht="15" customHeight="1" x14ac:dyDescent="0.25">
      <c r="B39" s="137">
        <v>34</v>
      </c>
      <c r="C39" s="39" t="s">
        <v>216</v>
      </c>
    </row>
    <row r="40" spans="2:3" ht="15" customHeight="1" x14ac:dyDescent="0.25">
      <c r="B40" s="137">
        <v>35</v>
      </c>
      <c r="C40" s="39" t="s">
        <v>164</v>
      </c>
    </row>
    <row r="41" spans="2:3" ht="15" customHeight="1" x14ac:dyDescent="0.25">
      <c r="B41" s="137">
        <v>36</v>
      </c>
      <c r="C41" s="39" t="s">
        <v>217</v>
      </c>
    </row>
    <row r="42" spans="2:3" ht="15" customHeight="1" x14ac:dyDescent="0.25">
      <c r="B42" s="137">
        <v>37</v>
      </c>
      <c r="C42" s="39" t="s">
        <v>218</v>
      </c>
    </row>
    <row r="43" spans="2:3" ht="15" customHeight="1" x14ac:dyDescent="0.25">
      <c r="B43" s="137">
        <v>38</v>
      </c>
      <c r="C43" s="39" t="s">
        <v>219</v>
      </c>
    </row>
    <row r="44" spans="2:3" ht="15" customHeight="1" x14ac:dyDescent="0.25">
      <c r="B44" s="137">
        <v>39</v>
      </c>
      <c r="C44" s="39" t="s">
        <v>111</v>
      </c>
    </row>
    <row r="45" spans="2:3" ht="15" customHeight="1" x14ac:dyDescent="0.25">
      <c r="B45" s="137">
        <v>40</v>
      </c>
      <c r="C45" s="39" t="s">
        <v>112</v>
      </c>
    </row>
    <row r="46" spans="2:3" ht="15" customHeight="1" x14ac:dyDescent="0.25">
      <c r="B46" s="137">
        <v>41</v>
      </c>
      <c r="C46" s="39" t="s">
        <v>220</v>
      </c>
    </row>
    <row r="47" spans="2:3" ht="15" customHeight="1" x14ac:dyDescent="0.25">
      <c r="B47" s="137">
        <v>42</v>
      </c>
      <c r="C47" s="39" t="s">
        <v>221</v>
      </c>
    </row>
    <row r="48" spans="2:3" ht="15" customHeight="1" x14ac:dyDescent="0.25">
      <c r="B48" s="137">
        <v>43</v>
      </c>
      <c r="C48" s="39" t="s">
        <v>222</v>
      </c>
    </row>
    <row r="49" spans="2:3" ht="15" customHeight="1" x14ac:dyDescent="0.25">
      <c r="B49" s="137">
        <v>44</v>
      </c>
      <c r="C49" s="39" t="s">
        <v>223</v>
      </c>
    </row>
    <row r="50" spans="2:3" ht="15" customHeight="1" x14ac:dyDescent="0.25">
      <c r="B50" s="137">
        <v>45</v>
      </c>
      <c r="C50" s="39" t="s">
        <v>224</v>
      </c>
    </row>
    <row r="51" spans="2:3" ht="15" customHeight="1" x14ac:dyDescent="0.25">
      <c r="B51" s="137">
        <v>46</v>
      </c>
      <c r="C51" s="39" t="s">
        <v>225</v>
      </c>
    </row>
    <row r="52" spans="2:3" ht="15" customHeight="1" x14ac:dyDescent="0.25">
      <c r="B52" s="137">
        <v>47</v>
      </c>
      <c r="C52" s="39" t="s">
        <v>226</v>
      </c>
    </row>
    <row r="53" spans="2:3" ht="15" customHeight="1" x14ac:dyDescent="0.25">
      <c r="B53" s="137">
        <v>48</v>
      </c>
      <c r="C53" s="39" t="s">
        <v>227</v>
      </c>
    </row>
    <row r="54" spans="2:3" ht="15" customHeight="1" x14ac:dyDescent="0.25">
      <c r="B54" s="137">
        <v>49</v>
      </c>
      <c r="C54" s="39" t="s">
        <v>228</v>
      </c>
    </row>
    <row r="55" spans="2:3" ht="15" customHeight="1" x14ac:dyDescent="0.25">
      <c r="B55" s="137">
        <v>50</v>
      </c>
      <c r="C55" s="39" t="s">
        <v>229</v>
      </c>
    </row>
    <row r="56" spans="2:3" ht="15" customHeight="1" x14ac:dyDescent="0.25">
      <c r="B56" s="137">
        <v>51</v>
      </c>
      <c r="C56" s="39" t="s">
        <v>230</v>
      </c>
    </row>
    <row r="57" spans="2:3" ht="15" customHeight="1" x14ac:dyDescent="0.25">
      <c r="B57" s="137">
        <v>52</v>
      </c>
      <c r="C57" s="39" t="s">
        <v>231</v>
      </c>
    </row>
    <row r="58" spans="2:3" ht="15" customHeight="1" x14ac:dyDescent="0.25">
      <c r="B58" s="137">
        <v>53</v>
      </c>
      <c r="C58" s="39" t="s">
        <v>232</v>
      </c>
    </row>
    <row r="59" spans="2:3" ht="15" customHeight="1" x14ac:dyDescent="0.25">
      <c r="B59" s="137">
        <v>54</v>
      </c>
      <c r="C59" s="39" t="s">
        <v>233</v>
      </c>
    </row>
    <row r="60" spans="2:3" ht="15" customHeight="1" x14ac:dyDescent="0.25">
      <c r="B60" s="137">
        <v>55</v>
      </c>
      <c r="C60" s="39" t="s">
        <v>234</v>
      </c>
    </row>
    <row r="61" spans="2:3" ht="15" customHeight="1" x14ac:dyDescent="0.25">
      <c r="B61" s="137">
        <v>56</v>
      </c>
      <c r="C61" s="39" t="s">
        <v>235</v>
      </c>
    </row>
    <row r="62" spans="2:3" ht="15" customHeight="1" x14ac:dyDescent="0.25">
      <c r="B62" s="137">
        <v>57</v>
      </c>
      <c r="C62" s="39" t="s">
        <v>236</v>
      </c>
    </row>
    <row r="63" spans="2:3" ht="15" customHeight="1" x14ac:dyDescent="0.25">
      <c r="B63" s="137">
        <v>58</v>
      </c>
      <c r="C63" s="39" t="s">
        <v>237</v>
      </c>
    </row>
    <row r="64" spans="2:3" ht="15" customHeight="1" x14ac:dyDescent="0.25">
      <c r="B64" s="137">
        <v>59</v>
      </c>
      <c r="C64" s="39" t="s">
        <v>238</v>
      </c>
    </row>
    <row r="65" spans="2:3" ht="15" customHeight="1" x14ac:dyDescent="0.25">
      <c r="B65" s="137">
        <v>60</v>
      </c>
      <c r="C65" s="39" t="s">
        <v>239</v>
      </c>
    </row>
    <row r="66" spans="2:3" ht="15" customHeight="1" x14ac:dyDescent="0.25">
      <c r="B66" s="137">
        <v>61</v>
      </c>
      <c r="C66" s="39" t="s">
        <v>240</v>
      </c>
    </row>
    <row r="67" spans="2:3" ht="15" customHeight="1" x14ac:dyDescent="0.25">
      <c r="B67" s="137">
        <v>62</v>
      </c>
      <c r="C67" s="39" t="s">
        <v>241</v>
      </c>
    </row>
    <row r="68" spans="2:3" ht="15" customHeight="1" x14ac:dyDescent="0.25">
      <c r="B68" s="137">
        <v>63</v>
      </c>
      <c r="C68" s="39" t="s">
        <v>242</v>
      </c>
    </row>
    <row r="69" spans="2:3" ht="15" customHeight="1" x14ac:dyDescent="0.25">
      <c r="B69" s="137">
        <v>64</v>
      </c>
      <c r="C69" s="39" t="s">
        <v>243</v>
      </c>
    </row>
    <row r="70" spans="2:3" ht="15" customHeight="1" x14ac:dyDescent="0.25">
      <c r="B70" s="137">
        <v>65</v>
      </c>
      <c r="C70" s="39" t="s">
        <v>244</v>
      </c>
    </row>
    <row r="71" spans="2:3" ht="15" customHeight="1" x14ac:dyDescent="0.25">
      <c r="B71" s="137">
        <v>66</v>
      </c>
      <c r="C71" s="39" t="s">
        <v>245</v>
      </c>
    </row>
    <row r="72" spans="2:3" ht="15" customHeight="1" x14ac:dyDescent="0.25">
      <c r="B72" s="137">
        <v>67</v>
      </c>
      <c r="C72" s="39" t="s">
        <v>246</v>
      </c>
    </row>
    <row r="73" spans="2:3" ht="15" customHeight="1" x14ac:dyDescent="0.25">
      <c r="B73" s="137">
        <v>68</v>
      </c>
      <c r="C73" s="39" t="s">
        <v>247</v>
      </c>
    </row>
    <row r="74" spans="2:3" ht="15" customHeight="1" x14ac:dyDescent="0.25">
      <c r="B74" s="137">
        <v>69</v>
      </c>
      <c r="C74" s="39" t="s">
        <v>248</v>
      </c>
    </row>
    <row r="75" spans="2:3" ht="15" customHeight="1" x14ac:dyDescent="0.25">
      <c r="B75" s="137">
        <v>70</v>
      </c>
      <c r="C75" s="39" t="s">
        <v>249</v>
      </c>
    </row>
    <row r="76" spans="2:3" ht="15" customHeight="1" x14ac:dyDescent="0.25">
      <c r="B76" s="137">
        <v>71</v>
      </c>
      <c r="C76" s="39" t="s">
        <v>250</v>
      </c>
    </row>
    <row r="77" spans="2:3" ht="15" customHeight="1" x14ac:dyDescent="0.25">
      <c r="B77" s="137">
        <v>72</v>
      </c>
      <c r="C77" s="39" t="s">
        <v>251</v>
      </c>
    </row>
    <row r="78" spans="2:3" ht="15" customHeight="1" x14ac:dyDescent="0.25">
      <c r="B78" s="137">
        <v>73</v>
      </c>
      <c r="C78" s="39" t="s">
        <v>252</v>
      </c>
    </row>
    <row r="79" spans="2:3" ht="15" customHeight="1" x14ac:dyDescent="0.25">
      <c r="B79" s="137">
        <v>74</v>
      </c>
      <c r="C79" s="39" t="s">
        <v>253</v>
      </c>
    </row>
    <row r="80" spans="2:3" ht="15" customHeight="1" x14ac:dyDescent="0.25">
      <c r="B80" s="137">
        <v>75</v>
      </c>
      <c r="C80" s="39" t="s">
        <v>254</v>
      </c>
    </row>
    <row r="81" spans="2:3" ht="15" customHeight="1" x14ac:dyDescent="0.25">
      <c r="B81" s="137">
        <v>76</v>
      </c>
      <c r="C81" s="39" t="s">
        <v>255</v>
      </c>
    </row>
    <row r="82" spans="2:3" ht="15" customHeight="1" x14ac:dyDescent="0.25">
      <c r="B82" s="137">
        <v>77</v>
      </c>
      <c r="C82" s="39" t="s">
        <v>256</v>
      </c>
    </row>
    <row r="83" spans="2:3" ht="15" customHeight="1" x14ac:dyDescent="0.25">
      <c r="B83" s="137">
        <v>78</v>
      </c>
      <c r="C83" s="39" t="s">
        <v>257</v>
      </c>
    </row>
    <row r="84" spans="2:3" ht="15" customHeight="1" x14ac:dyDescent="0.25">
      <c r="B84" s="137">
        <v>79</v>
      </c>
      <c r="C84" s="39" t="s">
        <v>258</v>
      </c>
    </row>
    <row r="85" spans="2:3" ht="15" customHeight="1" x14ac:dyDescent="0.25">
      <c r="B85" s="137">
        <v>80</v>
      </c>
      <c r="C85" s="39" t="s">
        <v>259</v>
      </c>
    </row>
    <row r="86" spans="2:3" ht="15" customHeight="1" x14ac:dyDescent="0.25">
      <c r="B86" s="137">
        <v>81</v>
      </c>
      <c r="C86" s="39" t="s">
        <v>260</v>
      </c>
    </row>
    <row r="87" spans="2:3" ht="15" customHeight="1" x14ac:dyDescent="0.25">
      <c r="B87" s="137">
        <v>82</v>
      </c>
      <c r="C87" s="39" t="s">
        <v>261</v>
      </c>
    </row>
    <row r="88" spans="2:3" ht="15" customHeight="1" x14ac:dyDescent="0.25">
      <c r="B88" s="137">
        <v>83</v>
      </c>
      <c r="C88" s="39" t="s">
        <v>262</v>
      </c>
    </row>
    <row r="89" spans="2:3" ht="15" customHeight="1" x14ac:dyDescent="0.25">
      <c r="B89" s="137">
        <v>84</v>
      </c>
      <c r="C89" s="39" t="s">
        <v>263</v>
      </c>
    </row>
    <row r="90" spans="2:3" ht="15" customHeight="1" x14ac:dyDescent="0.25">
      <c r="B90" s="137">
        <v>85</v>
      </c>
      <c r="C90" s="39" t="s">
        <v>264</v>
      </c>
    </row>
    <row r="91" spans="2:3" ht="15" customHeight="1" x14ac:dyDescent="0.25">
      <c r="B91" s="137">
        <v>86</v>
      </c>
      <c r="C91" s="39" t="s">
        <v>265</v>
      </c>
    </row>
    <row r="92" spans="2:3" ht="15" customHeight="1" x14ac:dyDescent="0.25">
      <c r="B92" s="137">
        <v>87</v>
      </c>
      <c r="C92" s="39" t="s">
        <v>266</v>
      </c>
    </row>
    <row r="93" spans="2:3" ht="15" customHeight="1" x14ac:dyDescent="0.25">
      <c r="B93" s="137">
        <v>88</v>
      </c>
      <c r="C93" s="39" t="s">
        <v>267</v>
      </c>
    </row>
    <row r="94" spans="2:3" ht="15" customHeight="1" x14ac:dyDescent="0.25">
      <c r="B94" s="137">
        <v>89</v>
      </c>
      <c r="C94" s="39" t="s">
        <v>268</v>
      </c>
    </row>
    <row r="95" spans="2:3" ht="15" customHeight="1" x14ac:dyDescent="0.25">
      <c r="B95" s="137">
        <v>90</v>
      </c>
      <c r="C95" s="39" t="s">
        <v>269</v>
      </c>
    </row>
    <row r="96" spans="2:3" ht="15" customHeight="1" x14ac:dyDescent="0.25">
      <c r="B96" s="137">
        <v>91</v>
      </c>
      <c r="C96" s="39" t="s">
        <v>270</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271</v>
      </c>
    </row>
    <row r="4" spans="1:12" ht="5.0999999999999996" customHeight="1" x14ac:dyDescent="0.3"/>
    <row r="5" spans="1:12" x14ac:dyDescent="0.3">
      <c r="B5" s="425" t="s">
        <v>272</v>
      </c>
      <c r="C5" s="425"/>
      <c r="E5" s="425" t="s">
        <v>273</v>
      </c>
      <c r="F5" s="425"/>
    </row>
    <row r="6" spans="1:12" x14ac:dyDescent="0.3">
      <c r="B6" s="136"/>
      <c r="C6" s="136" t="s">
        <v>274</v>
      </c>
      <c r="E6" s="136"/>
      <c r="F6" s="136" t="s">
        <v>274</v>
      </c>
    </row>
    <row r="7" spans="1:12" x14ac:dyDescent="0.3">
      <c r="B7" s="134">
        <v>1</v>
      </c>
      <c r="C7" s="135" t="s">
        <v>275</v>
      </c>
      <c r="E7" s="134">
        <v>1</v>
      </c>
      <c r="F7" s="135" t="s">
        <v>275</v>
      </c>
      <c r="H7" s="190" t="s">
        <v>14</v>
      </c>
      <c r="I7" s="426" t="s">
        <v>276</v>
      </c>
      <c r="J7" s="426"/>
      <c r="K7" s="426"/>
      <c r="L7" s="426"/>
    </row>
    <row r="8" spans="1:12" x14ac:dyDescent="0.3">
      <c r="B8" s="38">
        <v>2</v>
      </c>
      <c r="C8" s="39" t="s">
        <v>277</v>
      </c>
      <c r="E8" s="38">
        <v>2</v>
      </c>
      <c r="F8" s="39" t="s">
        <v>277</v>
      </c>
      <c r="H8" s="191"/>
      <c r="I8" s="426"/>
      <c r="J8" s="426"/>
      <c r="K8" s="426"/>
      <c r="L8" s="426"/>
    </row>
    <row r="9" spans="1:12" x14ac:dyDescent="0.3">
      <c r="B9" s="38">
        <v>3</v>
      </c>
      <c r="C9" s="39" t="s">
        <v>278</v>
      </c>
      <c r="E9" s="38">
        <v>3</v>
      </c>
      <c r="F9" s="39" t="s">
        <v>278</v>
      </c>
      <c r="H9" s="191"/>
      <c r="I9" s="426"/>
      <c r="J9" s="426"/>
      <c r="K9" s="426"/>
      <c r="L9" s="426"/>
    </row>
    <row r="10" spans="1:12" x14ac:dyDescent="0.3">
      <c r="B10" s="38">
        <v>4</v>
      </c>
      <c r="C10" s="39" t="s">
        <v>279</v>
      </c>
      <c r="E10" s="38">
        <v>4</v>
      </c>
      <c r="F10" s="39" t="s">
        <v>279</v>
      </c>
      <c r="H10" s="192"/>
      <c r="I10" s="426"/>
      <c r="J10" s="426"/>
      <c r="K10" s="426"/>
      <c r="L10" s="426"/>
    </row>
    <row r="11" spans="1:12" x14ac:dyDescent="0.3">
      <c r="B11" s="38">
        <v>5</v>
      </c>
      <c r="C11" s="39" t="s">
        <v>280</v>
      </c>
      <c r="E11" s="38">
        <v>5</v>
      </c>
      <c r="F11" s="39" t="s">
        <v>280</v>
      </c>
      <c r="H11" s="191"/>
      <c r="I11" s="426"/>
      <c r="J11" s="426"/>
      <c r="K11" s="426"/>
      <c r="L11" s="426"/>
    </row>
    <row r="12" spans="1:12" x14ac:dyDescent="0.3">
      <c r="B12" s="38">
        <v>6</v>
      </c>
      <c r="C12" s="39" t="s">
        <v>281</v>
      </c>
      <c r="E12" s="38">
        <v>6</v>
      </c>
      <c r="F12" s="39" t="s">
        <v>281</v>
      </c>
      <c r="H12" s="191"/>
      <c r="I12" s="426"/>
      <c r="J12" s="426"/>
      <c r="K12" s="426"/>
      <c r="L12" s="426"/>
    </row>
    <row r="13" spans="1:12" x14ac:dyDescent="0.3">
      <c r="B13" s="38">
        <v>7</v>
      </c>
      <c r="C13" s="39" t="s">
        <v>282</v>
      </c>
      <c r="E13" s="38">
        <v>7</v>
      </c>
      <c r="F13" s="39" t="s">
        <v>282</v>
      </c>
      <c r="H13" s="191"/>
      <c r="I13" s="426"/>
      <c r="J13" s="426"/>
      <c r="K13" s="426"/>
      <c r="L13" s="426"/>
    </row>
    <row r="14" spans="1:12" x14ac:dyDescent="0.3">
      <c r="B14" s="38">
        <v>8</v>
      </c>
      <c r="C14" s="39" t="s">
        <v>283</v>
      </c>
      <c r="E14" s="38">
        <v>8</v>
      </c>
      <c r="F14" s="39" t="s">
        <v>283</v>
      </c>
      <c r="H14" s="191"/>
      <c r="I14" s="426"/>
      <c r="J14" s="426"/>
      <c r="K14" s="426"/>
      <c r="L14" s="426"/>
    </row>
    <row r="15" spans="1:12" x14ac:dyDescent="0.3">
      <c r="B15" s="38">
        <v>9</v>
      </c>
      <c r="C15" s="39"/>
      <c r="E15" s="38">
        <v>9</v>
      </c>
      <c r="F15" s="39"/>
      <c r="H15" s="191"/>
      <c r="I15" s="426"/>
      <c r="J15" s="426"/>
      <c r="K15" s="426"/>
      <c r="L15" s="426"/>
    </row>
    <row r="16" spans="1:12" x14ac:dyDescent="0.3">
      <c r="B16" s="38">
        <v>10</v>
      </c>
      <c r="C16" s="39"/>
      <c r="E16" s="38">
        <v>10</v>
      </c>
      <c r="F16" s="39"/>
      <c r="H16" s="190" t="s">
        <v>14</v>
      </c>
      <c r="I16" s="426" t="s">
        <v>284</v>
      </c>
      <c r="J16" s="426"/>
      <c r="K16" s="426"/>
      <c r="L16" s="426"/>
    </row>
    <row r="17" spans="2:12" x14ac:dyDescent="0.3">
      <c r="B17" s="38">
        <v>11</v>
      </c>
      <c r="C17" s="39"/>
      <c r="E17" s="38">
        <v>11</v>
      </c>
      <c r="F17" s="39"/>
      <c r="H17" s="191"/>
      <c r="I17" s="426"/>
      <c r="J17" s="426"/>
      <c r="K17" s="426"/>
      <c r="L17" s="426"/>
    </row>
    <row r="18" spans="2:12" x14ac:dyDescent="0.3">
      <c r="H18" s="191"/>
      <c r="I18" s="426"/>
      <c r="J18" s="426"/>
      <c r="K18" s="426"/>
      <c r="L18" s="426"/>
    </row>
    <row r="19" spans="2:12" x14ac:dyDescent="0.3">
      <c r="H19" s="191"/>
      <c r="I19" s="426"/>
      <c r="J19" s="426"/>
      <c r="K19" s="426"/>
      <c r="L19" s="426"/>
    </row>
    <row r="20" spans="2:12" x14ac:dyDescent="0.3">
      <c r="H20" s="191"/>
      <c r="I20" s="426"/>
      <c r="J20" s="426"/>
      <c r="K20" s="426"/>
      <c r="L20" s="426"/>
    </row>
    <row r="21" spans="2:12" x14ac:dyDescent="0.3">
      <c r="H21" s="191"/>
      <c r="I21" s="426"/>
      <c r="J21" s="426"/>
      <c r="K21" s="426"/>
      <c r="L21" s="426"/>
    </row>
    <row r="22" spans="2:12" x14ac:dyDescent="0.3">
      <c r="H22" s="191"/>
      <c r="I22" s="426"/>
      <c r="J22" s="426"/>
      <c r="K22" s="426"/>
      <c r="L22" s="426"/>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Props1.xml><?xml version="1.0" encoding="utf-8"?>
<ds:datastoreItem xmlns:ds="http://schemas.openxmlformats.org/officeDocument/2006/customXml" ds:itemID="{03F40AFF-FB5A-4809-AE44-209FC0462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3.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2024-06-20T20:59:34Z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